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8430" windowHeight="5970" tabRatio="877" activeTab="2"/>
  </bookViews>
  <sheets>
    <sheet name="H E L P" sheetId="1" r:id="rId1"/>
    <sheet name="Summary" sheetId="2" r:id="rId2"/>
    <sheet name="Proton_int" sheetId="3" r:id="rId3"/>
    <sheet name="Proton_FW_VE11" sheetId="4" r:id="rId4"/>
    <sheet name="Proton_FW_HE11" sheetId="5" r:id="rId5"/>
    <sheet name="Proton_FW_HE17" sheetId="6" r:id="rId6"/>
    <sheet name="proton_long" sheetId="7" r:id="rId7"/>
    <sheet name="Pbar_FW_VE11" sheetId="8" r:id="rId8"/>
    <sheet name="Pbar_FW_HE11" sheetId="9" r:id="rId9"/>
    <sheet name="Pbar_FW_HE17" sheetId="10" r:id="rId10"/>
    <sheet name="pbar_int" sheetId="11" r:id="rId11"/>
    <sheet name="pbar_long" sheetId="12" r:id="rId12"/>
  </sheets>
  <definedNames>
    <definedName name="betaFT">'Pbar_FW_VE11'!$B$36</definedName>
    <definedName name="betaInj">'Pbar_FW_VE11'!$B$34</definedName>
    <definedName name="betaLB">'Pbar_FW_VE11'!$B$37</definedName>
    <definedName name="betaSL">'Pbar_FW_VE11'!$B$38</definedName>
    <definedName name="betaStar">'Summary'!$K$19</definedName>
    <definedName name="BetaX">'Summary'!$I$7</definedName>
    <definedName name="BetaXAccel">'Summary'!$G$7</definedName>
    <definedName name="BetaXCoal">'Summary'!$E$7</definedName>
    <definedName name="BetaXFT">'Summary'!$H$7</definedName>
    <definedName name="BetaXInj">'Summary'!$F$7</definedName>
    <definedName name="BetaXMIFT">'Summary'!$D$7</definedName>
    <definedName name="BetaXMIINJ">'Summary'!$C$7</definedName>
    <definedName name="BetaY">'Summary'!$I$8</definedName>
    <definedName name="BetaYAccel">'Summary'!$G$8</definedName>
    <definedName name="BetaYCoal">'Summary'!$E$8</definedName>
    <definedName name="BetaYFT">'Summary'!$H$8</definedName>
    <definedName name="BetaYInj">'Summary'!$F$8</definedName>
    <definedName name="BetaYMIFT">'Summary'!$D$8</definedName>
    <definedName name="BetaYMIINJ">'Summary'!$C$8</definedName>
    <definedName name="Dx">'Summary'!$I$10</definedName>
    <definedName name="DXAccel">'Summary'!$G$10</definedName>
    <definedName name="DxCoal">'Summary'!$E$10</definedName>
    <definedName name="DXFT">'Summary'!$H$10</definedName>
    <definedName name="DxInj">'Summary'!$F$10</definedName>
    <definedName name="DxMIFT">'Summary'!$D$10</definedName>
    <definedName name="DxMIInj">'Summary'!$C$10</definedName>
    <definedName name="freq">'Summary'!$F$20</definedName>
    <definedName name="gamma150">'Pbar_FW_VE11'!$B$27</definedName>
    <definedName name="gamma193">'Pbar_FW_VE11'!$B$28</definedName>
    <definedName name="gamma980">'Pbar_FW_VE11'!$B$29</definedName>
    <definedName name="GammaAccel">'Summary'!$G$5</definedName>
    <definedName name="GammaCoal">'Summary'!$E$5</definedName>
    <definedName name="GammaFT">'Summary'!$H$5</definedName>
    <definedName name="GammaInj">'Summary'!$F$5</definedName>
    <definedName name="GammaMIFT">'Summary'!$D$5</definedName>
    <definedName name="GammaMIINJ">'Summary'!$C$5</definedName>
    <definedName name="GammaTop">'Summary'!$I$5</definedName>
    <definedName name="HourGlass">'Summary'!$I$18</definedName>
    <definedName name="protonRM">'Pbar_FW_VE11'!$B$26</definedName>
    <definedName name="protRM">'Pbar_FW_VE11'!$B$26</definedName>
    <definedName name="scale">'Pbar_FW_VE11'!$B$31</definedName>
    <definedName name="scaleSL">'Pbar_FW_VE11'!$B$32</definedName>
    <definedName name="SDAReportGeneratorMT.jsp?plotIt_build_21_min_0_max_10000_step_1000_what_table_yformat__23_230_format__23_230._23_23_report_proton_long.xml_shot_2019" localSheetId="6">'proton_long'!$B$1:$AL$59</definedName>
    <definedName name="SDAReportGeneratorMT.jsp?plotIt_build_21_what_table_yformat__23_230_format__23_230._23_23_report_Pbar_FW_HE11.xml_shot_2019" localSheetId="8">'Pbar_FW_HE11'!$B$1:$AL$23</definedName>
    <definedName name="SDAReportGeneratorMT.jsp?plotIt_build_21_what_table_yformat__23_230_format__23_230._23_23_report_Pbar_FW_HE17.xml_shot_2019" localSheetId="9">'Pbar_FW_HE17'!$B$1:$AL$23</definedName>
    <definedName name="SDAReportGeneratorMT.jsp?plotIt_build_21_what_table_yformat__23_230_format__23_230._23_23_report_Pbar_FW_VE11.xml_shot_2019" localSheetId="7">'Pbar_FW_VE11'!$B$1:$AL$23</definedName>
    <definedName name="SDAReportGeneratorMT.jsp?plotIt_build_21_what_table_yformat__23_230_format__23_230._23_23_report_pbar_int.xml_shot_2019" localSheetId="10">'pbar_int'!$B$1:$AL$24</definedName>
    <definedName name="SDAReportGeneratorMT.jsp?plotIt_build_21_what_table_yformat__23_230_format__23_230._23_23_report_pbar_long.xml_shot_2019" localSheetId="11">'pbar_long'!$B$1:$AL$23</definedName>
    <definedName name="SDAReportGeneratorMT.jsp?plotIt_build_21_what_table_yformat__23_230_format__23_230._23_23_report_Proton_FW_HE11.xml_shot_1836" localSheetId="4">'Proton_FW_HE11'!$B$1:$AL$59</definedName>
    <definedName name="SDAReportGeneratorMT.jsp?plotIt_build_21_what_table_yformat__23_230_format__23_230._23_23_report_Proton_FW_HE17.xml_shot_1836" localSheetId="5">'Proton_FW_HE17'!$B$1:$AL$59</definedName>
    <definedName name="SDAReportGeneratorMT.jsp?plotIt_build_21_what_table_yformat__23_230_format__23_230._23_23_report_Proton_FW_VE11.xml_shot_1836" localSheetId="3">'Proton_FW_VE11'!$B$1:$AL$59</definedName>
    <definedName name="SDAReportGeneratorMT.jsp?plotIt_build_21_what_table_yformat__23_230_format__23_230._23_23_report_proton_int.xml_shot_2019" localSheetId="2">'Proton_int'!$B$1:$AL$65</definedName>
  </definedNames>
  <calcPr fullCalcOnLoad="1"/>
</workbook>
</file>

<file path=xl/comments2.xml><?xml version="1.0" encoding="utf-8"?>
<comments xmlns="http://schemas.openxmlformats.org/spreadsheetml/2006/main">
  <authors>
    <author>Beams Division</author>
  </authors>
  <commentList>
    <comment ref="F75" authorId="0">
      <text>
        <r>
          <rPr>
            <b/>
            <sz val="8"/>
            <rFont val="Tahoma"/>
            <family val="0"/>
          </rPr>
          <t>Beams Division:</t>
        </r>
        <r>
          <rPr>
            <sz val="8"/>
            <rFont val="Tahoma"/>
            <family val="0"/>
          </rPr>
          <t xml:space="preserve">
Long damper turned off for 2.5 minutes at flattop where bunches blew up.</t>
        </r>
      </text>
    </comment>
  </commentList>
</comments>
</file>

<file path=xl/sharedStrings.xml><?xml version="1.0" encoding="utf-8"?>
<sst xmlns="http://schemas.openxmlformats.org/spreadsheetml/2006/main" count="5591" uniqueCount="225">
  <si>
    <t>Total</t>
  </si>
  <si>
    <t xml:space="preserve">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</si>
  <si>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</si>
  <si>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</si>
  <si>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</si>
  <si>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</si>
  <si>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</si>
  <si>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</si>
  <si>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</si>
  <si>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</si>
  <si>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</si>
  <si>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</si>
  <si>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</si>
  <si>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</si>
  <si>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</si>
  <si>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</si>
  <si>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</si>
  <si>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</si>
  <si>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</si>
  <si>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</si>
  <si>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</si>
  <si>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</si>
  <si>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</si>
  <si>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</si>
  <si>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</si>
  <si>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</si>
  <si>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</si>
  <si>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</si>
  <si>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</si>
  <si>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</si>
  <si>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</si>
  <si>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</si>
  <si>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</si>
  <si>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</si>
  <si>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</si>
  <si>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</si>
  <si>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</si>
  <si>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</si>
  <si>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Accumulator</t>
  </si>
  <si>
    <t>MI 8GeV</t>
  </si>
  <si>
    <t>MI Flattop</t>
  </si>
  <si>
    <t>MI Coalesced</t>
  </si>
  <si>
    <t>Inject A1</t>
  </si>
  <si>
    <t>Inject A2</t>
  </si>
  <si>
    <t>Inject A3</t>
  </si>
  <si>
    <t>Inject A4</t>
  </si>
  <si>
    <t>Inject A5</t>
  </si>
  <si>
    <t>Inject A6</t>
  </si>
  <si>
    <t>Inject A7</t>
  </si>
  <si>
    <t>Inject A8</t>
  </si>
  <si>
    <t>Inject A9</t>
  </si>
  <si>
    <t>before ramp</t>
  </si>
  <si>
    <t>accelerate</t>
  </si>
  <si>
    <t>flattop</t>
  </si>
  <si>
    <t>squeeze</t>
  </si>
  <si>
    <t>initiate collisions</t>
  </si>
  <si>
    <t>Remove halo</t>
  </si>
  <si>
    <t>HEP 1</t>
  </si>
  <si>
    <t>HEP 4</t>
  </si>
  <si>
    <t>Pause HEP</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</si>
  <si>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</si>
  <si>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</si>
  <si>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</si>
  <si>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</si>
  <si>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</si>
  <si>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</si>
  <si>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</si>
  <si>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</si>
  <si>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</si>
  <si>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</si>
  <si>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</si>
  <si>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</si>
  <si>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</si>
  <si>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</si>
  <si>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</si>
  <si>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</si>
  <si>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</si>
  <si>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</si>
  <si>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</si>
  <si>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</si>
  <si>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</si>
  <si>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</si>
  <si>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</si>
  <si>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</si>
  <si>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</si>
  <si>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</si>
  <si>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</si>
  <si>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</si>
  <si>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</si>
  <si>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</si>
  <si>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</si>
  <si>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</si>
  <si>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</si>
  <si>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</si>
  <si>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</si>
  <si>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</si>
  <si>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8 GEV</t>
  </si>
  <si>
    <t>150 GEV MI</t>
  </si>
  <si>
    <t>Coalesced</t>
  </si>
  <si>
    <t>Inject P1</t>
  </si>
  <si>
    <t>Inject P2</t>
  </si>
  <si>
    <t>Inject P3</t>
  </si>
  <si>
    <t>Inject P4</t>
  </si>
  <si>
    <t>Inject P5</t>
  </si>
  <si>
    <t>Inject P6</t>
  </si>
  <si>
    <t>Inject P7</t>
  </si>
  <si>
    <t>Inject P8</t>
  </si>
  <si>
    <t>Inject P9</t>
  </si>
  <si>
    <t>Inject P10</t>
  </si>
  <si>
    <t>Inject P11</t>
  </si>
  <si>
    <t>Inject P12</t>
  </si>
  <si>
    <t>Inject P13</t>
  </si>
  <si>
    <t>Inject P14</t>
  </si>
  <si>
    <t>Inject P15</t>
  </si>
  <si>
    <t>Inject P16</t>
  </si>
  <si>
    <t>Inject P17</t>
  </si>
  <si>
    <t>Inject P18</t>
  </si>
  <si>
    <t>Inject P19</t>
  </si>
  <si>
    <t>Inject P20</t>
  </si>
  <si>
    <t>Inject P21</t>
  </si>
  <si>
    <t>Inject P22</t>
  </si>
  <si>
    <t>Inject P23</t>
  </si>
  <si>
    <t>Inject P24</t>
  </si>
  <si>
    <t>Inject P25</t>
  </si>
  <si>
    <t>Inject P26</t>
  </si>
  <si>
    <t>Inject P27</t>
  </si>
  <si>
    <t>Inject P28</t>
  </si>
  <si>
    <t>Inject P29</t>
  </si>
  <si>
    <t>Inject P30</t>
  </si>
  <si>
    <t>Inject P31</t>
  </si>
  <si>
    <t>Inject P32</t>
  </si>
  <si>
    <t>Inject P33</t>
  </si>
  <si>
    <t>Inject P34</t>
  </si>
  <si>
    <t>Inject P35</t>
  </si>
  <si>
    <t>Inject P36</t>
  </si>
  <si>
    <t>Pbar Porch</t>
  </si>
  <si>
    <t>remove halo</t>
  </si>
  <si>
    <t>Unstacked</t>
  </si>
  <si>
    <t>Shot #2070</t>
  </si>
  <si>
    <t>NaN</t>
  </si>
  <si>
    <t>Case</t>
  </si>
  <si>
    <t>Proton Intensity</t>
  </si>
  <si>
    <t>Pbar Intensity</t>
  </si>
  <si>
    <t>Proton Vertical Emittance</t>
  </si>
  <si>
    <t>Proton Horizontal Emittance</t>
  </si>
  <si>
    <t>Proton Longitudinal Emittance</t>
  </si>
  <si>
    <t>Pbar Vertical Emittance</t>
  </si>
  <si>
    <t>Pbar Horizontal Emittance</t>
  </si>
  <si>
    <t>Pbar Longitudinal Emittance</t>
  </si>
  <si>
    <t>Proton N/e</t>
  </si>
  <si>
    <t>Pbar N/e</t>
  </si>
  <si>
    <t>Calculated Luminosity E30</t>
  </si>
  <si>
    <t>Actual Luminosity</t>
  </si>
  <si>
    <t>Accum</t>
  </si>
  <si>
    <t>MI 8 Gev</t>
  </si>
  <si>
    <t>MI FT</t>
  </si>
  <si>
    <t>MI Coal</t>
  </si>
  <si>
    <t>TevInj</t>
  </si>
  <si>
    <t>Accel</t>
  </si>
  <si>
    <t>Flattop</t>
  </si>
  <si>
    <t>Low Beta</t>
  </si>
  <si>
    <t>Energy</t>
  </si>
  <si>
    <t>gamma</t>
  </si>
  <si>
    <t>dp/p</t>
  </si>
  <si>
    <t>betaX</t>
  </si>
  <si>
    <t>betaY</t>
  </si>
  <si>
    <t>betaX2</t>
  </si>
  <si>
    <t>DX</t>
  </si>
  <si>
    <t>DX2</t>
  </si>
  <si>
    <t>DY</t>
  </si>
  <si>
    <t>nsec to eV-sec</t>
  </si>
  <si>
    <t>frev</t>
  </si>
  <si>
    <t>hourGlass</t>
  </si>
  <si>
    <t>Nbunch</t>
  </si>
  <si>
    <t>betaStarX</t>
  </si>
  <si>
    <t>fCollisions</t>
  </si>
  <si>
    <t>betaStarY</t>
  </si>
  <si>
    <t>HEP 1 - B0ILUM</t>
  </si>
  <si>
    <t>HEP 4 - B0ILUM</t>
  </si>
  <si>
    <t>Pause HEP - B0ILUM</t>
  </si>
  <si>
    <t>HEP 1 - D0FZTL</t>
  </si>
  <si>
    <t>HEP 4 - D0FZTL</t>
  </si>
  <si>
    <t>Pause HEP - D0FZTL</t>
  </si>
  <si>
    <t>Shot #3231</t>
  </si>
  <si>
    <t>diff</t>
  </si>
  <si>
    <t>FT to RH</t>
  </si>
  <si>
    <t>bunch</t>
  </si>
  <si>
    <t>fly</t>
  </si>
  <si>
    <t>Sq to RH</t>
  </si>
  <si>
    <t>sigmas</t>
  </si>
  <si>
    <t>Emittance</t>
  </si>
  <si>
    <t>blow up</t>
  </si>
  <si>
    <t>Inj eff</t>
  </si>
  <si>
    <t>accel eff</t>
  </si>
  <si>
    <t>coal eff</t>
  </si>
  <si>
    <t>Overall eff</t>
  </si>
  <si>
    <t>gamma980</t>
  </si>
  <si>
    <t>gamma150</t>
  </si>
  <si>
    <t>gamma193</t>
  </si>
  <si>
    <t>scale</t>
  </si>
  <si>
    <t>scale SL</t>
  </si>
  <si>
    <t>betaInj</t>
  </si>
  <si>
    <t>betaFT</t>
  </si>
  <si>
    <t>betaLB</t>
  </si>
  <si>
    <t>betaSL</t>
  </si>
  <si>
    <t>squeeze eff</t>
  </si>
  <si>
    <t>8 Gev eff</t>
  </si>
  <si>
    <t>coal</t>
  </si>
  <si>
    <t>inj</t>
  </si>
  <si>
    <t>ft</t>
  </si>
  <si>
    <t>sq</t>
  </si>
  <si>
    <t>col</t>
  </si>
  <si>
    <t>RH</t>
  </si>
  <si>
    <t>HEP1</t>
  </si>
  <si>
    <t>HEP4</t>
  </si>
  <si>
    <t>Bunch</t>
  </si>
  <si>
    <t>Lifetime</t>
  </si>
  <si>
    <t>total</t>
  </si>
  <si>
    <t>growth</t>
  </si>
  <si>
    <t>FT to HEP4</t>
  </si>
  <si>
    <t>Inj each</t>
  </si>
  <si>
    <t>Luminosity Lifetime</t>
  </si>
  <si>
    <t>hours</t>
  </si>
  <si>
    <t>Shot #5974</t>
  </si>
  <si>
    <t>Shot #9999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</si>
</sst>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 numFmtId="169" formatCode="0.0"/>
  </numFmts>
  <fonts count="20">
    <font>
      <sz val="10"/>
      <name val="Arial"/>
      <family val="0"/>
    </font>
    <font>
      <u val="single"/>
      <sz val="10"/>
      <color indexed="12"/>
      <name val="Arial"/>
      <family val="0"/>
    </font>
    <font>
      <u val="single"/>
      <sz val="10"/>
      <color indexed="36"/>
      <name val="Arial"/>
      <family val="0"/>
    </font>
    <font>
      <b/>
      <sz val="10"/>
      <name val="Arial"/>
      <family val="2"/>
    </font>
    <font>
      <b/>
      <i/>
      <u val="single"/>
      <sz val="10"/>
      <name val="Arial"/>
      <family val="2"/>
    </font>
    <font>
      <sz val="8"/>
      <name val="Arial"/>
      <family val="0"/>
    </font>
    <font>
      <sz val="14.5"/>
      <name val="Arial"/>
      <family val="0"/>
    </font>
    <font>
      <sz val="19"/>
      <name val="Arial"/>
      <family val="0"/>
    </font>
    <font>
      <b/>
      <sz val="16.75"/>
      <name val="Arial"/>
      <family val="0"/>
    </font>
    <font>
      <b/>
      <sz val="12"/>
      <name val="Arial"/>
      <family val="0"/>
    </font>
    <font>
      <sz val="12"/>
      <name val="Arial"/>
      <family val="0"/>
    </font>
    <font>
      <sz val="8"/>
      <name val="Tahoma"/>
      <family val="0"/>
    </font>
    <font>
      <b/>
      <sz val="8"/>
      <name val="Tahoma"/>
      <family val="0"/>
    </font>
    <font>
      <b/>
      <sz val="8.25"/>
      <name val="Arial"/>
      <family val="0"/>
    </font>
    <font>
      <b/>
      <sz val="8"/>
      <name val="Arial"/>
      <family val="0"/>
    </font>
    <font>
      <b/>
      <sz val="16.25"/>
      <name val="Arial"/>
      <family val="0"/>
    </font>
    <font>
      <b/>
      <sz val="11"/>
      <name val="Arial"/>
      <family val="0"/>
    </font>
    <font>
      <sz val="11"/>
      <name val="Arial"/>
      <family val="0"/>
    </font>
    <font>
      <b/>
      <sz val="10.5"/>
      <name val="Arial"/>
      <family val="0"/>
    </font>
    <font>
      <sz val="10.5"/>
      <name val="Arial"/>
      <family val="0"/>
    </font>
  </fonts>
  <fills count="5">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67" fontId="0" fillId="0" borderId="0" xfId="0" applyNumberFormat="1" applyAlignment="1">
      <alignment horizontal="center"/>
    </xf>
    <xf numFmtId="0" fontId="0" fillId="0" borderId="0" xfId="0" applyAlignment="1">
      <alignment horizontal="center"/>
    </xf>
    <xf numFmtId="0" fontId="0" fillId="2" borderId="0" xfId="0" applyFill="1" applyAlignment="1">
      <alignment wrapText="1"/>
    </xf>
    <xf numFmtId="0" fontId="0" fillId="3" borderId="0" xfId="0" applyFill="1" applyAlignment="1">
      <alignment wrapText="1"/>
    </xf>
    <xf numFmtId="0" fontId="0" fillId="0" borderId="0" xfId="0" applyAlignment="1">
      <alignment wrapText="1"/>
    </xf>
    <xf numFmtId="0" fontId="0" fillId="4" borderId="0" xfId="0" applyFill="1" applyAlignment="1">
      <alignment/>
    </xf>
    <xf numFmtId="0" fontId="0" fillId="0" borderId="0" xfId="0" applyFill="1" applyAlignment="1">
      <alignment wrapText="1"/>
    </xf>
    <xf numFmtId="167" fontId="0" fillId="0" borderId="0" xfId="0" applyNumberFormat="1" applyAlignment="1">
      <alignment/>
    </xf>
    <xf numFmtId="2"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4" borderId="1" xfId="0" applyFill="1" applyBorder="1" applyAlignment="1">
      <alignment/>
    </xf>
    <xf numFmtId="169" fontId="0" fillId="0" borderId="0" xfId="0" applyNumberFormat="1" applyAlignment="1">
      <alignment horizontal="center"/>
    </xf>
    <xf numFmtId="0" fontId="3" fillId="0" borderId="0" xfId="0" applyFont="1" applyAlignment="1">
      <alignment/>
    </xf>
    <xf numFmtId="167" fontId="0"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2" fontId="0" fillId="4" borderId="0" xfId="0" applyNumberFormat="1" applyFill="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4" borderId="1" xfId="0" applyFill="1" applyBorder="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Proton_int!$B$42</c:f>
              <c:strCache>
                <c:ptCount val="1"/>
                <c:pt idx="0">
                  <c:v>Inject A1</c:v>
                </c:pt>
              </c:strCache>
            </c:strRef>
          </c:tx>
          <c:extLst>
            <c:ext xmlns:c14="http://schemas.microsoft.com/office/drawing/2007/8/2/chart" uri="{6F2FDCE9-48DA-4B69-8628-5D25D57E5C99}">
              <c14:invertSolidFillFmt>
                <c14:spPr>
                  <a:solidFill>
                    <a:srgbClr val="000000"/>
                  </a:solidFill>
                </c14:spPr>
              </c14:invertSolidFillFmt>
            </c:ext>
          </c:extLst>
          <c:val>
            <c:numRef>
              <c:f>Proton_int!$C$42:$AL$42</c:f>
              <c:numCache>
                <c:ptCount val="36"/>
                <c:pt idx="0">
                  <c:v>312.87</c:v>
                </c:pt>
                <c:pt idx="1">
                  <c:v>307.04</c:v>
                </c:pt>
                <c:pt idx="2">
                  <c:v>325.84</c:v>
                </c:pt>
                <c:pt idx="3">
                  <c:v>313.15</c:v>
                </c:pt>
                <c:pt idx="4">
                  <c:v>317.9</c:v>
                </c:pt>
                <c:pt idx="5">
                  <c:v>329.03</c:v>
                </c:pt>
                <c:pt idx="6">
                  <c:v>316.34</c:v>
                </c:pt>
                <c:pt idx="7">
                  <c:v>314.11</c:v>
                </c:pt>
                <c:pt idx="8">
                  <c:v>318.42</c:v>
                </c:pt>
                <c:pt idx="9">
                  <c:v>322.41</c:v>
                </c:pt>
                <c:pt idx="10">
                  <c:v>311.31</c:v>
                </c:pt>
                <c:pt idx="11">
                  <c:v>323.41</c:v>
                </c:pt>
                <c:pt idx="12">
                  <c:v>323.09</c:v>
                </c:pt>
                <c:pt idx="13">
                  <c:v>321.73</c:v>
                </c:pt>
                <c:pt idx="14">
                  <c:v>307.72</c:v>
                </c:pt>
                <c:pt idx="15">
                  <c:v>317.78</c:v>
                </c:pt>
                <c:pt idx="16">
                  <c:v>311.63</c:v>
                </c:pt>
                <c:pt idx="17">
                  <c:v>322.29</c:v>
                </c:pt>
                <c:pt idx="18">
                  <c:v>323.01</c:v>
                </c:pt>
                <c:pt idx="19">
                  <c:v>320.21</c:v>
                </c:pt>
                <c:pt idx="20">
                  <c:v>317.06</c:v>
                </c:pt>
                <c:pt idx="21">
                  <c:v>315.9</c:v>
                </c:pt>
                <c:pt idx="22">
                  <c:v>318.86</c:v>
                </c:pt>
                <c:pt idx="23">
                  <c:v>322.41</c:v>
                </c:pt>
                <c:pt idx="24">
                  <c:v>309.48</c:v>
                </c:pt>
                <c:pt idx="25">
                  <c:v>317.14</c:v>
                </c:pt>
                <c:pt idx="26">
                  <c:v>323.41</c:v>
                </c:pt>
                <c:pt idx="27">
                  <c:v>317.82</c:v>
                </c:pt>
                <c:pt idx="28">
                  <c:v>315.06</c:v>
                </c:pt>
                <c:pt idx="29">
                  <c:v>315.94</c:v>
                </c:pt>
                <c:pt idx="30">
                  <c:v>318.1</c:v>
                </c:pt>
                <c:pt idx="31">
                  <c:v>320.73</c:v>
                </c:pt>
                <c:pt idx="32">
                  <c:v>310.75</c:v>
                </c:pt>
                <c:pt idx="33">
                  <c:v>321.29</c:v>
                </c:pt>
                <c:pt idx="34">
                  <c:v>318.66</c:v>
                </c:pt>
                <c:pt idx="35">
                  <c:v>317.02</c:v>
                </c:pt>
              </c:numCache>
            </c:numRef>
          </c:val>
          <c:smooth val="0"/>
        </c:ser>
        <c:ser>
          <c:idx val="1"/>
          <c:order val="1"/>
          <c:tx>
            <c:strRef>
              <c:f>Proton_int!$B$43</c:f>
              <c:strCache>
                <c:ptCount val="1"/>
                <c:pt idx="0">
                  <c:v>Inject A2</c:v>
                </c:pt>
              </c:strCache>
            </c:strRef>
          </c:tx>
          <c:extLst>
            <c:ext xmlns:c14="http://schemas.microsoft.com/office/drawing/2007/8/2/chart" uri="{6F2FDCE9-48DA-4B69-8628-5D25D57E5C99}">
              <c14:invertSolidFillFmt>
                <c14:spPr>
                  <a:solidFill>
                    <a:srgbClr val="000000"/>
                  </a:solidFill>
                </c14:spPr>
              </c14:invertSolidFillFmt>
            </c:ext>
          </c:extLst>
          <c:val>
            <c:numRef>
              <c:f>Proton_int!$C$43:$AL$43</c:f>
              <c:numCache>
                <c:ptCount val="36"/>
                <c:pt idx="0">
                  <c:v>311.15</c:v>
                </c:pt>
                <c:pt idx="1">
                  <c:v>304.97</c:v>
                </c:pt>
                <c:pt idx="2">
                  <c:v>323.93</c:v>
                </c:pt>
                <c:pt idx="3">
                  <c:v>310.87</c:v>
                </c:pt>
                <c:pt idx="4">
                  <c:v>315.82</c:v>
                </c:pt>
                <c:pt idx="5">
                  <c:v>326.32</c:v>
                </c:pt>
                <c:pt idx="6">
                  <c:v>315.1</c:v>
                </c:pt>
                <c:pt idx="7">
                  <c:v>312.27</c:v>
                </c:pt>
                <c:pt idx="8">
                  <c:v>317.42</c:v>
                </c:pt>
                <c:pt idx="9">
                  <c:v>321.37</c:v>
                </c:pt>
                <c:pt idx="10">
                  <c:v>309.79</c:v>
                </c:pt>
                <c:pt idx="11">
                  <c:v>322.49</c:v>
                </c:pt>
                <c:pt idx="12">
                  <c:v>321.45</c:v>
                </c:pt>
                <c:pt idx="13">
                  <c:v>320.41</c:v>
                </c:pt>
                <c:pt idx="14">
                  <c:v>306.08</c:v>
                </c:pt>
                <c:pt idx="15">
                  <c:v>316.1</c:v>
                </c:pt>
                <c:pt idx="16">
                  <c:v>310.35</c:v>
                </c:pt>
                <c:pt idx="17">
                  <c:v>320.73</c:v>
                </c:pt>
                <c:pt idx="18">
                  <c:v>321.21</c:v>
                </c:pt>
                <c:pt idx="19">
                  <c:v>319.34</c:v>
                </c:pt>
                <c:pt idx="20">
                  <c:v>315.1</c:v>
                </c:pt>
                <c:pt idx="21">
                  <c:v>312.39</c:v>
                </c:pt>
                <c:pt idx="22">
                  <c:v>314.9</c:v>
                </c:pt>
                <c:pt idx="23">
                  <c:v>319.14</c:v>
                </c:pt>
                <c:pt idx="24">
                  <c:v>307.92</c:v>
                </c:pt>
                <c:pt idx="25">
                  <c:v>315.5</c:v>
                </c:pt>
                <c:pt idx="26">
                  <c:v>322.05</c:v>
                </c:pt>
                <c:pt idx="27">
                  <c:v>316.86</c:v>
                </c:pt>
                <c:pt idx="28">
                  <c:v>313.47</c:v>
                </c:pt>
                <c:pt idx="29">
                  <c:v>314.98</c:v>
                </c:pt>
                <c:pt idx="30">
                  <c:v>315.98</c:v>
                </c:pt>
                <c:pt idx="31">
                  <c:v>318.94</c:v>
                </c:pt>
                <c:pt idx="32">
                  <c:v>308.28</c:v>
                </c:pt>
                <c:pt idx="33">
                  <c:v>318.7</c:v>
                </c:pt>
                <c:pt idx="34">
                  <c:v>315.94</c:v>
                </c:pt>
                <c:pt idx="35">
                  <c:v>311.51</c:v>
                </c:pt>
              </c:numCache>
            </c:numRef>
          </c:val>
          <c:smooth val="0"/>
        </c:ser>
        <c:ser>
          <c:idx val="2"/>
          <c:order val="2"/>
          <c:tx>
            <c:strRef>
              <c:f>Proton_int!$B$44</c:f>
              <c:strCache>
                <c:ptCount val="1"/>
                <c:pt idx="0">
                  <c:v>Inject A3</c:v>
                </c:pt>
              </c:strCache>
            </c:strRef>
          </c:tx>
          <c:extLst>
            <c:ext xmlns:c14="http://schemas.microsoft.com/office/drawing/2007/8/2/chart" uri="{6F2FDCE9-48DA-4B69-8628-5D25D57E5C99}">
              <c14:invertSolidFillFmt>
                <c14:spPr>
                  <a:solidFill>
                    <a:srgbClr val="000000"/>
                  </a:solidFill>
                </c14:spPr>
              </c14:invertSolidFillFmt>
            </c:ext>
          </c:extLst>
          <c:val>
            <c:numRef>
              <c:f>Proton_int!$C$44:$AL$44</c:f>
              <c:numCache>
                <c:ptCount val="36"/>
                <c:pt idx="0">
                  <c:v>309.95</c:v>
                </c:pt>
                <c:pt idx="1">
                  <c:v>303.53</c:v>
                </c:pt>
                <c:pt idx="2">
                  <c:v>322.21</c:v>
                </c:pt>
                <c:pt idx="3">
                  <c:v>308.8</c:v>
                </c:pt>
                <c:pt idx="4">
                  <c:v>313.59</c:v>
                </c:pt>
                <c:pt idx="5">
                  <c:v>324.01</c:v>
                </c:pt>
                <c:pt idx="6">
                  <c:v>312.27</c:v>
                </c:pt>
                <c:pt idx="7">
                  <c:v>310.11</c:v>
                </c:pt>
                <c:pt idx="8">
                  <c:v>315.54</c:v>
                </c:pt>
                <c:pt idx="9">
                  <c:v>318.06</c:v>
                </c:pt>
                <c:pt idx="10">
                  <c:v>307.2</c:v>
                </c:pt>
                <c:pt idx="11">
                  <c:v>318.18</c:v>
                </c:pt>
                <c:pt idx="12">
                  <c:v>319.45</c:v>
                </c:pt>
                <c:pt idx="13">
                  <c:v>319.22</c:v>
                </c:pt>
                <c:pt idx="14">
                  <c:v>303.93</c:v>
                </c:pt>
                <c:pt idx="15">
                  <c:v>314.39</c:v>
                </c:pt>
                <c:pt idx="16">
                  <c:v>308.52</c:v>
                </c:pt>
                <c:pt idx="17">
                  <c:v>318.38</c:v>
                </c:pt>
                <c:pt idx="18">
                  <c:v>319.93</c:v>
                </c:pt>
                <c:pt idx="19">
                  <c:v>316.06</c:v>
                </c:pt>
                <c:pt idx="20">
                  <c:v>312.63</c:v>
                </c:pt>
                <c:pt idx="21">
                  <c:v>308.84</c:v>
                </c:pt>
                <c:pt idx="22">
                  <c:v>311.47</c:v>
                </c:pt>
                <c:pt idx="23">
                  <c:v>316.46</c:v>
                </c:pt>
                <c:pt idx="24">
                  <c:v>305.76</c:v>
                </c:pt>
                <c:pt idx="25">
                  <c:v>313.67</c:v>
                </c:pt>
                <c:pt idx="26">
                  <c:v>320.73</c:v>
                </c:pt>
                <c:pt idx="27">
                  <c:v>314.35</c:v>
                </c:pt>
                <c:pt idx="28">
                  <c:v>311.59</c:v>
                </c:pt>
                <c:pt idx="29">
                  <c:v>312.63</c:v>
                </c:pt>
                <c:pt idx="30">
                  <c:v>314.7</c:v>
                </c:pt>
                <c:pt idx="31">
                  <c:v>317.18</c:v>
                </c:pt>
                <c:pt idx="32">
                  <c:v>305.48</c:v>
                </c:pt>
                <c:pt idx="33">
                  <c:v>313.67</c:v>
                </c:pt>
                <c:pt idx="34">
                  <c:v>310.83</c:v>
                </c:pt>
                <c:pt idx="35">
                  <c:v>306.6</c:v>
                </c:pt>
              </c:numCache>
            </c:numRef>
          </c:val>
          <c:smooth val="0"/>
        </c:ser>
        <c:ser>
          <c:idx val="3"/>
          <c:order val="3"/>
          <c:tx>
            <c:strRef>
              <c:f>Proton_int!$B$45</c:f>
              <c:strCache>
                <c:ptCount val="1"/>
                <c:pt idx="0">
                  <c:v>Inject A4</c:v>
                </c:pt>
              </c:strCache>
            </c:strRef>
          </c:tx>
          <c:extLst>
            <c:ext xmlns:c14="http://schemas.microsoft.com/office/drawing/2007/8/2/chart" uri="{6F2FDCE9-48DA-4B69-8628-5D25D57E5C99}">
              <c14:invertSolidFillFmt>
                <c14:spPr>
                  <a:solidFill>
                    <a:srgbClr val="000000"/>
                  </a:solidFill>
                </c14:spPr>
              </c14:invertSolidFillFmt>
            </c:ext>
          </c:extLst>
          <c:val>
            <c:numRef>
              <c:f>Proton_int!$C$45:$AL$45</c:f>
              <c:numCache>
                <c:ptCount val="36"/>
                <c:pt idx="0">
                  <c:v>306.8</c:v>
                </c:pt>
                <c:pt idx="1">
                  <c:v>300.02</c:v>
                </c:pt>
                <c:pt idx="2">
                  <c:v>318.66</c:v>
                </c:pt>
                <c:pt idx="3">
                  <c:v>306.72</c:v>
                </c:pt>
                <c:pt idx="4">
                  <c:v>309.48</c:v>
                </c:pt>
                <c:pt idx="5">
                  <c:v>318.98</c:v>
                </c:pt>
                <c:pt idx="6">
                  <c:v>306</c:v>
                </c:pt>
                <c:pt idx="7">
                  <c:v>303.81</c:v>
                </c:pt>
                <c:pt idx="8">
                  <c:v>310.91</c:v>
                </c:pt>
                <c:pt idx="9">
                  <c:v>314.78</c:v>
                </c:pt>
                <c:pt idx="10">
                  <c:v>301.85</c:v>
                </c:pt>
                <c:pt idx="11">
                  <c:v>313.55</c:v>
                </c:pt>
                <c:pt idx="12">
                  <c:v>316.94</c:v>
                </c:pt>
                <c:pt idx="13">
                  <c:v>316.06</c:v>
                </c:pt>
                <c:pt idx="14">
                  <c:v>300.89</c:v>
                </c:pt>
                <c:pt idx="15">
                  <c:v>311.55</c:v>
                </c:pt>
                <c:pt idx="16">
                  <c:v>304.85</c:v>
                </c:pt>
                <c:pt idx="17">
                  <c:v>313.59</c:v>
                </c:pt>
                <c:pt idx="18">
                  <c:v>314.23</c:v>
                </c:pt>
                <c:pt idx="19">
                  <c:v>309.99</c:v>
                </c:pt>
                <c:pt idx="20">
                  <c:v>306.64</c:v>
                </c:pt>
                <c:pt idx="21">
                  <c:v>305.16</c:v>
                </c:pt>
                <c:pt idx="22">
                  <c:v>305.64</c:v>
                </c:pt>
                <c:pt idx="23">
                  <c:v>312.47</c:v>
                </c:pt>
                <c:pt idx="24">
                  <c:v>303.65</c:v>
                </c:pt>
                <c:pt idx="25">
                  <c:v>310.63</c:v>
                </c:pt>
                <c:pt idx="26">
                  <c:v>318.5</c:v>
                </c:pt>
                <c:pt idx="27">
                  <c:v>311.35</c:v>
                </c:pt>
                <c:pt idx="28">
                  <c:v>307.8</c:v>
                </c:pt>
                <c:pt idx="29">
                  <c:v>307.16</c:v>
                </c:pt>
                <c:pt idx="30">
                  <c:v>307.72</c:v>
                </c:pt>
                <c:pt idx="31">
                  <c:v>309.72</c:v>
                </c:pt>
                <c:pt idx="32">
                  <c:v>301.05</c:v>
                </c:pt>
                <c:pt idx="33">
                  <c:v>310.59</c:v>
                </c:pt>
                <c:pt idx="34">
                  <c:v>305.48</c:v>
                </c:pt>
                <c:pt idx="35">
                  <c:v>302.97</c:v>
                </c:pt>
              </c:numCache>
            </c:numRef>
          </c:val>
          <c:smooth val="0"/>
        </c:ser>
        <c:ser>
          <c:idx val="4"/>
          <c:order val="4"/>
          <c:tx>
            <c:strRef>
              <c:f>Proton_int!$B$46</c:f>
              <c:strCache>
                <c:ptCount val="1"/>
                <c:pt idx="0">
                  <c:v>Inject A5</c:v>
                </c:pt>
              </c:strCache>
            </c:strRef>
          </c:tx>
          <c:extLst>
            <c:ext xmlns:c14="http://schemas.microsoft.com/office/drawing/2007/8/2/chart" uri="{6F2FDCE9-48DA-4B69-8628-5D25D57E5C99}">
              <c14:invertSolidFillFmt>
                <c14:spPr>
                  <a:solidFill>
                    <a:srgbClr val="000000"/>
                  </a:solidFill>
                </c14:spPr>
              </c14:invertSolidFillFmt>
            </c:ext>
          </c:extLst>
          <c:val>
            <c:numRef>
              <c:f>Proton_int!$C$46:$AL$46</c:f>
              <c:numCache>
                <c:ptCount val="36"/>
                <c:pt idx="0">
                  <c:v>305.48</c:v>
                </c:pt>
                <c:pt idx="1">
                  <c:v>297.49</c:v>
                </c:pt>
                <c:pt idx="2">
                  <c:v>317.29</c:v>
                </c:pt>
                <c:pt idx="3">
                  <c:v>304.72</c:v>
                </c:pt>
                <c:pt idx="4">
                  <c:v>306.71</c:v>
                </c:pt>
                <c:pt idx="5">
                  <c:v>314.78</c:v>
                </c:pt>
                <c:pt idx="6">
                  <c:v>301.88</c:v>
                </c:pt>
                <c:pt idx="7">
                  <c:v>300.97</c:v>
                </c:pt>
                <c:pt idx="8">
                  <c:v>308.39</c:v>
                </c:pt>
                <c:pt idx="9">
                  <c:v>313.66</c:v>
                </c:pt>
                <c:pt idx="10">
                  <c:v>298.05</c:v>
                </c:pt>
                <c:pt idx="11">
                  <c:v>311.39</c:v>
                </c:pt>
                <c:pt idx="12">
                  <c:v>315.06</c:v>
                </c:pt>
                <c:pt idx="13">
                  <c:v>313.86</c:v>
                </c:pt>
                <c:pt idx="14">
                  <c:v>298.09</c:v>
                </c:pt>
                <c:pt idx="15">
                  <c:v>310.23</c:v>
                </c:pt>
                <c:pt idx="16">
                  <c:v>302.76</c:v>
                </c:pt>
                <c:pt idx="17">
                  <c:v>312.34</c:v>
                </c:pt>
                <c:pt idx="18">
                  <c:v>310.91</c:v>
                </c:pt>
                <c:pt idx="19">
                  <c:v>307.35</c:v>
                </c:pt>
                <c:pt idx="20">
                  <c:v>303.68</c:v>
                </c:pt>
                <c:pt idx="21">
                  <c:v>302.4</c:v>
                </c:pt>
                <c:pt idx="22">
                  <c:v>303.12</c:v>
                </c:pt>
                <c:pt idx="23">
                  <c:v>307.67</c:v>
                </c:pt>
                <c:pt idx="24">
                  <c:v>300.93</c:v>
                </c:pt>
                <c:pt idx="25">
                  <c:v>308.67</c:v>
                </c:pt>
                <c:pt idx="26">
                  <c:v>315.54</c:v>
                </c:pt>
                <c:pt idx="27">
                  <c:v>310.47</c:v>
                </c:pt>
                <c:pt idx="28">
                  <c:v>304.32</c:v>
                </c:pt>
                <c:pt idx="29">
                  <c:v>304.12</c:v>
                </c:pt>
                <c:pt idx="30">
                  <c:v>303.72</c:v>
                </c:pt>
                <c:pt idx="31">
                  <c:v>306.2</c:v>
                </c:pt>
                <c:pt idx="32">
                  <c:v>298.21</c:v>
                </c:pt>
                <c:pt idx="33">
                  <c:v>307.67</c:v>
                </c:pt>
                <c:pt idx="34">
                  <c:v>303.04</c:v>
                </c:pt>
                <c:pt idx="35">
                  <c:v>298.57</c:v>
                </c:pt>
              </c:numCache>
            </c:numRef>
          </c:val>
          <c:smooth val="0"/>
        </c:ser>
        <c:ser>
          <c:idx val="5"/>
          <c:order val="5"/>
          <c:tx>
            <c:strRef>
              <c:f>Proton_int!$B$47</c:f>
              <c:strCache>
                <c:ptCount val="1"/>
                <c:pt idx="0">
                  <c:v>Inject A6</c:v>
                </c:pt>
              </c:strCache>
            </c:strRef>
          </c:tx>
          <c:extLst>
            <c:ext xmlns:c14="http://schemas.microsoft.com/office/drawing/2007/8/2/chart" uri="{6F2FDCE9-48DA-4B69-8628-5D25D57E5C99}">
              <c14:invertSolidFillFmt>
                <c14:spPr>
                  <a:solidFill>
                    <a:srgbClr val="000000"/>
                  </a:solidFill>
                </c14:spPr>
              </c14:invertSolidFillFmt>
            </c:ext>
          </c:extLst>
          <c:val>
            <c:numRef>
              <c:f>Proton_int!$C$47:$AL$47</c:f>
              <c:numCache>
                <c:ptCount val="36"/>
                <c:pt idx="0">
                  <c:v>303.83</c:v>
                </c:pt>
                <c:pt idx="1">
                  <c:v>294.97</c:v>
                </c:pt>
                <c:pt idx="2">
                  <c:v>314.53</c:v>
                </c:pt>
                <c:pt idx="3">
                  <c:v>303.11</c:v>
                </c:pt>
                <c:pt idx="4">
                  <c:v>302.87</c:v>
                </c:pt>
                <c:pt idx="5">
                  <c:v>312.05</c:v>
                </c:pt>
                <c:pt idx="6">
                  <c:v>297.76</c:v>
                </c:pt>
                <c:pt idx="7">
                  <c:v>298.4</c:v>
                </c:pt>
                <c:pt idx="8">
                  <c:v>305.62</c:v>
                </c:pt>
                <c:pt idx="9">
                  <c:v>311.05</c:v>
                </c:pt>
                <c:pt idx="10">
                  <c:v>294.05</c:v>
                </c:pt>
                <c:pt idx="11">
                  <c:v>306.38</c:v>
                </c:pt>
                <c:pt idx="12">
                  <c:v>313.93</c:v>
                </c:pt>
                <c:pt idx="13">
                  <c:v>312.69</c:v>
                </c:pt>
                <c:pt idx="14">
                  <c:v>295.72</c:v>
                </c:pt>
                <c:pt idx="15">
                  <c:v>308.34</c:v>
                </c:pt>
                <c:pt idx="16">
                  <c:v>299.72</c:v>
                </c:pt>
                <c:pt idx="17">
                  <c:v>309.02</c:v>
                </c:pt>
                <c:pt idx="18">
                  <c:v>307.02</c:v>
                </c:pt>
                <c:pt idx="19">
                  <c:v>304.55</c:v>
                </c:pt>
                <c:pt idx="20">
                  <c:v>301.11</c:v>
                </c:pt>
                <c:pt idx="21">
                  <c:v>299.92</c:v>
                </c:pt>
                <c:pt idx="22">
                  <c:v>301.07</c:v>
                </c:pt>
                <c:pt idx="23">
                  <c:v>304.11</c:v>
                </c:pt>
                <c:pt idx="24">
                  <c:v>298.8</c:v>
                </c:pt>
                <c:pt idx="25">
                  <c:v>305.78</c:v>
                </c:pt>
                <c:pt idx="26">
                  <c:v>313.61</c:v>
                </c:pt>
                <c:pt idx="27">
                  <c:v>307.74</c:v>
                </c:pt>
                <c:pt idx="28">
                  <c:v>301.67</c:v>
                </c:pt>
                <c:pt idx="29">
                  <c:v>300.27</c:v>
                </c:pt>
                <c:pt idx="30">
                  <c:v>300.83</c:v>
                </c:pt>
                <c:pt idx="31">
                  <c:v>302.91</c:v>
                </c:pt>
                <c:pt idx="32">
                  <c:v>296.24</c:v>
                </c:pt>
                <c:pt idx="33">
                  <c:v>305.42</c:v>
                </c:pt>
                <c:pt idx="34">
                  <c:v>300.04</c:v>
                </c:pt>
                <c:pt idx="35">
                  <c:v>295.4</c:v>
                </c:pt>
              </c:numCache>
            </c:numRef>
          </c:val>
          <c:smooth val="0"/>
        </c:ser>
        <c:ser>
          <c:idx val="6"/>
          <c:order val="6"/>
          <c:tx>
            <c:strRef>
              <c:f>Proton_int!$B$48</c:f>
              <c:strCache>
                <c:ptCount val="1"/>
                <c:pt idx="0">
                  <c:v>Inject A7</c:v>
                </c:pt>
              </c:strCache>
            </c:strRef>
          </c:tx>
          <c:extLst>
            <c:ext xmlns:c14="http://schemas.microsoft.com/office/drawing/2007/8/2/chart" uri="{6F2FDCE9-48DA-4B69-8628-5D25D57E5C99}">
              <c14:invertSolidFillFmt>
                <c14:spPr>
                  <a:solidFill>
                    <a:srgbClr val="000000"/>
                  </a:solidFill>
                </c14:spPr>
              </c14:invertSolidFillFmt>
            </c:ext>
          </c:extLst>
          <c:val>
            <c:numRef>
              <c:f>Proton_int!$C$48:$AL$48</c:f>
              <c:numCache>
                <c:ptCount val="36"/>
                <c:pt idx="0">
                  <c:v>299.62</c:v>
                </c:pt>
                <c:pt idx="1">
                  <c:v>289.96</c:v>
                </c:pt>
                <c:pt idx="2">
                  <c:v>308.2</c:v>
                </c:pt>
                <c:pt idx="3">
                  <c:v>296.27</c:v>
                </c:pt>
                <c:pt idx="4">
                  <c:v>297.15</c:v>
                </c:pt>
                <c:pt idx="5">
                  <c:v>306.65</c:v>
                </c:pt>
                <c:pt idx="6">
                  <c:v>293.48</c:v>
                </c:pt>
                <c:pt idx="7">
                  <c:v>293.87</c:v>
                </c:pt>
                <c:pt idx="8">
                  <c:v>301.38</c:v>
                </c:pt>
                <c:pt idx="9">
                  <c:v>305.65</c:v>
                </c:pt>
                <c:pt idx="10">
                  <c:v>289.8</c:v>
                </c:pt>
                <c:pt idx="11">
                  <c:v>302.18</c:v>
                </c:pt>
                <c:pt idx="12">
                  <c:v>309.52</c:v>
                </c:pt>
                <c:pt idx="13">
                  <c:v>307.41</c:v>
                </c:pt>
                <c:pt idx="14">
                  <c:v>289.56</c:v>
                </c:pt>
                <c:pt idx="15">
                  <c:v>302.1</c:v>
                </c:pt>
                <c:pt idx="16">
                  <c:v>294.39</c:v>
                </c:pt>
                <c:pt idx="17">
                  <c:v>304.73</c:v>
                </c:pt>
                <c:pt idx="18">
                  <c:v>303.06</c:v>
                </c:pt>
                <c:pt idx="19">
                  <c:v>300.1</c:v>
                </c:pt>
                <c:pt idx="20">
                  <c:v>295.39</c:v>
                </c:pt>
                <c:pt idx="21">
                  <c:v>294.47</c:v>
                </c:pt>
                <c:pt idx="22">
                  <c:v>296.51</c:v>
                </c:pt>
                <c:pt idx="23">
                  <c:v>299.9</c:v>
                </c:pt>
                <c:pt idx="24">
                  <c:v>294.83</c:v>
                </c:pt>
                <c:pt idx="25">
                  <c:v>300.42</c:v>
                </c:pt>
                <c:pt idx="26">
                  <c:v>308.44</c:v>
                </c:pt>
                <c:pt idx="27">
                  <c:v>301.7</c:v>
                </c:pt>
                <c:pt idx="28">
                  <c:v>296.27</c:v>
                </c:pt>
                <c:pt idx="29">
                  <c:v>296.71</c:v>
                </c:pt>
                <c:pt idx="30">
                  <c:v>295.71</c:v>
                </c:pt>
                <c:pt idx="31">
                  <c:v>299.38</c:v>
                </c:pt>
                <c:pt idx="32">
                  <c:v>290.96</c:v>
                </c:pt>
                <c:pt idx="33">
                  <c:v>301.26</c:v>
                </c:pt>
                <c:pt idx="34">
                  <c:v>295.15</c:v>
                </c:pt>
                <c:pt idx="35">
                  <c:v>292.08</c:v>
                </c:pt>
              </c:numCache>
            </c:numRef>
          </c:val>
          <c:smooth val="0"/>
        </c:ser>
        <c:ser>
          <c:idx val="7"/>
          <c:order val="7"/>
          <c:tx>
            <c:strRef>
              <c:f>Proton_int!$B$49</c:f>
              <c:strCache>
                <c:ptCount val="1"/>
                <c:pt idx="0">
                  <c:v>Inject A8</c:v>
                </c:pt>
              </c:strCache>
            </c:strRef>
          </c:tx>
          <c:extLst>
            <c:ext xmlns:c14="http://schemas.microsoft.com/office/drawing/2007/8/2/chart" uri="{6F2FDCE9-48DA-4B69-8628-5D25D57E5C99}">
              <c14:invertSolidFillFmt>
                <c14:spPr>
                  <a:solidFill>
                    <a:srgbClr val="000000"/>
                  </a:solidFill>
                </c14:spPr>
              </c14:invertSolidFillFmt>
            </c:ext>
          </c:extLst>
          <c:val>
            <c:numRef>
              <c:f>Proton_int!$C$49:$AL$49</c:f>
              <c:numCache>
                <c:ptCount val="36"/>
                <c:pt idx="0">
                  <c:v>296.1</c:v>
                </c:pt>
                <c:pt idx="1">
                  <c:v>285.4</c:v>
                </c:pt>
                <c:pt idx="2">
                  <c:v>303.48</c:v>
                </c:pt>
                <c:pt idx="3">
                  <c:v>292.66</c:v>
                </c:pt>
                <c:pt idx="4">
                  <c:v>293.58</c:v>
                </c:pt>
                <c:pt idx="5">
                  <c:v>303.68</c:v>
                </c:pt>
                <c:pt idx="6">
                  <c:v>291.27</c:v>
                </c:pt>
                <c:pt idx="7">
                  <c:v>291.27</c:v>
                </c:pt>
                <c:pt idx="8">
                  <c:v>297.89</c:v>
                </c:pt>
                <c:pt idx="9">
                  <c:v>301.61</c:v>
                </c:pt>
                <c:pt idx="10">
                  <c:v>286.4</c:v>
                </c:pt>
                <c:pt idx="11">
                  <c:v>300.13</c:v>
                </c:pt>
                <c:pt idx="12">
                  <c:v>306.95</c:v>
                </c:pt>
                <c:pt idx="13">
                  <c:v>303.92</c:v>
                </c:pt>
                <c:pt idx="14">
                  <c:v>285.88</c:v>
                </c:pt>
                <c:pt idx="15">
                  <c:v>298.49</c:v>
                </c:pt>
                <c:pt idx="16">
                  <c:v>292.54</c:v>
                </c:pt>
                <c:pt idx="17">
                  <c:v>302.04</c:v>
                </c:pt>
                <c:pt idx="18">
                  <c:v>300.93</c:v>
                </c:pt>
                <c:pt idx="19">
                  <c:v>298.33</c:v>
                </c:pt>
                <c:pt idx="20">
                  <c:v>292.3</c:v>
                </c:pt>
                <c:pt idx="21">
                  <c:v>292.22</c:v>
                </c:pt>
                <c:pt idx="22">
                  <c:v>293.9</c:v>
                </c:pt>
                <c:pt idx="23">
                  <c:v>297.33</c:v>
                </c:pt>
                <c:pt idx="24">
                  <c:v>291.51</c:v>
                </c:pt>
                <c:pt idx="25">
                  <c:v>296.26</c:v>
                </c:pt>
                <c:pt idx="26">
                  <c:v>304.8</c:v>
                </c:pt>
                <c:pt idx="27">
                  <c:v>298.57</c:v>
                </c:pt>
                <c:pt idx="28">
                  <c:v>293.58</c:v>
                </c:pt>
                <c:pt idx="29">
                  <c:v>294.14</c:v>
                </c:pt>
                <c:pt idx="30">
                  <c:v>293.3</c:v>
                </c:pt>
                <c:pt idx="31">
                  <c:v>296.46</c:v>
                </c:pt>
                <c:pt idx="32">
                  <c:v>288.07</c:v>
                </c:pt>
                <c:pt idx="33">
                  <c:v>296.9</c:v>
                </c:pt>
                <c:pt idx="34">
                  <c:v>292.22</c:v>
                </c:pt>
                <c:pt idx="35">
                  <c:v>287.67</c:v>
                </c:pt>
              </c:numCache>
            </c:numRef>
          </c:val>
          <c:smooth val="0"/>
        </c:ser>
        <c:ser>
          <c:idx val="8"/>
          <c:order val="8"/>
          <c:tx>
            <c:strRef>
              <c:f>Proton_int!$B$50</c:f>
              <c:strCache>
                <c:ptCount val="1"/>
                <c:pt idx="0">
                  <c:v>Inject A9</c:v>
                </c:pt>
              </c:strCache>
            </c:strRef>
          </c:tx>
          <c:extLst>
            <c:ext xmlns:c14="http://schemas.microsoft.com/office/drawing/2007/8/2/chart" uri="{6F2FDCE9-48DA-4B69-8628-5D25D57E5C99}">
              <c14:invertSolidFillFmt>
                <c14:spPr>
                  <a:solidFill>
                    <a:srgbClr val="000000"/>
                  </a:solidFill>
                </c14:spPr>
              </c14:invertSolidFillFmt>
            </c:ext>
          </c:extLst>
          <c:val>
            <c:numRef>
              <c:f>Proton_int!$C$50:$AL$50</c:f>
              <c:numCache>
                <c:ptCount val="36"/>
                <c:pt idx="0">
                  <c:v>292.68</c:v>
                </c:pt>
                <c:pt idx="1">
                  <c:v>281.06</c:v>
                </c:pt>
                <c:pt idx="2">
                  <c:v>299.26</c:v>
                </c:pt>
                <c:pt idx="3">
                  <c:v>288.45</c:v>
                </c:pt>
                <c:pt idx="4">
                  <c:v>289.08</c:v>
                </c:pt>
                <c:pt idx="5">
                  <c:v>300.02</c:v>
                </c:pt>
                <c:pt idx="6">
                  <c:v>288.01</c:v>
                </c:pt>
                <c:pt idx="7">
                  <c:v>287.69</c:v>
                </c:pt>
                <c:pt idx="8">
                  <c:v>294.19</c:v>
                </c:pt>
                <c:pt idx="9">
                  <c:v>296.55</c:v>
                </c:pt>
                <c:pt idx="10">
                  <c:v>283.02</c:v>
                </c:pt>
                <c:pt idx="11">
                  <c:v>295.71</c:v>
                </c:pt>
                <c:pt idx="12">
                  <c:v>303.69</c:v>
                </c:pt>
                <c:pt idx="13">
                  <c:v>300.74</c:v>
                </c:pt>
                <c:pt idx="14">
                  <c:v>281.58</c:v>
                </c:pt>
                <c:pt idx="15">
                  <c:v>295.43</c:v>
                </c:pt>
                <c:pt idx="16">
                  <c:v>289.24</c:v>
                </c:pt>
                <c:pt idx="17">
                  <c:v>299.74</c:v>
                </c:pt>
                <c:pt idx="18">
                  <c:v>298.27</c:v>
                </c:pt>
                <c:pt idx="19">
                  <c:v>294.27</c:v>
                </c:pt>
                <c:pt idx="20">
                  <c:v>289.56</c:v>
                </c:pt>
                <c:pt idx="21">
                  <c:v>287.61</c:v>
                </c:pt>
                <c:pt idx="22">
                  <c:v>291.8</c:v>
                </c:pt>
                <c:pt idx="23">
                  <c:v>294.47</c:v>
                </c:pt>
                <c:pt idx="24">
                  <c:v>285.77</c:v>
                </c:pt>
                <c:pt idx="25">
                  <c:v>288.81</c:v>
                </c:pt>
                <c:pt idx="26">
                  <c:v>300.1</c:v>
                </c:pt>
                <c:pt idx="27">
                  <c:v>295.19</c:v>
                </c:pt>
                <c:pt idx="28">
                  <c:v>291.12</c:v>
                </c:pt>
                <c:pt idx="29">
                  <c:v>291.6</c:v>
                </c:pt>
                <c:pt idx="30">
                  <c:v>290.72</c:v>
                </c:pt>
                <c:pt idx="31">
                  <c:v>292.44</c:v>
                </c:pt>
                <c:pt idx="32">
                  <c:v>285.45</c:v>
                </c:pt>
                <c:pt idx="33">
                  <c:v>292.84</c:v>
                </c:pt>
                <c:pt idx="34">
                  <c:v>289.72</c:v>
                </c:pt>
                <c:pt idx="35">
                  <c:v>284.25</c:v>
                </c:pt>
              </c:numCache>
            </c:numRef>
          </c:val>
          <c:smooth val="0"/>
        </c:ser>
        <c:ser>
          <c:idx val="9"/>
          <c:order val="9"/>
          <c:tx>
            <c:strRef>
              <c:f>Proton_int!$B$51</c:f>
              <c:strCache>
                <c:ptCount val="1"/>
                <c:pt idx="0">
                  <c:v>before ramp</c:v>
                </c:pt>
              </c:strCache>
            </c:strRef>
          </c:tx>
          <c:extLst>
            <c:ext xmlns:c14="http://schemas.microsoft.com/office/drawing/2007/8/2/chart" uri="{6F2FDCE9-48DA-4B69-8628-5D25D57E5C99}">
              <c14:invertSolidFillFmt>
                <c14:spPr>
                  <a:solidFill>
                    <a:srgbClr val="000000"/>
                  </a:solidFill>
                </c14:spPr>
              </c14:invertSolidFillFmt>
            </c:ext>
          </c:extLst>
          <c:val>
            <c:numRef>
              <c:f>Proton_int!$C$51:$AL$51</c:f>
              <c:numCache>
                <c:ptCount val="36"/>
                <c:pt idx="0">
                  <c:v>290.46</c:v>
                </c:pt>
                <c:pt idx="1">
                  <c:v>280.32</c:v>
                </c:pt>
                <c:pt idx="2">
                  <c:v>297.73</c:v>
                </c:pt>
                <c:pt idx="3">
                  <c:v>287.79</c:v>
                </c:pt>
                <c:pt idx="4">
                  <c:v>287.71</c:v>
                </c:pt>
                <c:pt idx="5">
                  <c:v>299.4</c:v>
                </c:pt>
                <c:pt idx="6">
                  <c:v>287.15</c:v>
                </c:pt>
                <c:pt idx="7">
                  <c:v>286.55</c:v>
                </c:pt>
                <c:pt idx="8">
                  <c:v>293.3</c:v>
                </c:pt>
                <c:pt idx="9">
                  <c:v>295.37</c:v>
                </c:pt>
                <c:pt idx="10">
                  <c:v>282.8</c:v>
                </c:pt>
                <c:pt idx="11">
                  <c:v>294.29</c:v>
                </c:pt>
                <c:pt idx="12">
                  <c:v>302.36</c:v>
                </c:pt>
                <c:pt idx="13">
                  <c:v>299.4</c:v>
                </c:pt>
                <c:pt idx="14">
                  <c:v>280.24</c:v>
                </c:pt>
                <c:pt idx="15">
                  <c:v>294.49</c:v>
                </c:pt>
                <c:pt idx="16">
                  <c:v>288.19</c:v>
                </c:pt>
                <c:pt idx="17">
                  <c:v>299</c:v>
                </c:pt>
                <c:pt idx="18">
                  <c:v>297.53</c:v>
                </c:pt>
                <c:pt idx="19">
                  <c:v>293.93</c:v>
                </c:pt>
                <c:pt idx="20">
                  <c:v>288.35</c:v>
                </c:pt>
                <c:pt idx="21">
                  <c:v>286.67</c:v>
                </c:pt>
                <c:pt idx="22">
                  <c:v>290.86</c:v>
                </c:pt>
                <c:pt idx="23">
                  <c:v>293.54</c:v>
                </c:pt>
                <c:pt idx="24">
                  <c:v>284.39</c:v>
                </c:pt>
                <c:pt idx="25">
                  <c:v>286.95</c:v>
                </c:pt>
                <c:pt idx="26">
                  <c:v>299.24</c:v>
                </c:pt>
                <c:pt idx="27">
                  <c:v>294.09</c:v>
                </c:pt>
                <c:pt idx="28">
                  <c:v>290.3</c:v>
                </c:pt>
                <c:pt idx="29">
                  <c:v>290.86</c:v>
                </c:pt>
                <c:pt idx="30">
                  <c:v>289.3</c:v>
                </c:pt>
                <c:pt idx="31">
                  <c:v>291.54</c:v>
                </c:pt>
                <c:pt idx="32">
                  <c:v>284.27</c:v>
                </c:pt>
                <c:pt idx="33">
                  <c:v>292.38</c:v>
                </c:pt>
                <c:pt idx="34">
                  <c:v>288.43</c:v>
                </c:pt>
                <c:pt idx="35">
                  <c:v>283.84</c:v>
                </c:pt>
              </c:numCache>
            </c:numRef>
          </c:val>
          <c:smooth val="0"/>
        </c:ser>
        <c:ser>
          <c:idx val="10"/>
          <c:order val="10"/>
          <c:tx>
            <c:strRef>
              <c:f>Proton_int!$B$52</c:f>
              <c:strCache>
                <c:ptCount val="1"/>
                <c:pt idx="0">
                  <c:v>accelerate</c:v>
                </c:pt>
              </c:strCache>
            </c:strRef>
          </c:tx>
          <c:extLst>
            <c:ext xmlns:c14="http://schemas.microsoft.com/office/drawing/2007/8/2/chart" uri="{6F2FDCE9-48DA-4B69-8628-5D25D57E5C99}">
              <c14:invertSolidFillFmt>
                <c14:spPr>
                  <a:solidFill>
                    <a:srgbClr val="000000"/>
                  </a:solidFill>
                </c14:spPr>
              </c14:invertSolidFillFmt>
            </c:ext>
          </c:extLst>
          <c:val>
            <c:numRef>
              <c:f>Proton_int!$C$52:$AL$52</c:f>
              <c:numCache>
                <c:ptCount val="36"/>
                <c:pt idx="0">
                  <c:v>286.99</c:v>
                </c:pt>
                <c:pt idx="1">
                  <c:v>274.54</c:v>
                </c:pt>
                <c:pt idx="2">
                  <c:v>294.25</c:v>
                </c:pt>
                <c:pt idx="3">
                  <c:v>284.71</c:v>
                </c:pt>
                <c:pt idx="4">
                  <c:v>284.91</c:v>
                </c:pt>
                <c:pt idx="5">
                  <c:v>295.37</c:v>
                </c:pt>
                <c:pt idx="6">
                  <c:v>283.32</c:v>
                </c:pt>
                <c:pt idx="7">
                  <c:v>282.68</c:v>
                </c:pt>
                <c:pt idx="8">
                  <c:v>288.11</c:v>
                </c:pt>
                <c:pt idx="9">
                  <c:v>288.51</c:v>
                </c:pt>
                <c:pt idx="10">
                  <c:v>274.1</c:v>
                </c:pt>
                <c:pt idx="11">
                  <c:v>285.39</c:v>
                </c:pt>
                <c:pt idx="12">
                  <c:v>299.16</c:v>
                </c:pt>
                <c:pt idx="13">
                  <c:v>295.61</c:v>
                </c:pt>
                <c:pt idx="14">
                  <c:v>275.81</c:v>
                </c:pt>
                <c:pt idx="15">
                  <c:v>290.5</c:v>
                </c:pt>
                <c:pt idx="16">
                  <c:v>284.47</c:v>
                </c:pt>
                <c:pt idx="17">
                  <c:v>294.61</c:v>
                </c:pt>
                <c:pt idx="18">
                  <c:v>292.5</c:v>
                </c:pt>
                <c:pt idx="19">
                  <c:v>289.94</c:v>
                </c:pt>
                <c:pt idx="20">
                  <c:v>282.2</c:v>
                </c:pt>
                <c:pt idx="21">
                  <c:v>280.16</c:v>
                </c:pt>
                <c:pt idx="22">
                  <c:v>283.4</c:v>
                </c:pt>
                <c:pt idx="23">
                  <c:v>285.75</c:v>
                </c:pt>
                <c:pt idx="24">
                  <c:v>279.84</c:v>
                </c:pt>
                <c:pt idx="25">
                  <c:v>282.28</c:v>
                </c:pt>
                <c:pt idx="26">
                  <c:v>295.49</c:v>
                </c:pt>
                <c:pt idx="27">
                  <c:v>290.46</c:v>
                </c:pt>
                <c:pt idx="28">
                  <c:v>286.63</c:v>
                </c:pt>
                <c:pt idx="29">
                  <c:v>286.15</c:v>
                </c:pt>
                <c:pt idx="30">
                  <c:v>283.96</c:v>
                </c:pt>
                <c:pt idx="31">
                  <c:v>286.75</c:v>
                </c:pt>
                <c:pt idx="32">
                  <c:v>279.72</c:v>
                </c:pt>
                <c:pt idx="33">
                  <c:v>285.35</c:v>
                </c:pt>
                <c:pt idx="34">
                  <c:v>281.16</c:v>
                </c:pt>
                <c:pt idx="35">
                  <c:v>275.89</c:v>
                </c:pt>
              </c:numCache>
            </c:numRef>
          </c:val>
          <c:smooth val="0"/>
        </c:ser>
        <c:marker val="1"/>
        <c:axId val="10972010"/>
        <c:axId val="31639227"/>
      </c:lineChart>
      <c:catAx>
        <c:axId val="10972010"/>
        <c:scaling>
          <c:orientation val="minMax"/>
        </c:scaling>
        <c:axPos val="b"/>
        <c:delete val="0"/>
        <c:numFmt formatCode="General" sourceLinked="1"/>
        <c:majorTickMark val="out"/>
        <c:minorTickMark val="none"/>
        <c:tickLblPos val="nextTo"/>
        <c:crossAx val="31639227"/>
        <c:crosses val="autoZero"/>
        <c:auto val="1"/>
        <c:lblOffset val="100"/>
        <c:noMultiLvlLbl val="0"/>
      </c:catAx>
      <c:valAx>
        <c:axId val="31639227"/>
        <c:scaling>
          <c:orientation val="minMax"/>
          <c:min val="150"/>
        </c:scaling>
        <c:axPos val="l"/>
        <c:majorGridlines/>
        <c:delete val="0"/>
        <c:numFmt formatCode="General" sourceLinked="1"/>
        <c:majorTickMark val="out"/>
        <c:minorTickMark val="none"/>
        <c:tickLblPos val="nextTo"/>
        <c:crossAx val="109720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Pbar Horz Emittnace</a:t>
            </a:r>
          </a:p>
        </c:rich>
      </c:tx>
      <c:layout/>
      <c:spPr>
        <a:noFill/>
        <a:ln>
          <a:noFill/>
        </a:ln>
      </c:spPr>
    </c:title>
    <c:plotArea>
      <c:layout/>
      <c:scatterChart>
        <c:scatterStyle val="lineMarker"/>
        <c:varyColors val="0"/>
        <c:ser>
          <c:idx val="0"/>
          <c:order val="0"/>
          <c:tx>
            <c:strRef>
              <c:f>Pbar_FW_HE11!$B$32</c:f>
              <c:strCache>
                <c:ptCount val="1"/>
                <c:pt idx="0">
                  <c:v>MI Coalesced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Pbar_FW_HE11!$C$32:$AL$32</c:f>
              <c:numCache>
                <c:ptCount val="36"/>
                <c:pt idx="0">
                  <c:v>3.478594187968664</c:v>
                </c:pt>
                <c:pt idx="1">
                  <c:v>3.3222730648523036</c:v>
                </c:pt>
                <c:pt idx="2">
                  <c:v>3.3222730648523036</c:v>
                </c:pt>
                <c:pt idx="3">
                  <c:v>3.3222730648523036</c:v>
                </c:pt>
                <c:pt idx="4">
                  <c:v>3.0204115857310554</c:v>
                </c:pt>
                <c:pt idx="5">
                  <c:v>3.0204115857310554</c:v>
                </c:pt>
                <c:pt idx="6">
                  <c:v>3.0204115857310554</c:v>
                </c:pt>
                <c:pt idx="7">
                  <c:v>3.169545530773101</c:v>
                </c:pt>
                <c:pt idx="8">
                  <c:v>2.7329244627584393</c:v>
                </c:pt>
                <c:pt idx="9">
                  <c:v>2.874871229726169</c:v>
                </c:pt>
                <c:pt idx="10">
                  <c:v>2.874871229726169</c:v>
                </c:pt>
                <c:pt idx="11">
                  <c:v>2.874871229726169</c:v>
                </c:pt>
                <c:pt idx="12">
                  <c:v>3.0204115857310554</c:v>
                </c:pt>
                <c:pt idx="13">
                  <c:v>3.0204115857310554</c:v>
                </c:pt>
                <c:pt idx="14">
                  <c:v>3.0204115857310554</c:v>
                </c:pt>
                <c:pt idx="15">
                  <c:v>3.0204115857310554</c:v>
                </c:pt>
                <c:pt idx="16">
                  <c:v>3.0204115857310554</c:v>
                </c:pt>
                <c:pt idx="17">
                  <c:v>3.169545530773101</c:v>
                </c:pt>
                <c:pt idx="18">
                  <c:v>3.169545530773101</c:v>
                </c:pt>
                <c:pt idx="19">
                  <c:v>3.169545530773101</c:v>
                </c:pt>
                <c:pt idx="20">
                  <c:v>3.0204115857310554</c:v>
                </c:pt>
                <c:pt idx="21">
                  <c:v>3.169545530773101</c:v>
                </c:pt>
                <c:pt idx="22">
                  <c:v>3.3222730648523036</c:v>
                </c:pt>
                <c:pt idx="23">
                  <c:v>3.169545530773101</c:v>
                </c:pt>
                <c:pt idx="24">
                  <c:v>2.874871229726169</c:v>
                </c:pt>
                <c:pt idx="25">
                  <c:v>2.874871229726169</c:v>
                </c:pt>
                <c:pt idx="26">
                  <c:v>3.0204115857310554</c:v>
                </c:pt>
                <c:pt idx="27">
                  <c:v>3.0204115857310554</c:v>
                </c:pt>
                <c:pt idx="28">
                  <c:v>2.874871229726169</c:v>
                </c:pt>
                <c:pt idx="29">
                  <c:v>3.0204115857310554</c:v>
                </c:pt>
                <c:pt idx="30">
                  <c:v>3.0204115857310554</c:v>
                </c:pt>
                <c:pt idx="31">
                  <c:v>3.0204115857310554</c:v>
                </c:pt>
                <c:pt idx="32">
                  <c:v>2.874871229726169</c:v>
                </c:pt>
                <c:pt idx="33">
                  <c:v>2.874871229726169</c:v>
                </c:pt>
                <c:pt idx="34">
                  <c:v>2.874871229726169</c:v>
                </c:pt>
                <c:pt idx="35">
                  <c:v>2.874871229726169</c:v>
                </c:pt>
              </c:numCache>
            </c:numRef>
          </c:yVal>
          <c:smooth val="0"/>
        </c:ser>
        <c:ser>
          <c:idx val="1"/>
          <c:order val="1"/>
          <c:tx>
            <c:strRef>
              <c:f>Pbar_FW_HE11!$B$33</c:f>
              <c:strCache>
                <c:ptCount val="1"/>
                <c:pt idx="0">
                  <c:v>Inj each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Pbar_FW_HE11!$C$33:$AL$33</c:f>
              <c:numCache>
                <c:ptCount val="36"/>
                <c:pt idx="0">
                  <c:v>20.388722382035336</c:v>
                </c:pt>
                <c:pt idx="1">
                  <c:v>20.388722382035336</c:v>
                </c:pt>
                <c:pt idx="2">
                  <c:v>21.00652752629284</c:v>
                </c:pt>
                <c:pt idx="3">
                  <c:v>22.269800731714884</c:v>
                </c:pt>
                <c:pt idx="4">
                  <c:v>20.696472332626293</c:v>
                </c:pt>
                <c:pt idx="5">
                  <c:v>20.388722382035336</c:v>
                </c:pt>
                <c:pt idx="6">
                  <c:v>18.884551275214367</c:v>
                </c:pt>
                <c:pt idx="7">
                  <c:v>20.696472332626293</c:v>
                </c:pt>
                <c:pt idx="8">
                  <c:v>19.180775010427386</c:v>
                </c:pt>
                <c:pt idx="9">
                  <c:v>18.29901953401509</c:v>
                </c:pt>
                <c:pt idx="10">
                  <c:v>16.049102292241503</c:v>
                </c:pt>
                <c:pt idx="11">
                  <c:v>18.884551275214367</c:v>
                </c:pt>
                <c:pt idx="12">
                  <c:v>19.780138210080185</c:v>
                </c:pt>
                <c:pt idx="13">
                  <c:v>18.590632783076934</c:v>
                </c:pt>
                <c:pt idx="14">
                  <c:v>18.884551275214367</c:v>
                </c:pt>
                <c:pt idx="15">
                  <c:v>19.47930398871599</c:v>
                </c:pt>
                <c:pt idx="16">
                  <c:v>0</c:v>
                </c:pt>
                <c:pt idx="17">
                  <c:v>0</c:v>
                </c:pt>
                <c:pt idx="18">
                  <c:v>0</c:v>
                </c:pt>
                <c:pt idx="19">
                  <c:v>0</c:v>
                </c:pt>
                <c:pt idx="20">
                  <c:v>21.31888796303497</c:v>
                </c:pt>
                <c:pt idx="21">
                  <c:v>21.31888796303497</c:v>
                </c:pt>
                <c:pt idx="22">
                  <c:v>20.696472332626293</c:v>
                </c:pt>
                <c:pt idx="23">
                  <c:v>20.083277674519966</c:v>
                </c:pt>
                <c:pt idx="24">
                  <c:v>19.47930398871599</c:v>
                </c:pt>
                <c:pt idx="25">
                  <c:v>20.388722382035336</c:v>
                </c:pt>
                <c:pt idx="26">
                  <c:v>19.47930398871599</c:v>
                </c:pt>
                <c:pt idx="27">
                  <c:v>20.696472332626293</c:v>
                </c:pt>
                <c:pt idx="28">
                  <c:v>20.083277674519966</c:v>
                </c:pt>
                <c:pt idx="29">
                  <c:v>20.388722382035336</c:v>
                </c:pt>
                <c:pt idx="30">
                  <c:v>20.388722382035336</c:v>
                </c:pt>
                <c:pt idx="31">
                  <c:v>21.00652752629284</c:v>
                </c:pt>
                <c:pt idx="32">
                  <c:v>19.180775010427386</c:v>
                </c:pt>
                <c:pt idx="33">
                  <c:v>19.47930398871599</c:v>
                </c:pt>
                <c:pt idx="34">
                  <c:v>19.780138210080185</c:v>
                </c:pt>
                <c:pt idx="35">
                  <c:v>19.47930398871599</c:v>
                </c:pt>
              </c:numCache>
            </c:numRef>
          </c:yVal>
          <c:smooth val="0"/>
        </c:ser>
        <c:ser>
          <c:idx val="2"/>
          <c:order val="2"/>
          <c:tx>
            <c:strRef>
              <c:f>Pbar_FW_HE11!$B$42</c:f>
              <c:strCache>
                <c:ptCount val="1"/>
                <c:pt idx="0">
                  <c:v>Inject A9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Pbar_FW_HE11!$C$42:$AL$42</c:f>
              <c:numCache>
                <c:ptCount val="36"/>
                <c:pt idx="0">
                  <c:v>22.91526879287944</c:v>
                </c:pt>
                <c:pt idx="1">
                  <c:v>23.569957826346343</c:v>
                </c:pt>
                <c:pt idx="2">
                  <c:v>22.91526879287944</c:v>
                </c:pt>
                <c:pt idx="3">
                  <c:v>24.233867832115603</c:v>
                </c:pt>
                <c:pt idx="4">
                  <c:v>21.31888796303497</c:v>
                </c:pt>
                <c:pt idx="5">
                  <c:v>21.63355364285269</c:v>
                </c:pt>
                <c:pt idx="6">
                  <c:v>22.269800731714884</c:v>
                </c:pt>
                <c:pt idx="7">
                  <c:v>21.63355364285269</c:v>
                </c:pt>
                <c:pt idx="8">
                  <c:v>21.95052456574599</c:v>
                </c:pt>
                <c:pt idx="9">
                  <c:v>20.388722382035336</c:v>
                </c:pt>
                <c:pt idx="10">
                  <c:v>21.31888796303497</c:v>
                </c:pt>
                <c:pt idx="11">
                  <c:v>21.00652752629284</c:v>
                </c:pt>
                <c:pt idx="12">
                  <c:v>21.00652752629284</c:v>
                </c:pt>
                <c:pt idx="13">
                  <c:v>21.63355364285269</c:v>
                </c:pt>
                <c:pt idx="14">
                  <c:v>20.388722382035336</c:v>
                </c:pt>
                <c:pt idx="15">
                  <c:v>21.31888796303497</c:v>
                </c:pt>
                <c:pt idx="16">
                  <c:v>19.180775010427386</c:v>
                </c:pt>
                <c:pt idx="17">
                  <c:v>18.590632783076934</c:v>
                </c:pt>
                <c:pt idx="18">
                  <c:v>18.29901953401509</c:v>
                </c:pt>
                <c:pt idx="19">
                  <c:v>18.590632783076934</c:v>
                </c:pt>
                <c:pt idx="20">
                  <c:v>17.72270876511817</c:v>
                </c:pt>
                <c:pt idx="21">
                  <c:v>17.72270876511817</c:v>
                </c:pt>
                <c:pt idx="22">
                  <c:v>16.875531934839692</c:v>
                </c:pt>
                <c:pt idx="23">
                  <c:v>17.72270876511817</c:v>
                </c:pt>
                <c:pt idx="24">
                  <c:v>19.780138210080185</c:v>
                </c:pt>
                <c:pt idx="25">
                  <c:v>20.388722382035336</c:v>
                </c:pt>
                <c:pt idx="26">
                  <c:v>20.696472332626293</c:v>
                </c:pt>
                <c:pt idx="27">
                  <c:v>21.95052456574599</c:v>
                </c:pt>
                <c:pt idx="28">
                  <c:v>19.180775010427386</c:v>
                </c:pt>
                <c:pt idx="29">
                  <c:v>19.780138210080185</c:v>
                </c:pt>
                <c:pt idx="30">
                  <c:v>21.00652752629284</c:v>
                </c:pt>
                <c:pt idx="31">
                  <c:v>20.696472332626293</c:v>
                </c:pt>
                <c:pt idx="32">
                  <c:v>19.180775010427386</c:v>
                </c:pt>
                <c:pt idx="33">
                  <c:v>19.47930398871599</c:v>
                </c:pt>
                <c:pt idx="34">
                  <c:v>19.780138210080185</c:v>
                </c:pt>
                <c:pt idx="35">
                  <c:v>19.47930398871599</c:v>
                </c:pt>
              </c:numCache>
            </c:numRef>
          </c:yVal>
          <c:smooth val="0"/>
        </c:ser>
        <c:ser>
          <c:idx val="3"/>
          <c:order val="3"/>
          <c:tx>
            <c:strRef>
              <c:f>Pbar_FW_HE11!$B$43</c:f>
              <c:strCache>
                <c:ptCount val="1"/>
                <c:pt idx="0">
                  <c:v>before ramp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Pbar_FW_HE11!$C$43:$AL$43</c:f>
              <c:numCache>
                <c:ptCount val="36"/>
                <c:pt idx="0">
                  <c:v>22.591382140759368</c:v>
                </c:pt>
                <c:pt idx="1">
                  <c:v>24.233867832115603</c:v>
                </c:pt>
                <c:pt idx="2">
                  <c:v>23.569957826346343</c:v>
                </c:pt>
                <c:pt idx="3">
                  <c:v>22.91526879287944</c:v>
                </c:pt>
                <c:pt idx="4">
                  <c:v>19.47930398871599</c:v>
                </c:pt>
                <c:pt idx="5">
                  <c:v>19.780138210080185</c:v>
                </c:pt>
                <c:pt idx="6">
                  <c:v>20.083277674519966</c:v>
                </c:pt>
                <c:pt idx="7">
                  <c:v>18.590632783076934</c:v>
                </c:pt>
                <c:pt idx="8">
                  <c:v>18.009711528028838</c:v>
                </c:pt>
                <c:pt idx="9">
                  <c:v>18.009711528028838</c:v>
                </c:pt>
                <c:pt idx="10">
                  <c:v>18.009711528028838</c:v>
                </c:pt>
                <c:pt idx="11">
                  <c:v>20.083277674519966</c:v>
                </c:pt>
                <c:pt idx="12">
                  <c:v>21.31888796303497</c:v>
                </c:pt>
                <c:pt idx="13">
                  <c:v>21.31888796303497</c:v>
                </c:pt>
                <c:pt idx="14">
                  <c:v>21.63355364285269</c:v>
                </c:pt>
                <c:pt idx="15">
                  <c:v>21.00652752629284</c:v>
                </c:pt>
                <c:pt idx="16">
                  <c:v>20.388722382035336</c:v>
                </c:pt>
                <c:pt idx="17">
                  <c:v>20.388722382035336</c:v>
                </c:pt>
                <c:pt idx="18">
                  <c:v>21.00652752629284</c:v>
                </c:pt>
                <c:pt idx="19">
                  <c:v>20.696472332626293</c:v>
                </c:pt>
                <c:pt idx="20">
                  <c:v>21.00652752629284</c:v>
                </c:pt>
                <c:pt idx="21">
                  <c:v>20.388722382035336</c:v>
                </c:pt>
                <c:pt idx="22">
                  <c:v>21.00652752629284</c:v>
                </c:pt>
                <c:pt idx="23">
                  <c:v>21.63355364285269</c:v>
                </c:pt>
                <c:pt idx="24">
                  <c:v>23.569957826346343</c:v>
                </c:pt>
                <c:pt idx="25">
                  <c:v>23.900760207693178</c:v>
                </c:pt>
                <c:pt idx="26">
                  <c:v>23.900760207693178</c:v>
                </c:pt>
                <c:pt idx="27">
                  <c:v>22.591382140759368</c:v>
                </c:pt>
                <c:pt idx="28">
                  <c:v>21.95052456574599</c:v>
                </c:pt>
                <c:pt idx="29">
                  <c:v>21.63355364285269</c:v>
                </c:pt>
                <c:pt idx="30">
                  <c:v>21.31888796303497</c:v>
                </c:pt>
                <c:pt idx="31">
                  <c:v>21.63355364285269</c:v>
                </c:pt>
                <c:pt idx="32">
                  <c:v>19.180775010427386</c:v>
                </c:pt>
                <c:pt idx="33">
                  <c:v>20.388722382035336</c:v>
                </c:pt>
                <c:pt idx="34">
                  <c:v>19.47930398871599</c:v>
                </c:pt>
                <c:pt idx="35">
                  <c:v>19.47930398871599</c:v>
                </c:pt>
              </c:numCache>
            </c:numRef>
          </c:yVal>
          <c:smooth val="0"/>
        </c:ser>
        <c:ser>
          <c:idx val="4"/>
          <c:order val="4"/>
          <c:tx>
            <c:strRef>
              <c:f>Pbar_FW_HE11!$B$44</c:f>
              <c:strCache>
                <c:ptCount val="1"/>
                <c:pt idx="0">
                  <c:v>accelerate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Pbar_FW_HE11!$C$44:$AL$44</c:f>
              <c:numCache>
                <c:ptCount val="36"/>
                <c:pt idx="0">
                  <c:v>25.450444496969837</c:v>
                </c:pt>
                <c:pt idx="1">
                  <c:v>25.84048394121569</c:v>
                </c:pt>
                <c:pt idx="2">
                  <c:v>25.063371132147907</c:v>
                </c:pt>
                <c:pt idx="3">
                  <c:v>25.84048394121569</c:v>
                </c:pt>
                <c:pt idx="4">
                  <c:v>22.43690780226424</c:v>
                </c:pt>
                <c:pt idx="5">
                  <c:v>22.43690780226424</c:v>
                </c:pt>
                <c:pt idx="6">
                  <c:v>23.1724954993971</c:v>
                </c:pt>
                <c:pt idx="7">
                  <c:v>22.803218611118712</c:v>
                </c:pt>
                <c:pt idx="8">
                  <c:v>22.803218611118712</c:v>
                </c:pt>
                <c:pt idx="9">
                  <c:v>23.1724954993971</c:v>
                </c:pt>
                <c:pt idx="10">
                  <c:v>22.073563072833693</c:v>
                </c:pt>
                <c:pt idx="11">
                  <c:v>24.6792638467499</c:v>
                </c:pt>
                <c:pt idx="12">
                  <c:v>25.063371132147907</c:v>
                </c:pt>
                <c:pt idx="13">
                  <c:v>25.063371132147907</c:v>
                </c:pt>
                <c:pt idx="14">
                  <c:v>25.450444496969837</c:v>
                </c:pt>
                <c:pt idx="15">
                  <c:v>25.450444496969837</c:v>
                </c:pt>
                <c:pt idx="16">
                  <c:v>23.1724954993971</c:v>
                </c:pt>
                <c:pt idx="17">
                  <c:v>23.1724954993971</c:v>
                </c:pt>
                <c:pt idx="18">
                  <c:v>22.073563072833693</c:v>
                </c:pt>
                <c:pt idx="19">
                  <c:v>22.803218611118712</c:v>
                </c:pt>
                <c:pt idx="20">
                  <c:v>21.71318442282707</c:v>
                </c:pt>
                <c:pt idx="21">
                  <c:v>21.35577185224437</c:v>
                </c:pt>
                <c:pt idx="22">
                  <c:v>21.71318442282707</c:v>
                </c:pt>
                <c:pt idx="23">
                  <c:v>22.43690780226424</c:v>
                </c:pt>
                <c:pt idx="24">
                  <c:v>24.29812264077582</c:v>
                </c:pt>
                <c:pt idx="25">
                  <c:v>24.29812264077582</c:v>
                </c:pt>
                <c:pt idx="26">
                  <c:v>22.803218611118712</c:v>
                </c:pt>
                <c:pt idx="27">
                  <c:v>24.6792638467499</c:v>
                </c:pt>
                <c:pt idx="28">
                  <c:v>21.35577185224437</c:v>
                </c:pt>
                <c:pt idx="29">
                  <c:v>22.43690780226424</c:v>
                </c:pt>
                <c:pt idx="30">
                  <c:v>22.43690780226424</c:v>
                </c:pt>
                <c:pt idx="31">
                  <c:v>22.43690780226424</c:v>
                </c:pt>
                <c:pt idx="32">
                  <c:v>20.649844949350733</c:v>
                </c:pt>
                <c:pt idx="33">
                  <c:v>21.00132536108559</c:v>
                </c:pt>
                <c:pt idx="34">
                  <c:v>19.955782364152792</c:v>
                </c:pt>
                <c:pt idx="35">
                  <c:v>21.35577185224437</c:v>
                </c:pt>
              </c:numCache>
            </c:numRef>
          </c:yVal>
          <c:smooth val="0"/>
        </c:ser>
        <c:ser>
          <c:idx val="5"/>
          <c:order val="5"/>
          <c:tx>
            <c:strRef>
              <c:f>Pbar_FW_HE11!$B$45</c:f>
              <c:strCache>
                <c:ptCount val="1"/>
                <c:pt idx="0">
                  <c:v>flattop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Pbar_FW_HE11!$C$45:$AL$45</c:f>
              <c:numCache>
                <c:ptCount val="36"/>
                <c:pt idx="0">
                  <c:v>13.283732698766508</c:v>
                </c:pt>
                <c:pt idx="1">
                  <c:v>13.923821859421357</c:v>
                </c:pt>
                <c:pt idx="2">
                  <c:v>13.283732698766508</c:v>
                </c:pt>
                <c:pt idx="3">
                  <c:v>14.578971941503383</c:v>
                </c:pt>
                <c:pt idx="4">
                  <c:v>13.283732698766508</c:v>
                </c:pt>
                <c:pt idx="5">
                  <c:v>13.283732698766508</c:v>
                </c:pt>
                <c:pt idx="6">
                  <c:v>13.283732698766508</c:v>
                </c:pt>
                <c:pt idx="7">
                  <c:v>13.923821859421357</c:v>
                </c:pt>
                <c:pt idx="8">
                  <c:v>13.283732698766508</c:v>
                </c:pt>
                <c:pt idx="9">
                  <c:v>13.923821859421357</c:v>
                </c:pt>
                <c:pt idx="10">
                  <c:v>13.283732698766508</c:v>
                </c:pt>
                <c:pt idx="11">
                  <c:v>13.923821859421357</c:v>
                </c:pt>
                <c:pt idx="12">
                  <c:v>15.934454869948945</c:v>
                </c:pt>
                <c:pt idx="13">
                  <c:v>15.249182945012578</c:v>
                </c:pt>
                <c:pt idx="14">
                  <c:v>14.578971941503383</c:v>
                </c:pt>
                <c:pt idx="15">
                  <c:v>14.578971941503383</c:v>
                </c:pt>
                <c:pt idx="16">
                  <c:v>14.578971941503383</c:v>
                </c:pt>
                <c:pt idx="17">
                  <c:v>13.923821859421357</c:v>
                </c:pt>
                <c:pt idx="18">
                  <c:v>13.283732698766508</c:v>
                </c:pt>
                <c:pt idx="19">
                  <c:v>13.283732698766508</c:v>
                </c:pt>
                <c:pt idx="20">
                  <c:v>12.658704459538834</c:v>
                </c:pt>
                <c:pt idx="21">
                  <c:v>12.048737141738334</c:v>
                </c:pt>
                <c:pt idx="22">
                  <c:v>12.048737141738334</c:v>
                </c:pt>
                <c:pt idx="23">
                  <c:v>12.048737141738334</c:v>
                </c:pt>
                <c:pt idx="24">
                  <c:v>13.283732698766508</c:v>
                </c:pt>
                <c:pt idx="25">
                  <c:v>13.283732698766508</c:v>
                </c:pt>
                <c:pt idx="26">
                  <c:v>13.283732698766508</c:v>
                </c:pt>
                <c:pt idx="27">
                  <c:v>13.923821859421357</c:v>
                </c:pt>
                <c:pt idx="28">
                  <c:v>12.048737141738334</c:v>
                </c:pt>
                <c:pt idx="29">
                  <c:v>12.658704459538834</c:v>
                </c:pt>
                <c:pt idx="30">
                  <c:v>12.658704459538834</c:v>
                </c:pt>
                <c:pt idx="31">
                  <c:v>13.283732698766508</c:v>
                </c:pt>
                <c:pt idx="32">
                  <c:v>12.048737141738334</c:v>
                </c:pt>
                <c:pt idx="33">
                  <c:v>12.048737141738334</c:v>
                </c:pt>
                <c:pt idx="34">
                  <c:v>12.048737141738334</c:v>
                </c:pt>
                <c:pt idx="35">
                  <c:v>11.453830745365002</c:v>
                </c:pt>
              </c:numCache>
            </c:numRef>
          </c:yVal>
          <c:smooth val="0"/>
        </c:ser>
        <c:ser>
          <c:idx val="6"/>
          <c:order val="6"/>
          <c:tx>
            <c:strRef>
              <c:f>Pbar_FW_HE11!$B$46</c:f>
              <c:strCache>
                <c:ptCount val="1"/>
                <c:pt idx="0">
                  <c:v>squeeze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Pbar_FW_HE11!$C$46:$AL$46</c:f>
              <c:numCache>
                <c:ptCount val="36"/>
                <c:pt idx="0">
                  <c:v>11.202341837665786</c:v>
                </c:pt>
                <c:pt idx="1">
                  <c:v>12.41256713314769</c:v>
                </c:pt>
                <c:pt idx="2">
                  <c:v>11.799696630948521</c:v>
                </c:pt>
                <c:pt idx="3">
                  <c:v>11.799696630948521</c:v>
                </c:pt>
                <c:pt idx="4">
                  <c:v>10.620502753299489</c:v>
                </c:pt>
                <c:pt idx="5">
                  <c:v>10.620502753299489</c:v>
                </c:pt>
                <c:pt idx="6">
                  <c:v>10.054179377849625</c:v>
                </c:pt>
                <c:pt idx="7">
                  <c:v>10.620502753299489</c:v>
                </c:pt>
                <c:pt idx="8">
                  <c:v>10.054179377849625</c:v>
                </c:pt>
                <c:pt idx="9">
                  <c:v>10.054179377849625</c:v>
                </c:pt>
                <c:pt idx="10">
                  <c:v>10.620502753299489</c:v>
                </c:pt>
                <c:pt idx="11">
                  <c:v>11.202341837665786</c:v>
                </c:pt>
                <c:pt idx="12">
                  <c:v>13.684855264295324</c:v>
                </c:pt>
                <c:pt idx="13">
                  <c:v>14.344272893243792</c:v>
                </c:pt>
                <c:pt idx="14">
                  <c:v>14.344272893243792</c:v>
                </c:pt>
                <c:pt idx="15">
                  <c:v>15.709655277890041</c:v>
                </c:pt>
                <c:pt idx="16">
                  <c:v>15.709655277890041</c:v>
                </c:pt>
                <c:pt idx="17">
                  <c:v>15.709655277890041</c:v>
                </c:pt>
                <c:pt idx="18">
                  <c:v>15.709655277890041</c:v>
                </c:pt>
                <c:pt idx="19">
                  <c:v>16.415620033587818</c:v>
                </c:pt>
                <c:pt idx="20">
                  <c:v>15.709655277890041</c:v>
                </c:pt>
                <c:pt idx="21">
                  <c:v>15.709655277890041</c:v>
                </c:pt>
                <c:pt idx="22">
                  <c:v>15.019206231108699</c:v>
                </c:pt>
                <c:pt idx="23">
                  <c:v>16.415620033587818</c:v>
                </c:pt>
                <c:pt idx="24">
                  <c:v>17.87409667173267</c:v>
                </c:pt>
                <c:pt idx="25">
                  <c:v>17.87409667173267</c:v>
                </c:pt>
                <c:pt idx="26">
                  <c:v>16.415620033587818</c:v>
                </c:pt>
                <c:pt idx="27">
                  <c:v>16.415620033587818</c:v>
                </c:pt>
                <c:pt idx="28">
                  <c:v>15.019206231108699</c:v>
                </c:pt>
                <c:pt idx="29">
                  <c:v>14.344272893243792</c:v>
                </c:pt>
                <c:pt idx="30">
                  <c:v>14.344272893243792</c:v>
                </c:pt>
                <c:pt idx="31">
                  <c:v>14.344272893243792</c:v>
                </c:pt>
                <c:pt idx="32">
                  <c:v>11.799696630948521</c:v>
                </c:pt>
                <c:pt idx="33">
                  <c:v>11.202341837665786</c:v>
                </c:pt>
                <c:pt idx="34">
                  <c:v>10.054179377849625</c:v>
                </c:pt>
                <c:pt idx="35">
                  <c:v>10.620502753299489</c:v>
                </c:pt>
              </c:numCache>
            </c:numRef>
          </c:yVal>
          <c:smooth val="0"/>
        </c:ser>
        <c:ser>
          <c:idx val="7"/>
          <c:order val="7"/>
          <c:tx>
            <c:strRef>
              <c:f>Pbar_FW_HE11!$B$47</c:f>
              <c:strCache>
                <c:ptCount val="1"/>
                <c:pt idx="0">
                  <c:v>initiate collisions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Pbar_FW_HE11!$C$47:$AL$47</c:f>
              <c:numCache>
                <c:ptCount val="36"/>
                <c:pt idx="0">
                  <c:v>10.620502753299489</c:v>
                </c:pt>
                <c:pt idx="1">
                  <c:v>11.799696630948521</c:v>
                </c:pt>
                <c:pt idx="2">
                  <c:v>12.41256713314769</c:v>
                </c:pt>
                <c:pt idx="3">
                  <c:v>12.41256713314769</c:v>
                </c:pt>
                <c:pt idx="4">
                  <c:v>12.41256713314769</c:v>
                </c:pt>
                <c:pt idx="5">
                  <c:v>12.41256713314769</c:v>
                </c:pt>
                <c:pt idx="6">
                  <c:v>11.799696630948521</c:v>
                </c:pt>
                <c:pt idx="7">
                  <c:v>12.41256713314769</c:v>
                </c:pt>
                <c:pt idx="8">
                  <c:v>11.799696630948521</c:v>
                </c:pt>
                <c:pt idx="9">
                  <c:v>11.202341837665786</c:v>
                </c:pt>
                <c:pt idx="10">
                  <c:v>11.202341837665786</c:v>
                </c:pt>
                <c:pt idx="11">
                  <c:v>11.202341837665786</c:v>
                </c:pt>
                <c:pt idx="12">
                  <c:v>11.799696630948521</c:v>
                </c:pt>
                <c:pt idx="13">
                  <c:v>10.620502753299489</c:v>
                </c:pt>
                <c:pt idx="14">
                  <c:v>10.620502753299489</c:v>
                </c:pt>
                <c:pt idx="15">
                  <c:v>10.054179377849625</c:v>
                </c:pt>
                <c:pt idx="16">
                  <c:v>11.799696630948521</c:v>
                </c:pt>
                <c:pt idx="17">
                  <c:v>10.054179377849625</c:v>
                </c:pt>
                <c:pt idx="18">
                  <c:v>10.054179377849625</c:v>
                </c:pt>
                <c:pt idx="19">
                  <c:v>10.054179377849625</c:v>
                </c:pt>
                <c:pt idx="20">
                  <c:v>8.448303504998645</c:v>
                </c:pt>
                <c:pt idx="21">
                  <c:v>7.9440429652145195</c:v>
                </c:pt>
                <c:pt idx="22">
                  <c:v>7.9440429652145195</c:v>
                </c:pt>
                <c:pt idx="23">
                  <c:v>7.9440429652145195</c:v>
                </c:pt>
                <c:pt idx="24">
                  <c:v>8.968079753699206</c:v>
                </c:pt>
                <c:pt idx="25">
                  <c:v>8.448303504998645</c:v>
                </c:pt>
                <c:pt idx="26">
                  <c:v>8.968079753699206</c:v>
                </c:pt>
                <c:pt idx="27">
                  <c:v>8.448303504998645</c:v>
                </c:pt>
                <c:pt idx="28">
                  <c:v>8.968079753699206</c:v>
                </c:pt>
                <c:pt idx="29">
                  <c:v>8.448303504998645</c:v>
                </c:pt>
                <c:pt idx="30">
                  <c:v>8.968079753699206</c:v>
                </c:pt>
                <c:pt idx="31">
                  <c:v>8.448303504998645</c:v>
                </c:pt>
                <c:pt idx="32">
                  <c:v>7.455298134346829</c:v>
                </c:pt>
                <c:pt idx="33">
                  <c:v>7.9440429652145195</c:v>
                </c:pt>
                <c:pt idx="34">
                  <c:v>7.455298134346829</c:v>
                </c:pt>
                <c:pt idx="35">
                  <c:v>7.9440429652145195</c:v>
                </c:pt>
              </c:numCache>
            </c:numRef>
          </c:yVal>
          <c:smooth val="0"/>
        </c:ser>
        <c:ser>
          <c:idx val="8"/>
          <c:order val="8"/>
          <c:tx>
            <c:strRef>
              <c:f>Pbar_FW_HE11!$B$48</c:f>
              <c:strCache>
                <c:ptCount val="1"/>
                <c:pt idx="0">
                  <c:v>Remove halo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FF6600"/>
                </a:solidFill>
              </a:ln>
            </c:spPr>
          </c:marker>
          <c:xVal>
            <c:strRef>
              <c:f>Pbar_FW_HE11!$C$31:$AL$31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Pbar_FW_HE11!$C$48:$AL$48</c:f>
              <c:numCache>
                <c:ptCount val="36"/>
                <c:pt idx="0">
                  <c:v>8.968079753699206</c:v>
                </c:pt>
                <c:pt idx="1">
                  <c:v>10.054179377849625</c:v>
                </c:pt>
                <c:pt idx="2">
                  <c:v>10.054179377849625</c:v>
                </c:pt>
                <c:pt idx="3">
                  <c:v>10.054179377849625</c:v>
                </c:pt>
                <c:pt idx="4">
                  <c:v>9.503371711316197</c:v>
                </c:pt>
                <c:pt idx="5">
                  <c:v>9.503371711316197</c:v>
                </c:pt>
                <c:pt idx="6">
                  <c:v>9.503371711316197</c:v>
                </c:pt>
                <c:pt idx="7">
                  <c:v>9.503371711316197</c:v>
                </c:pt>
                <c:pt idx="8">
                  <c:v>8.968079753699206</c:v>
                </c:pt>
                <c:pt idx="9">
                  <c:v>8.968079753699206</c:v>
                </c:pt>
                <c:pt idx="10">
                  <c:v>8.968079753699206</c:v>
                </c:pt>
                <c:pt idx="11">
                  <c:v>8.448303504998645</c:v>
                </c:pt>
                <c:pt idx="12">
                  <c:v>11.799696630948521</c:v>
                </c:pt>
                <c:pt idx="13">
                  <c:v>11.799696630948521</c:v>
                </c:pt>
                <c:pt idx="14">
                  <c:v>13.040953344263286</c:v>
                </c:pt>
                <c:pt idx="15">
                  <c:v>13.684855264295324</c:v>
                </c:pt>
                <c:pt idx="16">
                  <c:v>15.019206231108699</c:v>
                </c:pt>
                <c:pt idx="17">
                  <c:v>15.019206231108699</c:v>
                </c:pt>
                <c:pt idx="18">
                  <c:v>13.684855264295324</c:v>
                </c:pt>
                <c:pt idx="19">
                  <c:v>14.344272893243792</c:v>
                </c:pt>
                <c:pt idx="20">
                  <c:v>13.684855264295324</c:v>
                </c:pt>
                <c:pt idx="21">
                  <c:v>14.344272893243792</c:v>
                </c:pt>
                <c:pt idx="22">
                  <c:v>13.684855264295324</c:v>
                </c:pt>
                <c:pt idx="23">
                  <c:v>13.040953344263286</c:v>
                </c:pt>
                <c:pt idx="24">
                  <c:v>14.344272893243792</c:v>
                </c:pt>
                <c:pt idx="25">
                  <c:v>13.684855264295324</c:v>
                </c:pt>
                <c:pt idx="26">
                  <c:v>14.344272893243792</c:v>
                </c:pt>
                <c:pt idx="27">
                  <c:v>13.040953344263286</c:v>
                </c:pt>
                <c:pt idx="28">
                  <c:v>13.040953344263286</c:v>
                </c:pt>
                <c:pt idx="29">
                  <c:v>13.040953344263286</c:v>
                </c:pt>
                <c:pt idx="30">
                  <c:v>12.41256713314769</c:v>
                </c:pt>
                <c:pt idx="31">
                  <c:v>11.799696630948521</c:v>
                </c:pt>
                <c:pt idx="32">
                  <c:v>10.054179377849625</c:v>
                </c:pt>
                <c:pt idx="33">
                  <c:v>10.054179377849625</c:v>
                </c:pt>
                <c:pt idx="34">
                  <c:v>9.503371711316197</c:v>
                </c:pt>
                <c:pt idx="35">
                  <c:v>8.968079753699206</c:v>
                </c:pt>
              </c:numCache>
            </c:numRef>
          </c:yVal>
          <c:smooth val="0"/>
        </c:ser>
        <c:axId val="4122212"/>
        <c:axId val="37099909"/>
      </c:scatterChart>
      <c:valAx>
        <c:axId val="4122212"/>
        <c:scaling>
          <c:orientation val="minMax"/>
        </c:scaling>
        <c:axPos val="b"/>
        <c:title>
          <c:tx>
            <c:rich>
              <a:bodyPr vert="horz" rot="0" anchor="ctr"/>
              <a:lstStyle/>
              <a:p>
                <a:pPr algn="ctr">
                  <a:defRPr/>
                </a:pPr>
                <a:r>
                  <a:rPr lang="en-US" cap="none" sz="1050" b="1" i="0" u="none" baseline="0">
                    <a:latin typeface="Arial"/>
                    <a:ea typeface="Arial"/>
                    <a:cs typeface="Arial"/>
                  </a:rPr>
                  <a:t>Bunch</a:t>
                </a:r>
              </a:p>
            </c:rich>
          </c:tx>
          <c:layout/>
          <c:overlay val="0"/>
          <c:spPr>
            <a:noFill/>
            <a:ln>
              <a:noFill/>
            </a:ln>
          </c:spPr>
        </c:title>
        <c:delete val="0"/>
        <c:numFmt formatCode="General" sourceLinked="1"/>
        <c:majorTickMark val="out"/>
        <c:minorTickMark val="none"/>
        <c:tickLblPos val="nextTo"/>
        <c:crossAx val="37099909"/>
        <c:crosses val="autoZero"/>
        <c:crossBetween val="midCat"/>
        <c:dispUnits/>
      </c:valAx>
      <c:valAx>
        <c:axId val="37099909"/>
        <c:scaling>
          <c:orientation val="minMax"/>
        </c:scaling>
        <c:axPos val="l"/>
        <c:majorGridlines/>
        <c:delete val="0"/>
        <c:numFmt formatCode="General" sourceLinked="1"/>
        <c:majorTickMark val="out"/>
        <c:minorTickMark val="none"/>
        <c:tickLblPos val="nextTo"/>
        <c:crossAx val="412221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Pbar efficiency</a:t>
            </a:r>
          </a:p>
        </c:rich>
      </c:tx>
      <c:layout/>
      <c:spPr>
        <a:noFill/>
        <a:ln>
          <a:noFill/>
        </a:ln>
      </c:spPr>
    </c:title>
    <c:plotArea>
      <c:layout/>
      <c:scatterChart>
        <c:scatterStyle val="lineMarker"/>
        <c:varyColors val="0"/>
        <c:ser>
          <c:idx val="0"/>
          <c:order val="0"/>
          <c:tx>
            <c:strRef>
              <c:f>pbar_int!$B$30</c:f>
              <c:strCache>
                <c:ptCount val="1"/>
                <c:pt idx="0">
                  <c:v>8 Gev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pbar_int!$C$30:$AL$30</c:f>
              <c:numCache>
                <c:ptCount val="36"/>
                <c:pt idx="0">
                  <c:v>98.32758162994425</c:v>
                </c:pt>
                <c:pt idx="1">
                  <c:v>99.46348006340689</c:v>
                </c:pt>
                <c:pt idx="2">
                  <c:v>99.60877296976882</c:v>
                </c:pt>
                <c:pt idx="3">
                  <c:v>99.67956618190782</c:v>
                </c:pt>
                <c:pt idx="4">
                  <c:v>99.89455647818637</c:v>
                </c:pt>
                <c:pt idx="5">
                  <c:v>100.31138277015339</c:v>
                </c:pt>
                <c:pt idx="6">
                  <c:v>100.47554347826087</c:v>
                </c:pt>
                <c:pt idx="7">
                  <c:v>99.98828765518857</c:v>
                </c:pt>
                <c:pt idx="8">
                  <c:v>99.58683193389311</c:v>
                </c:pt>
                <c:pt idx="9">
                  <c:v>99.80207241820933</c:v>
                </c:pt>
                <c:pt idx="10">
                  <c:v>99.67149977344812</c:v>
                </c:pt>
                <c:pt idx="11">
                  <c:v>99.85859061984445</c:v>
                </c:pt>
                <c:pt idx="12">
                  <c:v>99.39369974957162</c:v>
                </c:pt>
                <c:pt idx="13">
                  <c:v>99.3946587537092</c:v>
                </c:pt>
                <c:pt idx="14">
                  <c:v>99.83650589746584</c:v>
                </c:pt>
                <c:pt idx="15">
                  <c:v>99.2080633549316</c:v>
                </c:pt>
                <c:pt idx="16">
                  <c:v>100.15887726731101</c:v>
                </c:pt>
                <c:pt idx="17">
                  <c:v>100.46560353858689</c:v>
                </c:pt>
                <c:pt idx="18">
                  <c:v>100.52451539338654</c:v>
                </c:pt>
                <c:pt idx="19">
                  <c:v>100.3274470822126</c:v>
                </c:pt>
                <c:pt idx="20">
                  <c:v>100</c:v>
                </c:pt>
                <c:pt idx="21">
                  <c:v>99.68335874281694</c:v>
                </c:pt>
                <c:pt idx="22">
                  <c:v>100.03454629203132</c:v>
                </c:pt>
                <c:pt idx="23">
                  <c:v>100.22485207100591</c:v>
                </c:pt>
                <c:pt idx="24">
                  <c:v>99.12292358803987</c:v>
                </c:pt>
                <c:pt idx="25">
                  <c:v>99.4958377300973</c:v>
                </c:pt>
                <c:pt idx="26">
                  <c:v>99.31428571428572</c:v>
                </c:pt>
                <c:pt idx="27">
                  <c:v>98.9061397318278</c:v>
                </c:pt>
                <c:pt idx="28">
                  <c:v>100.42165397170838</c:v>
                </c:pt>
                <c:pt idx="29">
                  <c:v>99.89340281890323</c:v>
                </c:pt>
                <c:pt idx="30">
                  <c:v>100.17397355601949</c:v>
                </c:pt>
                <c:pt idx="31">
                  <c:v>99.39487422876127</c:v>
                </c:pt>
                <c:pt idx="32">
                  <c:v>100.20054433462255</c:v>
                </c:pt>
                <c:pt idx="33">
                  <c:v>100.76818238136539</c:v>
                </c:pt>
                <c:pt idx="34">
                  <c:v>100.14330069262002</c:v>
                </c:pt>
                <c:pt idx="35">
                  <c:v>99.9756335282651</c:v>
                </c:pt>
              </c:numCache>
            </c:numRef>
          </c:yVal>
          <c:smooth val="0"/>
        </c:ser>
        <c:ser>
          <c:idx val="1"/>
          <c:order val="1"/>
          <c:tx>
            <c:strRef>
              <c:f>pbar_int!$B$31</c:f>
              <c:strCache>
                <c:ptCount val="1"/>
                <c:pt idx="0">
                  <c:v>Inj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pbar_int!$C$31:$AL$31</c:f>
              <c:numCache>
                <c:ptCount val="36"/>
                <c:pt idx="0">
                  <c:v>97.05010949375242</c:v>
                </c:pt>
                <c:pt idx="1">
                  <c:v>97.99259170749194</c:v>
                </c:pt>
                <c:pt idx="2">
                  <c:v>97.76309689383403</c:v>
                </c:pt>
                <c:pt idx="3">
                  <c:v>97.29016786570743</c:v>
                </c:pt>
                <c:pt idx="4">
                  <c:v>99.21537857983523</c:v>
                </c:pt>
                <c:pt idx="5">
                  <c:v>98.837341844295</c:v>
                </c:pt>
                <c:pt idx="6">
                  <c:v>97.47268513409117</c:v>
                </c:pt>
                <c:pt idx="7">
                  <c:v>98.62538985791845</c:v>
                </c:pt>
                <c:pt idx="8">
                  <c:v>100</c:v>
                </c:pt>
                <c:pt idx="9">
                  <c:v>99.21450849023913</c:v>
                </c:pt>
                <c:pt idx="10">
                  <c:v>99.00190647078614</c:v>
                </c:pt>
                <c:pt idx="11">
                  <c:v>99.00828374752072</c:v>
                </c:pt>
                <c:pt idx="12">
                  <c:v>98.84054194893173</c:v>
                </c:pt>
                <c:pt idx="13">
                  <c:v>98.63029735424959</c:v>
                </c:pt>
                <c:pt idx="14">
                  <c:v>97.93000914913084</c:v>
                </c:pt>
                <c:pt idx="15">
                  <c:v>98.56889414547605</c:v>
                </c:pt>
                <c:pt idx="16">
                  <c:v>99.14675767918088</c:v>
                </c:pt>
                <c:pt idx="17">
                  <c:v>98.25022872827081</c:v>
                </c:pt>
                <c:pt idx="18">
                  <c:v>97.7158774373259</c:v>
                </c:pt>
                <c:pt idx="19">
                  <c:v>97.46950871993616</c:v>
                </c:pt>
                <c:pt idx="20">
                  <c:v>99.79773462783173</c:v>
                </c:pt>
                <c:pt idx="21">
                  <c:v>98.4983250548689</c:v>
                </c:pt>
                <c:pt idx="22">
                  <c:v>97.70477047704772</c:v>
                </c:pt>
                <c:pt idx="23">
                  <c:v>98.25581395348837</c:v>
                </c:pt>
                <c:pt idx="24">
                  <c:v>99.52387250363708</c:v>
                </c:pt>
                <c:pt idx="25">
                  <c:v>98.19249366797145</c:v>
                </c:pt>
                <c:pt idx="26">
                  <c:v>98.1271728159695</c:v>
                </c:pt>
                <c:pt idx="27">
                  <c:v>98.53963838664812</c:v>
                </c:pt>
                <c:pt idx="28">
                  <c:v>97.98747167799547</c:v>
                </c:pt>
                <c:pt idx="29">
                  <c:v>98.17441860465117</c:v>
                </c:pt>
                <c:pt idx="30">
                  <c:v>97.007200720072</c:v>
                </c:pt>
                <c:pt idx="31">
                  <c:v>97.68196569309225</c:v>
                </c:pt>
                <c:pt idx="32">
                  <c:v>98.74115983026874</c:v>
                </c:pt>
                <c:pt idx="33">
                  <c:v>98.47486578818936</c:v>
                </c:pt>
                <c:pt idx="34">
                  <c:v>98.36720310113944</c:v>
                </c:pt>
                <c:pt idx="35">
                  <c:v>98.41726618705036</c:v>
                </c:pt>
              </c:numCache>
            </c:numRef>
          </c:yVal>
          <c:smooth val="0"/>
        </c:ser>
        <c:ser>
          <c:idx val="2"/>
          <c:order val="2"/>
          <c:tx>
            <c:strRef>
              <c:f>pbar_int!$B$32</c:f>
              <c:strCache>
                <c:ptCount val="1"/>
                <c:pt idx="0">
                  <c:v>accel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pbar_int!$C$32:$AL$32</c:f>
              <c:numCache>
                <c:ptCount val="36"/>
                <c:pt idx="0">
                  <c:v>97.6241900647948</c:v>
                </c:pt>
                <c:pt idx="1">
                  <c:v>96.57962486208166</c:v>
                </c:pt>
                <c:pt idx="2">
                  <c:v>97.06022375624852</c:v>
                </c:pt>
                <c:pt idx="3">
                  <c:v>96.40207715133532</c:v>
                </c:pt>
                <c:pt idx="4">
                  <c:v>98.19237366407177</c:v>
                </c:pt>
                <c:pt idx="5">
                  <c:v>97.55116118647965</c:v>
                </c:pt>
                <c:pt idx="6">
                  <c:v>98.19697994140185</c:v>
                </c:pt>
                <c:pt idx="7">
                  <c:v>97.82124868220686</c:v>
                </c:pt>
                <c:pt idx="8">
                  <c:v>98.15310492505354</c:v>
                </c:pt>
                <c:pt idx="9">
                  <c:v>97.64349043397107</c:v>
                </c:pt>
                <c:pt idx="10">
                  <c:v>97.45425616547335</c:v>
                </c:pt>
                <c:pt idx="11">
                  <c:v>98.40689166863348</c:v>
                </c:pt>
                <c:pt idx="12">
                  <c:v>97.98435220792999</c:v>
                </c:pt>
                <c:pt idx="13">
                  <c:v>97.36087891091474</c:v>
                </c:pt>
                <c:pt idx="14">
                  <c:v>97.27453503333724</c:v>
                </c:pt>
                <c:pt idx="15">
                  <c:v>97.31494920174164</c:v>
                </c:pt>
                <c:pt idx="16">
                  <c:v>97.87177792465302</c:v>
                </c:pt>
                <c:pt idx="17">
                  <c:v>96.98760282701889</c:v>
                </c:pt>
                <c:pt idx="18">
                  <c:v>97.50453720508168</c:v>
                </c:pt>
                <c:pt idx="19">
                  <c:v>97.3773167035785</c:v>
                </c:pt>
                <c:pt idx="20">
                  <c:v>98.1488987974598</c:v>
                </c:pt>
                <c:pt idx="21">
                  <c:v>97.12941176470588</c:v>
                </c:pt>
                <c:pt idx="22">
                  <c:v>97.09911361804996</c:v>
                </c:pt>
                <c:pt idx="23">
                  <c:v>98.24064234266147</c:v>
                </c:pt>
                <c:pt idx="24">
                  <c:v>97.89516020914331</c:v>
                </c:pt>
                <c:pt idx="25">
                  <c:v>97.3250058920575</c:v>
                </c:pt>
                <c:pt idx="26">
                  <c:v>97.05408515535098</c:v>
                </c:pt>
                <c:pt idx="27">
                  <c:v>97.30051135687953</c:v>
                </c:pt>
                <c:pt idx="28">
                  <c:v>97.88703778951646</c:v>
                </c:pt>
                <c:pt idx="29">
                  <c:v>96.92909651410956</c:v>
                </c:pt>
                <c:pt idx="30">
                  <c:v>97.04758596734978</c:v>
                </c:pt>
                <c:pt idx="31">
                  <c:v>97.58863554971947</c:v>
                </c:pt>
                <c:pt idx="32">
                  <c:v>97.99857040743387</c:v>
                </c:pt>
                <c:pt idx="33">
                  <c:v>96.98758145825649</c:v>
                </c:pt>
                <c:pt idx="34">
                  <c:v>97.22155974242786</c:v>
                </c:pt>
                <c:pt idx="35">
                  <c:v>98.2208140385084</c:v>
                </c:pt>
              </c:numCache>
            </c:numRef>
          </c:yVal>
          <c:smooth val="0"/>
        </c:ser>
        <c:ser>
          <c:idx val="3"/>
          <c:order val="3"/>
          <c:tx>
            <c:strRef>
              <c:f>pbar_int!$B$33</c:f>
              <c:strCache>
                <c:ptCount val="1"/>
                <c:pt idx="0">
                  <c:v>squeeze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9966"/>
                </a:solidFill>
              </a:ln>
            </c:spPr>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pbar_int!$C$33:$AL$33</c:f>
              <c:numCache>
                <c:ptCount val="36"/>
                <c:pt idx="0">
                  <c:v>99.58517699115045</c:v>
                </c:pt>
                <c:pt idx="1">
                  <c:v>99.54303122619955</c:v>
                </c:pt>
                <c:pt idx="2">
                  <c:v>99.44819129368484</c:v>
                </c:pt>
                <c:pt idx="3">
                  <c:v>99.57676029242016</c:v>
                </c:pt>
                <c:pt idx="4">
                  <c:v>99.47594732598763</c:v>
                </c:pt>
                <c:pt idx="5">
                  <c:v>99.49322333529759</c:v>
                </c:pt>
                <c:pt idx="6">
                  <c:v>99.49506541198072</c:v>
                </c:pt>
                <c:pt idx="7">
                  <c:v>99.52101544725183</c:v>
                </c:pt>
                <c:pt idx="8">
                  <c:v>99.45459503681484</c:v>
                </c:pt>
                <c:pt idx="9">
                  <c:v>99.46236559139784</c:v>
                </c:pt>
                <c:pt idx="10">
                  <c:v>99.61516034985422</c:v>
                </c:pt>
                <c:pt idx="11">
                  <c:v>99.28048926729824</c:v>
                </c:pt>
                <c:pt idx="12">
                  <c:v>99.53985654351062</c:v>
                </c:pt>
                <c:pt idx="13">
                  <c:v>99.53391389672514</c:v>
                </c:pt>
                <c:pt idx="14">
                  <c:v>99.57912457912458</c:v>
                </c:pt>
                <c:pt idx="15">
                  <c:v>99.45314441958737</c:v>
                </c:pt>
                <c:pt idx="16">
                  <c:v>99.36520799567799</c:v>
                </c:pt>
                <c:pt idx="17">
                  <c:v>99.49826782941106</c:v>
                </c:pt>
                <c:pt idx="18">
                  <c:v>99.63936714751048</c:v>
                </c:pt>
                <c:pt idx="19">
                  <c:v>99.53315776873353</c:v>
                </c:pt>
                <c:pt idx="20">
                  <c:v>99.54570484581498</c:v>
                </c:pt>
                <c:pt idx="21">
                  <c:v>99.35804263565892</c:v>
                </c:pt>
                <c:pt idx="22">
                  <c:v>99.59691760521636</c:v>
                </c:pt>
                <c:pt idx="23">
                  <c:v>99.15865384615384</c:v>
                </c:pt>
                <c:pt idx="24">
                  <c:v>99.78088195015064</c:v>
                </c:pt>
                <c:pt idx="25">
                  <c:v>99.55200387456108</c:v>
                </c:pt>
                <c:pt idx="26">
                  <c:v>99.51387242115247</c:v>
                </c:pt>
                <c:pt idx="27">
                  <c:v>99.54778782693718</c:v>
                </c:pt>
                <c:pt idx="28">
                  <c:v>99.47419399474195</c:v>
                </c:pt>
                <c:pt idx="29">
                  <c:v>99.49847094801223</c:v>
                </c:pt>
                <c:pt idx="30">
                  <c:v>99.49892627057982</c:v>
                </c:pt>
                <c:pt idx="31">
                  <c:v>99.44954128440367</c:v>
                </c:pt>
                <c:pt idx="32">
                  <c:v>99.50401167031363</c:v>
                </c:pt>
                <c:pt idx="33">
                  <c:v>99.37880324543612</c:v>
                </c:pt>
                <c:pt idx="34">
                  <c:v>99.717895253281</c:v>
                </c:pt>
                <c:pt idx="35">
                  <c:v>99.29280397022333</c:v>
                </c:pt>
              </c:numCache>
            </c:numRef>
          </c:yVal>
          <c:smooth val="0"/>
        </c:ser>
        <c:ser>
          <c:idx val="4"/>
          <c:order val="4"/>
          <c:tx>
            <c:strRef>
              <c:f>pbar_int!$B$34</c:f>
              <c:strCache>
                <c:ptCount val="1"/>
                <c:pt idx="0">
                  <c:v>coal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pbar_int!$C$34:$AL$34</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0"/>
        </c:ser>
        <c:ser>
          <c:idx val="5"/>
          <c:order val="5"/>
          <c:tx>
            <c:strRef>
              <c:f>pbar_int!$B$35</c:f>
              <c:strCache>
                <c:ptCount val="1"/>
                <c:pt idx="0">
                  <c:v>Overall eff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pbar_int!$C$1:$AL$1</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pbar_int!$C$35:$AL$35</c:f>
              <c:numCache>
                <c:ptCount val="36"/>
                <c:pt idx="0">
                  <c:v>88.53536004122118</c:v>
                </c:pt>
                <c:pt idx="1">
                  <c:v>90.33337316286294</c:v>
                </c:pt>
                <c:pt idx="2">
                  <c:v>90.87853500231803</c:v>
                </c:pt>
                <c:pt idx="3">
                  <c:v>90.09592326139088</c:v>
                </c:pt>
                <c:pt idx="4">
                  <c:v>93.6837975676736</c:v>
                </c:pt>
                <c:pt idx="5">
                  <c:v>93.44579961244727</c:v>
                </c:pt>
                <c:pt idx="6">
                  <c:v>92.96987087517934</c:v>
                </c:pt>
                <c:pt idx="7">
                  <c:v>92.89592237495668</c:v>
                </c:pt>
                <c:pt idx="8">
                  <c:v>94.32227109156338</c:v>
                </c:pt>
                <c:pt idx="9">
                  <c:v>92.98833314081091</c:v>
                </c:pt>
                <c:pt idx="10">
                  <c:v>92.88998542110575</c:v>
                </c:pt>
                <c:pt idx="11">
                  <c:v>92.41628748104071</c:v>
                </c:pt>
                <c:pt idx="12">
                  <c:v>92.39187076602397</c:v>
                </c:pt>
                <c:pt idx="13">
                  <c:v>92.23835167408102</c:v>
                </c:pt>
                <c:pt idx="14">
                  <c:v>91.70860018298262</c:v>
                </c:pt>
                <c:pt idx="15">
                  <c:v>91.96924896510941</c:v>
                </c:pt>
                <c:pt idx="16">
                  <c:v>93.39721711735363</c:v>
                </c:pt>
                <c:pt idx="17">
                  <c:v>92.29185727355902</c:v>
                </c:pt>
                <c:pt idx="18">
                  <c:v>91.97771587743732</c:v>
                </c:pt>
                <c:pt idx="19">
                  <c:v>91.58782628519319</c:v>
                </c:pt>
                <c:pt idx="20">
                  <c:v>94.29611650485438</c:v>
                </c:pt>
                <c:pt idx="21">
                  <c:v>91.79854453043781</c:v>
                </c:pt>
                <c:pt idx="22">
                  <c:v>91.51665166516652</c:v>
                </c:pt>
                <c:pt idx="23">
                  <c:v>91.81395348837208</c:v>
                </c:pt>
                <c:pt idx="24">
                  <c:v>93.28131199576775</c:v>
                </c:pt>
                <c:pt idx="25">
                  <c:v>91.87197789546397</c:v>
                </c:pt>
                <c:pt idx="26">
                  <c:v>91.11808904340025</c:v>
                </c:pt>
                <c:pt idx="27">
                  <c:v>91.75938803894297</c:v>
                </c:pt>
                <c:pt idx="28">
                  <c:v>92.84286285485805</c:v>
                </c:pt>
                <c:pt idx="29">
                  <c:v>91.61627906976746</c:v>
                </c:pt>
                <c:pt idx="30">
                  <c:v>90.30153015301532</c:v>
                </c:pt>
                <c:pt idx="31">
                  <c:v>91.13351877607788</c:v>
                </c:pt>
                <c:pt idx="32">
                  <c:v>93.5077793493635</c:v>
                </c:pt>
                <c:pt idx="33">
                  <c:v>92.81356759394826</c:v>
                </c:pt>
                <c:pt idx="34">
                  <c:v>92.37636555855751</c:v>
                </c:pt>
                <c:pt idx="35">
                  <c:v>92.02637889688249</c:v>
                </c:pt>
              </c:numCache>
            </c:numRef>
          </c:yVal>
          <c:smooth val="0"/>
        </c:ser>
        <c:axId val="65463726"/>
        <c:axId val="52302623"/>
      </c:scatterChart>
      <c:valAx>
        <c:axId val="65463726"/>
        <c:scaling>
          <c:orientation val="minMax"/>
          <c:max val="36"/>
          <c:min val="0"/>
        </c:scaling>
        <c:axPos val="b"/>
        <c:title>
          <c:tx>
            <c:rich>
              <a:bodyPr vert="horz" rot="0" anchor="ctr"/>
              <a:lstStyle/>
              <a:p>
                <a:pPr algn="ctr">
                  <a:defRPr/>
                </a:pPr>
                <a:r>
                  <a:rPr lang="en-US" cap="none" sz="1200" b="1" i="0" u="none" baseline="0">
                    <a:latin typeface="Arial"/>
                    <a:ea typeface="Arial"/>
                    <a:cs typeface="Arial"/>
                  </a:rPr>
                  <a:t>bunch number</a:t>
                </a:r>
              </a:p>
            </c:rich>
          </c:tx>
          <c:layout/>
          <c:overlay val="0"/>
          <c:spPr>
            <a:noFill/>
            <a:ln>
              <a:noFill/>
            </a:ln>
          </c:spPr>
        </c:title>
        <c:delete val="0"/>
        <c:numFmt formatCode="General" sourceLinked="1"/>
        <c:majorTickMark val="out"/>
        <c:minorTickMark val="none"/>
        <c:tickLblPos val="nextTo"/>
        <c:crossAx val="52302623"/>
        <c:crosses val="autoZero"/>
        <c:crossBetween val="midCat"/>
        <c:dispUnits/>
      </c:valAx>
      <c:valAx>
        <c:axId val="52302623"/>
        <c:scaling>
          <c:orientation val="minMax"/>
          <c:max val="110"/>
          <c:min val="60"/>
        </c:scaling>
        <c:axPos val="l"/>
        <c:title>
          <c:tx>
            <c:rich>
              <a:bodyPr vert="horz" rot="-5400000" anchor="ctr"/>
              <a:lstStyle/>
              <a:p>
                <a:pPr algn="ctr">
                  <a:defRPr/>
                </a:pPr>
                <a:r>
                  <a:rPr lang="en-US" cap="none" sz="12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6546372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Proton efficiency</a:t>
            </a:r>
          </a:p>
        </c:rich>
      </c:tx>
      <c:layout/>
      <c:spPr>
        <a:noFill/>
        <a:ln>
          <a:noFill/>
        </a:ln>
      </c:spPr>
    </c:title>
    <c:plotArea>
      <c:layout/>
      <c:scatterChart>
        <c:scatterStyle val="lineMarker"/>
        <c:varyColors val="0"/>
        <c:ser>
          <c:idx val="0"/>
          <c:order val="0"/>
          <c:tx>
            <c:strRef>
              <c:f>Proton_int!$N$77</c:f>
              <c:strCache>
                <c:ptCount val="1"/>
                <c:pt idx="0">
                  <c:v>squeeze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Proton_int!$M$78:$M$113</c:f>
              <c:strCache>
                <c:ptCount val="36"/>
                <c:pt idx="0">
                  <c:v>P1</c:v>
                </c:pt>
                <c:pt idx="1">
                  <c:v>756343.1102</c:v>
                </c:pt>
                <c:pt idx="2">
                  <c:v>874763.8103</c:v>
                </c:pt>
                <c:pt idx="3">
                  <c:v>823885.4275</c:v>
                </c:pt>
                <c:pt idx="4">
                  <c:v>822170.8498</c:v>
                </c:pt>
                <c:pt idx="5">
                  <c:v>866953.177</c:v>
                </c:pt>
                <c:pt idx="6">
                  <c:v>779946.4511</c:v>
                </c:pt>
                <c:pt idx="7">
                  <c:v>774234.3206</c:v>
                </c:pt>
                <c:pt idx="8">
                  <c:v>805850.2463</c:v>
                </c:pt>
                <c:pt idx="9">
                  <c:v>801251.7935</c:v>
                </c:pt>
                <c:pt idx="10">
                  <c:v>717238.3642</c:v>
                </c:pt>
                <c:pt idx="11">
                  <c:v>797208.8071</c:v>
                </c:pt>
                <c:pt idx="12">
                  <c:v>910151.9195</c:v>
                </c:pt>
                <c:pt idx="13">
                  <c:v>884893.8029</c:v>
                </c:pt>
                <c:pt idx="14">
                  <c:v>760104.6896</c:v>
                </c:pt>
                <c:pt idx="15">
                  <c:v>845530.4037</c:v>
                </c:pt>
                <c:pt idx="16">
                  <c:v>814842.8883</c:v>
                </c:pt>
                <c:pt idx="17">
                  <c:v>857989.2413</c:v>
                </c:pt>
                <c:pt idx="18">
                  <c:v>832177.2051</c:v>
                </c:pt>
                <c:pt idx="19">
                  <c:v>817281.8973</c:v>
                </c:pt>
                <c:pt idx="20">
                  <c:v>765292.0965</c:v>
                </c:pt>
                <c:pt idx="21">
                  <c:v>776136.0314</c:v>
                </c:pt>
                <c:pt idx="22">
                  <c:v>784244.3264</c:v>
                </c:pt>
                <c:pt idx="23">
                  <c:v>822170.8498</c:v>
                </c:pt>
                <c:pt idx="24">
                  <c:v>794318.6265</c:v>
                </c:pt>
                <c:pt idx="25">
                  <c:v>793596.9014</c:v>
                </c:pt>
                <c:pt idx="26">
                  <c:v>891955.7476</c:v>
                </c:pt>
                <c:pt idx="27">
                  <c:v>852745.4311</c:v>
                </c:pt>
                <c:pt idx="28">
                  <c:v>832177.2051</c:v>
                </c:pt>
                <c:pt idx="29">
                  <c:v>819480.1217</c:v>
                </c:pt>
                <c:pt idx="30">
                  <c:v>790233.1884</c:v>
                </c:pt>
                <c:pt idx="31">
                  <c:v>813137.7506</c:v>
                </c:pt>
                <c:pt idx="32">
                  <c:v>773759.2573</c:v>
                </c:pt>
                <c:pt idx="33">
                  <c:v>796967.7583</c:v>
                </c:pt>
                <c:pt idx="34">
                  <c:v>764347.6195</c:v>
                </c:pt>
                <c:pt idx="35">
                  <c:v>758693.0039</c:v>
                </c:pt>
              </c:strCache>
            </c:strRef>
          </c:xVal>
          <c:yVal>
            <c:numRef>
              <c:f>Proton_int!$N$78:$N$113</c:f>
              <c:numCache>
                <c:ptCount val="36"/>
                <c:pt idx="0">
                  <c:v>96.72434007176608</c:v>
                </c:pt>
                <c:pt idx="1">
                  <c:v>96.71575023299161</c:v>
                </c:pt>
                <c:pt idx="2">
                  <c:v>96.69750840350696</c:v>
                </c:pt>
                <c:pt idx="3">
                  <c:v>96.67632642839256</c:v>
                </c:pt>
                <c:pt idx="4">
                  <c:v>96.33339295296011</c:v>
                </c:pt>
                <c:pt idx="5">
                  <c:v>96.37114977254575</c:v>
                </c:pt>
                <c:pt idx="6">
                  <c:v>95.49186283057252</c:v>
                </c:pt>
                <c:pt idx="7">
                  <c:v>95.62009305030531</c:v>
                </c:pt>
                <c:pt idx="8">
                  <c:v>95.5673443229964</c:v>
                </c:pt>
                <c:pt idx="9">
                  <c:v>96.5366256325593</c:v>
                </c:pt>
                <c:pt idx="10">
                  <c:v>96.00860962162979</c:v>
                </c:pt>
                <c:pt idx="11">
                  <c:v>96.80156657963447</c:v>
                </c:pt>
                <c:pt idx="12">
                  <c:v>97.10204501079026</c:v>
                </c:pt>
                <c:pt idx="13">
                  <c:v>96.65689149560117</c:v>
                </c:pt>
                <c:pt idx="14">
                  <c:v>96.35925032473558</c:v>
                </c:pt>
                <c:pt idx="15">
                  <c:v>95.99452362564067</c:v>
                </c:pt>
                <c:pt idx="16">
                  <c:v>96.08678529232752</c:v>
                </c:pt>
                <c:pt idx="17">
                  <c:v>96.06282795287905</c:v>
                </c:pt>
                <c:pt idx="18">
                  <c:v>95.34826741337068</c:v>
                </c:pt>
                <c:pt idx="19">
                  <c:v>95.73675055908559</c:v>
                </c:pt>
                <c:pt idx="20">
                  <c:v>95.49641760491299</c:v>
                </c:pt>
                <c:pt idx="21">
                  <c:v>97.00922217731564</c:v>
                </c:pt>
                <c:pt idx="22">
                  <c:v>96.48886624945423</c:v>
                </c:pt>
                <c:pt idx="23">
                  <c:v>97.52167630057804</c:v>
                </c:pt>
                <c:pt idx="24">
                  <c:v>97.08869577970887</c:v>
                </c:pt>
                <c:pt idx="25">
                  <c:v>96.40373750543242</c:v>
                </c:pt>
                <c:pt idx="26">
                  <c:v>96.75943444906946</c:v>
                </c:pt>
                <c:pt idx="27">
                  <c:v>96.2598838429781</c:v>
                </c:pt>
                <c:pt idx="28">
                  <c:v>96.72925499697153</c:v>
                </c:pt>
                <c:pt idx="29">
                  <c:v>96.69394903320348</c:v>
                </c:pt>
                <c:pt idx="30">
                  <c:v>96.16751269035532</c:v>
                </c:pt>
                <c:pt idx="31">
                  <c:v>96.30852017937218</c:v>
                </c:pt>
                <c:pt idx="32">
                  <c:v>96.44447716147079</c:v>
                </c:pt>
                <c:pt idx="33">
                  <c:v>96.73661360347323</c:v>
                </c:pt>
                <c:pt idx="34">
                  <c:v>96.35001652407007</c:v>
                </c:pt>
                <c:pt idx="35">
                  <c:v>97.36229052378448</c:v>
                </c:pt>
              </c:numCache>
            </c:numRef>
          </c:yVal>
          <c:smooth val="0"/>
        </c:ser>
        <c:ser>
          <c:idx val="1"/>
          <c:order val="1"/>
          <c:tx>
            <c:strRef>
              <c:f>Proton_int!$O$77</c:f>
              <c:strCache>
                <c:ptCount val="1"/>
                <c:pt idx="0">
                  <c:v>RH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Proton_int!$M$78:$M$113</c:f>
              <c:strCache>
                <c:ptCount val="36"/>
                <c:pt idx="0">
                  <c:v>P1</c:v>
                </c:pt>
                <c:pt idx="1">
                  <c:v>756343.1102</c:v>
                </c:pt>
                <c:pt idx="2">
                  <c:v>874763.8103</c:v>
                </c:pt>
                <c:pt idx="3">
                  <c:v>823885.4275</c:v>
                </c:pt>
                <c:pt idx="4">
                  <c:v>822170.8498</c:v>
                </c:pt>
                <c:pt idx="5">
                  <c:v>866953.177</c:v>
                </c:pt>
                <c:pt idx="6">
                  <c:v>779946.4511</c:v>
                </c:pt>
                <c:pt idx="7">
                  <c:v>774234.3206</c:v>
                </c:pt>
                <c:pt idx="8">
                  <c:v>805850.2463</c:v>
                </c:pt>
                <c:pt idx="9">
                  <c:v>801251.7935</c:v>
                </c:pt>
                <c:pt idx="10">
                  <c:v>717238.3642</c:v>
                </c:pt>
                <c:pt idx="11">
                  <c:v>797208.8071</c:v>
                </c:pt>
                <c:pt idx="12">
                  <c:v>910151.9195</c:v>
                </c:pt>
                <c:pt idx="13">
                  <c:v>884893.8029</c:v>
                </c:pt>
                <c:pt idx="14">
                  <c:v>760104.6896</c:v>
                </c:pt>
                <c:pt idx="15">
                  <c:v>845530.4037</c:v>
                </c:pt>
                <c:pt idx="16">
                  <c:v>814842.8883</c:v>
                </c:pt>
                <c:pt idx="17">
                  <c:v>857989.2413</c:v>
                </c:pt>
                <c:pt idx="18">
                  <c:v>832177.2051</c:v>
                </c:pt>
                <c:pt idx="19">
                  <c:v>817281.8973</c:v>
                </c:pt>
                <c:pt idx="20">
                  <c:v>765292.0965</c:v>
                </c:pt>
                <c:pt idx="21">
                  <c:v>776136.0314</c:v>
                </c:pt>
                <c:pt idx="22">
                  <c:v>784244.3264</c:v>
                </c:pt>
                <c:pt idx="23">
                  <c:v>822170.8498</c:v>
                </c:pt>
                <c:pt idx="24">
                  <c:v>794318.6265</c:v>
                </c:pt>
                <c:pt idx="25">
                  <c:v>793596.9014</c:v>
                </c:pt>
                <c:pt idx="26">
                  <c:v>891955.7476</c:v>
                </c:pt>
                <c:pt idx="27">
                  <c:v>852745.4311</c:v>
                </c:pt>
                <c:pt idx="28">
                  <c:v>832177.2051</c:v>
                </c:pt>
                <c:pt idx="29">
                  <c:v>819480.1217</c:v>
                </c:pt>
                <c:pt idx="30">
                  <c:v>790233.1884</c:v>
                </c:pt>
                <c:pt idx="31">
                  <c:v>813137.7506</c:v>
                </c:pt>
                <c:pt idx="32">
                  <c:v>773759.2573</c:v>
                </c:pt>
                <c:pt idx="33">
                  <c:v>796967.7583</c:v>
                </c:pt>
                <c:pt idx="34">
                  <c:v>764347.6195</c:v>
                </c:pt>
                <c:pt idx="35">
                  <c:v>758693.0039</c:v>
                </c:pt>
              </c:strCache>
            </c:strRef>
          </c:xVal>
          <c:yVal>
            <c:numRef>
              <c:f>Proton_int!$O$78:$O$113</c:f>
              <c:numCache>
                <c:ptCount val="36"/>
                <c:pt idx="0">
                  <c:v>96.30751052359501</c:v>
                </c:pt>
                <c:pt idx="1">
                  <c:v>91.58290969769878</c:v>
                </c:pt>
                <c:pt idx="2">
                  <c:v>91.00422184534334</c:v>
                </c:pt>
                <c:pt idx="3">
                  <c:v>91.61926008551775</c:v>
                </c:pt>
                <c:pt idx="4">
                  <c:v>94.94175010235604</c:v>
                </c:pt>
                <c:pt idx="5">
                  <c:v>93.39591866323535</c:v>
                </c:pt>
                <c:pt idx="6">
                  <c:v>93.83216141852644</c:v>
                </c:pt>
                <c:pt idx="7">
                  <c:v>93.99355630561521</c:v>
                </c:pt>
                <c:pt idx="8">
                  <c:v>94.15767510056769</c:v>
                </c:pt>
                <c:pt idx="9">
                  <c:v>90.77027485578554</c:v>
                </c:pt>
                <c:pt idx="10">
                  <c:v>90.43197577110067</c:v>
                </c:pt>
                <c:pt idx="11">
                  <c:v>91.64650740852737</c:v>
                </c:pt>
                <c:pt idx="12">
                  <c:v>96.74543653601245</c:v>
                </c:pt>
                <c:pt idx="13">
                  <c:v>92.6882646288523</c:v>
                </c:pt>
                <c:pt idx="14">
                  <c:v>91.92505709751094</c:v>
                </c:pt>
                <c:pt idx="15">
                  <c:v>91.55472362915658</c:v>
                </c:pt>
                <c:pt idx="16">
                  <c:v>95.44247953041462</c:v>
                </c:pt>
                <c:pt idx="17">
                  <c:v>93.41616264665161</c:v>
                </c:pt>
                <c:pt idx="18">
                  <c:v>93.91046984831668</c:v>
                </c:pt>
                <c:pt idx="19">
                  <c:v>94.89677828797551</c:v>
                </c:pt>
                <c:pt idx="20">
                  <c:v>94.9384668801358</c:v>
                </c:pt>
                <c:pt idx="21">
                  <c:v>92.52988047808765</c:v>
                </c:pt>
                <c:pt idx="22">
                  <c:v>91.01753048780489</c:v>
                </c:pt>
                <c:pt idx="23">
                  <c:v>92.47403878363791</c:v>
                </c:pt>
                <c:pt idx="24">
                  <c:v>96.78506513177825</c:v>
                </c:pt>
                <c:pt idx="25">
                  <c:v>90.88877102591303</c:v>
                </c:pt>
                <c:pt idx="26">
                  <c:v>92.57790165809034</c:v>
                </c:pt>
                <c:pt idx="27">
                  <c:v>91.0350120605219</c:v>
                </c:pt>
                <c:pt idx="28">
                  <c:v>97.02552719200888</c:v>
                </c:pt>
                <c:pt idx="29">
                  <c:v>94.09834843231555</c:v>
                </c:pt>
                <c:pt idx="30">
                  <c:v>94.3090356871678</c:v>
                </c:pt>
                <c:pt idx="31">
                  <c:v>95.30296792544631</c:v>
                </c:pt>
                <c:pt idx="32">
                  <c:v>95.21562308164519</c:v>
                </c:pt>
                <c:pt idx="33">
                  <c:v>91.96280054438229</c:v>
                </c:pt>
                <c:pt idx="34">
                  <c:v>90.82416521906967</c:v>
                </c:pt>
                <c:pt idx="35">
                  <c:v>93.0179394784765</c:v>
                </c:pt>
              </c:numCache>
            </c:numRef>
          </c:yVal>
          <c:smooth val="0"/>
        </c:ser>
        <c:ser>
          <c:idx val="2"/>
          <c:order val="2"/>
          <c:tx>
            <c:strRef>
              <c:f>Proton_int!$P$77</c:f>
              <c:strCache>
                <c:ptCount val="1"/>
                <c:pt idx="0">
                  <c:v>HEP4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Proton_int!$M$78:$M$113</c:f>
              <c:strCache>
                <c:ptCount val="36"/>
                <c:pt idx="0">
                  <c:v>P1</c:v>
                </c:pt>
                <c:pt idx="1">
                  <c:v>756343.1102</c:v>
                </c:pt>
                <c:pt idx="2">
                  <c:v>874763.8103</c:v>
                </c:pt>
                <c:pt idx="3">
                  <c:v>823885.4275</c:v>
                </c:pt>
                <c:pt idx="4">
                  <c:v>822170.8498</c:v>
                </c:pt>
                <c:pt idx="5">
                  <c:v>866953.177</c:v>
                </c:pt>
                <c:pt idx="6">
                  <c:v>779946.4511</c:v>
                </c:pt>
                <c:pt idx="7">
                  <c:v>774234.3206</c:v>
                </c:pt>
                <c:pt idx="8">
                  <c:v>805850.2463</c:v>
                </c:pt>
                <c:pt idx="9">
                  <c:v>801251.7935</c:v>
                </c:pt>
                <c:pt idx="10">
                  <c:v>717238.3642</c:v>
                </c:pt>
                <c:pt idx="11">
                  <c:v>797208.8071</c:v>
                </c:pt>
                <c:pt idx="12">
                  <c:v>910151.9195</c:v>
                </c:pt>
                <c:pt idx="13">
                  <c:v>884893.8029</c:v>
                </c:pt>
                <c:pt idx="14">
                  <c:v>760104.6896</c:v>
                </c:pt>
                <c:pt idx="15">
                  <c:v>845530.4037</c:v>
                </c:pt>
                <c:pt idx="16">
                  <c:v>814842.8883</c:v>
                </c:pt>
                <c:pt idx="17">
                  <c:v>857989.2413</c:v>
                </c:pt>
                <c:pt idx="18">
                  <c:v>832177.2051</c:v>
                </c:pt>
                <c:pt idx="19">
                  <c:v>817281.8973</c:v>
                </c:pt>
                <c:pt idx="20">
                  <c:v>765292.0965</c:v>
                </c:pt>
                <c:pt idx="21">
                  <c:v>776136.0314</c:v>
                </c:pt>
                <c:pt idx="22">
                  <c:v>784244.3264</c:v>
                </c:pt>
                <c:pt idx="23">
                  <c:v>822170.8498</c:v>
                </c:pt>
                <c:pt idx="24">
                  <c:v>794318.6265</c:v>
                </c:pt>
                <c:pt idx="25">
                  <c:v>793596.9014</c:v>
                </c:pt>
                <c:pt idx="26">
                  <c:v>891955.7476</c:v>
                </c:pt>
                <c:pt idx="27">
                  <c:v>852745.4311</c:v>
                </c:pt>
                <c:pt idx="28">
                  <c:v>832177.2051</c:v>
                </c:pt>
                <c:pt idx="29">
                  <c:v>819480.1217</c:v>
                </c:pt>
                <c:pt idx="30">
                  <c:v>790233.1884</c:v>
                </c:pt>
                <c:pt idx="31">
                  <c:v>813137.7506</c:v>
                </c:pt>
                <c:pt idx="32">
                  <c:v>773759.2573</c:v>
                </c:pt>
                <c:pt idx="33">
                  <c:v>796967.7583</c:v>
                </c:pt>
                <c:pt idx="34">
                  <c:v>764347.6195</c:v>
                </c:pt>
                <c:pt idx="35">
                  <c:v>758693.0039</c:v>
                </c:pt>
              </c:strCache>
            </c:strRef>
          </c:xVal>
          <c:yVal>
            <c:numRef>
              <c:f>Proton_int!$P$78:$P$113</c:f>
              <c:numCache>
                <c:ptCount val="36"/>
                <c:pt idx="0">
                  <c:v>97.96145577395576</c:v>
                </c:pt>
                <c:pt idx="1">
                  <c:v>96.20601949978804</c:v>
                </c:pt>
                <c:pt idx="2">
                  <c:v>95.69986487560607</c:v>
                </c:pt>
                <c:pt idx="3">
                  <c:v>95.65588080061711</c:v>
                </c:pt>
                <c:pt idx="4">
                  <c:v>97.0195554857457</c:v>
                </c:pt>
                <c:pt idx="5">
                  <c:v>96.98267471286742</c:v>
                </c:pt>
                <c:pt idx="6">
                  <c:v>96.88774677761462</c:v>
                </c:pt>
                <c:pt idx="7">
                  <c:v>96.77881466928619</c:v>
                </c:pt>
                <c:pt idx="8">
                  <c:v>96.21366598696574</c:v>
                </c:pt>
                <c:pt idx="9">
                  <c:v>96.09157127991675</c:v>
                </c:pt>
                <c:pt idx="10">
                  <c:v>95.72140620175554</c:v>
                </c:pt>
                <c:pt idx="11">
                  <c:v>95.36868268434134</c:v>
                </c:pt>
                <c:pt idx="12">
                  <c:v>97.9302752293578</c:v>
                </c:pt>
                <c:pt idx="13">
                  <c:v>96.1572763581372</c:v>
                </c:pt>
                <c:pt idx="14">
                  <c:v>96.01876505642196</c:v>
                </c:pt>
                <c:pt idx="15">
                  <c:v>95.69100784550392</c:v>
                </c:pt>
                <c:pt idx="16">
                  <c:v>97.33061160398837</c:v>
                </c:pt>
                <c:pt idx="17">
                  <c:v>96.69308554249795</c:v>
                </c:pt>
                <c:pt idx="18">
                  <c:v>96.79310616195798</c:v>
                </c:pt>
                <c:pt idx="19">
                  <c:v>96.6593042517946</c:v>
                </c:pt>
                <c:pt idx="20">
                  <c:v>96.74040998579257</c:v>
                </c:pt>
                <c:pt idx="21">
                  <c:v>96.69369931378665</c:v>
                </c:pt>
                <c:pt idx="22">
                  <c:v>96.0271846289382</c:v>
                </c:pt>
                <c:pt idx="23">
                  <c:v>95.41466176054345</c:v>
                </c:pt>
                <c:pt idx="24">
                  <c:v>97.67606186700165</c:v>
                </c:pt>
                <c:pt idx="25">
                  <c:v>95.76607016226589</c:v>
                </c:pt>
                <c:pt idx="26">
                  <c:v>96.20792501065189</c:v>
                </c:pt>
                <c:pt idx="27">
                  <c:v>95.73554779957476</c:v>
                </c:pt>
                <c:pt idx="28">
                  <c:v>97.94332723948813</c:v>
                </c:pt>
                <c:pt idx="29">
                  <c:v>97.0364199000238</c:v>
                </c:pt>
                <c:pt idx="30">
                  <c:v>96.58784192079926</c:v>
                </c:pt>
                <c:pt idx="31">
                  <c:v>96.96528379123042</c:v>
                </c:pt>
                <c:pt idx="32">
                  <c:v>97.04610659877964</c:v>
                </c:pt>
                <c:pt idx="33">
                  <c:v>96.32849843415197</c:v>
                </c:pt>
                <c:pt idx="34">
                  <c:v>96.00870827285922</c:v>
                </c:pt>
                <c:pt idx="35">
                  <c:v>95.71266920916977</c:v>
                </c:pt>
              </c:numCache>
            </c:numRef>
          </c:yVal>
          <c:smooth val="0"/>
        </c:ser>
        <c:axId val="16317588"/>
        <c:axId val="12640565"/>
      </c:scatterChart>
      <c:valAx>
        <c:axId val="16317588"/>
        <c:scaling>
          <c:orientation val="minMax"/>
        </c:scaling>
        <c:axPos val="b"/>
        <c:title>
          <c:tx>
            <c:rich>
              <a:bodyPr vert="horz" rot="0" anchor="ctr"/>
              <a:lstStyle/>
              <a:p>
                <a:pPr algn="ctr">
                  <a:defRPr/>
                </a:pPr>
                <a:r>
                  <a:rPr lang="en-US" cap="none" sz="1200" b="1" i="0" u="none" baseline="0">
                    <a:latin typeface="Arial"/>
                    <a:ea typeface="Arial"/>
                    <a:cs typeface="Arial"/>
                  </a:rPr>
                  <a:t>Bunch number</a:t>
                </a:r>
              </a:p>
            </c:rich>
          </c:tx>
          <c:layout/>
          <c:overlay val="0"/>
          <c:spPr>
            <a:noFill/>
            <a:ln>
              <a:noFill/>
            </a:ln>
          </c:spPr>
        </c:title>
        <c:delete val="0"/>
        <c:numFmt formatCode="General" sourceLinked="1"/>
        <c:majorTickMark val="out"/>
        <c:minorTickMark val="none"/>
        <c:tickLblPos val="nextTo"/>
        <c:crossAx val="12640565"/>
        <c:crosses val="autoZero"/>
        <c:crossBetween val="midCat"/>
        <c:dispUnits/>
      </c:valAx>
      <c:valAx>
        <c:axId val="12640565"/>
        <c:scaling>
          <c:orientation val="minMax"/>
          <c:max val="100"/>
          <c:min val="80"/>
        </c:scaling>
        <c:axPos val="l"/>
        <c:title>
          <c:tx>
            <c:rich>
              <a:bodyPr vert="horz" rot="-5400000" anchor="ctr"/>
              <a:lstStyle/>
              <a:p>
                <a:pPr algn="ctr">
                  <a:defRPr/>
                </a:pPr>
                <a:r>
                  <a:rPr lang="en-US" cap="none" sz="12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Proton 1st 30 min Lifetime</a:t>
            </a:r>
          </a:p>
        </c:rich>
      </c:tx>
      <c:layout/>
      <c:spPr>
        <a:noFill/>
        <a:ln>
          <a:noFill/>
        </a:ln>
      </c:spPr>
    </c:title>
    <c:plotArea>
      <c:layout/>
      <c:scatterChart>
        <c:scatterStyle val="lineMarker"/>
        <c:varyColors val="0"/>
        <c:ser>
          <c:idx val="0"/>
          <c:order val="0"/>
          <c:tx>
            <c:strRef>
              <c:f>Proton_int!$Q$77</c:f>
              <c:strCache>
                <c:ptCount val="1"/>
                <c:pt idx="0">
                  <c:v>Lifetime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Proton_int!$M$78:$M$113</c:f>
              <c:strCache>
                <c:ptCount val="36"/>
                <c:pt idx="0">
                  <c:v>P1</c:v>
                </c:pt>
                <c:pt idx="1">
                  <c:v>756343.1102</c:v>
                </c:pt>
                <c:pt idx="2">
                  <c:v>874763.8103</c:v>
                </c:pt>
                <c:pt idx="3">
                  <c:v>823885.4275</c:v>
                </c:pt>
                <c:pt idx="4">
                  <c:v>822170.8498</c:v>
                </c:pt>
                <c:pt idx="5">
                  <c:v>866953.177</c:v>
                </c:pt>
                <c:pt idx="6">
                  <c:v>779946.4511</c:v>
                </c:pt>
                <c:pt idx="7">
                  <c:v>774234.3206</c:v>
                </c:pt>
                <c:pt idx="8">
                  <c:v>805850.2463</c:v>
                </c:pt>
                <c:pt idx="9">
                  <c:v>801251.7935</c:v>
                </c:pt>
                <c:pt idx="10">
                  <c:v>717238.3642</c:v>
                </c:pt>
                <c:pt idx="11">
                  <c:v>797208.8071</c:v>
                </c:pt>
                <c:pt idx="12">
                  <c:v>910151.9195</c:v>
                </c:pt>
                <c:pt idx="13">
                  <c:v>884893.8029</c:v>
                </c:pt>
                <c:pt idx="14">
                  <c:v>760104.6896</c:v>
                </c:pt>
                <c:pt idx="15">
                  <c:v>845530.4037</c:v>
                </c:pt>
                <c:pt idx="16">
                  <c:v>814842.8883</c:v>
                </c:pt>
                <c:pt idx="17">
                  <c:v>857989.2413</c:v>
                </c:pt>
                <c:pt idx="18">
                  <c:v>832177.2051</c:v>
                </c:pt>
                <c:pt idx="19">
                  <c:v>817281.8973</c:v>
                </c:pt>
                <c:pt idx="20">
                  <c:v>765292.0965</c:v>
                </c:pt>
                <c:pt idx="21">
                  <c:v>776136.0314</c:v>
                </c:pt>
                <c:pt idx="22">
                  <c:v>784244.3264</c:v>
                </c:pt>
                <c:pt idx="23">
                  <c:v>822170.8498</c:v>
                </c:pt>
                <c:pt idx="24">
                  <c:v>794318.6265</c:v>
                </c:pt>
                <c:pt idx="25">
                  <c:v>793596.9014</c:v>
                </c:pt>
                <c:pt idx="26">
                  <c:v>891955.7476</c:v>
                </c:pt>
                <c:pt idx="27">
                  <c:v>852745.4311</c:v>
                </c:pt>
                <c:pt idx="28">
                  <c:v>832177.2051</c:v>
                </c:pt>
                <c:pt idx="29">
                  <c:v>819480.1217</c:v>
                </c:pt>
                <c:pt idx="30">
                  <c:v>790233.1884</c:v>
                </c:pt>
                <c:pt idx="31">
                  <c:v>813137.7506</c:v>
                </c:pt>
                <c:pt idx="32">
                  <c:v>773759.2573</c:v>
                </c:pt>
                <c:pt idx="33">
                  <c:v>796967.7583</c:v>
                </c:pt>
                <c:pt idx="34">
                  <c:v>764347.6195</c:v>
                </c:pt>
                <c:pt idx="35">
                  <c:v>758693.0039</c:v>
                </c:pt>
              </c:strCache>
            </c:strRef>
          </c:xVal>
          <c:yVal>
            <c:numRef>
              <c:f>Proton_int!$Q$78:$Q$113</c:f>
              <c:numCache>
                <c:ptCount val="36"/>
                <c:pt idx="0">
                  <c:v>24.27644880350564</c:v>
                </c:pt>
                <c:pt idx="1">
                  <c:v>12.927159395838878</c:v>
                </c:pt>
                <c:pt idx="2">
                  <c:v>11.375710261134817</c:v>
                </c:pt>
                <c:pt idx="3">
                  <c:v>11.257962602883962</c:v>
                </c:pt>
                <c:pt idx="4">
                  <c:v>16.524760365236613</c:v>
                </c:pt>
                <c:pt idx="5">
                  <c:v>16.319691185462986</c:v>
                </c:pt>
                <c:pt idx="6">
                  <c:v>15.81421344111832</c:v>
                </c:pt>
                <c:pt idx="7">
                  <c:v>15.270872111892846</c:v>
                </c:pt>
                <c:pt idx="8">
                  <c:v>12.953777185086564</c:v>
                </c:pt>
                <c:pt idx="9">
                  <c:v>12.541203602837266</c:v>
                </c:pt>
                <c:pt idx="10">
                  <c:v>11.434260522612302</c:v>
                </c:pt>
                <c:pt idx="11">
                  <c:v>10.544088644128449</c:v>
                </c:pt>
                <c:pt idx="12">
                  <c:v>23.90692998988475</c:v>
                </c:pt>
                <c:pt idx="13">
                  <c:v>12.759971771754946</c:v>
                </c:pt>
                <c:pt idx="14">
                  <c:v>12.307224471337673</c:v>
                </c:pt>
                <c:pt idx="15">
                  <c:v>11.351806272010117</c:v>
                </c:pt>
                <c:pt idx="16">
                  <c:v>18.479755006872832</c:v>
                </c:pt>
                <c:pt idx="17">
                  <c:v>14.868433558389594</c:v>
                </c:pt>
                <c:pt idx="18">
                  <c:v>15.3400529665092</c:v>
                </c:pt>
                <c:pt idx="19">
                  <c:v>14.715526437771693</c:v>
                </c:pt>
                <c:pt idx="20">
                  <c:v>15.087971662808064</c:v>
                </c:pt>
                <c:pt idx="21">
                  <c:v>14.871240621548294</c:v>
                </c:pt>
                <c:pt idx="22">
                  <c:v>12.333844189974245</c:v>
                </c:pt>
                <c:pt idx="23">
                  <c:v>10.652365312292726</c:v>
                </c:pt>
                <c:pt idx="24">
                  <c:v>21.264222975327524</c:v>
                </c:pt>
                <c:pt idx="25">
                  <c:v>11.557557089744051</c:v>
                </c:pt>
                <c:pt idx="26">
                  <c:v>12.933782529748857</c:v>
                </c:pt>
                <c:pt idx="27">
                  <c:v>11.473019574644455</c:v>
                </c:pt>
                <c:pt idx="28">
                  <c:v>24.060245235340528</c:v>
                </c:pt>
                <c:pt idx="29">
                  <c:v>16.62023247038787</c:v>
                </c:pt>
                <c:pt idx="30">
                  <c:v>14.402036355116612</c:v>
                </c:pt>
                <c:pt idx="31">
                  <c:v>16.224721159616063</c:v>
                </c:pt>
                <c:pt idx="32">
                  <c:v>16.675563271108253</c:v>
                </c:pt>
                <c:pt idx="33">
                  <c:v>13.366847739040212</c:v>
                </c:pt>
                <c:pt idx="34">
                  <c:v>12.275575637220355</c:v>
                </c:pt>
                <c:pt idx="35">
                  <c:v>11.410442085129214</c:v>
                </c:pt>
              </c:numCache>
            </c:numRef>
          </c:yVal>
          <c:smooth val="0"/>
        </c:ser>
        <c:axId val="46656222"/>
        <c:axId val="17252815"/>
      </c:scatterChart>
      <c:valAx>
        <c:axId val="46656222"/>
        <c:scaling>
          <c:orientation val="minMax"/>
        </c:scaling>
        <c:axPos val="b"/>
        <c:title>
          <c:tx>
            <c:rich>
              <a:bodyPr vert="horz" rot="0" anchor="ctr"/>
              <a:lstStyle/>
              <a:p>
                <a:pPr algn="ctr">
                  <a:defRPr/>
                </a:pPr>
                <a:r>
                  <a:rPr lang="en-US" cap="none" sz="1100" b="1" i="0" u="none" baseline="0">
                    <a:latin typeface="Arial"/>
                    <a:ea typeface="Arial"/>
                    <a:cs typeface="Arial"/>
                  </a:rPr>
                  <a:t>bunch number</a:t>
                </a:r>
              </a:p>
            </c:rich>
          </c:tx>
          <c:layout/>
          <c:overlay val="0"/>
          <c:spPr>
            <a:noFill/>
            <a:ln>
              <a:noFill/>
            </a:ln>
          </c:spPr>
        </c:title>
        <c:delete val="0"/>
        <c:numFmt formatCode="General" sourceLinked="1"/>
        <c:majorTickMark val="out"/>
        <c:minorTickMark val="none"/>
        <c:tickLblPos val="nextTo"/>
        <c:crossAx val="17252815"/>
        <c:crosses val="autoZero"/>
        <c:crossBetween val="midCat"/>
        <c:dispUnits/>
      </c:valAx>
      <c:valAx>
        <c:axId val="17252815"/>
        <c:scaling>
          <c:orientation val="minMax"/>
        </c:scaling>
        <c:axPos val="l"/>
        <c:title>
          <c:tx>
            <c:rich>
              <a:bodyPr vert="horz" rot="-5400000" anchor="ctr"/>
              <a:lstStyle/>
              <a:p>
                <a:pPr algn="ctr">
                  <a:defRPr/>
                </a:pPr>
                <a:r>
                  <a:rPr lang="en-US" cap="none" sz="1100" b="1" i="0" u="none" baseline="0">
                    <a:latin typeface="Arial"/>
                    <a:ea typeface="Arial"/>
                    <a:cs typeface="Arial"/>
                  </a:rPr>
                  <a:t>lifetime</a:t>
                </a:r>
              </a:p>
            </c:rich>
          </c:tx>
          <c:layout/>
          <c:overlay val="0"/>
          <c:spPr>
            <a:noFill/>
            <a:ln>
              <a:noFill/>
            </a:ln>
          </c:spPr>
        </c:title>
        <c:majorGridlines/>
        <c:delete val="0"/>
        <c:numFmt formatCode="General" sourceLinked="1"/>
        <c:majorTickMark val="out"/>
        <c:minorTickMark val="none"/>
        <c:tickLblPos val="nextTo"/>
        <c:crossAx val="466562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Proton_FW_VE11!$C$64</c:f>
              <c:strCache>
                <c:ptCount val="1"/>
                <c:pt idx="0">
                  <c:v>P1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Proton_FW_VE11!$B$65:$B$111</c:f>
              <c:strCache/>
            </c:strRef>
          </c:xVal>
          <c:yVal>
            <c:numRef>
              <c:f>Proton_FW_VE11!$C$65:$C$111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
          <c:order val="1"/>
          <c:tx>
            <c:strRef>
              <c:f>Proton_FW_VE11!$D$64</c:f>
              <c:strCache>
                <c:ptCount val="1"/>
                <c:pt idx="0">
                  <c:v>P2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Proton_FW_VE11!$B$65:$B$111</c:f>
              <c:strCache/>
            </c:strRef>
          </c:xVal>
          <c:yVal>
            <c:numRef>
              <c:f>Proton_FW_VE11!$D$65:$D$111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
          <c:order val="2"/>
          <c:tx>
            <c:strRef>
              <c:f>Proton_FW_VE11!$E$64</c:f>
              <c:strCache>
                <c:ptCount val="1"/>
                <c:pt idx="0">
                  <c:v>P3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Proton_FW_VE11!$B$65:$B$111</c:f>
              <c:strCache/>
            </c:strRef>
          </c:xVal>
          <c:yVal>
            <c:numRef>
              <c:f>Proton_FW_VE11!$E$65:$E$111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
          <c:order val="3"/>
          <c:tx>
            <c:strRef>
              <c:f>Proton_FW_VE11!$F$64</c:f>
              <c:strCache>
                <c:ptCount val="1"/>
                <c:pt idx="0">
                  <c:v>P4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Proton_FW_VE11!$B$65:$B$111</c:f>
              <c:strCache/>
            </c:strRef>
          </c:xVal>
          <c:yVal>
            <c:numRef>
              <c:f>Proton_FW_VE11!$F$65:$F$111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4"/>
          <c:order val="4"/>
          <c:tx>
            <c:strRef>
              <c:f>Proton_FW_VE11!$G$64</c:f>
              <c:strCache>
                <c:ptCount val="1"/>
                <c:pt idx="0">
                  <c:v>P5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Proton_FW_VE11!$B$65:$B$111</c:f>
              <c:strCache/>
            </c:strRef>
          </c:xVal>
          <c:yVal>
            <c:numRef>
              <c:f>Proton_FW_VE11!$G$65:$G$111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5"/>
          <c:order val="5"/>
          <c:tx>
            <c:strRef>
              <c:f>Proton_FW_VE11!$H$64</c:f>
              <c:strCache>
                <c:ptCount val="1"/>
                <c:pt idx="0">
                  <c:v>P6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Proton_FW_VE11!$B$65:$B$111</c:f>
              <c:strCache/>
            </c:strRef>
          </c:xVal>
          <c:yVal>
            <c:numRef>
              <c:f>Proton_FW_VE11!$H$65:$H$111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6"/>
          <c:order val="6"/>
          <c:tx>
            <c:strRef>
              <c:f>Proton_FW_VE11!$I$64</c:f>
              <c:strCache>
                <c:ptCount val="1"/>
                <c:pt idx="0">
                  <c:v>P7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Proton_FW_VE11!$B$65:$B$111</c:f>
              <c:strCache/>
            </c:strRef>
          </c:xVal>
          <c:yVal>
            <c:numRef>
              <c:f>Proton_FW_VE11!$I$65:$I$111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7"/>
          <c:order val="7"/>
          <c:tx>
            <c:strRef>
              <c:f>Proton_FW_VE11!$J$64</c:f>
              <c:strCache>
                <c:ptCount val="1"/>
                <c:pt idx="0">
                  <c:v>P8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Proton_FW_VE11!$B$65:$B$111</c:f>
              <c:strCache/>
            </c:strRef>
          </c:xVal>
          <c:yVal>
            <c:numRef>
              <c:f>Proton_FW_VE11!$J$65:$J$111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8"/>
          <c:order val="8"/>
          <c:tx>
            <c:strRef>
              <c:f>Proton_FW_VE11!$K$64</c:f>
              <c:strCache>
                <c:ptCount val="1"/>
                <c:pt idx="0">
                  <c:v>P9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Proton_FW_VE11!$B$65:$B$111</c:f>
              <c:strCache/>
            </c:strRef>
          </c:xVal>
          <c:yVal>
            <c:numRef>
              <c:f>Proton_FW_VE11!$K$65:$K$111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9"/>
          <c:order val="9"/>
          <c:tx>
            <c:strRef>
              <c:f>Proton_FW_VE11!$L$64</c:f>
              <c:strCache>
                <c:ptCount val="1"/>
                <c:pt idx="0">
                  <c:v>P10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Proton_FW_VE11!$B$65:$B$111</c:f>
              <c:strCache/>
            </c:strRef>
          </c:xVal>
          <c:yVal>
            <c:numRef>
              <c:f>Proton_FW_VE11!$L$65:$L$111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0"/>
          <c:order val="10"/>
          <c:tx>
            <c:strRef>
              <c:f>Proton_FW_VE11!$M$64</c:f>
              <c:strCache>
                <c:ptCount val="1"/>
                <c:pt idx="0">
                  <c:v>P11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Proton_FW_VE11!$B$65:$B$111</c:f>
              <c:strCache/>
            </c:strRef>
          </c:xVal>
          <c:yVal>
            <c:numRef>
              <c:f>Proton_FW_VE11!$M$65:$M$111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1"/>
          <c:order val="11"/>
          <c:tx>
            <c:strRef>
              <c:f>Proton_FW_VE11!$N$64</c:f>
              <c:strCache>
                <c:ptCount val="1"/>
                <c:pt idx="0">
                  <c:v>P12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Proton_FW_VE11!$B$65:$B$111</c:f>
              <c:strCache/>
            </c:strRef>
          </c:xVal>
          <c:yVal>
            <c:numRef>
              <c:f>Proton_FW_VE11!$N$65:$N$111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2"/>
          <c:order val="12"/>
          <c:tx>
            <c:strRef>
              <c:f>Proton_FW_VE11!$O$64</c:f>
              <c:strCache>
                <c:ptCount val="1"/>
                <c:pt idx="0">
                  <c:v>P13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Proton_FW_VE11!$B$65:$B$111</c:f>
              <c:strCache/>
            </c:strRef>
          </c:xVal>
          <c:yVal>
            <c:numRef>
              <c:f>Proton_FW_VE11!$O$65:$O$111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3"/>
          <c:order val="13"/>
          <c:tx>
            <c:strRef>
              <c:f>Proton_FW_VE11!$P$64</c:f>
              <c:strCache>
                <c:ptCount val="1"/>
                <c:pt idx="0">
                  <c:v>P14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Proton_FW_VE11!$B$65:$B$111</c:f>
              <c:strCache/>
            </c:strRef>
          </c:xVal>
          <c:yVal>
            <c:numRef>
              <c:f>Proton_FW_VE11!$P$65:$P$111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4"/>
          <c:order val="14"/>
          <c:tx>
            <c:strRef>
              <c:f>Proton_FW_VE11!$Q$64</c:f>
              <c:strCache>
                <c:ptCount val="1"/>
                <c:pt idx="0">
                  <c:v>P15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Proton_FW_VE11!$B$65:$B$111</c:f>
              <c:strCache/>
            </c:strRef>
          </c:xVal>
          <c:yVal>
            <c:numRef>
              <c:f>Proton_FW_VE11!$Q$65:$Q$111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5"/>
          <c:order val="15"/>
          <c:tx>
            <c:strRef>
              <c:f>Proton_FW_VE11!$R$64</c:f>
              <c:strCache>
                <c:ptCount val="1"/>
                <c:pt idx="0">
                  <c:v>P16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Proton_FW_VE11!$B$65:$B$111</c:f>
              <c:strCache/>
            </c:strRef>
          </c:xVal>
          <c:yVal>
            <c:numRef>
              <c:f>Proton_FW_VE11!$R$65:$R$111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6"/>
          <c:order val="16"/>
          <c:tx>
            <c:strRef>
              <c:f>Proton_FW_VE11!$S$64</c:f>
              <c:strCache>
                <c:ptCount val="1"/>
                <c:pt idx="0">
                  <c:v>P17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Proton_FW_VE11!$B$65:$B$111</c:f>
              <c:strCache/>
            </c:strRef>
          </c:xVal>
          <c:yVal>
            <c:numRef>
              <c:f>Proton_FW_VE11!$S$65:$S$111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7"/>
          <c:order val="17"/>
          <c:tx>
            <c:strRef>
              <c:f>Proton_FW_VE11!$T$64</c:f>
              <c:strCache>
                <c:ptCount val="1"/>
                <c:pt idx="0">
                  <c:v>P18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Proton_FW_VE11!$B$65:$B$111</c:f>
              <c:strCache/>
            </c:strRef>
          </c:xVal>
          <c:yVal>
            <c:numRef>
              <c:f>Proton_FW_VE11!$T$65:$T$111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8"/>
          <c:order val="18"/>
          <c:tx>
            <c:strRef>
              <c:f>Proton_FW_VE11!$U$64</c:f>
              <c:strCache>
                <c:ptCount val="1"/>
                <c:pt idx="0">
                  <c:v>P19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Proton_FW_VE11!$B$65:$B$111</c:f>
              <c:strCache/>
            </c:strRef>
          </c:xVal>
          <c:yVal>
            <c:numRef>
              <c:f>Proton_FW_VE11!$U$65:$U$111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19"/>
          <c:order val="19"/>
          <c:tx>
            <c:strRef>
              <c:f>Proton_FW_VE11!$V$64</c:f>
              <c:strCache>
                <c:ptCount val="1"/>
                <c:pt idx="0">
                  <c:v>P20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Proton_FW_VE11!$B$65:$B$111</c:f>
              <c:strCache/>
            </c:strRef>
          </c:xVal>
          <c:yVal>
            <c:numRef>
              <c:f>Proton_FW_VE11!$V$65:$V$111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0"/>
          <c:order val="20"/>
          <c:tx>
            <c:strRef>
              <c:f>Proton_FW_VE11!$W$64</c:f>
              <c:strCache>
                <c:ptCount val="1"/>
                <c:pt idx="0">
                  <c:v>P21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Proton_FW_VE11!$B$65:$B$111</c:f>
              <c:strCache/>
            </c:strRef>
          </c:xVal>
          <c:yVal>
            <c:numRef>
              <c:f>Proton_FW_VE11!$W$65:$W$111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1"/>
          <c:order val="21"/>
          <c:tx>
            <c:strRef>
              <c:f>Proton_FW_VE11!$X$64</c:f>
              <c:strCache>
                <c:ptCount val="1"/>
                <c:pt idx="0">
                  <c:v>P22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Proton_FW_VE11!$B$65:$B$111</c:f>
              <c:strCache/>
            </c:strRef>
          </c:xVal>
          <c:yVal>
            <c:numRef>
              <c:f>Proton_FW_VE11!$X$65:$X$111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2"/>
          <c:order val="22"/>
          <c:tx>
            <c:strRef>
              <c:f>Proton_FW_VE11!$Y$64</c:f>
              <c:strCache>
                <c:ptCount val="1"/>
                <c:pt idx="0">
                  <c:v>P23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Proton_FW_VE11!$B$65:$B$111</c:f>
              <c:strCache/>
            </c:strRef>
          </c:xVal>
          <c:yVal>
            <c:numRef>
              <c:f>Proton_FW_VE11!$Y$65:$Y$111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3"/>
          <c:order val="23"/>
          <c:tx>
            <c:strRef>
              <c:f>Proton_FW_VE11!$Z$64</c:f>
              <c:strCache>
                <c:ptCount val="1"/>
                <c:pt idx="0">
                  <c:v>P24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Proton_FW_VE11!$B$65:$B$111</c:f>
              <c:strCache/>
            </c:strRef>
          </c:xVal>
          <c:yVal>
            <c:numRef>
              <c:f>Proton_FW_VE11!$Z$65:$Z$111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4"/>
          <c:order val="24"/>
          <c:tx>
            <c:strRef>
              <c:f>Proton_FW_VE11!$AA$64</c:f>
              <c:strCache>
                <c:ptCount val="1"/>
                <c:pt idx="0">
                  <c:v>P25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Proton_FW_VE11!$B$65:$B$111</c:f>
              <c:strCache/>
            </c:strRef>
          </c:xVal>
          <c:yVal>
            <c:numRef>
              <c:f>Proton_FW_VE11!$AA$65:$AA$111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5"/>
          <c:order val="25"/>
          <c:tx>
            <c:strRef>
              <c:f>Proton_FW_VE11!$AB$64</c:f>
              <c:strCache>
                <c:ptCount val="1"/>
                <c:pt idx="0">
                  <c:v>P26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Proton_FW_VE11!$B$65:$B$111</c:f>
              <c:strCache/>
            </c:strRef>
          </c:xVal>
          <c:yVal>
            <c:numRef>
              <c:f>Proton_FW_VE11!$AB$65:$AB$111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6"/>
          <c:order val="26"/>
          <c:tx>
            <c:strRef>
              <c:f>Proton_FW_VE11!$AC$64</c:f>
              <c:strCache>
                <c:ptCount val="1"/>
                <c:pt idx="0">
                  <c:v>P27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Proton_FW_VE11!$B$65:$B$111</c:f>
              <c:strCache/>
            </c:strRef>
          </c:xVal>
          <c:yVal>
            <c:numRef>
              <c:f>Proton_FW_VE11!$AC$65:$AC$111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7"/>
          <c:order val="27"/>
          <c:tx>
            <c:strRef>
              <c:f>Proton_FW_VE11!$AD$64</c:f>
              <c:strCache>
                <c:ptCount val="1"/>
                <c:pt idx="0">
                  <c:v>P28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Proton_FW_VE11!$B$65:$B$111</c:f>
              <c:strCache/>
            </c:strRef>
          </c:xVal>
          <c:yVal>
            <c:numRef>
              <c:f>Proton_FW_VE11!$AD$65:$AD$111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8"/>
          <c:order val="28"/>
          <c:tx>
            <c:strRef>
              <c:f>Proton_FW_VE11!$AE$64</c:f>
              <c:strCache>
                <c:ptCount val="1"/>
                <c:pt idx="0">
                  <c:v>P29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Proton_FW_VE11!$B$65:$B$111</c:f>
              <c:strCache/>
            </c:strRef>
          </c:xVal>
          <c:yVal>
            <c:numRef>
              <c:f>Proton_FW_VE11!$AE$65:$AE$111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29"/>
          <c:order val="29"/>
          <c:tx>
            <c:strRef>
              <c:f>Proton_FW_VE11!$AF$64</c:f>
              <c:strCache>
                <c:ptCount val="1"/>
                <c:pt idx="0">
                  <c:v>P30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Proton_FW_VE11!$B$65:$B$111</c:f>
              <c:strCache/>
            </c:strRef>
          </c:xVal>
          <c:yVal>
            <c:numRef>
              <c:f>Proton_FW_VE11!$AF$65:$AF$111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0"/>
          <c:order val="30"/>
          <c:tx>
            <c:strRef>
              <c:f>Proton_FW_VE11!$AG$64</c:f>
              <c:strCache>
                <c:ptCount val="1"/>
                <c:pt idx="0">
                  <c:v>P31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Proton_FW_VE11!$B$65:$B$111</c:f>
              <c:strCache/>
            </c:strRef>
          </c:xVal>
          <c:yVal>
            <c:numRef>
              <c:f>Proton_FW_VE11!$AG$65:$AG$111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1"/>
          <c:order val="31"/>
          <c:tx>
            <c:strRef>
              <c:f>Proton_FW_VE11!$AH$64</c:f>
              <c:strCache>
                <c:ptCount val="1"/>
                <c:pt idx="0">
                  <c:v>P32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Proton_FW_VE11!$B$65:$B$111</c:f>
              <c:strCache/>
            </c:strRef>
          </c:xVal>
          <c:yVal>
            <c:numRef>
              <c:f>Proton_FW_VE11!$AH$65:$AH$111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2"/>
          <c:order val="32"/>
          <c:tx>
            <c:strRef>
              <c:f>Proton_FW_VE11!$AI$64</c:f>
              <c:strCache>
                <c:ptCount val="1"/>
                <c:pt idx="0">
                  <c:v>P33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Proton_FW_VE11!$B$65:$B$111</c:f>
              <c:strCache/>
            </c:strRef>
          </c:xVal>
          <c:yVal>
            <c:numRef>
              <c:f>Proton_FW_VE11!$AI$65:$AI$111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3"/>
          <c:order val="33"/>
          <c:tx>
            <c:strRef>
              <c:f>Proton_FW_VE11!$AJ$64</c:f>
              <c:strCache>
                <c:ptCount val="1"/>
                <c:pt idx="0">
                  <c:v>P34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Proton_FW_VE11!$B$65:$B$111</c:f>
              <c:strCache/>
            </c:strRef>
          </c:xVal>
          <c:yVal>
            <c:numRef>
              <c:f>Proton_FW_VE11!$AJ$65:$AJ$111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4"/>
          <c:order val="34"/>
          <c:tx>
            <c:strRef>
              <c:f>Proton_FW_VE11!$AK$64</c:f>
              <c:strCache>
                <c:ptCount val="1"/>
                <c:pt idx="0">
                  <c:v>P35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Proton_FW_VE11!$B$65:$B$111</c:f>
              <c:strCache/>
            </c:strRef>
          </c:xVal>
          <c:yVal>
            <c:numRef>
              <c:f>Proton_FW_VE11!$AK$65:$AK$111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ser>
          <c:idx val="35"/>
          <c:order val="35"/>
          <c:tx>
            <c:strRef>
              <c:f>Proton_FW_VE11!$AL$64</c:f>
              <c:strCache>
                <c:ptCount val="1"/>
                <c:pt idx="0">
                  <c:v>P36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Proton_FW_VE11!$B$65:$B$111</c:f>
              <c:strCache/>
            </c:strRef>
          </c:xVal>
          <c:yVal>
            <c:numRef>
              <c:f>Proton_FW_VE11!$AL$65:$AL$111</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yVal>
          <c:smooth val="0"/>
        </c:ser>
        <c:axId val="21057608"/>
        <c:axId val="55300745"/>
      </c:scatterChart>
      <c:valAx>
        <c:axId val="21057608"/>
        <c:scaling>
          <c:orientation val="minMax"/>
        </c:scaling>
        <c:axPos val="b"/>
        <c:delete val="0"/>
        <c:numFmt formatCode="General" sourceLinked="1"/>
        <c:majorTickMark val="out"/>
        <c:minorTickMark val="none"/>
        <c:tickLblPos val="nextTo"/>
        <c:crossAx val="55300745"/>
        <c:crosses val="autoZero"/>
        <c:crossBetween val="midCat"/>
        <c:dispUnits/>
      </c:valAx>
      <c:valAx>
        <c:axId val="55300745"/>
        <c:scaling>
          <c:orientation val="minMax"/>
          <c:max val="36"/>
          <c:min val="0"/>
        </c:scaling>
        <c:axPos val="l"/>
        <c:majorGridlines/>
        <c:delete val="0"/>
        <c:numFmt formatCode="General" sourceLinked="1"/>
        <c:majorTickMark val="out"/>
        <c:minorTickMark val="none"/>
        <c:tickLblPos val="nextTo"/>
        <c:crossAx val="210576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Proton Emittance Growth</a:t>
            </a:r>
          </a:p>
        </c:rich>
      </c:tx>
      <c:layout/>
      <c:spPr>
        <a:noFill/>
        <a:ln>
          <a:noFill/>
        </a:ln>
      </c:spPr>
    </c:title>
    <c:plotArea>
      <c:layout/>
      <c:scatterChart>
        <c:scatterStyle val="lineMarker"/>
        <c:varyColors val="0"/>
        <c:ser>
          <c:idx val="0"/>
          <c:order val="0"/>
          <c:tx>
            <c:strRef>
              <c:f>Proton_FW_VE11!$O$122</c:f>
              <c:strCache>
                <c:ptCount val="1"/>
                <c:pt idx="0">
                  <c:v>accelerate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Proton_FW_VE11!$O$123:$O$158</c:f>
              <c:numCache>
                <c:ptCount val="36"/>
                <c:pt idx="0">
                  <c:v>-2.8741480000000017</c:v>
                </c:pt>
                <c:pt idx="1">
                  <c:v>-2.0234249999999996</c:v>
                </c:pt>
                <c:pt idx="2">
                  <c:v>-1.8884320000000017</c:v>
                </c:pt>
                <c:pt idx="3">
                  <c:v>-1.3941370000000024</c:v>
                </c:pt>
                <c:pt idx="4">
                  <c:v>-1.4152679999999993</c:v>
                </c:pt>
                <c:pt idx="5">
                  <c:v>-1.7048079999999999</c:v>
                </c:pt>
                <c:pt idx="6">
                  <c:v>-1.955808000000001</c:v>
                </c:pt>
                <c:pt idx="7">
                  <c:v>-1.455808000000001</c:v>
                </c:pt>
                <c:pt idx="8">
                  <c:v>-1.6868250000000025</c:v>
                </c:pt>
                <c:pt idx="9">
                  <c:v>-1.9398250000000026</c:v>
                </c:pt>
                <c:pt idx="10">
                  <c:v>-1.4358250000000012</c:v>
                </c:pt>
                <c:pt idx="11">
                  <c:v>-2.463808</c:v>
                </c:pt>
                <c:pt idx="12">
                  <c:v>-1.6682679999999994</c:v>
                </c:pt>
                <c:pt idx="13">
                  <c:v>-1.1411370000000023</c:v>
                </c:pt>
                <c:pt idx="14">
                  <c:v>-1.955808000000001</c:v>
                </c:pt>
                <c:pt idx="15">
                  <c:v>-1.3941370000000024</c:v>
                </c:pt>
                <c:pt idx="16">
                  <c:v>-1.4152679999999993</c:v>
                </c:pt>
                <c:pt idx="17">
                  <c:v>-1.1868250000000025</c:v>
                </c:pt>
                <c:pt idx="18">
                  <c:v>-1.1411370000000023</c:v>
                </c:pt>
                <c:pt idx="19">
                  <c:v>-0.6411370000000023</c:v>
                </c:pt>
                <c:pt idx="20">
                  <c:v>-1.455808000000001</c:v>
                </c:pt>
                <c:pt idx="21">
                  <c:v>-1.3941370000000024</c:v>
                </c:pt>
                <c:pt idx="22">
                  <c:v>-1.6868250000000025</c:v>
                </c:pt>
                <c:pt idx="23">
                  <c:v>-1.6868250000000025</c:v>
                </c:pt>
                <c:pt idx="24">
                  <c:v>-1.3941370000000024</c:v>
                </c:pt>
                <c:pt idx="25">
                  <c:v>-1.3941370000000024</c:v>
                </c:pt>
                <c:pt idx="26">
                  <c:v>-1.455808000000001</c:v>
                </c:pt>
                <c:pt idx="27">
                  <c:v>-2.208808000000001</c:v>
                </c:pt>
                <c:pt idx="28">
                  <c:v>-1.7048079999999999</c:v>
                </c:pt>
                <c:pt idx="29">
                  <c:v>-1.4358250000000012</c:v>
                </c:pt>
                <c:pt idx="30">
                  <c:v>-1.4358250000000012</c:v>
                </c:pt>
                <c:pt idx="31">
                  <c:v>-1.7222170000000023</c:v>
                </c:pt>
                <c:pt idx="32">
                  <c:v>-1.4358250000000012</c:v>
                </c:pt>
                <c:pt idx="33">
                  <c:v>-2.2222170000000023</c:v>
                </c:pt>
                <c:pt idx="34">
                  <c:v>-2.2222170000000023</c:v>
                </c:pt>
                <c:pt idx="35">
                  <c:v>-2.2350520000000014</c:v>
                </c:pt>
              </c:numCache>
            </c:numRef>
          </c:yVal>
          <c:smooth val="0"/>
        </c:ser>
        <c:ser>
          <c:idx val="1"/>
          <c:order val="1"/>
          <c:tx>
            <c:strRef>
              <c:f>Proton_FW_VE11!$P$122</c:f>
              <c:strCache>
                <c:ptCount val="1"/>
                <c:pt idx="0">
                  <c:v>flattop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Proton_FW_VE11!$P$123:$P$158</c:f>
              <c:numCache>
                <c:ptCount val="36"/>
                <c:pt idx="0">
                  <c:v>2.5551240000000064</c:v>
                </c:pt>
                <c:pt idx="1">
                  <c:v>2.260401000000005</c:v>
                </c:pt>
                <c:pt idx="2">
                  <c:v>2.1484319999999997</c:v>
                </c:pt>
                <c:pt idx="3">
                  <c:v>2.425137000000001</c:v>
                </c:pt>
                <c:pt idx="4">
                  <c:v>2.019731999999996</c:v>
                </c:pt>
                <c:pt idx="5">
                  <c:v>1.8944639999999993</c:v>
                </c:pt>
                <c:pt idx="6">
                  <c:v>1.8944639999999993</c:v>
                </c:pt>
                <c:pt idx="7">
                  <c:v>1.2423839999999995</c:v>
                </c:pt>
                <c:pt idx="8">
                  <c:v>1.6254810000000006</c:v>
                </c:pt>
                <c:pt idx="9">
                  <c:v>2.291288999999999</c:v>
                </c:pt>
                <c:pt idx="10">
                  <c:v>1.6254810000000006</c:v>
                </c:pt>
                <c:pt idx="11">
                  <c:v>2.5602719999999977</c:v>
                </c:pt>
                <c:pt idx="12">
                  <c:v>2.019731999999996</c:v>
                </c:pt>
                <c:pt idx="13">
                  <c:v>1.7456009999999988</c:v>
                </c:pt>
                <c:pt idx="14">
                  <c:v>1.8944639999999993</c:v>
                </c:pt>
                <c:pt idx="15">
                  <c:v>1.7456009999999988</c:v>
                </c:pt>
                <c:pt idx="16">
                  <c:v>2.019731999999996</c:v>
                </c:pt>
                <c:pt idx="17">
                  <c:v>1.6254810000000006</c:v>
                </c:pt>
                <c:pt idx="18">
                  <c:v>1.7456009999999988</c:v>
                </c:pt>
                <c:pt idx="19">
                  <c:v>1.7456009999999988</c:v>
                </c:pt>
                <c:pt idx="20">
                  <c:v>2.5602719999999977</c:v>
                </c:pt>
                <c:pt idx="21">
                  <c:v>1.0797930000000004</c:v>
                </c:pt>
                <c:pt idx="22">
                  <c:v>2.291288999999999</c:v>
                </c:pt>
                <c:pt idx="23">
                  <c:v>1.6254810000000006</c:v>
                </c:pt>
                <c:pt idx="24">
                  <c:v>1.7456009999999988</c:v>
                </c:pt>
                <c:pt idx="25">
                  <c:v>1.0797930000000004</c:v>
                </c:pt>
                <c:pt idx="26">
                  <c:v>1.8944639999999993</c:v>
                </c:pt>
                <c:pt idx="27">
                  <c:v>1.8944639999999993</c:v>
                </c:pt>
                <c:pt idx="28">
                  <c:v>1.8944639999999993</c:v>
                </c:pt>
                <c:pt idx="29">
                  <c:v>1.6254810000000006</c:v>
                </c:pt>
                <c:pt idx="30">
                  <c:v>1.6254810000000006</c:v>
                </c:pt>
                <c:pt idx="31">
                  <c:v>2.1608730000000005</c:v>
                </c:pt>
                <c:pt idx="32">
                  <c:v>1.6254810000000006</c:v>
                </c:pt>
                <c:pt idx="33">
                  <c:v>2.1608730000000005</c:v>
                </c:pt>
                <c:pt idx="34">
                  <c:v>2.1608730000000005</c:v>
                </c:pt>
                <c:pt idx="35">
                  <c:v>1.772628000000001</c:v>
                </c:pt>
              </c:numCache>
            </c:numRef>
          </c:yVal>
          <c:smooth val="0"/>
        </c:ser>
        <c:ser>
          <c:idx val="2"/>
          <c:order val="2"/>
          <c:tx>
            <c:strRef>
              <c:f>Proton_FW_VE11!$Q$122</c:f>
              <c:strCache>
                <c:ptCount val="1"/>
                <c:pt idx="0">
                  <c:v>squeeze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Proton_FW_VE11!$Q$123:$Q$158</c:f>
              <c:numCache>
                <c:ptCount val="36"/>
                <c:pt idx="0">
                  <c:v>0</c:v>
                </c:pt>
                <c:pt idx="1">
                  <c:v>0</c:v>
                </c:pt>
                <c:pt idx="2">
                  <c:v>-0.6795360000000024</c:v>
                </c:pt>
                <c:pt idx="3">
                  <c:v>-0.6795360000000024</c:v>
                </c:pt>
                <c:pt idx="4">
                  <c:v>-0.6658079999999984</c:v>
                </c:pt>
                <c:pt idx="5">
                  <c:v>-0.6520799999999998</c:v>
                </c:pt>
                <c:pt idx="6">
                  <c:v>0</c:v>
                </c:pt>
                <c:pt idx="7">
                  <c:v>0</c:v>
                </c:pt>
                <c:pt idx="8">
                  <c:v>0</c:v>
                </c:pt>
                <c:pt idx="9">
                  <c:v>-0.6658079999999984</c:v>
                </c:pt>
                <c:pt idx="10">
                  <c:v>0</c:v>
                </c:pt>
                <c:pt idx="11">
                  <c:v>-0.6658079999999984</c:v>
                </c:pt>
                <c:pt idx="12">
                  <c:v>-0.6658079999999984</c:v>
                </c:pt>
                <c:pt idx="13">
                  <c:v>-0.6658079999999984</c:v>
                </c:pt>
                <c:pt idx="14">
                  <c:v>-0.6520799999999998</c:v>
                </c:pt>
                <c:pt idx="15">
                  <c:v>-0.6658079999999984</c:v>
                </c:pt>
                <c:pt idx="16">
                  <c:v>-0.6658079999999984</c:v>
                </c:pt>
                <c:pt idx="17">
                  <c:v>0</c:v>
                </c:pt>
                <c:pt idx="18">
                  <c:v>-0.6658079999999984</c:v>
                </c:pt>
                <c:pt idx="19">
                  <c:v>-1.3178879999999982</c:v>
                </c:pt>
                <c:pt idx="20">
                  <c:v>-1.3178879999999982</c:v>
                </c:pt>
                <c:pt idx="21">
                  <c:v>0</c:v>
                </c:pt>
                <c:pt idx="22">
                  <c:v>-1.3178879999999982</c:v>
                </c:pt>
                <c:pt idx="23">
                  <c:v>-0.6520799999999998</c:v>
                </c:pt>
                <c:pt idx="24">
                  <c:v>-0.6658079999999984</c:v>
                </c:pt>
                <c:pt idx="25">
                  <c:v>0</c:v>
                </c:pt>
                <c:pt idx="26">
                  <c:v>-0.6520799999999998</c:v>
                </c:pt>
                <c:pt idx="27">
                  <c:v>0</c:v>
                </c:pt>
                <c:pt idx="28">
                  <c:v>-0.6520799999999998</c:v>
                </c:pt>
                <c:pt idx="29">
                  <c:v>-0.6520799999999998</c:v>
                </c:pt>
                <c:pt idx="30">
                  <c:v>-1.2904319999999991</c:v>
                </c:pt>
                <c:pt idx="31">
                  <c:v>-0.6520799999999998</c:v>
                </c:pt>
                <c:pt idx="32">
                  <c:v>-0.6520799999999998</c:v>
                </c:pt>
                <c:pt idx="33">
                  <c:v>-0.6520799999999998</c:v>
                </c:pt>
                <c:pt idx="34">
                  <c:v>-0.6520799999999998</c:v>
                </c:pt>
                <c:pt idx="35">
                  <c:v>0</c:v>
                </c:pt>
              </c:numCache>
            </c:numRef>
          </c:yVal>
          <c:smooth val="0"/>
        </c:ser>
        <c:ser>
          <c:idx val="3"/>
          <c:order val="3"/>
          <c:tx>
            <c:strRef>
              <c:f>Proton_FW_VE11!$R$122</c:f>
              <c:strCache>
                <c:ptCount val="1"/>
                <c:pt idx="0">
                  <c:v>initiate collisions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Proton_FW_VE11!$R$123:$R$158</c:f>
              <c:numCache>
                <c:ptCount val="36"/>
                <c:pt idx="0">
                  <c:v>-1.4277120000000032</c:v>
                </c:pt>
                <c:pt idx="1">
                  <c:v>-0.72072</c:v>
                </c:pt>
                <c:pt idx="2">
                  <c:v>0.6795360000000024</c:v>
                </c:pt>
                <c:pt idx="3">
                  <c:v>0.6795360000000024</c:v>
                </c:pt>
                <c:pt idx="4">
                  <c:v>0</c:v>
                </c:pt>
                <c:pt idx="5">
                  <c:v>1.3178879999999982</c:v>
                </c:pt>
                <c:pt idx="6">
                  <c:v>1.3453440000000008</c:v>
                </c:pt>
                <c:pt idx="7">
                  <c:v>1.3178879999999982</c:v>
                </c:pt>
                <c:pt idx="8">
                  <c:v>-0.6520799999999998</c:v>
                </c:pt>
                <c:pt idx="9">
                  <c:v>0.6658079999999984</c:v>
                </c:pt>
                <c:pt idx="10">
                  <c:v>0.6658079999999984</c:v>
                </c:pt>
                <c:pt idx="11">
                  <c:v>0</c:v>
                </c:pt>
                <c:pt idx="12">
                  <c:v>-0.6520799999999998</c:v>
                </c:pt>
                <c:pt idx="13">
                  <c:v>0.6658079999999984</c:v>
                </c:pt>
                <c:pt idx="14">
                  <c:v>1.9974240000000005</c:v>
                </c:pt>
                <c:pt idx="15">
                  <c:v>0.6658079999999984</c:v>
                </c:pt>
                <c:pt idx="16">
                  <c:v>-0.6520799999999998</c:v>
                </c:pt>
                <c:pt idx="17">
                  <c:v>0.6658079999999984</c:v>
                </c:pt>
                <c:pt idx="18">
                  <c:v>1.3453440000000008</c:v>
                </c:pt>
                <c:pt idx="19">
                  <c:v>1.3178879999999982</c:v>
                </c:pt>
                <c:pt idx="20">
                  <c:v>0</c:v>
                </c:pt>
                <c:pt idx="21">
                  <c:v>1.3453440000000008</c:v>
                </c:pt>
                <c:pt idx="22">
                  <c:v>1.9974240000000005</c:v>
                </c:pt>
                <c:pt idx="23">
                  <c:v>0.6520799999999998</c:v>
                </c:pt>
                <c:pt idx="24">
                  <c:v>-0.6520799999999998</c:v>
                </c:pt>
                <c:pt idx="25">
                  <c:v>0</c:v>
                </c:pt>
                <c:pt idx="26">
                  <c:v>0.6520799999999998</c:v>
                </c:pt>
                <c:pt idx="27">
                  <c:v>0</c:v>
                </c:pt>
                <c:pt idx="28">
                  <c:v>0</c:v>
                </c:pt>
                <c:pt idx="29">
                  <c:v>1.3178879999999982</c:v>
                </c:pt>
                <c:pt idx="30">
                  <c:v>2.635776</c:v>
                </c:pt>
                <c:pt idx="31">
                  <c:v>1.3178879999999982</c:v>
                </c:pt>
                <c:pt idx="32">
                  <c:v>0</c:v>
                </c:pt>
                <c:pt idx="33">
                  <c:v>1.3178879999999982</c:v>
                </c:pt>
                <c:pt idx="34">
                  <c:v>1.3178879999999982</c:v>
                </c:pt>
                <c:pt idx="35">
                  <c:v>0.6520799999999998</c:v>
                </c:pt>
              </c:numCache>
            </c:numRef>
          </c:yVal>
          <c:smooth val="0"/>
        </c:ser>
        <c:ser>
          <c:idx val="4"/>
          <c:order val="4"/>
          <c:tx>
            <c:strRef>
              <c:f>Proton_FW_VE11!$S$122</c:f>
              <c:strCache>
                <c:ptCount val="1"/>
                <c:pt idx="0">
                  <c:v>remove halo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Proton_FW_VE11!$S$123:$S$158</c:f>
              <c:numCache>
                <c:ptCount val="36"/>
                <c:pt idx="0">
                  <c:v>0</c:v>
                </c:pt>
                <c:pt idx="1">
                  <c:v>0</c:v>
                </c:pt>
                <c:pt idx="2">
                  <c:v>0.6932639999999992</c:v>
                </c:pt>
                <c:pt idx="3">
                  <c:v>0.6932639999999992</c:v>
                </c:pt>
                <c:pt idx="4">
                  <c:v>0</c:v>
                </c:pt>
                <c:pt idx="5">
                  <c:v>1.3728000000000016</c:v>
                </c:pt>
                <c:pt idx="6">
                  <c:v>1.4002560000000024</c:v>
                </c:pt>
                <c:pt idx="7">
                  <c:v>1.3728000000000016</c:v>
                </c:pt>
                <c:pt idx="8">
                  <c:v>0.6520799999999998</c:v>
                </c:pt>
                <c:pt idx="9">
                  <c:v>2.0797920000000047</c:v>
                </c:pt>
                <c:pt idx="10">
                  <c:v>2.8005120000000048</c:v>
                </c:pt>
                <c:pt idx="11">
                  <c:v>1.3453440000000008</c:v>
                </c:pt>
                <c:pt idx="12">
                  <c:v>0</c:v>
                </c:pt>
                <c:pt idx="13">
                  <c:v>0.6795360000000024</c:v>
                </c:pt>
                <c:pt idx="14">
                  <c:v>0.6932639999999992</c:v>
                </c:pt>
                <c:pt idx="15">
                  <c:v>0.6795360000000024</c:v>
                </c:pt>
                <c:pt idx="16">
                  <c:v>0.6520799999999998</c:v>
                </c:pt>
                <c:pt idx="17">
                  <c:v>0.6795360000000024</c:v>
                </c:pt>
                <c:pt idx="18">
                  <c:v>1.4002560000000024</c:v>
                </c:pt>
                <c:pt idx="19">
                  <c:v>1.3728000000000016</c:v>
                </c:pt>
                <c:pt idx="20">
                  <c:v>0.6520799999999998</c:v>
                </c:pt>
                <c:pt idx="21">
                  <c:v>0.6932639999999992</c:v>
                </c:pt>
                <c:pt idx="22">
                  <c:v>1.4002560000000024</c:v>
                </c:pt>
                <c:pt idx="23">
                  <c:v>1.3453440000000008</c:v>
                </c:pt>
                <c:pt idx="24">
                  <c:v>0</c:v>
                </c:pt>
                <c:pt idx="25">
                  <c:v>0.6658079999999984</c:v>
                </c:pt>
                <c:pt idx="26">
                  <c:v>0.6658079999999984</c:v>
                </c:pt>
                <c:pt idx="27">
                  <c:v>0.6658079999999984</c:v>
                </c:pt>
                <c:pt idx="28">
                  <c:v>0.6520799999999998</c:v>
                </c:pt>
                <c:pt idx="29">
                  <c:v>1.3728000000000016</c:v>
                </c:pt>
                <c:pt idx="30">
                  <c:v>0.6932639999999992</c:v>
                </c:pt>
                <c:pt idx="31">
                  <c:v>1.3728000000000016</c:v>
                </c:pt>
                <c:pt idx="32">
                  <c:v>0.6520799999999998</c:v>
                </c:pt>
                <c:pt idx="33">
                  <c:v>1.3728000000000016</c:v>
                </c:pt>
                <c:pt idx="34">
                  <c:v>2.8005120000000048</c:v>
                </c:pt>
                <c:pt idx="35">
                  <c:v>1.3453440000000008</c:v>
                </c:pt>
              </c:numCache>
            </c:numRef>
          </c:yVal>
          <c:smooth val="0"/>
        </c:ser>
        <c:ser>
          <c:idx val="5"/>
          <c:order val="5"/>
          <c:tx>
            <c:strRef>
              <c:f>Proton_FW_VE11!$T$122</c:f>
              <c:strCache>
                <c:ptCount val="1"/>
                <c:pt idx="0">
                  <c:v>HEP 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Proton_FW_VE11!$T$123:$T$158</c:f>
              <c:numCache>
                <c:ptCount val="36"/>
                <c:pt idx="0">
                  <c:v>6.857136000000001</c:v>
                </c:pt>
                <c:pt idx="1">
                  <c:v>6.980687999999997</c:v>
                </c:pt>
                <c:pt idx="2">
                  <c:v>9.389952000000005</c:v>
                </c:pt>
                <c:pt idx="3">
                  <c:v>7.68768</c:v>
                </c:pt>
                <c:pt idx="4">
                  <c:v>8.895744</c:v>
                </c:pt>
                <c:pt idx="5">
                  <c:v>5.237231999999999</c:v>
                </c:pt>
                <c:pt idx="6">
                  <c:v>6.150143999999997</c:v>
                </c:pt>
                <c:pt idx="7">
                  <c:v>7.68768</c:v>
                </c:pt>
                <c:pt idx="8">
                  <c:v>8.895744</c:v>
                </c:pt>
                <c:pt idx="9">
                  <c:v>4.530239999999996</c:v>
                </c:pt>
                <c:pt idx="10">
                  <c:v>6.259967999999997</c:v>
                </c:pt>
                <c:pt idx="11">
                  <c:v>9.225216</c:v>
                </c:pt>
                <c:pt idx="12">
                  <c:v>8.731007999999997</c:v>
                </c:pt>
                <c:pt idx="13">
                  <c:v>5.1411359999999995</c:v>
                </c:pt>
                <c:pt idx="14">
                  <c:v>6.857136000000001</c:v>
                </c:pt>
                <c:pt idx="15">
                  <c:v>7.5504</c:v>
                </c:pt>
                <c:pt idx="16">
                  <c:v>8.078927999999998</c:v>
                </c:pt>
                <c:pt idx="17">
                  <c:v>5.1411359999999995</c:v>
                </c:pt>
                <c:pt idx="18">
                  <c:v>6.150143999999997</c:v>
                </c:pt>
                <c:pt idx="19">
                  <c:v>7.68768</c:v>
                </c:pt>
                <c:pt idx="20">
                  <c:v>8.078927999999998</c:v>
                </c:pt>
                <c:pt idx="21">
                  <c:v>6.040319999999998</c:v>
                </c:pt>
                <c:pt idx="22">
                  <c:v>6.980687999999997</c:v>
                </c:pt>
                <c:pt idx="23">
                  <c:v>9.225216</c:v>
                </c:pt>
                <c:pt idx="24">
                  <c:v>7.9279199999999985</c:v>
                </c:pt>
                <c:pt idx="25">
                  <c:v>5.820672000000002</c:v>
                </c:pt>
                <c:pt idx="26">
                  <c:v>7.413119999999999</c:v>
                </c:pt>
                <c:pt idx="27">
                  <c:v>7.413119999999999</c:v>
                </c:pt>
                <c:pt idx="28">
                  <c:v>7.275839999999999</c:v>
                </c:pt>
                <c:pt idx="29">
                  <c:v>3.672240000000002</c:v>
                </c:pt>
                <c:pt idx="30">
                  <c:v>6.040319999999998</c:v>
                </c:pt>
                <c:pt idx="31">
                  <c:v>7.68768</c:v>
                </c:pt>
                <c:pt idx="32">
                  <c:v>8.078927999999998</c:v>
                </c:pt>
                <c:pt idx="33">
                  <c:v>4.447872</c:v>
                </c:pt>
                <c:pt idx="34">
                  <c:v>6.259967999999997</c:v>
                </c:pt>
                <c:pt idx="35">
                  <c:v>9.225216</c:v>
                </c:pt>
              </c:numCache>
            </c:numRef>
          </c:yVal>
          <c:smooth val="0"/>
        </c:ser>
        <c:ser>
          <c:idx val="6"/>
          <c:order val="6"/>
          <c:tx>
            <c:strRef>
              <c:f>Proton_FW_VE11!$U$122</c:f>
              <c:strCache>
                <c:ptCount val="1"/>
                <c:pt idx="0">
                  <c:v>HEP 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Proton_FW_VE11!$U$123:$U$158</c:f>
              <c:numCache>
                <c:ptCount val="36"/>
                <c:pt idx="0">
                  <c:v>0</c:v>
                </c:pt>
                <c:pt idx="1">
                  <c:v>0</c:v>
                </c:pt>
                <c:pt idx="2">
                  <c:v>-0.8580000000000041</c:v>
                </c:pt>
                <c:pt idx="3">
                  <c:v>0</c:v>
                </c:pt>
                <c:pt idx="4">
                  <c:v>-0.8168160000000029</c:v>
                </c:pt>
                <c:pt idx="5">
                  <c:v>0</c:v>
                </c:pt>
                <c:pt idx="6">
                  <c:v>-0.8168160000000029</c:v>
                </c:pt>
                <c:pt idx="7">
                  <c:v>0</c:v>
                </c:pt>
                <c:pt idx="8">
                  <c:v>0</c:v>
                </c:pt>
                <c:pt idx="9">
                  <c:v>-0.7893599999999985</c:v>
                </c:pt>
                <c:pt idx="10">
                  <c:v>-0.8305439999999997</c:v>
                </c:pt>
                <c:pt idx="11">
                  <c:v>0</c:v>
                </c:pt>
                <c:pt idx="12">
                  <c:v>1.6473600000000026</c:v>
                </c:pt>
                <c:pt idx="13">
                  <c:v>0.7893599999999985</c:v>
                </c:pt>
                <c:pt idx="14">
                  <c:v>-0.8168160000000029</c:v>
                </c:pt>
                <c:pt idx="15">
                  <c:v>0</c:v>
                </c:pt>
                <c:pt idx="16">
                  <c:v>0.8168160000000029</c:v>
                </c:pt>
                <c:pt idx="17">
                  <c:v>0</c:v>
                </c:pt>
                <c:pt idx="18">
                  <c:v>0</c:v>
                </c:pt>
                <c:pt idx="19">
                  <c:v>0.8442720000000001</c:v>
                </c:pt>
                <c:pt idx="20">
                  <c:v>0.8168160000000029</c:v>
                </c:pt>
                <c:pt idx="21">
                  <c:v>-0.8030879999999989</c:v>
                </c:pt>
                <c:pt idx="22">
                  <c:v>0</c:v>
                </c:pt>
                <c:pt idx="23">
                  <c:v>0</c:v>
                </c:pt>
                <c:pt idx="24">
                  <c:v>0.8030879999999989</c:v>
                </c:pt>
                <c:pt idx="25">
                  <c:v>0.7893599999999985</c:v>
                </c:pt>
                <c:pt idx="26">
                  <c:v>-0.8030879999999989</c:v>
                </c:pt>
                <c:pt idx="27">
                  <c:v>0</c:v>
                </c:pt>
                <c:pt idx="28">
                  <c:v>0</c:v>
                </c:pt>
                <c:pt idx="29">
                  <c:v>0.7756319999999981</c:v>
                </c:pt>
                <c:pt idx="30">
                  <c:v>0.8168160000000029</c:v>
                </c:pt>
                <c:pt idx="31">
                  <c:v>0</c:v>
                </c:pt>
                <c:pt idx="32">
                  <c:v>0.8168160000000029</c:v>
                </c:pt>
                <c:pt idx="33">
                  <c:v>0</c:v>
                </c:pt>
                <c:pt idx="34">
                  <c:v>0.8442720000000001</c:v>
                </c:pt>
                <c:pt idx="35">
                  <c:v>0</c:v>
                </c:pt>
              </c:numCache>
            </c:numRef>
          </c:yVal>
          <c:smooth val="0"/>
        </c:ser>
        <c:axId val="27944658"/>
        <c:axId val="50175331"/>
      </c:scatterChart>
      <c:valAx>
        <c:axId val="27944658"/>
        <c:scaling>
          <c:orientation val="minMax"/>
        </c:scaling>
        <c:axPos val="b"/>
        <c:title>
          <c:tx>
            <c:rich>
              <a:bodyPr vert="horz" rot="0" anchor="ctr"/>
              <a:lstStyle/>
              <a:p>
                <a:pPr algn="ctr">
                  <a:defRPr/>
                </a:pPr>
                <a:r>
                  <a:rPr lang="en-US" cap="none" sz="800" b="1" i="0" u="none" baseline="0">
                    <a:latin typeface="Arial"/>
                    <a:ea typeface="Arial"/>
                    <a:cs typeface="Arial"/>
                  </a:rPr>
                  <a:t>Bunch</a:t>
                </a:r>
              </a:p>
            </c:rich>
          </c:tx>
          <c:layout/>
          <c:overlay val="0"/>
          <c:spPr>
            <a:noFill/>
            <a:ln>
              <a:noFill/>
            </a:ln>
          </c:spPr>
        </c:title>
        <c:delete val="0"/>
        <c:numFmt formatCode="General" sourceLinked="1"/>
        <c:majorTickMark val="out"/>
        <c:minorTickMark val="none"/>
        <c:tickLblPos val="nextTo"/>
        <c:crossAx val="50175331"/>
        <c:crosses val="autoZero"/>
        <c:crossBetween val="midCat"/>
        <c:dispUnits/>
      </c:valAx>
      <c:valAx>
        <c:axId val="50175331"/>
        <c:scaling>
          <c:orientation val="minMax"/>
        </c:scaling>
        <c:axPos val="l"/>
        <c:title>
          <c:tx>
            <c:rich>
              <a:bodyPr vert="horz" rot="-5400000" anchor="ctr"/>
              <a:lstStyle/>
              <a:p>
                <a:pPr algn="ctr">
                  <a:defRPr/>
                </a:pPr>
                <a:r>
                  <a:rPr lang="en-US" cap="none" sz="800" b="1" i="0" u="none" baseline="0">
                    <a:latin typeface="Arial"/>
                    <a:ea typeface="Arial"/>
                    <a:cs typeface="Arial"/>
                  </a:rPr>
                  <a:t>pi-mm-mrad</a:t>
                </a:r>
              </a:p>
            </c:rich>
          </c:tx>
          <c:layout/>
          <c:overlay val="0"/>
          <c:spPr>
            <a:noFill/>
            <a:ln>
              <a:noFill/>
            </a:ln>
          </c:spPr>
        </c:title>
        <c:majorGridlines/>
        <c:delete val="0"/>
        <c:numFmt formatCode="General" sourceLinked="1"/>
        <c:majorTickMark val="out"/>
        <c:minorTickMark val="none"/>
        <c:tickLblPos val="nextTo"/>
        <c:crossAx val="279446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Proton Emittance growth</a:t>
            </a:r>
          </a:p>
        </c:rich>
      </c:tx>
      <c:layout/>
      <c:spPr>
        <a:noFill/>
        <a:ln>
          <a:noFill/>
        </a:ln>
      </c:spPr>
    </c:title>
    <c:plotArea>
      <c:layout/>
      <c:scatterChart>
        <c:scatterStyle val="lineMarker"/>
        <c:varyColors val="0"/>
        <c:ser>
          <c:idx val="0"/>
          <c:order val="0"/>
          <c:tx>
            <c:strRef>
              <c:f>Proton_FW_VE11!$X$122</c:f>
              <c:strCache>
                <c:ptCount val="1"/>
                <c:pt idx="0">
                  <c:v>FT to RH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Proton_FW_VE11!$X$123:$X$158</c:f>
              <c:numCache>
                <c:ptCount val="36"/>
                <c:pt idx="0">
                  <c:v>-1.4277120000000032</c:v>
                </c:pt>
                <c:pt idx="1">
                  <c:v>-0.72072</c:v>
                </c:pt>
                <c:pt idx="2">
                  <c:v>0.6932639999999992</c:v>
                </c:pt>
                <c:pt idx="3">
                  <c:v>0.6932639999999992</c:v>
                </c:pt>
                <c:pt idx="4">
                  <c:v>-0.6658079999999984</c:v>
                </c:pt>
                <c:pt idx="5">
                  <c:v>2.038608</c:v>
                </c:pt>
                <c:pt idx="6">
                  <c:v>2.745600000000003</c:v>
                </c:pt>
                <c:pt idx="7">
                  <c:v>2.6906879999999997</c:v>
                </c:pt>
                <c:pt idx="8">
                  <c:v>0</c:v>
                </c:pt>
                <c:pt idx="9">
                  <c:v>2.0797920000000047</c:v>
                </c:pt>
                <c:pt idx="10">
                  <c:v>3.466320000000003</c:v>
                </c:pt>
                <c:pt idx="11">
                  <c:v>0.6795360000000024</c:v>
                </c:pt>
                <c:pt idx="12">
                  <c:v>-1.3178879999999982</c:v>
                </c:pt>
                <c:pt idx="13">
                  <c:v>0.6795360000000024</c:v>
                </c:pt>
                <c:pt idx="14">
                  <c:v>2.038608</c:v>
                </c:pt>
                <c:pt idx="15">
                  <c:v>0.6795360000000024</c:v>
                </c:pt>
                <c:pt idx="16">
                  <c:v>-0.6658079999999984</c:v>
                </c:pt>
                <c:pt idx="17">
                  <c:v>1.3453440000000008</c:v>
                </c:pt>
                <c:pt idx="18">
                  <c:v>2.0797920000000047</c:v>
                </c:pt>
                <c:pt idx="19">
                  <c:v>1.3728000000000016</c:v>
                </c:pt>
                <c:pt idx="20">
                  <c:v>-0.6658079999999984</c:v>
                </c:pt>
                <c:pt idx="21">
                  <c:v>2.038608</c:v>
                </c:pt>
                <c:pt idx="22">
                  <c:v>2.0797920000000047</c:v>
                </c:pt>
                <c:pt idx="23">
                  <c:v>1.3453440000000008</c:v>
                </c:pt>
                <c:pt idx="24">
                  <c:v>-1.3178879999999982</c:v>
                </c:pt>
                <c:pt idx="25">
                  <c:v>0.6658079999999984</c:v>
                </c:pt>
                <c:pt idx="26">
                  <c:v>0.6658079999999984</c:v>
                </c:pt>
                <c:pt idx="27">
                  <c:v>0.6658079999999984</c:v>
                </c:pt>
                <c:pt idx="28">
                  <c:v>0</c:v>
                </c:pt>
                <c:pt idx="29">
                  <c:v>2.038608</c:v>
                </c:pt>
                <c:pt idx="30">
                  <c:v>2.038608</c:v>
                </c:pt>
                <c:pt idx="31">
                  <c:v>2.038608</c:v>
                </c:pt>
                <c:pt idx="32">
                  <c:v>0</c:v>
                </c:pt>
                <c:pt idx="33">
                  <c:v>2.038608</c:v>
                </c:pt>
                <c:pt idx="34">
                  <c:v>3.466320000000003</c:v>
                </c:pt>
                <c:pt idx="35">
                  <c:v>1.9974240000000005</c:v>
                </c:pt>
              </c:numCache>
            </c:numRef>
          </c:yVal>
          <c:smooth val="0"/>
        </c:ser>
        <c:ser>
          <c:idx val="1"/>
          <c:order val="1"/>
          <c:tx>
            <c:strRef>
              <c:f>Proton_FW_VE11!$Y$122</c:f>
              <c:strCache>
                <c:ptCount val="1"/>
                <c:pt idx="0">
                  <c:v>FT to HEP4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Proton_FW_VE11!$B$123:$B$158</c:f>
              <c:strCache>
                <c:ptCount val="36"/>
                <c:pt idx="0">
                  <c:v>P1</c:v>
                </c:pt>
                <c:pt idx="1">
                  <c:v>P2</c:v>
                </c:pt>
                <c:pt idx="2">
                  <c:v>P3</c:v>
                </c:pt>
                <c:pt idx="3">
                  <c:v>P4</c:v>
                </c:pt>
                <c:pt idx="4">
                  <c:v>P5</c:v>
                </c:pt>
                <c:pt idx="5">
                  <c:v>P6</c:v>
                </c:pt>
                <c:pt idx="6">
                  <c:v>P7</c:v>
                </c:pt>
                <c:pt idx="7">
                  <c:v>P8</c:v>
                </c:pt>
                <c:pt idx="8">
                  <c:v>P9</c:v>
                </c:pt>
                <c:pt idx="9">
                  <c:v>P10</c:v>
                </c:pt>
                <c:pt idx="10">
                  <c:v>P11</c:v>
                </c:pt>
                <c:pt idx="11">
                  <c:v>P12</c:v>
                </c:pt>
                <c:pt idx="12">
                  <c:v>P13</c:v>
                </c:pt>
                <c:pt idx="13">
                  <c:v>P14</c:v>
                </c:pt>
                <c:pt idx="14">
                  <c:v>P15</c:v>
                </c:pt>
                <c:pt idx="15">
                  <c:v>P16</c:v>
                </c:pt>
                <c:pt idx="16">
                  <c:v>P17</c:v>
                </c:pt>
                <c:pt idx="17">
                  <c:v>P18</c:v>
                </c:pt>
                <c:pt idx="18">
                  <c:v>P19</c:v>
                </c:pt>
                <c:pt idx="19">
                  <c:v>P20</c:v>
                </c:pt>
                <c:pt idx="20">
                  <c:v>P21</c:v>
                </c:pt>
                <c:pt idx="21">
                  <c:v>P22</c:v>
                </c:pt>
                <c:pt idx="22">
                  <c:v>P23</c:v>
                </c:pt>
                <c:pt idx="23">
                  <c:v>P24</c:v>
                </c:pt>
                <c:pt idx="24">
                  <c:v>P25</c:v>
                </c:pt>
                <c:pt idx="25">
                  <c:v>P26</c:v>
                </c:pt>
                <c:pt idx="26">
                  <c:v>P27</c:v>
                </c:pt>
                <c:pt idx="27">
                  <c:v>P28</c:v>
                </c:pt>
                <c:pt idx="28">
                  <c:v>P29</c:v>
                </c:pt>
                <c:pt idx="29">
                  <c:v>P30</c:v>
                </c:pt>
                <c:pt idx="30">
                  <c:v>P31</c:v>
                </c:pt>
                <c:pt idx="31">
                  <c:v>P32</c:v>
                </c:pt>
                <c:pt idx="32">
                  <c:v>P33</c:v>
                </c:pt>
                <c:pt idx="33">
                  <c:v>P34</c:v>
                </c:pt>
                <c:pt idx="34">
                  <c:v>P35</c:v>
                </c:pt>
                <c:pt idx="35">
                  <c:v>P36</c:v>
                </c:pt>
              </c:strCache>
            </c:strRef>
          </c:xVal>
          <c:yVal>
            <c:numRef>
              <c:f>Proton_FW_VE11!$Y$123:$Y$158</c:f>
              <c:numCache>
                <c:ptCount val="36"/>
                <c:pt idx="0">
                  <c:v>5.429423999999997</c:v>
                </c:pt>
                <c:pt idx="1">
                  <c:v>6.259967999999997</c:v>
                </c:pt>
                <c:pt idx="2">
                  <c:v>9.225216</c:v>
                </c:pt>
                <c:pt idx="3">
                  <c:v>8.380944</c:v>
                </c:pt>
                <c:pt idx="4">
                  <c:v>7.413119999999999</c:v>
                </c:pt>
                <c:pt idx="5">
                  <c:v>7.275839999999999</c:v>
                </c:pt>
                <c:pt idx="6">
                  <c:v>8.078927999999998</c:v>
                </c:pt>
                <c:pt idx="7">
                  <c:v>10.378368</c:v>
                </c:pt>
                <c:pt idx="8">
                  <c:v>8.895744</c:v>
                </c:pt>
                <c:pt idx="9">
                  <c:v>5.820672000000002</c:v>
                </c:pt>
                <c:pt idx="10">
                  <c:v>8.895744</c:v>
                </c:pt>
                <c:pt idx="11">
                  <c:v>9.904752000000002</c:v>
                </c:pt>
                <c:pt idx="12">
                  <c:v>9.060480000000002</c:v>
                </c:pt>
                <c:pt idx="13">
                  <c:v>6.610032</c:v>
                </c:pt>
                <c:pt idx="14">
                  <c:v>8.078927999999998</c:v>
                </c:pt>
                <c:pt idx="15">
                  <c:v>8.229936000000002</c:v>
                </c:pt>
                <c:pt idx="16">
                  <c:v>8.229936000000002</c:v>
                </c:pt>
                <c:pt idx="17">
                  <c:v>6.48648</c:v>
                </c:pt>
                <c:pt idx="18">
                  <c:v>8.229936000000002</c:v>
                </c:pt>
                <c:pt idx="19">
                  <c:v>9.904752000000002</c:v>
                </c:pt>
                <c:pt idx="20">
                  <c:v>8.229936000000002</c:v>
                </c:pt>
                <c:pt idx="21">
                  <c:v>7.275839999999999</c:v>
                </c:pt>
                <c:pt idx="22">
                  <c:v>9.060480000000002</c:v>
                </c:pt>
                <c:pt idx="23">
                  <c:v>10.57056</c:v>
                </c:pt>
                <c:pt idx="24">
                  <c:v>7.413119999999999</c:v>
                </c:pt>
                <c:pt idx="25">
                  <c:v>7.275839999999999</c:v>
                </c:pt>
                <c:pt idx="26">
                  <c:v>7.275839999999999</c:v>
                </c:pt>
                <c:pt idx="27">
                  <c:v>8.078927999999998</c:v>
                </c:pt>
                <c:pt idx="28">
                  <c:v>7.275839999999999</c:v>
                </c:pt>
                <c:pt idx="29">
                  <c:v>6.48648</c:v>
                </c:pt>
                <c:pt idx="30">
                  <c:v>8.895744</c:v>
                </c:pt>
                <c:pt idx="31">
                  <c:v>9.726288</c:v>
                </c:pt>
                <c:pt idx="32">
                  <c:v>8.895744</c:v>
                </c:pt>
                <c:pt idx="33">
                  <c:v>6.48648</c:v>
                </c:pt>
                <c:pt idx="34">
                  <c:v>10.57056</c:v>
                </c:pt>
                <c:pt idx="35">
                  <c:v>11.22264</c:v>
                </c:pt>
              </c:numCache>
            </c:numRef>
          </c:yVal>
          <c:smooth val="0"/>
        </c:ser>
        <c:axId val="48924796"/>
        <c:axId val="37669981"/>
      </c:scatterChart>
      <c:valAx>
        <c:axId val="48924796"/>
        <c:scaling>
          <c:orientation val="minMax"/>
        </c:scaling>
        <c:axPos val="b"/>
        <c:title>
          <c:tx>
            <c:rich>
              <a:bodyPr vert="horz" rot="0" anchor="ctr"/>
              <a:lstStyle/>
              <a:p>
                <a:pPr algn="ctr">
                  <a:defRPr/>
                </a:pPr>
                <a:r>
                  <a:rPr lang="en-US" cap="none" sz="800" b="1" i="0" u="none" baseline="0">
                    <a:latin typeface="Arial"/>
                    <a:ea typeface="Arial"/>
                    <a:cs typeface="Arial"/>
                  </a:rPr>
                  <a:t>Bunch</a:t>
                </a:r>
              </a:p>
            </c:rich>
          </c:tx>
          <c:layout/>
          <c:overlay val="0"/>
          <c:spPr>
            <a:noFill/>
            <a:ln>
              <a:noFill/>
            </a:ln>
          </c:spPr>
        </c:title>
        <c:delete val="0"/>
        <c:numFmt formatCode="General" sourceLinked="1"/>
        <c:majorTickMark val="out"/>
        <c:minorTickMark val="none"/>
        <c:tickLblPos val="nextTo"/>
        <c:crossAx val="37669981"/>
        <c:crosses val="autoZero"/>
        <c:crossBetween val="midCat"/>
        <c:dispUnits/>
      </c:valAx>
      <c:valAx>
        <c:axId val="37669981"/>
        <c:scaling>
          <c:orientation val="minMax"/>
        </c:scaling>
        <c:axPos val="l"/>
        <c:majorGridlines/>
        <c:delete val="0"/>
        <c:numFmt formatCode="General" sourceLinked="1"/>
        <c:majorTickMark val="out"/>
        <c:minorTickMark val="none"/>
        <c:tickLblPos val="nextTo"/>
        <c:crossAx val="4892479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Pbar_FW_VE11!$X$28</c:f>
              <c:strCache>
                <c:ptCount val="1"/>
                <c:pt idx="0">
                  <c:v>Sq to RH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cat>
          <c:val>
            <c:numRef>
              <c:f>Pbar_FW_VE11!$X$29:$X$64</c:f>
              <c:numCache>
                <c:ptCount val="36"/>
                <c:pt idx="0">
                  <c:v>0.4578777422081801</c:v>
                </c:pt>
                <c:pt idx="1">
                  <c:v>3.4224421070136746</c:v>
                </c:pt>
                <c:pt idx="2">
                  <c:v>3.4224421070136746</c:v>
                </c:pt>
                <c:pt idx="3">
                  <c:v>3.4224421070136746</c:v>
                </c:pt>
                <c:pt idx="4">
                  <c:v>3.6397400185701017</c:v>
                </c:pt>
                <c:pt idx="5">
                  <c:v>4.539974223589571</c:v>
                </c:pt>
                <c:pt idx="6">
                  <c:v>4.400282709017583</c:v>
                </c:pt>
                <c:pt idx="7">
                  <c:v>2.9800856442023855</c:v>
                </c:pt>
                <c:pt idx="8">
                  <c:v>2.4446015050097722</c:v>
                </c:pt>
                <c:pt idx="9">
                  <c:v>3.2051441954572537</c:v>
                </c:pt>
                <c:pt idx="10">
                  <c:v>3.2051441954572537</c:v>
                </c:pt>
                <c:pt idx="11">
                  <c:v>0.9002342050194692</c:v>
                </c:pt>
                <c:pt idx="12">
                  <c:v>-1.4667609030058628</c:v>
                </c:pt>
                <c:pt idx="13">
                  <c:v>0.9312767638132469</c:v>
                </c:pt>
                <c:pt idx="14">
                  <c:v>2.8869579678210613</c:v>
                </c:pt>
                <c:pt idx="15">
                  <c:v>2.793830291439736</c:v>
                </c:pt>
                <c:pt idx="16">
                  <c:v>1.6530162557685095</c:v>
                </c:pt>
                <c:pt idx="17">
                  <c:v>2.9800856442023855</c:v>
                </c:pt>
                <c:pt idx="18">
                  <c:v>2.8869579678210613</c:v>
                </c:pt>
                <c:pt idx="19">
                  <c:v>2.8869579678210613</c:v>
                </c:pt>
                <c:pt idx="20">
                  <c:v>3.2051441954572537</c:v>
                </c:pt>
                <c:pt idx="21">
                  <c:v>3.7018251361576513</c:v>
                </c:pt>
                <c:pt idx="22">
                  <c:v>3.2284261145525845</c:v>
                </c:pt>
                <c:pt idx="23">
                  <c:v>1.5521279396887433</c:v>
                </c:pt>
                <c:pt idx="24">
                  <c:v>0.9002342050194692</c:v>
                </c:pt>
                <c:pt idx="25">
                  <c:v>3.096495239679042</c:v>
                </c:pt>
                <c:pt idx="26">
                  <c:v>3.6009368200778837</c:v>
                </c:pt>
                <c:pt idx="27">
                  <c:v>3.096495239679042</c:v>
                </c:pt>
                <c:pt idx="28">
                  <c:v>4.120899679873613</c:v>
                </c:pt>
                <c:pt idx="29">
                  <c:v>4.501171025097356</c:v>
                </c:pt>
                <c:pt idx="30">
                  <c:v>4.501171025097356</c:v>
                </c:pt>
                <c:pt idx="31">
                  <c:v>3.4767665849027845</c:v>
                </c:pt>
                <c:pt idx="32">
                  <c:v>3.8415166507296377</c:v>
                </c:pt>
                <c:pt idx="33">
                  <c:v>3.2284261145525845</c:v>
                </c:pt>
                <c:pt idx="34">
                  <c:v>3.5621336215856645</c:v>
                </c:pt>
                <c:pt idx="35">
                  <c:v>1.1408140356712257</c:v>
                </c:pt>
              </c:numCache>
            </c:numRef>
          </c:val>
        </c:ser>
        <c:axId val="3485510"/>
        <c:axId val="31369591"/>
      </c:barChart>
      <c:catAx>
        <c:axId val="3485510"/>
        <c:scaling>
          <c:orientation val="minMax"/>
        </c:scaling>
        <c:axPos val="b"/>
        <c:delete val="0"/>
        <c:numFmt formatCode="General" sourceLinked="1"/>
        <c:majorTickMark val="out"/>
        <c:minorTickMark val="none"/>
        <c:tickLblPos val="nextTo"/>
        <c:crossAx val="31369591"/>
        <c:crosses val="autoZero"/>
        <c:auto val="1"/>
        <c:lblOffset val="100"/>
        <c:noMultiLvlLbl val="0"/>
      </c:catAx>
      <c:valAx>
        <c:axId val="31369591"/>
        <c:scaling>
          <c:orientation val="minMax"/>
        </c:scaling>
        <c:axPos val="l"/>
        <c:majorGridlines/>
        <c:delete val="0"/>
        <c:numFmt formatCode="General" sourceLinked="1"/>
        <c:majorTickMark val="out"/>
        <c:minorTickMark val="none"/>
        <c:tickLblPos val="nextTo"/>
        <c:crossAx val="348551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Inj emit growth</a:t>
            </a:r>
          </a:p>
        </c:rich>
      </c:tx>
      <c:layout/>
      <c:spPr>
        <a:noFill/>
        <a:ln>
          <a:noFill/>
        </a:ln>
      </c:spPr>
    </c:title>
    <c:plotArea>
      <c:layout/>
      <c:scatterChart>
        <c:scatterStyle val="lineMarker"/>
        <c:varyColors val="0"/>
        <c:ser>
          <c:idx val="0"/>
          <c:order val="0"/>
          <c:tx>
            <c:strRef>
              <c:f>Pbar_FW_VE11!$N$78</c:f>
              <c:strCache>
                <c:ptCount val="1"/>
                <c:pt idx="0">
                  <c:v>diff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Pbar_FW_VE11!$K$79:$K$114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Pbar_FW_VE11!$N$79:$N$114</c:f>
              <c:numCache>
                <c:ptCount val="36"/>
                <c:pt idx="0">
                  <c:v>3.9001669999999997</c:v>
                </c:pt>
                <c:pt idx="1">
                  <c:v>3.706091</c:v>
                </c:pt>
                <c:pt idx="2">
                  <c:v>3.181278</c:v>
                </c:pt>
                <c:pt idx="3">
                  <c:v>3.651896</c:v>
                </c:pt>
                <c:pt idx="4">
                  <c:v>-5.842137999999998</c:v>
                </c:pt>
                <c:pt idx="5">
                  <c:v>2.938427</c:v>
                </c:pt>
                <c:pt idx="6">
                  <c:v>-3.214009</c:v>
                </c:pt>
                <c:pt idx="7">
                  <c:v>2.563758</c:v>
                </c:pt>
                <c:pt idx="8">
                  <c:v>2.5288470000000007</c:v>
                </c:pt>
                <c:pt idx="9">
                  <c:v>2.658846</c:v>
                </c:pt>
                <c:pt idx="10">
                  <c:v>-7.145586</c:v>
                </c:pt>
                <c:pt idx="11">
                  <c:v>3.2925720000000007</c:v>
                </c:pt>
                <c:pt idx="12">
                  <c:v>2.829371</c:v>
                </c:pt>
                <c:pt idx="13">
                  <c:v>2.8417339999999998</c:v>
                </c:pt>
                <c:pt idx="14">
                  <c:v>3.051894</c:v>
                </c:pt>
                <c:pt idx="15">
                  <c:v>-8.251431999999998</c:v>
                </c:pt>
                <c:pt idx="16">
                  <c:v>-0.258768</c:v>
                </c:pt>
                <c:pt idx="17">
                  <c:v>-0.115008</c:v>
                </c:pt>
                <c:pt idx="18">
                  <c:v>0</c:v>
                </c:pt>
                <c:pt idx="19">
                  <c:v>-0.258768</c:v>
                </c:pt>
                <c:pt idx="20">
                  <c:v>1.7834480000000008</c:v>
                </c:pt>
                <c:pt idx="21">
                  <c:v>3.172382</c:v>
                </c:pt>
                <c:pt idx="22">
                  <c:v>-0.1379769999999998</c:v>
                </c:pt>
                <c:pt idx="23">
                  <c:v>1.502684</c:v>
                </c:pt>
                <c:pt idx="24">
                  <c:v>3.246059</c:v>
                </c:pt>
                <c:pt idx="25">
                  <c:v>2.665539</c:v>
                </c:pt>
                <c:pt idx="26">
                  <c:v>1.502684</c:v>
                </c:pt>
                <c:pt idx="27">
                  <c:v>1.3715030000000001</c:v>
                </c:pt>
                <c:pt idx="28">
                  <c:v>3.8193019999999995</c:v>
                </c:pt>
                <c:pt idx="29">
                  <c:v>2.853104000000001</c:v>
                </c:pt>
                <c:pt idx="30">
                  <c:v>3.5550539999999997</c:v>
                </c:pt>
                <c:pt idx="31">
                  <c:v>3.3807830000000005</c:v>
                </c:pt>
                <c:pt idx="32">
                  <c:v>2.502507</c:v>
                </c:pt>
                <c:pt idx="33">
                  <c:v>2.387468</c:v>
                </c:pt>
                <c:pt idx="34">
                  <c:v>2.443206</c:v>
                </c:pt>
                <c:pt idx="35">
                  <c:v>2.092791</c:v>
                </c:pt>
              </c:numCache>
            </c:numRef>
          </c:yVal>
          <c:smooth val="0"/>
        </c:ser>
        <c:axId val="13890864"/>
        <c:axId val="57908913"/>
      </c:scatterChart>
      <c:valAx>
        <c:axId val="13890864"/>
        <c:scaling>
          <c:orientation val="minMax"/>
        </c:scaling>
        <c:axPos val="b"/>
        <c:title>
          <c:tx>
            <c:rich>
              <a:bodyPr vert="horz" rot="0" anchor="ctr"/>
              <a:lstStyle/>
              <a:p>
                <a:pPr algn="ctr">
                  <a:defRPr/>
                </a:pPr>
                <a:r>
                  <a:rPr lang="en-US" cap="none" sz="1000" b="1" i="0" u="none" baseline="0">
                    <a:latin typeface="Arial"/>
                    <a:ea typeface="Arial"/>
                    <a:cs typeface="Arial"/>
                  </a:rPr>
                  <a:t>bunch</a:t>
                </a:r>
              </a:p>
            </c:rich>
          </c:tx>
          <c:layout/>
          <c:overlay val="0"/>
          <c:spPr>
            <a:noFill/>
            <a:ln>
              <a:noFill/>
            </a:ln>
          </c:spPr>
        </c:title>
        <c:delete val="0"/>
        <c:numFmt formatCode="General" sourceLinked="1"/>
        <c:majorTickMark val="out"/>
        <c:minorTickMark val="none"/>
        <c:tickLblPos val="nextTo"/>
        <c:crossAx val="57908913"/>
        <c:crosses val="autoZero"/>
        <c:crossBetween val="midCat"/>
        <c:dispUnits/>
      </c:valAx>
      <c:valAx>
        <c:axId val="57908913"/>
        <c:scaling>
          <c:orientation val="minMax"/>
        </c:scaling>
        <c:axPos val="l"/>
        <c:title>
          <c:tx>
            <c:rich>
              <a:bodyPr vert="horz" rot="-5400000" anchor="ctr"/>
              <a:lstStyle/>
              <a:p>
                <a:pPr algn="ctr">
                  <a:defRPr/>
                </a:pPr>
                <a:r>
                  <a:rPr lang="en-US" cap="none" sz="1000" b="1" i="0" u="none" baseline="0">
                    <a:latin typeface="Arial"/>
                    <a:ea typeface="Arial"/>
                    <a:cs typeface="Arial"/>
                  </a:rPr>
                  <a:t>growth</a:t>
                </a:r>
              </a:p>
            </c:rich>
          </c:tx>
          <c:layout/>
          <c:overlay val="0"/>
          <c:spPr>
            <a:noFill/>
            <a:ln>
              <a:noFill/>
            </a:ln>
          </c:spPr>
        </c:title>
        <c:majorGridlines/>
        <c:delete val="0"/>
        <c:numFmt formatCode="General" sourceLinked="1"/>
        <c:majorTickMark val="out"/>
        <c:minorTickMark val="none"/>
        <c:tickLblPos val="nextTo"/>
        <c:crossAx val="138908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Pbar Vert Emitttnace</a:t>
            </a:r>
          </a:p>
        </c:rich>
      </c:tx>
      <c:layout/>
      <c:spPr>
        <a:noFill/>
        <a:ln>
          <a:noFill/>
        </a:ln>
      </c:spPr>
    </c:title>
    <c:plotArea>
      <c:layout/>
      <c:scatterChart>
        <c:scatterStyle val="lineMarker"/>
        <c:varyColors val="0"/>
        <c:ser>
          <c:idx val="0"/>
          <c:order val="0"/>
          <c:tx>
            <c:strRef>
              <c:f>Pbar_FW_VE11!$P$28</c:f>
              <c:strCache>
                <c:ptCount val="1"/>
                <c:pt idx="0">
                  <c:v>before ramp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Pbar_FW_VE11!$P$29:$P$64</c:f>
              <c:numCache>
                <c:ptCount val="36"/>
                <c:pt idx="0">
                  <c:v>6.312817232387349</c:v>
                </c:pt>
                <c:pt idx="1">
                  <c:v>6.143353365849559</c:v>
                </c:pt>
                <c:pt idx="2">
                  <c:v>5.488554208070886</c:v>
                </c:pt>
                <c:pt idx="3">
                  <c:v>5.488554208070886</c:v>
                </c:pt>
                <c:pt idx="4">
                  <c:v>6.835042617024215</c:v>
                </c:pt>
                <c:pt idx="5">
                  <c:v>5.1749884142050435</c:v>
                </c:pt>
                <c:pt idx="6">
                  <c:v>5.0216639635279945</c:v>
                </c:pt>
                <c:pt idx="7">
                  <c:v>5.0216639635279945</c:v>
                </c:pt>
                <c:pt idx="8">
                  <c:v>4.5755243965203425</c:v>
                </c:pt>
                <c:pt idx="9">
                  <c:v>3.7454972951107557</c:v>
                </c:pt>
                <c:pt idx="10">
                  <c:v>3.4872666413388855</c:v>
                </c:pt>
                <c:pt idx="11">
                  <c:v>3.7454972951107557</c:v>
                </c:pt>
                <c:pt idx="12">
                  <c:v>5.9761951301490175</c:v>
                </c:pt>
                <c:pt idx="13">
                  <c:v>5.0216639635279945</c:v>
                </c:pt>
                <c:pt idx="14">
                  <c:v>4.721931954685644</c:v>
                </c:pt>
                <c:pt idx="15">
                  <c:v>4.870645143688195</c:v>
                </c:pt>
                <c:pt idx="16">
                  <c:v>8.13426559381394</c:v>
                </c:pt>
                <c:pt idx="17">
                  <c:v>5.488554208070886</c:v>
                </c:pt>
                <c:pt idx="18">
                  <c:v>5.1749884142050435</c:v>
                </c:pt>
                <c:pt idx="19">
                  <c:v>5.488554208070886</c:v>
                </c:pt>
                <c:pt idx="20">
                  <c:v>4.5755243965203425</c:v>
                </c:pt>
                <c:pt idx="21">
                  <c:v>3.8780710682525643</c:v>
                </c:pt>
                <c:pt idx="22">
                  <c:v>4.012950472231622</c:v>
                </c:pt>
                <c:pt idx="23">
                  <c:v>4.012950472231622</c:v>
                </c:pt>
                <c:pt idx="24">
                  <c:v>5.811342525285724</c:v>
                </c:pt>
                <c:pt idx="25">
                  <c:v>5.0216639635279945</c:v>
                </c:pt>
                <c:pt idx="26">
                  <c:v>5.1749884142050435</c:v>
                </c:pt>
                <c:pt idx="27">
                  <c:v>5.0216639635279945</c:v>
                </c:pt>
                <c:pt idx="28">
                  <c:v>5.1749884142050435</c:v>
                </c:pt>
                <c:pt idx="29">
                  <c:v>4.721931954685644</c:v>
                </c:pt>
                <c:pt idx="30">
                  <c:v>4.5755243965203425</c:v>
                </c:pt>
                <c:pt idx="31">
                  <c:v>4.721931954685644</c:v>
                </c:pt>
                <c:pt idx="32">
                  <c:v>3.7454972951107557</c:v>
                </c:pt>
                <c:pt idx="33">
                  <c:v>3.615229152806197</c:v>
                </c:pt>
                <c:pt idx="34">
                  <c:v>3.615229152806197</c:v>
                </c:pt>
                <c:pt idx="35">
                  <c:v>3.4872666413388855</c:v>
                </c:pt>
              </c:numCache>
            </c:numRef>
          </c:yVal>
          <c:smooth val="0"/>
        </c:ser>
        <c:ser>
          <c:idx val="1"/>
          <c:order val="1"/>
          <c:tx>
            <c:strRef>
              <c:f>Pbar_FW_VE11!$Q$28</c:f>
              <c:strCache>
                <c:ptCount val="1"/>
                <c:pt idx="0">
                  <c:v>accelerate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Pbar_FW_VE11!$Q$29:$Q$64</c:f>
              <c:numCache>
                <c:ptCount val="36"/>
                <c:pt idx="0">
                  <c:v>5.339841019068335</c:v>
                </c:pt>
                <c:pt idx="1">
                  <c:v>5.163329607604687</c:v>
                </c:pt>
                <c:pt idx="2">
                  <c:v>4.989784774484966</c:v>
                </c:pt>
                <c:pt idx="3">
                  <c:v>4.651594843277307</c:v>
                </c:pt>
                <c:pt idx="4">
                  <c:v>5.51931900887591</c:v>
                </c:pt>
                <c:pt idx="5">
                  <c:v>4.651594843277307</c:v>
                </c:pt>
                <c:pt idx="6">
                  <c:v>4.166559284045266</c:v>
                </c:pt>
                <c:pt idx="7">
                  <c:v>4.651594843277307</c:v>
                </c:pt>
                <c:pt idx="8">
                  <c:v>4.651594843277307</c:v>
                </c:pt>
                <c:pt idx="9">
                  <c:v>3.7082229299085663</c:v>
                </c:pt>
                <c:pt idx="10">
                  <c:v>3.5613773018841868</c:v>
                </c:pt>
                <c:pt idx="11">
                  <c:v>3.8580351362768726</c:v>
                </c:pt>
                <c:pt idx="12">
                  <c:v>5.701763577027411</c:v>
                </c:pt>
                <c:pt idx="13">
                  <c:v>4.819206519709172</c:v>
                </c:pt>
                <c:pt idx="14">
                  <c:v>4.651594843277307</c:v>
                </c:pt>
                <c:pt idx="15">
                  <c:v>4.651594843277307</c:v>
                </c:pt>
                <c:pt idx="16">
                  <c:v>7.477260715867632</c:v>
                </c:pt>
                <c:pt idx="17">
                  <c:v>5.51931900887591</c:v>
                </c:pt>
                <c:pt idx="18">
                  <c:v>5.51931900887591</c:v>
                </c:pt>
                <c:pt idx="19">
                  <c:v>5.51931900887591</c:v>
                </c:pt>
                <c:pt idx="20">
                  <c:v>5.163329607604687</c:v>
                </c:pt>
                <c:pt idx="21">
                  <c:v>4.010813920989105</c:v>
                </c:pt>
                <c:pt idx="22">
                  <c:v>4.166559284045266</c:v>
                </c:pt>
                <c:pt idx="23">
                  <c:v>4.325271225445352</c:v>
                </c:pt>
                <c:pt idx="24">
                  <c:v>5.51931900887591</c:v>
                </c:pt>
                <c:pt idx="25">
                  <c:v>4.989784774484966</c:v>
                </c:pt>
                <c:pt idx="26">
                  <c:v>4.819206519709172</c:v>
                </c:pt>
                <c:pt idx="27">
                  <c:v>4.819206519709172</c:v>
                </c:pt>
                <c:pt idx="28">
                  <c:v>4.819206519709172</c:v>
                </c:pt>
                <c:pt idx="29">
                  <c:v>4.010813920989105</c:v>
                </c:pt>
                <c:pt idx="30">
                  <c:v>4.325271225445352</c:v>
                </c:pt>
                <c:pt idx="31">
                  <c:v>4.166559284045266</c:v>
                </c:pt>
                <c:pt idx="32">
                  <c:v>3.4174982522037345</c:v>
                </c:pt>
                <c:pt idx="33">
                  <c:v>3.1386398878746107</c:v>
                </c:pt>
                <c:pt idx="34">
                  <c:v>3.1386398878746107</c:v>
                </c:pt>
                <c:pt idx="35">
                  <c:v>3.1386398878746107</c:v>
                </c:pt>
              </c:numCache>
            </c:numRef>
          </c:yVal>
          <c:smooth val="0"/>
        </c:ser>
        <c:ser>
          <c:idx val="2"/>
          <c:order val="2"/>
          <c:tx>
            <c:strRef>
              <c:f>Pbar_FW_VE11!$R$28</c:f>
              <c:strCache>
                <c:ptCount val="1"/>
                <c:pt idx="0">
                  <c:v>flattop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Pbar_FW_VE11!$R$29:$R$64</c:f>
              <c:numCache>
                <c:ptCount val="36"/>
                <c:pt idx="0">
                  <c:v>7.712488859319885</c:v>
                </c:pt>
                <c:pt idx="1">
                  <c:v>7.237990033014071</c:v>
                </c:pt>
                <c:pt idx="2">
                  <c:v>7.237990033014071</c:v>
                </c:pt>
                <c:pt idx="3">
                  <c:v>6.778554661511618</c:v>
                </c:pt>
                <c:pt idx="4">
                  <c:v>8.202051140429058</c:v>
                </c:pt>
                <c:pt idx="5">
                  <c:v>6.778554661511618</c:v>
                </c:pt>
                <c:pt idx="6">
                  <c:v>6.334182744812522</c:v>
                </c:pt>
                <c:pt idx="7">
                  <c:v>6.778554661511618</c:v>
                </c:pt>
                <c:pt idx="8">
                  <c:v>6.334182744812522</c:v>
                </c:pt>
                <c:pt idx="9">
                  <c:v>5.091447723535393</c:v>
                </c:pt>
                <c:pt idx="10">
                  <c:v>4.707329626049734</c:v>
                </c:pt>
                <c:pt idx="11">
                  <c:v>5.091447723535393</c:v>
                </c:pt>
                <c:pt idx="12">
                  <c:v>5.904874282916788</c:v>
                </c:pt>
                <c:pt idx="13">
                  <c:v>5.091447723535393</c:v>
                </c:pt>
                <c:pt idx="14">
                  <c:v>4.707329626049734</c:v>
                </c:pt>
                <c:pt idx="15">
                  <c:v>4.707329626049734</c:v>
                </c:pt>
                <c:pt idx="16">
                  <c:v>6.334182744812522</c:v>
                </c:pt>
                <c:pt idx="17">
                  <c:v>5.091447723535393</c:v>
                </c:pt>
                <c:pt idx="18">
                  <c:v>4.707329626049734</c:v>
                </c:pt>
                <c:pt idx="19">
                  <c:v>5.091447723535393</c:v>
                </c:pt>
                <c:pt idx="20">
                  <c:v>4.338274983367435</c:v>
                </c:pt>
                <c:pt idx="21">
                  <c:v>3.6453560624129144</c:v>
                </c:pt>
                <c:pt idx="22">
                  <c:v>3.6453560624129144</c:v>
                </c:pt>
                <c:pt idx="23">
                  <c:v>3.6453560624129144</c:v>
                </c:pt>
                <c:pt idx="24">
                  <c:v>5.904874282916788</c:v>
                </c:pt>
                <c:pt idx="25">
                  <c:v>5.091447723535393</c:v>
                </c:pt>
                <c:pt idx="26">
                  <c:v>5.091447723535393</c:v>
                </c:pt>
                <c:pt idx="27">
                  <c:v>4.707329626049734</c:v>
                </c:pt>
                <c:pt idx="28">
                  <c:v>5.091447723535393</c:v>
                </c:pt>
                <c:pt idx="29">
                  <c:v>4.338274983367435</c:v>
                </c:pt>
                <c:pt idx="30">
                  <c:v>4.338274983367435</c:v>
                </c:pt>
                <c:pt idx="31">
                  <c:v>4.707329626049734</c:v>
                </c:pt>
                <c:pt idx="32">
                  <c:v>3.984283795488496</c:v>
                </c:pt>
                <c:pt idx="33">
                  <c:v>3.984283795488496</c:v>
                </c:pt>
                <c:pt idx="34">
                  <c:v>3.984283795488496</c:v>
                </c:pt>
                <c:pt idx="35">
                  <c:v>3.984283795488496</c:v>
                </c:pt>
              </c:numCache>
            </c:numRef>
          </c:yVal>
          <c:smooth val="0"/>
        </c:ser>
        <c:ser>
          <c:idx val="3"/>
          <c:order val="3"/>
          <c:tx>
            <c:strRef>
              <c:f>Pbar_FW_VE11!$S$28</c:f>
              <c:strCache>
                <c:ptCount val="1"/>
                <c:pt idx="0">
                  <c:v>squeeze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Pbar_FW_VE11!$S$29:$S$64</c:f>
              <c:numCache>
                <c:ptCount val="36"/>
                <c:pt idx="0">
                  <c:v>6.526697986391162</c:v>
                </c:pt>
                <c:pt idx="1">
                  <c:v>6.084341523579873</c:v>
                </c:pt>
                <c:pt idx="2">
                  <c:v>6.084341523579873</c:v>
                </c:pt>
                <c:pt idx="3">
                  <c:v>6.084341523579873</c:v>
                </c:pt>
                <c:pt idx="4">
                  <c:v>6.984575728599342</c:v>
                </c:pt>
                <c:pt idx="5">
                  <c:v>6.084341523579873</c:v>
                </c:pt>
                <c:pt idx="6">
                  <c:v>5.657506340165469</c:v>
                </c:pt>
                <c:pt idx="7">
                  <c:v>6.526697986391162</c:v>
                </c:pt>
                <c:pt idx="8">
                  <c:v>6.526697986391162</c:v>
                </c:pt>
                <c:pt idx="9">
                  <c:v>5.246192436147951</c:v>
                </c:pt>
                <c:pt idx="10">
                  <c:v>5.246192436147951</c:v>
                </c:pt>
                <c:pt idx="11">
                  <c:v>6.084341523579873</c:v>
                </c:pt>
                <c:pt idx="12">
                  <c:v>8.451336631605205</c:v>
                </c:pt>
                <c:pt idx="13">
                  <c:v>6.526697986391162</c:v>
                </c:pt>
                <c:pt idx="14">
                  <c:v>6.084341523579873</c:v>
                </c:pt>
                <c:pt idx="15">
                  <c:v>5.657506340165469</c:v>
                </c:pt>
                <c:pt idx="16">
                  <c:v>8.971299491400934</c:v>
                </c:pt>
                <c:pt idx="17">
                  <c:v>6.526697986391162</c:v>
                </c:pt>
                <c:pt idx="18">
                  <c:v>6.084341523579873</c:v>
                </c:pt>
                <c:pt idx="19">
                  <c:v>6.084341523579873</c:v>
                </c:pt>
                <c:pt idx="20">
                  <c:v>5.246192436147951</c:v>
                </c:pt>
                <c:pt idx="21">
                  <c:v>3.7561496140467576</c:v>
                </c:pt>
                <c:pt idx="22">
                  <c:v>3.7561496140467576</c:v>
                </c:pt>
                <c:pt idx="23">
                  <c:v>4.1053784004767255</c:v>
                </c:pt>
                <c:pt idx="24">
                  <c:v>6.084341523579873</c:v>
                </c:pt>
                <c:pt idx="25">
                  <c:v>4.850399811527321</c:v>
                </c:pt>
                <c:pt idx="26">
                  <c:v>4.850399811527321</c:v>
                </c:pt>
                <c:pt idx="27">
                  <c:v>4.850399811527321</c:v>
                </c:pt>
                <c:pt idx="28">
                  <c:v>4.850399811527321</c:v>
                </c:pt>
                <c:pt idx="29">
                  <c:v>4.470128466303579</c:v>
                </c:pt>
                <c:pt idx="30">
                  <c:v>4.470128466303579</c:v>
                </c:pt>
                <c:pt idx="31">
                  <c:v>4.470128466303579</c:v>
                </c:pt>
                <c:pt idx="32">
                  <c:v>4.1053784004767255</c:v>
                </c:pt>
                <c:pt idx="33">
                  <c:v>3.7561496140467576</c:v>
                </c:pt>
                <c:pt idx="34">
                  <c:v>3.4224421070136777</c:v>
                </c:pt>
                <c:pt idx="35">
                  <c:v>4.1053784004767255</c:v>
                </c:pt>
              </c:numCache>
            </c:numRef>
          </c:yVal>
          <c:smooth val="0"/>
        </c:ser>
        <c:ser>
          <c:idx val="4"/>
          <c:order val="4"/>
          <c:tx>
            <c:strRef>
              <c:f>Pbar_FW_VE11!$T$28</c:f>
              <c:strCache>
                <c:ptCount val="1"/>
                <c:pt idx="0">
                  <c:v>initiate collisions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Pbar_FW_VE11!$T$29:$T$64</c:f>
              <c:numCache>
                <c:ptCount val="36"/>
                <c:pt idx="0">
                  <c:v>7.457974750204409</c:v>
                </c:pt>
                <c:pt idx="1">
                  <c:v>8.451336631605205</c:v>
                </c:pt>
                <c:pt idx="2">
                  <c:v>8.971299491400934</c:v>
                </c:pt>
                <c:pt idx="3">
                  <c:v>8.451336631605205</c:v>
                </c:pt>
                <c:pt idx="4">
                  <c:v>10.057789049183052</c:v>
                </c:pt>
                <c:pt idx="5">
                  <c:v>8.971299491400934</c:v>
                </c:pt>
                <c:pt idx="6">
                  <c:v>8.971299491400934</c:v>
                </c:pt>
                <c:pt idx="7">
                  <c:v>9.506783630593548</c:v>
                </c:pt>
                <c:pt idx="8">
                  <c:v>8.971299491400934</c:v>
                </c:pt>
                <c:pt idx="9">
                  <c:v>7.457974750204409</c:v>
                </c:pt>
                <c:pt idx="10">
                  <c:v>7.457974750204409</c:v>
                </c:pt>
                <c:pt idx="11">
                  <c:v>7.946895051206363</c:v>
                </c:pt>
                <c:pt idx="12">
                  <c:v>7.946895051206363</c:v>
                </c:pt>
                <c:pt idx="13">
                  <c:v>6.984575728599342</c:v>
                </c:pt>
                <c:pt idx="14">
                  <c:v>7.457974750204409</c:v>
                </c:pt>
                <c:pt idx="15">
                  <c:v>6.984575728599342</c:v>
                </c:pt>
                <c:pt idx="16">
                  <c:v>9.506783630593548</c:v>
                </c:pt>
                <c:pt idx="17">
                  <c:v>7.457974750204409</c:v>
                </c:pt>
                <c:pt idx="18">
                  <c:v>6.984575728599342</c:v>
                </c:pt>
                <c:pt idx="19">
                  <c:v>6.984575728599342</c:v>
                </c:pt>
                <c:pt idx="20">
                  <c:v>6.084341523579873</c:v>
                </c:pt>
                <c:pt idx="21">
                  <c:v>4.850399811527321</c:v>
                </c:pt>
                <c:pt idx="22">
                  <c:v>4.850399811527321</c:v>
                </c:pt>
                <c:pt idx="23">
                  <c:v>4.470128466303579</c:v>
                </c:pt>
                <c:pt idx="24">
                  <c:v>6.084341523579873</c:v>
                </c:pt>
                <c:pt idx="25">
                  <c:v>6.084341523579873</c:v>
                </c:pt>
                <c:pt idx="26">
                  <c:v>6.084341523579873</c:v>
                </c:pt>
                <c:pt idx="27">
                  <c:v>5.657506340165469</c:v>
                </c:pt>
                <c:pt idx="28">
                  <c:v>5.657506340165469</c:v>
                </c:pt>
                <c:pt idx="29">
                  <c:v>5.657506340165469</c:v>
                </c:pt>
                <c:pt idx="30">
                  <c:v>5.657506340165469</c:v>
                </c:pt>
                <c:pt idx="31">
                  <c:v>5.246192436147951</c:v>
                </c:pt>
                <c:pt idx="32">
                  <c:v>4.850399811527321</c:v>
                </c:pt>
                <c:pt idx="33">
                  <c:v>4.470128466303579</c:v>
                </c:pt>
                <c:pt idx="34">
                  <c:v>4.850399811527321</c:v>
                </c:pt>
                <c:pt idx="35">
                  <c:v>4.470128466303579</c:v>
                </c:pt>
              </c:numCache>
            </c:numRef>
          </c:yVal>
          <c:smooth val="0"/>
        </c:ser>
        <c:ser>
          <c:idx val="5"/>
          <c:order val="5"/>
          <c:tx>
            <c:strRef>
              <c:f>Pbar_FW_VE11!$U$28</c:f>
              <c:strCache>
                <c:ptCount val="1"/>
                <c:pt idx="0">
                  <c:v>Remove halo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Pbar_FW_VE11!$U$29:$U$64</c:f>
              <c:numCache>
                <c:ptCount val="36"/>
                <c:pt idx="0">
                  <c:v>6.984575728599342</c:v>
                </c:pt>
                <c:pt idx="1">
                  <c:v>9.506783630593548</c:v>
                </c:pt>
                <c:pt idx="2">
                  <c:v>9.506783630593548</c:v>
                </c:pt>
                <c:pt idx="3">
                  <c:v>9.506783630593548</c:v>
                </c:pt>
                <c:pt idx="4">
                  <c:v>10.624315747169444</c:v>
                </c:pt>
                <c:pt idx="5">
                  <c:v>10.624315747169444</c:v>
                </c:pt>
                <c:pt idx="6">
                  <c:v>10.057789049183052</c:v>
                </c:pt>
                <c:pt idx="7">
                  <c:v>9.506783630593548</c:v>
                </c:pt>
                <c:pt idx="8">
                  <c:v>8.971299491400934</c:v>
                </c:pt>
                <c:pt idx="9">
                  <c:v>8.451336631605205</c:v>
                </c:pt>
                <c:pt idx="10">
                  <c:v>8.451336631605205</c:v>
                </c:pt>
                <c:pt idx="11">
                  <c:v>6.984575728599342</c:v>
                </c:pt>
                <c:pt idx="12">
                  <c:v>6.984575728599342</c:v>
                </c:pt>
                <c:pt idx="13">
                  <c:v>7.457974750204409</c:v>
                </c:pt>
                <c:pt idx="14">
                  <c:v>8.971299491400934</c:v>
                </c:pt>
                <c:pt idx="15">
                  <c:v>8.451336631605205</c:v>
                </c:pt>
                <c:pt idx="16">
                  <c:v>10.624315747169444</c:v>
                </c:pt>
                <c:pt idx="17">
                  <c:v>9.506783630593548</c:v>
                </c:pt>
                <c:pt idx="18">
                  <c:v>8.971299491400934</c:v>
                </c:pt>
                <c:pt idx="19">
                  <c:v>8.971299491400934</c:v>
                </c:pt>
                <c:pt idx="20">
                  <c:v>8.451336631605205</c:v>
                </c:pt>
                <c:pt idx="21">
                  <c:v>7.457974750204409</c:v>
                </c:pt>
                <c:pt idx="22">
                  <c:v>6.984575728599342</c:v>
                </c:pt>
                <c:pt idx="23">
                  <c:v>5.657506340165469</c:v>
                </c:pt>
                <c:pt idx="24">
                  <c:v>6.984575728599342</c:v>
                </c:pt>
                <c:pt idx="25">
                  <c:v>7.946895051206363</c:v>
                </c:pt>
                <c:pt idx="26">
                  <c:v>8.451336631605205</c:v>
                </c:pt>
                <c:pt idx="27">
                  <c:v>7.946895051206363</c:v>
                </c:pt>
                <c:pt idx="28">
                  <c:v>8.971299491400934</c:v>
                </c:pt>
                <c:pt idx="29">
                  <c:v>8.971299491400934</c:v>
                </c:pt>
                <c:pt idx="30">
                  <c:v>8.971299491400934</c:v>
                </c:pt>
                <c:pt idx="31">
                  <c:v>7.946895051206363</c:v>
                </c:pt>
                <c:pt idx="32">
                  <c:v>7.946895051206363</c:v>
                </c:pt>
                <c:pt idx="33">
                  <c:v>6.984575728599342</c:v>
                </c:pt>
                <c:pt idx="34">
                  <c:v>6.984575728599342</c:v>
                </c:pt>
                <c:pt idx="35">
                  <c:v>5.246192436147951</c:v>
                </c:pt>
              </c:numCache>
            </c:numRef>
          </c:yVal>
          <c:smooth val="0"/>
        </c:ser>
        <c:ser>
          <c:idx val="6"/>
          <c:order val="6"/>
          <c:tx>
            <c:strRef>
              <c:f>Pbar_FW_VE11!$V$28</c:f>
              <c:strCache>
                <c:ptCount val="1"/>
                <c:pt idx="0">
                  <c:v>HEP 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strRef>
              <c:f>Pbar_FW_VE11!$O$29:$O$64</c:f>
              <c:strCache>
                <c:ptCount val="36"/>
                <c:pt idx="0">
                  <c:v>A1</c:v>
                </c:pt>
                <c:pt idx="1">
                  <c:v>A2</c:v>
                </c:pt>
                <c:pt idx="2">
                  <c:v>A3</c:v>
                </c:pt>
                <c:pt idx="3">
                  <c:v>A4</c:v>
                </c:pt>
                <c:pt idx="4">
                  <c:v>A5</c:v>
                </c:pt>
                <c:pt idx="5">
                  <c:v>A6</c:v>
                </c:pt>
                <c:pt idx="6">
                  <c:v>A7</c:v>
                </c:pt>
                <c:pt idx="7">
                  <c:v>A8</c:v>
                </c:pt>
                <c:pt idx="8">
                  <c:v>A9</c:v>
                </c:pt>
                <c:pt idx="9">
                  <c:v>A10</c:v>
                </c:pt>
                <c:pt idx="10">
                  <c:v>A11</c:v>
                </c:pt>
                <c:pt idx="11">
                  <c:v>A12</c:v>
                </c:pt>
                <c:pt idx="12">
                  <c:v>A13</c:v>
                </c:pt>
                <c:pt idx="13">
                  <c:v>A14</c:v>
                </c:pt>
                <c:pt idx="14">
                  <c:v>A15</c:v>
                </c:pt>
                <c:pt idx="15">
                  <c:v>A16</c:v>
                </c:pt>
                <c:pt idx="16">
                  <c:v>A17</c:v>
                </c:pt>
                <c:pt idx="17">
                  <c:v>A18</c:v>
                </c:pt>
                <c:pt idx="18">
                  <c:v>A19</c:v>
                </c:pt>
                <c:pt idx="19">
                  <c:v>A20</c:v>
                </c:pt>
                <c:pt idx="20">
                  <c:v>A21</c:v>
                </c:pt>
                <c:pt idx="21">
                  <c:v>A22</c:v>
                </c:pt>
                <c:pt idx="22">
                  <c:v>A23</c:v>
                </c:pt>
                <c:pt idx="23">
                  <c:v>A24</c:v>
                </c:pt>
                <c:pt idx="24">
                  <c:v>A25</c:v>
                </c:pt>
                <c:pt idx="25">
                  <c:v>A26</c:v>
                </c:pt>
                <c:pt idx="26">
                  <c:v>A27</c:v>
                </c:pt>
                <c:pt idx="27">
                  <c:v>A28</c:v>
                </c:pt>
                <c:pt idx="28">
                  <c:v>A29</c:v>
                </c:pt>
                <c:pt idx="29">
                  <c:v>A30</c:v>
                </c:pt>
                <c:pt idx="30">
                  <c:v>A31</c:v>
                </c:pt>
                <c:pt idx="31">
                  <c:v>A32</c:v>
                </c:pt>
                <c:pt idx="32">
                  <c:v>A33</c:v>
                </c:pt>
                <c:pt idx="33">
                  <c:v>A34</c:v>
                </c:pt>
                <c:pt idx="34">
                  <c:v>A35</c:v>
                </c:pt>
                <c:pt idx="35">
                  <c:v>A36</c:v>
                </c:pt>
              </c:strCache>
            </c:strRef>
          </c:xVal>
          <c:yVal>
            <c:numRef>
              <c:f>Pbar_FW_VE11!$V$29:$V$64</c:f>
              <c:numCache>
                <c:ptCount val="36"/>
                <c:pt idx="0">
                  <c:v>5.028894524591526</c:v>
                </c:pt>
                <c:pt idx="1">
                  <c:v>5.028894524591526</c:v>
                </c:pt>
                <c:pt idx="2">
                  <c:v>5.312157873584722</c:v>
                </c:pt>
                <c:pt idx="3">
                  <c:v>5.312157873584722</c:v>
                </c:pt>
                <c:pt idx="4">
                  <c:v>5.028894524591526</c:v>
                </c:pt>
                <c:pt idx="5">
                  <c:v>5.603181862276362</c:v>
                </c:pt>
                <c:pt idx="6">
                  <c:v>5.901966490666445</c:v>
                </c:pt>
                <c:pt idx="7">
                  <c:v>5.603181862276362</c:v>
                </c:pt>
                <c:pt idx="8">
                  <c:v>5.312157873584722</c:v>
                </c:pt>
                <c:pt idx="9">
                  <c:v>5.312157873584722</c:v>
                </c:pt>
                <c:pt idx="10">
                  <c:v>5.028894524591526</c:v>
                </c:pt>
                <c:pt idx="11">
                  <c:v>4.753391815296774</c:v>
                </c:pt>
                <c:pt idx="12">
                  <c:v>4.485649745700467</c:v>
                </c:pt>
                <c:pt idx="13">
                  <c:v>4.2256683158026025</c:v>
                </c:pt>
                <c:pt idx="14">
                  <c:v>4.753391815296774</c:v>
                </c:pt>
                <c:pt idx="15">
                  <c:v>5.312157873584722</c:v>
                </c:pt>
                <c:pt idx="16">
                  <c:v>5.312157873584722</c:v>
                </c:pt>
                <c:pt idx="17">
                  <c:v>5.901966490666445</c:v>
                </c:pt>
                <c:pt idx="18">
                  <c:v>5.603181862276362</c:v>
                </c:pt>
                <c:pt idx="19">
                  <c:v>5.603181862276362</c:v>
                </c:pt>
                <c:pt idx="20">
                  <c:v>5.603181862276362</c:v>
                </c:pt>
                <c:pt idx="21">
                  <c:v>5.312157873584722</c:v>
                </c:pt>
                <c:pt idx="22">
                  <c:v>5.028894524591526</c:v>
                </c:pt>
                <c:pt idx="23">
                  <c:v>4.485649745700467</c:v>
                </c:pt>
                <c:pt idx="24">
                  <c:v>4.2256683158026025</c:v>
                </c:pt>
                <c:pt idx="25">
                  <c:v>4.485649745700467</c:v>
                </c:pt>
                <c:pt idx="26">
                  <c:v>5.028894524591526</c:v>
                </c:pt>
                <c:pt idx="27">
                  <c:v>5.028894524591526</c:v>
                </c:pt>
                <c:pt idx="28">
                  <c:v>4.753391815296774</c:v>
                </c:pt>
                <c:pt idx="29">
                  <c:v>4.753391815296774</c:v>
                </c:pt>
                <c:pt idx="30">
                  <c:v>5.603181862276362</c:v>
                </c:pt>
                <c:pt idx="31">
                  <c:v>5.312157873584722</c:v>
                </c:pt>
                <c:pt idx="32">
                  <c:v>4.753391815296774</c:v>
                </c:pt>
                <c:pt idx="33">
                  <c:v>4.753391815296774</c:v>
                </c:pt>
                <c:pt idx="34">
                  <c:v>4.753391815296774</c:v>
                </c:pt>
                <c:pt idx="35">
                  <c:v>4.485649745700467</c:v>
                </c:pt>
              </c:numCache>
            </c:numRef>
          </c:yVal>
          <c:smooth val="0"/>
        </c:ser>
        <c:axId val="51418170"/>
        <c:axId val="60110347"/>
      </c:scatterChart>
      <c:valAx>
        <c:axId val="51418170"/>
        <c:scaling>
          <c:orientation val="minMax"/>
        </c:scaling>
        <c:axPos val="b"/>
        <c:title>
          <c:tx>
            <c:rich>
              <a:bodyPr vert="horz" rot="0" anchor="ctr"/>
              <a:lstStyle/>
              <a:p>
                <a:pPr algn="ctr">
                  <a:defRPr/>
                </a:pPr>
                <a:r>
                  <a:rPr lang="en-US" cap="none" sz="1000" b="1" i="0" u="none" baseline="0">
                    <a:latin typeface="Arial"/>
                    <a:ea typeface="Arial"/>
                    <a:cs typeface="Arial"/>
                  </a:rPr>
                  <a:t>Bunch number</a:t>
                </a:r>
              </a:p>
            </c:rich>
          </c:tx>
          <c:layout/>
          <c:overlay val="0"/>
          <c:spPr>
            <a:noFill/>
            <a:ln>
              <a:noFill/>
            </a:ln>
          </c:spPr>
        </c:title>
        <c:delete val="0"/>
        <c:numFmt formatCode="General" sourceLinked="1"/>
        <c:majorTickMark val="out"/>
        <c:minorTickMark val="none"/>
        <c:tickLblPos val="nextTo"/>
        <c:crossAx val="60110347"/>
        <c:crosses val="autoZero"/>
        <c:crossBetween val="midCat"/>
        <c:dispUnits/>
      </c:valAx>
      <c:valAx>
        <c:axId val="60110347"/>
        <c:scaling>
          <c:orientation val="minMax"/>
        </c:scaling>
        <c:axPos val="l"/>
        <c:majorGridlines/>
        <c:delete val="0"/>
        <c:numFmt formatCode="General" sourceLinked="1"/>
        <c:majorTickMark val="out"/>
        <c:minorTickMark val="none"/>
        <c:tickLblPos val="nextTo"/>
        <c:crossAx val="5141817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28575</xdr:colOff>
      <xdr:row>51</xdr:row>
      <xdr:rowOff>104775</xdr:rowOff>
    </xdr:to>
    <xdr:sp>
      <xdr:nvSpPr>
        <xdr:cNvPr id="1" name="TextBox 3"/>
        <xdr:cNvSpPr txBox="1">
          <a:spLocks noChangeArrowheads="1"/>
        </xdr:cNvSpPr>
      </xdr:nvSpPr>
      <xdr:spPr>
        <a:xfrm>
          <a:off x="76200" y="47625"/>
          <a:ext cx="7267575" cy="831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worksheets in this workbook have common behaviour. 
All of them are based on </a:t>
          </a:r>
          <a:r>
            <a:rPr lang="en-US" cap="none" sz="1000" b="1" i="0" u="none" baseline="0">
              <a:latin typeface="Arial"/>
              <a:ea typeface="Arial"/>
              <a:cs typeface="Arial"/>
            </a:rPr>
            <a:t>SDA Reports MT</a:t>
          </a:r>
          <a:r>
            <a:rPr lang="en-US" cap="none" sz="1000" b="0" i="0" u="none" baseline="0">
              <a:latin typeface="Arial"/>
              <a:ea typeface="Arial"/>
              <a:cs typeface="Arial"/>
            </a:rPr>
            <a:t> web project. All the expressions was made by </a:t>
          </a:r>
          <a:r>
            <a:rPr lang="en-US" cap="none" sz="1000" b="1" i="0" u="none" baseline="0">
              <a:latin typeface="Arial"/>
              <a:ea typeface="Arial"/>
              <a:cs typeface="Arial"/>
            </a:rPr>
            <a:t>Gerald Annala</a:t>
          </a:r>
          <a:r>
            <a:rPr lang="en-US" cap="none" sz="1000" b="0" i="0" u="none" baseline="0">
              <a:latin typeface="Arial"/>
              <a:ea typeface="Arial"/>
              <a:cs typeface="Arial"/>
            </a:rPr>
            <a:t> as an Excel template.
For every page a reportMT xml configuration file was written. 
Using this xml file </a:t>
          </a:r>
          <a:r>
            <a:rPr lang="en-US" cap="none" sz="1000" b="1" i="0" u="none" baseline="0">
              <a:latin typeface="Arial"/>
              <a:ea typeface="Arial"/>
              <a:cs typeface="Arial"/>
            </a:rPr>
            <a:t>SDAReportsMT</a:t>
          </a:r>
          <a:r>
            <a:rPr lang="en-US" cap="none" sz="1000" b="0" i="0" u="none" baseline="0">
              <a:latin typeface="Arial"/>
              <a:ea typeface="Arial"/>
              <a:cs typeface="Arial"/>
            </a:rPr>
            <a:t> web application reads data from SDA database using DAE (Data Acqusition Engine) jobs and create an HTML table on the web. This table is imported by Excel into spreadsheet using "Get External Data" command.
Parameters for the web application (reportMT  name and shot number) are formed by </a:t>
          </a:r>
          <a:r>
            <a:rPr lang="en-US" cap="none" sz="1000" b="1" i="0" u="none" baseline="0">
              <a:latin typeface="Arial"/>
              <a:ea typeface="Arial"/>
              <a:cs typeface="Arial"/>
            </a:rPr>
            <a:t>ReadData</a:t>
          </a:r>
          <a:r>
            <a:rPr lang="en-US" cap="none" sz="1000" b="0" i="0" u="none" baseline="0">
              <a:latin typeface="Arial"/>
              <a:ea typeface="Arial"/>
              <a:cs typeface="Arial"/>
            </a:rPr>
            <a:t> VB subroutine (macro).
</a:t>
          </a:r>
          <a:r>
            <a:rPr lang="en-US" cap="none" sz="1000" b="1" i="0" u="none" baseline="0">
              <a:latin typeface="Arial"/>
              <a:ea typeface="Arial"/>
              <a:cs typeface="Arial"/>
            </a:rPr>
            <a:t>0. Name of the worksheet is a selector</a:t>
          </a:r>
          <a:r>
            <a:rPr lang="en-US" cap="none" sz="1000" b="0" i="0" u="none" baseline="0">
              <a:latin typeface="Arial"/>
              <a:ea typeface="Arial"/>
              <a:cs typeface="Arial"/>
            </a:rPr>
            <a:t> what report to use in </a:t>
          </a:r>
          <a:r>
            <a:rPr lang="en-US" cap="none" sz="1000" b="1" i="0" u="none" baseline="0">
              <a:latin typeface="Arial"/>
              <a:ea typeface="Arial"/>
              <a:cs typeface="Arial"/>
            </a:rPr>
            <a:t>ReadData</a:t>
          </a:r>
          <a:r>
            <a:rPr lang="en-US" cap="none" sz="1000" b="0" i="0" u="none" baseline="0">
              <a:latin typeface="Arial"/>
              <a:ea typeface="Arial"/>
              <a:cs typeface="Arial"/>
            </a:rPr>
            <a:t>. So, if you rename the worksheet 
like "proton_int for shot 1836" it would not work. 
That can be remade if someone wants to. I am open to suggestions ...
</a:t>
          </a:r>
          <a:r>
            <a:rPr lang="en-US" cap="none" sz="1000" b="1" i="0" u="none" baseline="0">
              <a:latin typeface="Arial"/>
              <a:ea typeface="Arial"/>
              <a:cs typeface="Arial"/>
            </a:rPr>
            <a:t>1. Total</a:t>
          </a:r>
          <a:r>
            <a:rPr lang="en-US" cap="none" sz="1000" b="0" i="0" u="none" baseline="0">
              <a:latin typeface="Arial"/>
              <a:ea typeface="Arial"/>
              <a:cs typeface="Arial"/>
            </a:rPr>
            <a:t> columns is not taken from web - you can do whatever you want there, i.e. change expression, write comments etc.</a:t>
          </a:r>
          <a:r>
            <a:rPr lang="en-US" cap="none" sz="1000" b="0" i="0" u="none" baseline="0">
              <a:latin typeface="Arial"/>
              <a:ea typeface="Arial"/>
              <a:cs typeface="Arial"/>
            </a:rPr>
            <a:t>
</a:t>
          </a:r>
          <a:r>
            <a:rPr lang="en-US" cap="none" sz="1000" b="1" i="0" u="none" baseline="0">
              <a:latin typeface="Arial"/>
              <a:ea typeface="Arial"/>
              <a:cs typeface="Arial"/>
            </a:rPr>
            <a:t>2</a:t>
          </a:r>
          <a:r>
            <a:rPr lang="en-US" cap="none" sz="1000" b="0" i="0" u="none" baseline="0">
              <a:latin typeface="Arial"/>
              <a:ea typeface="Arial"/>
              <a:cs typeface="Arial"/>
            </a:rPr>
            <a:t>. Worksheet names --&gt; reportMT names:
</a:t>
          </a:r>
          <a:r>
            <a:rPr lang="en-US" cap="none" sz="1000" b="1" i="0" u="none" baseline="0">
              <a:latin typeface="Arial"/>
              <a:ea typeface="Arial"/>
              <a:cs typeface="Arial"/>
            </a:rPr>
            <a:t>    Proton_int                 proton_int.xml                                           Pbar_int                    pbar_int.xml
    Proton_FW_VE11      Proton_FW_VE11.xml                                Pbar_FW_VE11         Pbar_FW_VE11.xml 
    Proton_FW_HE11      Proton_FW_HE11.xml                                Pbar_FW_HE11         Pbar_FW_HE11.xml
    Proton_FW_HE17      Proton_FW_HE17.xml                                Pbar_FW_HE17         Pbar_FW_HE17.xml
    proton_long              proton_long.xml                                        pbar_long                 pbar_long.xml
</a:t>
          </a:r>
          <a:r>
            <a:rPr lang="en-US" cap="none" sz="1000" b="0" i="0" u="none" baseline="0">
              <a:latin typeface="Arial"/>
              <a:ea typeface="Arial"/>
              <a:cs typeface="Arial"/>
            </a:rPr>
            <a:t>You can look at implementation (expressions) using reportsMT "edit report" button. Just type the report name first. It is not very helpful now because it is hard to read that expressions. I would think what I can do about it, and I am open to suggestions.
As a description (what devices are where) I will also put into appix ( http://www-bd.fnal.gov/appix ) the 
SDATemplate Gerald Annal gave to me.
</a:t>
          </a:r>
          <a:r>
            <a:rPr lang="en-US" cap="none" sz="1000" b="1" i="0" u="none" baseline="0">
              <a:latin typeface="Arial"/>
              <a:ea typeface="Arial"/>
              <a:cs typeface="Arial"/>
            </a:rPr>
            <a:t>3</a:t>
          </a:r>
          <a:r>
            <a:rPr lang="en-US" cap="none" sz="1000" b="0" i="0" u="none" baseline="0">
              <a:latin typeface="Arial"/>
              <a:ea typeface="Arial"/>
              <a:cs typeface="Arial"/>
            </a:rPr>
            <a:t>. </a:t>
          </a:r>
          <a:r>
            <a:rPr lang="en-US" cap="none" sz="1000" b="1" i="0" u="none" baseline="0">
              <a:latin typeface="Arial"/>
              <a:ea typeface="Arial"/>
              <a:cs typeface="Arial"/>
            </a:rPr>
            <a:t>Shot number</a:t>
          </a:r>
          <a:r>
            <a:rPr lang="en-US" cap="none" sz="1000" b="0" i="0" u="none" baseline="0">
              <a:latin typeface="Arial"/>
              <a:ea typeface="Arial"/>
              <a:cs typeface="Arial"/>
            </a:rPr>
            <a:t> should be written in the cell </a:t>
          </a:r>
          <a:r>
            <a:rPr lang="en-US" cap="none" sz="1000" b="1" i="0" u="none" baseline="0">
              <a:latin typeface="Arial"/>
              <a:ea typeface="Arial"/>
              <a:cs typeface="Arial"/>
            </a:rPr>
            <a:t>B2</a:t>
          </a:r>
          <a:r>
            <a:rPr lang="en-US" cap="none" sz="1000" b="0" i="0" u="none" baseline="0">
              <a:latin typeface="Arial"/>
              <a:ea typeface="Arial"/>
              <a:cs typeface="Arial"/>
            </a:rPr>
            <a:t>, after that you can press "</a:t>
          </a:r>
          <a:r>
            <a:rPr lang="en-US" cap="none" sz="1000" b="1" i="0" u="none" baseline="0">
              <a:latin typeface="Arial"/>
              <a:ea typeface="Arial"/>
              <a:cs typeface="Arial"/>
            </a:rPr>
            <a:t>Alt-F8</a:t>
          </a:r>
          <a:r>
            <a:rPr lang="en-US" cap="none" sz="1000" b="0" i="0" u="none" baseline="0">
              <a:latin typeface="Arial"/>
              <a:ea typeface="Arial"/>
              <a:cs typeface="Arial"/>
            </a:rPr>
            <a:t>" and select "</a:t>
          </a:r>
          <a:r>
            <a:rPr lang="en-US" cap="none" sz="1000" b="1" i="0" u="none" baseline="0">
              <a:latin typeface="Arial"/>
              <a:ea typeface="Arial"/>
              <a:cs typeface="Arial"/>
            </a:rPr>
            <a:t>ReadData</a:t>
          </a:r>
          <a:r>
            <a:rPr lang="en-US" cap="none" sz="1000" b="0" i="0" u="none" baseline="0">
              <a:latin typeface="Arial"/>
              <a:ea typeface="Arial"/>
              <a:cs typeface="Arial"/>
            </a:rPr>
            <a:t>" or "</a:t>
          </a:r>
          <a:r>
            <a:rPr lang="en-US" cap="none" sz="1000" b="1" i="0" u="none" baseline="0">
              <a:latin typeface="Arial"/>
              <a:ea typeface="Arial"/>
              <a:cs typeface="Arial"/>
            </a:rPr>
            <a:t>ReadAllSheets". </a:t>
          </a:r>
          <a:r>
            <a:rPr lang="en-US" cap="none" sz="1000" b="0" i="0" u="none" baseline="0">
              <a:latin typeface="Arial"/>
              <a:ea typeface="Arial"/>
              <a:cs typeface="Arial"/>
            </a:rPr>
            <a:t>"</a:t>
          </a:r>
          <a:r>
            <a:rPr lang="en-US" cap="none" sz="1000" b="1" i="0" u="none" baseline="0">
              <a:latin typeface="Arial"/>
              <a:ea typeface="Arial"/>
              <a:cs typeface="Arial"/>
            </a:rPr>
            <a:t>ReadAllSheets" </a:t>
          </a:r>
          <a:r>
            <a:rPr lang="en-US" cap="none" sz="1000" b="0" i="0" u="none" baseline="0">
              <a:latin typeface="Arial"/>
              <a:ea typeface="Arial"/>
              <a:cs typeface="Arial"/>
            </a:rPr>
            <a:t>calls "</a:t>
          </a:r>
          <a:r>
            <a:rPr lang="en-US" cap="none" sz="1000" b="1" i="0" u="none" baseline="0">
              <a:latin typeface="Arial"/>
              <a:ea typeface="Arial"/>
              <a:cs typeface="Arial"/>
            </a:rPr>
            <a:t>ReadData" </a:t>
          </a:r>
          <a:r>
            <a:rPr lang="en-US" cap="none" sz="1000" b="0" i="0" u="none" baseline="0">
              <a:latin typeface="Arial"/>
              <a:ea typeface="Arial"/>
              <a:cs typeface="Arial"/>
            </a:rPr>
            <a:t>macro for every sheet. </a:t>
          </a:r>
          <a:r>
            <a:rPr lang="en-US" cap="none" sz="1000" b="1" i="1" u="sng" baseline="0">
              <a:latin typeface="Arial"/>
              <a:ea typeface="Arial"/>
              <a:cs typeface="Arial"/>
            </a:rPr>
            <a:t>An important note: during execution of "ReadAllSheets" Excel must be the ACtive Window in the system.</a:t>
          </a:r>
          <a:r>
            <a:rPr lang="en-US" cap="none" sz="1000" b="0" i="0" u="none" baseline="0">
              <a:latin typeface="Arial"/>
              <a:ea typeface="Arial"/>
              <a:cs typeface="Arial"/>
            </a:rPr>
            <a:t> So, you cannot not do anything else when Excel is reading data. It is not me, it is Microsoft -I will try to find a way to solve it.</a:t>
          </a:r>
          <a:r>
            <a:rPr lang="en-US" cap="none" sz="1000" b="0" i="0" u="none" baseline="0">
              <a:latin typeface="Arial"/>
              <a:ea typeface="Arial"/>
              <a:cs typeface="Arial"/>
            </a:rPr>
            <a:t>
</a:t>
          </a:r>
          <a:r>
            <a:rPr lang="en-US" cap="none" sz="1000" b="1" i="0" u="none" baseline="0">
              <a:latin typeface="Arial"/>
              <a:ea typeface="Arial"/>
              <a:cs typeface="Arial"/>
            </a:rPr>
            <a:t>4</a:t>
          </a:r>
          <a:r>
            <a:rPr lang="en-US" cap="none" sz="1000" b="0" i="0" u="none" baseline="0">
              <a:latin typeface="Arial"/>
              <a:ea typeface="Arial"/>
              <a:cs typeface="Arial"/>
            </a:rPr>
            <a:t>. It would not work if you insert some rows before row 1. You can insert rows after last row.
</a:t>
          </a:r>
          <a:r>
            <a:rPr lang="en-US" cap="none" sz="1000" b="1" i="0" u="none" baseline="0">
              <a:latin typeface="Arial"/>
              <a:ea typeface="Arial"/>
              <a:cs typeface="Arial"/>
            </a:rPr>
            <a:t>5.</a:t>
          </a:r>
          <a:r>
            <a:rPr lang="en-US" cap="none" sz="1000" b="0" i="0" u="none" baseline="0">
              <a:latin typeface="Arial"/>
              <a:ea typeface="Arial"/>
              <a:cs typeface="Arial"/>
            </a:rPr>
            <a:t> It would not work if you insert some columns before column 1. You can insert columns after last column.
</a:t>
          </a:r>
          <a:r>
            <a:rPr lang="en-US" cap="none" sz="1000" b="1" i="0" u="none" baseline="0">
              <a:latin typeface="Arial"/>
              <a:ea typeface="Arial"/>
              <a:cs typeface="Arial"/>
            </a:rPr>
            <a:t>6.</a:t>
          </a:r>
          <a:r>
            <a:rPr lang="en-US" cap="none" sz="1000" b="0" i="0" u="none" baseline="0">
              <a:latin typeface="Arial"/>
              <a:ea typeface="Arial"/>
              <a:cs typeface="Arial"/>
            </a:rPr>
            <a:t> You can look at source code of that macro using Tools-&gt;Macro-&gt;Visual Basic Editor or by pressing Alt-F11
Even if you do not want to write your own code and do not know what VB is you can get some ideas what I 
can do with this worksheets.
</a:t>
          </a:r>
          <a:r>
            <a:rPr lang="en-US" cap="none" sz="1000" b="1" i="0" u="none" baseline="0">
              <a:latin typeface="Arial"/>
              <a:ea typeface="Arial"/>
              <a:cs typeface="Arial"/>
            </a:rPr>
            <a:t>7</a:t>
          </a:r>
          <a:r>
            <a:rPr lang="en-US" cap="none" sz="1000" b="0" i="0" u="none" baseline="0">
              <a:latin typeface="Arial"/>
              <a:ea typeface="Arial"/>
              <a:cs typeface="Arial"/>
            </a:rPr>
            <a:t>. All comments, questions, suggestions you can send to </a:t>
          </a:r>
          <a:r>
            <a:rPr lang="en-US" cap="none" sz="1000" b="1" i="0" u="none" baseline="0">
              <a:latin typeface="Arial"/>
              <a:ea typeface="Arial"/>
              <a:cs typeface="Arial"/>
            </a:rPr>
            <a:t>Timofei Bolshakov (Tim), ext 8034, email tbolsh@fnal.gov</a:t>
          </a:r>
          <a:r>
            <a:rPr lang="en-US" cap="none" sz="1000" b="0" i="0" u="none" baseline="0">
              <a:latin typeface="Arial"/>
              <a:ea typeface="Arial"/>
              <a:cs typeface="Arial"/>
            </a:rPr>
            <a:t>
</a:t>
          </a:r>
          <a:r>
            <a:rPr lang="en-US" cap="none" sz="1000" b="1" i="0" u="none" baseline="0">
              <a:latin typeface="Arial"/>
              <a:ea typeface="Arial"/>
              <a:cs typeface="Arial"/>
            </a:rPr>
            <a:t>8</a:t>
          </a:r>
          <a:r>
            <a:rPr lang="en-US" cap="none" sz="1000" b="0" i="0" u="none" baseline="0">
              <a:latin typeface="Arial"/>
              <a:ea typeface="Arial"/>
              <a:cs typeface="Arial"/>
            </a:rPr>
            <a:t>. ReportsMT can be found now by the url </a:t>
          </a:r>
          <a:r>
            <a:rPr lang="en-US" cap="none" sz="1000" b="1" i="0" u="none" baseline="0">
              <a:latin typeface="Arial"/>
              <a:ea typeface="Arial"/>
              <a:cs typeface="Arial"/>
            </a:rPr>
            <a:t>http://www-bd.fnal.gov/SDAViewersServlets/SDAReportMT.jsp</a:t>
          </a:r>
          <a:r>
            <a:rPr lang="en-US" cap="none" sz="1000" b="0" i="0" u="none" baseline="0">
              <a:latin typeface="Arial"/>
              <a:ea typeface="Arial"/>
              <a:cs typeface="Arial"/>
            </a:rPr>
            <a:t>. In near future I am 
planning to move them to different url. This file would be modified. The latest version of this file can be found in </a:t>
          </a:r>
          <a:r>
            <a:rPr lang="en-US" cap="none" sz="1000" b="1" i="0" u="none" baseline="0">
              <a:latin typeface="Arial"/>
              <a:ea typeface="Arial"/>
              <a:cs typeface="Arial"/>
            </a:rPr>
            <a:t>appix</a:t>
          </a:r>
          <a:r>
            <a:rPr lang="en-US" cap="none" sz="1000" b="0" i="0" u="none" baseline="0">
              <a:latin typeface="Arial"/>
              <a:ea typeface="Arial"/>
              <a:cs typeface="Arial"/>
            </a:rPr>
            <a:t>
</a:t>
          </a:r>
          <a:r>
            <a:rPr lang="en-US" cap="none" sz="1000" b="1" i="0" u="none" baseline="0">
              <a:latin typeface="Arial"/>
              <a:ea typeface="Arial"/>
              <a:cs typeface="Arial"/>
            </a:rPr>
            <a:t>http://www-bd.fnal.gov/appix</a:t>
          </a:r>
          <a:r>
            <a:rPr lang="en-US" cap="none" sz="1000" b="0" i="0" u="none" baseline="0">
              <a:latin typeface="Arial"/>
              <a:ea typeface="Arial"/>
              <a:cs typeface="Arial"/>
            </a:rPr>
            <a:t> in</a:t>
          </a:r>
          <a:r>
            <a:rPr lang="en-US" cap="none" sz="1000" b="1" i="0" u="none" baseline="0">
              <a:latin typeface="Arial"/>
              <a:ea typeface="Arial"/>
              <a:cs typeface="Arial"/>
            </a:rPr>
            <a:t> "Controls-Alpha"-&gt;SDA</a:t>
          </a:r>
          <a:r>
            <a:rPr lang="en-US" cap="none" sz="1000" b="0" i="0" u="none" baseline="0">
              <a:latin typeface="Arial"/>
              <a:ea typeface="Arial"/>
              <a:cs typeface="Arial"/>
            </a:rPr>
            <a:t>. There you can also find the link to the latest ReportMT. Page
http://www-bd.fnal.gov/sda also would have the latest link to reportsMT.
</a:t>
          </a:r>
          <a:r>
            <a:rPr lang="en-US" cap="none" sz="1000" b="1" i="0" u="none" baseline="0">
              <a:latin typeface="Arial"/>
              <a:ea typeface="Arial"/>
              <a:cs typeface="Arial"/>
            </a:rPr>
            <a:t>9.</a:t>
          </a:r>
          <a:r>
            <a:rPr lang="en-US" cap="none" sz="1000" b="0" i="0" u="none" baseline="0">
              <a:latin typeface="Arial"/>
              <a:ea typeface="Arial"/>
              <a:cs typeface="Arial"/>
            </a:rPr>
            <a:t> I ask your pardon for all errors (including spelling and grammar). Please mail me and I will correct them.
</a:t>
          </a:r>
          <a:r>
            <a:rPr lang="en-US" cap="none" sz="1000" b="1" i="0" u="none" baseline="0">
              <a:latin typeface="Arial"/>
              <a:ea typeface="Arial"/>
              <a:cs typeface="Arial"/>
            </a:rPr>
            <a:t>10.</a:t>
          </a:r>
          <a:r>
            <a:rPr lang="en-US" cap="none" sz="1000" b="0" i="0" u="none" baseline="0">
              <a:latin typeface="Arial"/>
              <a:ea typeface="Arial"/>
              <a:cs typeface="Arial"/>
            </a:rPr>
            <a:t> If you have some other spreadsheets you can bring them to me and we can discuss can it be implemented using SDAReportsMT or SDAReports.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438150</xdr:colOff>
      <xdr:row>61</xdr:row>
      <xdr:rowOff>95250</xdr:rowOff>
    </xdr:from>
    <xdr:to>
      <xdr:col>32</xdr:col>
      <xdr:colOff>381000</xdr:colOff>
      <xdr:row>84</xdr:row>
      <xdr:rowOff>0</xdr:rowOff>
    </xdr:to>
    <xdr:graphicFrame>
      <xdr:nvGraphicFramePr>
        <xdr:cNvPr id="1" name="Chart 5"/>
        <xdr:cNvGraphicFramePr/>
      </xdr:nvGraphicFramePr>
      <xdr:xfrm>
        <a:off x="12134850" y="9972675"/>
        <a:ext cx="4143375" cy="3629025"/>
      </xdr:xfrm>
      <a:graphic>
        <a:graphicData uri="http://schemas.openxmlformats.org/drawingml/2006/chart">
          <c:chart xmlns:c="http://schemas.openxmlformats.org/drawingml/2006/chart" r:id="rId1"/>
        </a:graphicData>
      </a:graphic>
    </xdr:graphicFrame>
    <xdr:clientData/>
  </xdr:twoCellAnchor>
  <xdr:twoCellAnchor>
    <xdr:from>
      <xdr:col>1</xdr:col>
      <xdr:colOff>1228725</xdr:colOff>
      <xdr:row>72</xdr:row>
      <xdr:rowOff>28575</xdr:rowOff>
    </xdr:from>
    <xdr:to>
      <xdr:col>14</xdr:col>
      <xdr:colOff>28575</xdr:colOff>
      <xdr:row>101</xdr:row>
      <xdr:rowOff>9525</xdr:rowOff>
    </xdr:to>
    <xdr:graphicFrame>
      <xdr:nvGraphicFramePr>
        <xdr:cNvPr id="2" name="Chart 8"/>
        <xdr:cNvGraphicFramePr/>
      </xdr:nvGraphicFramePr>
      <xdr:xfrm>
        <a:off x="1838325" y="11687175"/>
        <a:ext cx="5686425" cy="4676775"/>
      </xdr:xfrm>
      <a:graphic>
        <a:graphicData uri="http://schemas.openxmlformats.org/drawingml/2006/chart">
          <c:chart xmlns:c="http://schemas.openxmlformats.org/drawingml/2006/chart" r:id="rId2"/>
        </a:graphicData>
      </a:graphic>
    </xdr:graphicFrame>
    <xdr:clientData/>
  </xdr:twoCellAnchor>
  <xdr:twoCellAnchor>
    <xdr:from>
      <xdr:col>13</xdr:col>
      <xdr:colOff>133350</xdr:colOff>
      <xdr:row>72</xdr:row>
      <xdr:rowOff>76200</xdr:rowOff>
    </xdr:from>
    <xdr:to>
      <xdr:col>22</xdr:col>
      <xdr:colOff>257175</xdr:colOff>
      <xdr:row>96</xdr:row>
      <xdr:rowOff>95250</xdr:rowOff>
    </xdr:to>
    <xdr:graphicFrame>
      <xdr:nvGraphicFramePr>
        <xdr:cNvPr id="3" name="Chart 9"/>
        <xdr:cNvGraphicFramePr/>
      </xdr:nvGraphicFramePr>
      <xdr:xfrm>
        <a:off x="7162800" y="11734800"/>
        <a:ext cx="4324350" cy="3905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371475</xdr:colOff>
      <xdr:row>69</xdr:row>
      <xdr:rowOff>114300</xdr:rowOff>
    </xdr:from>
    <xdr:to>
      <xdr:col>49</xdr:col>
      <xdr:colOff>295275</xdr:colOff>
      <xdr:row>153</xdr:row>
      <xdr:rowOff>57150</xdr:rowOff>
    </xdr:to>
    <xdr:graphicFrame>
      <xdr:nvGraphicFramePr>
        <xdr:cNvPr id="1" name="Chart 7"/>
        <xdr:cNvGraphicFramePr/>
      </xdr:nvGraphicFramePr>
      <xdr:xfrm>
        <a:off x="14106525" y="11287125"/>
        <a:ext cx="6629400" cy="135445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60</xdr:row>
      <xdr:rowOff>104775</xdr:rowOff>
    </xdr:from>
    <xdr:to>
      <xdr:col>21</xdr:col>
      <xdr:colOff>95250</xdr:colOff>
      <xdr:row>94</xdr:row>
      <xdr:rowOff>66675</xdr:rowOff>
    </xdr:to>
    <xdr:graphicFrame>
      <xdr:nvGraphicFramePr>
        <xdr:cNvPr id="2" name="Chart 8"/>
        <xdr:cNvGraphicFramePr/>
      </xdr:nvGraphicFramePr>
      <xdr:xfrm>
        <a:off x="66675" y="9820275"/>
        <a:ext cx="8029575" cy="5467350"/>
      </xdr:xfrm>
      <a:graphic>
        <a:graphicData uri="http://schemas.openxmlformats.org/drawingml/2006/chart">
          <c:chart xmlns:c="http://schemas.openxmlformats.org/drawingml/2006/chart" r:id="rId2"/>
        </a:graphicData>
      </a:graphic>
    </xdr:graphicFrame>
    <xdr:clientData/>
  </xdr:twoCellAnchor>
  <xdr:twoCellAnchor>
    <xdr:from>
      <xdr:col>6</xdr:col>
      <xdr:colOff>247650</xdr:colOff>
      <xdr:row>60</xdr:row>
      <xdr:rowOff>123825</xdr:rowOff>
    </xdr:from>
    <xdr:to>
      <xdr:col>27</xdr:col>
      <xdr:colOff>0</xdr:colOff>
      <xdr:row>93</xdr:row>
      <xdr:rowOff>133350</xdr:rowOff>
    </xdr:to>
    <xdr:graphicFrame>
      <xdr:nvGraphicFramePr>
        <xdr:cNvPr id="3" name="Chart 9"/>
        <xdr:cNvGraphicFramePr/>
      </xdr:nvGraphicFramePr>
      <xdr:xfrm>
        <a:off x="3181350" y="9839325"/>
        <a:ext cx="6886575" cy="53530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25</xdr:row>
      <xdr:rowOff>19050</xdr:rowOff>
    </xdr:from>
    <xdr:to>
      <xdr:col>27</xdr:col>
      <xdr:colOff>238125</xdr:colOff>
      <xdr:row>64</xdr:row>
      <xdr:rowOff>123825</xdr:rowOff>
    </xdr:to>
    <xdr:graphicFrame>
      <xdr:nvGraphicFramePr>
        <xdr:cNvPr id="1" name="Chart 78"/>
        <xdr:cNvGraphicFramePr/>
      </xdr:nvGraphicFramePr>
      <xdr:xfrm>
        <a:off x="1504950" y="4067175"/>
        <a:ext cx="8734425" cy="6429375"/>
      </xdr:xfrm>
      <a:graphic>
        <a:graphicData uri="http://schemas.openxmlformats.org/drawingml/2006/chart">
          <c:chart xmlns:c="http://schemas.openxmlformats.org/drawingml/2006/chart" r:id="rId1"/>
        </a:graphicData>
      </a:graphic>
    </xdr:graphicFrame>
    <xdr:clientData/>
  </xdr:twoCellAnchor>
  <xdr:twoCellAnchor>
    <xdr:from>
      <xdr:col>7</xdr:col>
      <xdr:colOff>219075</xdr:colOff>
      <xdr:row>69</xdr:row>
      <xdr:rowOff>0</xdr:rowOff>
    </xdr:from>
    <xdr:to>
      <xdr:col>23</xdr:col>
      <xdr:colOff>123825</xdr:colOff>
      <xdr:row>90</xdr:row>
      <xdr:rowOff>28575</xdr:rowOff>
    </xdr:to>
    <xdr:graphicFrame>
      <xdr:nvGraphicFramePr>
        <xdr:cNvPr id="2" name="Chart 241"/>
        <xdr:cNvGraphicFramePr/>
      </xdr:nvGraphicFramePr>
      <xdr:xfrm>
        <a:off x="3486150" y="11182350"/>
        <a:ext cx="5305425" cy="3429000"/>
      </xdr:xfrm>
      <a:graphic>
        <a:graphicData uri="http://schemas.openxmlformats.org/drawingml/2006/chart">
          <c:chart xmlns:c="http://schemas.openxmlformats.org/drawingml/2006/chart" r:id="rId2"/>
        </a:graphicData>
      </a:graphic>
    </xdr:graphicFrame>
    <xdr:clientData/>
  </xdr:twoCellAnchor>
  <xdr:twoCellAnchor>
    <xdr:from>
      <xdr:col>11</xdr:col>
      <xdr:colOff>114300</xdr:colOff>
      <xdr:row>12</xdr:row>
      <xdr:rowOff>28575</xdr:rowOff>
    </xdr:from>
    <xdr:to>
      <xdr:col>26</xdr:col>
      <xdr:colOff>200025</xdr:colOff>
      <xdr:row>35</xdr:row>
      <xdr:rowOff>133350</xdr:rowOff>
    </xdr:to>
    <xdr:graphicFrame>
      <xdr:nvGraphicFramePr>
        <xdr:cNvPr id="3" name="Chart 737"/>
        <xdr:cNvGraphicFramePr/>
      </xdr:nvGraphicFramePr>
      <xdr:xfrm>
        <a:off x="4714875" y="1971675"/>
        <a:ext cx="5153025"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26</xdr:row>
      <xdr:rowOff>66675</xdr:rowOff>
    </xdr:from>
    <xdr:to>
      <xdr:col>26</xdr:col>
      <xdr:colOff>133350</xdr:colOff>
      <xdr:row>50</xdr:row>
      <xdr:rowOff>38100</xdr:rowOff>
    </xdr:to>
    <xdr:graphicFrame>
      <xdr:nvGraphicFramePr>
        <xdr:cNvPr id="1" name="Chart 3"/>
        <xdr:cNvGraphicFramePr/>
      </xdr:nvGraphicFramePr>
      <xdr:xfrm>
        <a:off x="1971675" y="4276725"/>
        <a:ext cx="7762875" cy="3857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38</xdr:row>
      <xdr:rowOff>66675</xdr:rowOff>
    </xdr:from>
    <xdr:to>
      <xdr:col>22</xdr:col>
      <xdr:colOff>0</xdr:colOff>
      <xdr:row>69</xdr:row>
      <xdr:rowOff>114300</xdr:rowOff>
    </xdr:to>
    <xdr:graphicFrame>
      <xdr:nvGraphicFramePr>
        <xdr:cNvPr id="1" name="Chart 10"/>
        <xdr:cNvGraphicFramePr/>
      </xdr:nvGraphicFramePr>
      <xdr:xfrm>
        <a:off x="2895600" y="6219825"/>
        <a:ext cx="6800850" cy="5067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1"/>
  <dimension ref="B1:B1"/>
  <sheetViews>
    <sheetView workbookViewId="0" topLeftCell="A1">
      <selection activeCell="M9" sqref="M9"/>
    </sheetView>
  </sheetViews>
  <sheetFormatPr defaultColWidth="9.140625" defaultRowHeight="12.75"/>
  <sheetData>
    <row r="1" ht="12.75">
      <c r="B1" t="s">
        <v>138</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8"/>
  <dimension ref="A1:AL23"/>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R27" sqref="R27"/>
    </sheetView>
  </sheetViews>
  <sheetFormatPr defaultColWidth="9.140625" defaultRowHeight="12.75"/>
  <cols>
    <col min="2" max="2" width="14.8515625" style="0" bestFit="1" customWidth="1"/>
    <col min="3" max="38" width="5.00390625" style="0" bestFit="1" customWidth="1"/>
  </cols>
  <sheetData>
    <row r="1" spans="1:38" ht="12.75">
      <c r="A1" t="s">
        <v>0</v>
      </c>
      <c r="B1" t="s">
        <v>223</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ht="12.75">
      <c r="A2" t="e">
        <f>AVERAGE(C2:AL2)</f>
        <v>#DIV/0!</v>
      </c>
      <c r="B2" t="s">
        <v>38</v>
      </c>
      <c r="C2" t="s">
        <v>139</v>
      </c>
      <c r="D2" t="s">
        <v>139</v>
      </c>
      <c r="E2" t="s">
        <v>139</v>
      </c>
      <c r="F2" t="s">
        <v>139</v>
      </c>
      <c r="G2" t="s">
        <v>139</v>
      </c>
      <c r="H2" t="s">
        <v>139</v>
      </c>
      <c r="I2" t="s">
        <v>139</v>
      </c>
      <c r="J2" t="s">
        <v>139</v>
      </c>
      <c r="K2" t="s">
        <v>139</v>
      </c>
      <c r="L2" t="s">
        <v>139</v>
      </c>
      <c r="M2"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row>
    <row r="3" spans="1:38" ht="12.75">
      <c r="A3" t="e">
        <f aca="true" t="shared" si="0" ref="A3:A23">AVERAGE(C3:AL3)</f>
        <v>#DIV/0!</v>
      </c>
      <c r="B3" t="s">
        <v>39</v>
      </c>
      <c r="C3" t="s">
        <v>139</v>
      </c>
      <c r="D3" t="s">
        <v>139</v>
      </c>
      <c r="E3" t="s">
        <v>139</v>
      </c>
      <c r="F3" t="s">
        <v>139</v>
      </c>
      <c r="G3" t="s">
        <v>139</v>
      </c>
      <c r="H3" t="s">
        <v>139</v>
      </c>
      <c r="I3" t="s">
        <v>139</v>
      </c>
      <c r="J3" t="s">
        <v>139</v>
      </c>
      <c r="K3" t="s">
        <v>139</v>
      </c>
      <c r="L3" t="s">
        <v>139</v>
      </c>
      <c r="M3" t="s">
        <v>139</v>
      </c>
      <c r="N3" t="s">
        <v>139</v>
      </c>
      <c r="O3" t="s">
        <v>139</v>
      </c>
      <c r="P3" t="s">
        <v>139</v>
      </c>
      <c r="Q3" t="s">
        <v>139</v>
      </c>
      <c r="R3" t="s">
        <v>139</v>
      </c>
      <c r="S3" t="s">
        <v>139</v>
      </c>
      <c r="T3" t="s">
        <v>139</v>
      </c>
      <c r="U3" t="s">
        <v>139</v>
      </c>
      <c r="V3" t="s">
        <v>139</v>
      </c>
      <c r="W3" t="s">
        <v>139</v>
      </c>
      <c r="X3" t="s">
        <v>139</v>
      </c>
      <c r="Y3" t="s">
        <v>139</v>
      </c>
      <c r="Z3" t="s">
        <v>139</v>
      </c>
      <c r="AA3" t="s">
        <v>139</v>
      </c>
      <c r="AB3" t="s">
        <v>139</v>
      </c>
      <c r="AC3" t="s">
        <v>139</v>
      </c>
      <c r="AD3" t="s">
        <v>139</v>
      </c>
      <c r="AE3" t="s">
        <v>139</v>
      </c>
      <c r="AF3" t="s">
        <v>139</v>
      </c>
      <c r="AG3" t="s">
        <v>139</v>
      </c>
      <c r="AH3" t="s">
        <v>139</v>
      </c>
      <c r="AI3" t="s">
        <v>139</v>
      </c>
      <c r="AJ3" t="s">
        <v>139</v>
      </c>
      <c r="AK3" t="s">
        <v>139</v>
      </c>
      <c r="AL3" t="s">
        <v>139</v>
      </c>
    </row>
    <row r="4" spans="1:38" ht="12.75">
      <c r="A4" t="e">
        <f t="shared" si="0"/>
        <v>#DIV/0!</v>
      </c>
      <c r="B4" t="s">
        <v>40</v>
      </c>
      <c r="C4" t="s">
        <v>139</v>
      </c>
      <c r="D4" t="s">
        <v>139</v>
      </c>
      <c r="E4" t="s">
        <v>139</v>
      </c>
      <c r="F4" t="s">
        <v>139</v>
      </c>
      <c r="G4" t="s">
        <v>139</v>
      </c>
      <c r="H4" t="s">
        <v>139</v>
      </c>
      <c r="I4" t="s">
        <v>139</v>
      </c>
      <c r="J4" t="s">
        <v>139</v>
      </c>
      <c r="K4" t="s">
        <v>139</v>
      </c>
      <c r="L4" t="s">
        <v>139</v>
      </c>
      <c r="M4" t="s">
        <v>139</v>
      </c>
      <c r="N4" t="s">
        <v>139</v>
      </c>
      <c r="O4" t="s">
        <v>139</v>
      </c>
      <c r="P4" t="s">
        <v>139</v>
      </c>
      <c r="Q4" t="s">
        <v>139</v>
      </c>
      <c r="R4" t="s">
        <v>139</v>
      </c>
      <c r="S4" t="s">
        <v>139</v>
      </c>
      <c r="T4" t="s">
        <v>139</v>
      </c>
      <c r="U4" t="s">
        <v>139</v>
      </c>
      <c r="V4" t="s">
        <v>139</v>
      </c>
      <c r="W4" t="s">
        <v>139</v>
      </c>
      <c r="X4" t="s">
        <v>139</v>
      </c>
      <c r="Y4" t="s">
        <v>139</v>
      </c>
      <c r="Z4" t="s">
        <v>139</v>
      </c>
      <c r="AA4" t="s">
        <v>139</v>
      </c>
      <c r="AB4" t="s">
        <v>139</v>
      </c>
      <c r="AC4" t="s">
        <v>139</v>
      </c>
      <c r="AD4" t="s">
        <v>139</v>
      </c>
      <c r="AE4" t="s">
        <v>139</v>
      </c>
      <c r="AF4" t="s">
        <v>139</v>
      </c>
      <c r="AG4" t="s">
        <v>139</v>
      </c>
      <c r="AH4" t="s">
        <v>139</v>
      </c>
      <c r="AI4" t="s">
        <v>139</v>
      </c>
      <c r="AJ4" t="s">
        <v>139</v>
      </c>
      <c r="AK4" t="s">
        <v>139</v>
      </c>
      <c r="AL4" t="s">
        <v>139</v>
      </c>
    </row>
    <row r="5" spans="1:38" ht="12.75">
      <c r="A5" t="e">
        <f t="shared" si="0"/>
        <v>#DIV/0!</v>
      </c>
      <c r="B5" t="s">
        <v>41</v>
      </c>
      <c r="C5" t="s">
        <v>139</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f>AVERAGE(C6:F6)</f>
        <v>2.4275</v>
      </c>
      <c r="B6" t="s">
        <v>42</v>
      </c>
      <c r="C6">
        <v>2.45</v>
      </c>
      <c r="D6">
        <v>2.42</v>
      </c>
      <c r="E6">
        <v>2.41</v>
      </c>
      <c r="F6">
        <v>2.43</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f>AVERAGE(AVERAGE(C7:F7),AVERAGE(O7:R7))</f>
        <v>2.41375</v>
      </c>
      <c r="B7" t="s">
        <v>43</v>
      </c>
      <c r="C7">
        <v>2.43</v>
      </c>
      <c r="D7">
        <v>2.51</v>
      </c>
      <c r="E7">
        <v>2.44</v>
      </c>
      <c r="F7">
        <v>2.5</v>
      </c>
      <c r="G7" t="s">
        <v>139</v>
      </c>
      <c r="H7" t="s">
        <v>139</v>
      </c>
      <c r="I7" t="s">
        <v>139</v>
      </c>
      <c r="J7" t="s">
        <v>139</v>
      </c>
      <c r="K7" t="s">
        <v>139</v>
      </c>
      <c r="L7" t="s">
        <v>139</v>
      </c>
      <c r="M7" t="s">
        <v>139</v>
      </c>
      <c r="N7" t="s">
        <v>139</v>
      </c>
      <c r="O7">
        <v>2.41</v>
      </c>
      <c r="P7">
        <v>2.34</v>
      </c>
      <c r="Q7">
        <v>2.31</v>
      </c>
      <c r="R7">
        <v>2.37</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AVERAGE(AVERAGE(C8:F8),AVERAGE(O8:R8),AVERAGE(AA8:AD8))</f>
        <v>2.4258333333333333</v>
      </c>
      <c r="B8" t="s">
        <v>44</v>
      </c>
      <c r="C8">
        <v>2.51</v>
      </c>
      <c r="D8">
        <v>2.5</v>
      </c>
      <c r="E8">
        <v>2.47</v>
      </c>
      <c r="F8">
        <v>2.5</v>
      </c>
      <c r="G8" t="s">
        <v>139</v>
      </c>
      <c r="H8" t="s">
        <v>139</v>
      </c>
      <c r="I8" t="s">
        <v>139</v>
      </c>
      <c r="J8" t="s">
        <v>139</v>
      </c>
      <c r="K8" t="s">
        <v>139</v>
      </c>
      <c r="L8" t="s">
        <v>139</v>
      </c>
      <c r="M8" t="s">
        <v>139</v>
      </c>
      <c r="N8" t="s">
        <v>139</v>
      </c>
      <c r="O8">
        <v>2.36</v>
      </c>
      <c r="P8">
        <v>2.39</v>
      </c>
      <c r="Q8">
        <v>2.38</v>
      </c>
      <c r="R8">
        <v>2.41</v>
      </c>
      <c r="S8" t="s">
        <v>139</v>
      </c>
      <c r="T8" t="s">
        <v>139</v>
      </c>
      <c r="U8" t="s">
        <v>139</v>
      </c>
      <c r="V8" t="s">
        <v>139</v>
      </c>
      <c r="W8" t="s">
        <v>139</v>
      </c>
      <c r="X8" t="s">
        <v>139</v>
      </c>
      <c r="Y8" t="s">
        <v>139</v>
      </c>
      <c r="Z8" t="s">
        <v>139</v>
      </c>
      <c r="AA8">
        <v>2.38</v>
      </c>
      <c r="AB8">
        <v>2.44</v>
      </c>
      <c r="AC8">
        <v>2.39</v>
      </c>
      <c r="AD8">
        <v>2.38</v>
      </c>
      <c r="AE8" t="s">
        <v>139</v>
      </c>
      <c r="AF8" t="s">
        <v>139</v>
      </c>
      <c r="AG8" t="s">
        <v>139</v>
      </c>
      <c r="AH8" t="s">
        <v>139</v>
      </c>
      <c r="AI8" t="s">
        <v>139</v>
      </c>
      <c r="AJ8" t="s">
        <v>139</v>
      </c>
      <c r="AK8" t="s">
        <v>139</v>
      </c>
      <c r="AL8" t="s">
        <v>139</v>
      </c>
    </row>
    <row r="9" spans="1:38" ht="12.75">
      <c r="A9">
        <f>AVERAGE(AVERAGE(C9:F9),AVERAGE(G9:J9),AVERAGE(O9:R9),AVERAGE(AA9:AD9))</f>
        <v>2.418125</v>
      </c>
      <c r="B9" t="s">
        <v>45</v>
      </c>
      <c r="C9">
        <v>2.5</v>
      </c>
      <c r="D9">
        <v>2.54</v>
      </c>
      <c r="E9">
        <v>2.53</v>
      </c>
      <c r="F9">
        <v>2.6</v>
      </c>
      <c r="G9">
        <v>2.24</v>
      </c>
      <c r="H9">
        <v>2.26</v>
      </c>
      <c r="I9">
        <v>2.28</v>
      </c>
      <c r="J9">
        <v>2.25</v>
      </c>
      <c r="K9" t="s">
        <v>139</v>
      </c>
      <c r="L9" t="s">
        <v>139</v>
      </c>
      <c r="M9" t="s">
        <v>139</v>
      </c>
      <c r="N9" t="s">
        <v>139</v>
      </c>
      <c r="O9">
        <v>2.4</v>
      </c>
      <c r="P9">
        <v>2.44</v>
      </c>
      <c r="Q9">
        <v>2.45</v>
      </c>
      <c r="R9">
        <v>2.45</v>
      </c>
      <c r="S9" t="s">
        <v>139</v>
      </c>
      <c r="T9" t="s">
        <v>139</v>
      </c>
      <c r="U9" t="s">
        <v>139</v>
      </c>
      <c r="V9" t="s">
        <v>139</v>
      </c>
      <c r="W9" t="s">
        <v>139</v>
      </c>
      <c r="X9" t="s">
        <v>139</v>
      </c>
      <c r="Y9" t="s">
        <v>139</v>
      </c>
      <c r="Z9" t="s">
        <v>139</v>
      </c>
      <c r="AA9">
        <v>2.43</v>
      </c>
      <c r="AB9">
        <v>2.5</v>
      </c>
      <c r="AC9">
        <v>2.42</v>
      </c>
      <c r="AD9">
        <v>2.4</v>
      </c>
      <c r="AE9" t="s">
        <v>139</v>
      </c>
      <c r="AF9" t="s">
        <v>139</v>
      </c>
      <c r="AG9" t="s">
        <v>139</v>
      </c>
      <c r="AH9" t="s">
        <v>139</v>
      </c>
      <c r="AI9" t="s">
        <v>139</v>
      </c>
      <c r="AJ9" t="s">
        <v>139</v>
      </c>
      <c r="AK9" t="s">
        <v>139</v>
      </c>
      <c r="AL9" t="s">
        <v>139</v>
      </c>
    </row>
    <row r="10" spans="1:38" ht="12.75">
      <c r="A10">
        <f>AVERAGE(AVERAGE(C10:F10),AVERAGE(G10:J10),AVERAGE(S10:V10),AVERAGE(O10:R10),AVERAGE(AA10:AD10))</f>
        <v>0</v>
      </c>
      <c r="B10" t="s">
        <v>46</v>
      </c>
      <c r="C10">
        <v>0</v>
      </c>
      <c r="D10">
        <v>0</v>
      </c>
      <c r="E10">
        <v>0</v>
      </c>
      <c r="F10">
        <v>0</v>
      </c>
      <c r="G10">
        <v>0</v>
      </c>
      <c r="H10">
        <v>0</v>
      </c>
      <c r="I10">
        <v>0</v>
      </c>
      <c r="J10">
        <v>0</v>
      </c>
      <c r="K10" t="s">
        <v>139</v>
      </c>
      <c r="L10" t="s">
        <v>139</v>
      </c>
      <c r="M10" t="s">
        <v>139</v>
      </c>
      <c r="N10" t="s">
        <v>139</v>
      </c>
      <c r="O10">
        <v>0</v>
      </c>
      <c r="P10">
        <v>0</v>
      </c>
      <c r="Q10">
        <v>0</v>
      </c>
      <c r="R10">
        <v>0</v>
      </c>
      <c r="S10">
        <v>0</v>
      </c>
      <c r="T10">
        <v>0</v>
      </c>
      <c r="U10">
        <v>0</v>
      </c>
      <c r="V10">
        <v>0</v>
      </c>
      <c r="W10" t="s">
        <v>139</v>
      </c>
      <c r="X10" t="s">
        <v>139</v>
      </c>
      <c r="Y10" t="s">
        <v>139</v>
      </c>
      <c r="Z10" t="s">
        <v>139</v>
      </c>
      <c r="AA10">
        <v>0</v>
      </c>
      <c r="AB10">
        <v>0</v>
      </c>
      <c r="AC10">
        <v>0</v>
      </c>
      <c r="AD10">
        <v>0</v>
      </c>
      <c r="AE10" t="s">
        <v>139</v>
      </c>
      <c r="AF10" t="s">
        <v>139</v>
      </c>
      <c r="AG10" t="s">
        <v>139</v>
      </c>
      <c r="AH10" t="s">
        <v>139</v>
      </c>
      <c r="AI10" t="s">
        <v>139</v>
      </c>
      <c r="AJ10" t="s">
        <v>139</v>
      </c>
      <c r="AK10" t="s">
        <v>139</v>
      </c>
      <c r="AL10" t="s">
        <v>139</v>
      </c>
    </row>
    <row r="11" spans="1:38" ht="12.75">
      <c r="A11">
        <f>AVERAGE(AVERAGE(C11:J11),AVERAGE(O11:V11),AVERAGE(AA11:AH11))</f>
        <v>2.4120833333333334</v>
      </c>
      <c r="B11" t="s">
        <v>47</v>
      </c>
      <c r="C11">
        <v>2.54</v>
      </c>
      <c r="D11">
        <v>2.58</v>
      </c>
      <c r="E11">
        <v>2.53</v>
      </c>
      <c r="F11">
        <v>2.57</v>
      </c>
      <c r="G11">
        <v>2.38</v>
      </c>
      <c r="H11">
        <v>2.33</v>
      </c>
      <c r="I11">
        <v>2.31</v>
      </c>
      <c r="J11">
        <v>2.33</v>
      </c>
      <c r="K11" t="s">
        <v>139</v>
      </c>
      <c r="L11" t="s">
        <v>139</v>
      </c>
      <c r="M11" t="s">
        <v>139</v>
      </c>
      <c r="N11" t="s">
        <v>139</v>
      </c>
      <c r="O11">
        <v>2.44</v>
      </c>
      <c r="P11">
        <v>2.45</v>
      </c>
      <c r="Q11">
        <v>2.44</v>
      </c>
      <c r="R11">
        <v>2.49</v>
      </c>
      <c r="S11">
        <v>2.3</v>
      </c>
      <c r="T11">
        <v>2.29</v>
      </c>
      <c r="U11">
        <v>2.29</v>
      </c>
      <c r="V11">
        <v>2.3</v>
      </c>
      <c r="W11" t="s">
        <v>139</v>
      </c>
      <c r="X11" t="s">
        <v>139</v>
      </c>
      <c r="Y11" t="s">
        <v>139</v>
      </c>
      <c r="Z11" t="s">
        <v>139</v>
      </c>
      <c r="AA11">
        <v>2.42</v>
      </c>
      <c r="AB11">
        <v>2.44</v>
      </c>
      <c r="AC11">
        <v>2.43</v>
      </c>
      <c r="AD11">
        <v>2.47</v>
      </c>
      <c r="AE11">
        <v>2.4</v>
      </c>
      <c r="AF11">
        <v>2.41</v>
      </c>
      <c r="AG11">
        <v>2.32</v>
      </c>
      <c r="AH11">
        <v>2.43</v>
      </c>
      <c r="AI11" t="s">
        <v>139</v>
      </c>
      <c r="AJ11" t="s">
        <v>139</v>
      </c>
      <c r="AK11" t="s">
        <v>139</v>
      </c>
      <c r="AL11" t="s">
        <v>139</v>
      </c>
    </row>
    <row r="12" spans="1:38" ht="12.75">
      <c r="A12">
        <f>(SUM(C12:V12)+SUM(AA12:AH12))/28</f>
        <v>2.4250000000000003</v>
      </c>
      <c r="B12" t="s">
        <v>48</v>
      </c>
      <c r="C12">
        <v>2.54</v>
      </c>
      <c r="D12">
        <v>2.58</v>
      </c>
      <c r="E12">
        <v>2.6</v>
      </c>
      <c r="F12">
        <v>2.6</v>
      </c>
      <c r="G12">
        <v>2.37</v>
      </c>
      <c r="H12">
        <v>2.42</v>
      </c>
      <c r="I12">
        <v>2.4</v>
      </c>
      <c r="J12">
        <v>2.35</v>
      </c>
      <c r="K12">
        <v>2.29</v>
      </c>
      <c r="L12">
        <v>2.36</v>
      </c>
      <c r="M12">
        <v>2.26</v>
      </c>
      <c r="N12">
        <v>2.35</v>
      </c>
      <c r="O12">
        <v>2.43</v>
      </c>
      <c r="P12">
        <v>2.49</v>
      </c>
      <c r="Q12">
        <v>2.47</v>
      </c>
      <c r="R12">
        <v>2.5</v>
      </c>
      <c r="S12">
        <v>2.32</v>
      </c>
      <c r="T12">
        <v>2.34</v>
      </c>
      <c r="U12">
        <v>2.29</v>
      </c>
      <c r="V12">
        <v>2.33</v>
      </c>
      <c r="W12" t="s">
        <v>139</v>
      </c>
      <c r="X12" t="s">
        <v>139</v>
      </c>
      <c r="Y12" t="s">
        <v>139</v>
      </c>
      <c r="Z12" t="s">
        <v>139</v>
      </c>
      <c r="AA12">
        <v>2.5</v>
      </c>
      <c r="AB12">
        <v>2.5</v>
      </c>
      <c r="AC12">
        <v>2.49</v>
      </c>
      <c r="AD12">
        <v>2.52</v>
      </c>
      <c r="AE12">
        <v>2.4</v>
      </c>
      <c r="AF12">
        <v>2.39</v>
      </c>
      <c r="AG12">
        <v>2.38</v>
      </c>
      <c r="AH12">
        <v>2.43</v>
      </c>
      <c r="AI12" t="s">
        <v>139</v>
      </c>
      <c r="AJ12" t="s">
        <v>139</v>
      </c>
      <c r="AK12" t="s">
        <v>139</v>
      </c>
      <c r="AL12" t="s">
        <v>139</v>
      </c>
    </row>
    <row r="13" spans="1:38" ht="12.75">
      <c r="A13">
        <f>(SUM(C13:AH13))/32</f>
        <v>2.4250000000000007</v>
      </c>
      <c r="B13" t="s">
        <v>49</v>
      </c>
      <c r="C13">
        <v>2.58</v>
      </c>
      <c r="D13">
        <v>2.61</v>
      </c>
      <c r="E13">
        <v>2.58</v>
      </c>
      <c r="F13">
        <v>2.6</v>
      </c>
      <c r="G13">
        <v>2.4</v>
      </c>
      <c r="H13">
        <v>2.42</v>
      </c>
      <c r="I13">
        <v>2.41</v>
      </c>
      <c r="J13">
        <v>2.39</v>
      </c>
      <c r="K13">
        <v>2.29</v>
      </c>
      <c r="L13">
        <v>2.34</v>
      </c>
      <c r="M13">
        <v>2.27</v>
      </c>
      <c r="N13">
        <v>2.42</v>
      </c>
      <c r="O13">
        <v>2.47</v>
      </c>
      <c r="P13">
        <v>2.54</v>
      </c>
      <c r="Q13">
        <v>2.53</v>
      </c>
      <c r="R13">
        <v>2.5</v>
      </c>
      <c r="S13">
        <v>2.36</v>
      </c>
      <c r="T13">
        <v>2.36</v>
      </c>
      <c r="U13">
        <v>2.31</v>
      </c>
      <c r="V13">
        <v>2.35</v>
      </c>
      <c r="W13">
        <v>2.31</v>
      </c>
      <c r="X13">
        <v>2.24</v>
      </c>
      <c r="Y13">
        <v>2.33</v>
      </c>
      <c r="Z13">
        <v>2.31</v>
      </c>
      <c r="AA13">
        <v>2.51</v>
      </c>
      <c r="AB13">
        <v>2.54</v>
      </c>
      <c r="AC13">
        <v>2.49</v>
      </c>
      <c r="AD13">
        <v>2.5</v>
      </c>
      <c r="AE13">
        <v>2.39</v>
      </c>
      <c r="AF13">
        <v>2.43</v>
      </c>
      <c r="AG13">
        <v>2.39</v>
      </c>
      <c r="AH13">
        <v>2.43</v>
      </c>
      <c r="AI13" t="s">
        <v>139</v>
      </c>
      <c r="AJ13" t="s">
        <v>139</v>
      </c>
      <c r="AK13" t="s">
        <v>139</v>
      </c>
      <c r="AL13" t="s">
        <v>139</v>
      </c>
    </row>
    <row r="14" spans="1:38" ht="12.75">
      <c r="A14">
        <f>AVERAGE(C14:AL14)</f>
        <v>2.417222222222222</v>
      </c>
      <c r="B14" t="s">
        <v>50</v>
      </c>
      <c r="C14">
        <v>2.55</v>
      </c>
      <c r="D14">
        <v>2.57</v>
      </c>
      <c r="E14">
        <v>2.57</v>
      </c>
      <c r="F14">
        <v>2.63</v>
      </c>
      <c r="G14">
        <v>2.41</v>
      </c>
      <c r="H14">
        <v>2.43</v>
      </c>
      <c r="I14">
        <v>2.4</v>
      </c>
      <c r="J14">
        <v>2.37</v>
      </c>
      <c r="K14">
        <v>2.33</v>
      </c>
      <c r="L14">
        <v>2.33</v>
      </c>
      <c r="M14">
        <v>2.29</v>
      </c>
      <c r="N14">
        <v>2.39</v>
      </c>
      <c r="O14">
        <v>2.45</v>
      </c>
      <c r="P14">
        <v>2.52</v>
      </c>
      <c r="Q14">
        <v>2.51</v>
      </c>
      <c r="R14">
        <v>2.52</v>
      </c>
      <c r="S14">
        <v>2.32</v>
      </c>
      <c r="T14">
        <v>2.37</v>
      </c>
      <c r="U14">
        <v>2.32</v>
      </c>
      <c r="V14">
        <v>2.33</v>
      </c>
      <c r="W14">
        <v>2.33</v>
      </c>
      <c r="X14">
        <v>2.36</v>
      </c>
      <c r="Y14">
        <v>2.31</v>
      </c>
      <c r="Z14">
        <v>2.32</v>
      </c>
      <c r="AA14">
        <v>2.5</v>
      </c>
      <c r="AB14">
        <v>2.5</v>
      </c>
      <c r="AC14">
        <v>2.51</v>
      </c>
      <c r="AD14">
        <v>2.51</v>
      </c>
      <c r="AE14">
        <v>2.42</v>
      </c>
      <c r="AF14">
        <v>2.47</v>
      </c>
      <c r="AG14">
        <v>2.44</v>
      </c>
      <c r="AH14">
        <v>2.43</v>
      </c>
      <c r="AI14">
        <v>2.3</v>
      </c>
      <c r="AJ14">
        <v>2.33</v>
      </c>
      <c r="AK14">
        <v>2.32</v>
      </c>
      <c r="AL14">
        <v>2.36</v>
      </c>
    </row>
    <row r="15" spans="1:38" ht="12.75">
      <c r="A15">
        <f t="shared" si="0"/>
        <v>2.4433333333333334</v>
      </c>
      <c r="B15" t="s">
        <v>51</v>
      </c>
      <c r="C15">
        <v>2.55</v>
      </c>
      <c r="D15">
        <v>2.6</v>
      </c>
      <c r="E15">
        <v>2.55</v>
      </c>
      <c r="F15">
        <v>2.63</v>
      </c>
      <c r="G15">
        <v>2.39</v>
      </c>
      <c r="H15">
        <v>2.44</v>
      </c>
      <c r="I15">
        <v>2.39</v>
      </c>
      <c r="J15">
        <v>2.41</v>
      </c>
      <c r="K15">
        <v>2.4</v>
      </c>
      <c r="L15">
        <v>2.4</v>
      </c>
      <c r="M15">
        <v>2.32</v>
      </c>
      <c r="N15">
        <v>2.41</v>
      </c>
      <c r="O15">
        <v>2.48</v>
      </c>
      <c r="P15">
        <v>2.51</v>
      </c>
      <c r="Q15">
        <v>2.5</v>
      </c>
      <c r="R15">
        <v>2.53</v>
      </c>
      <c r="S15">
        <v>2.34</v>
      </c>
      <c r="T15">
        <v>2.44</v>
      </c>
      <c r="U15">
        <v>2.36</v>
      </c>
      <c r="V15">
        <v>2.39</v>
      </c>
      <c r="W15">
        <v>2.37</v>
      </c>
      <c r="X15">
        <v>2.38</v>
      </c>
      <c r="Y15">
        <v>2.33</v>
      </c>
      <c r="Z15">
        <v>2.39</v>
      </c>
      <c r="AA15">
        <v>2.47</v>
      </c>
      <c r="AB15">
        <v>2.54</v>
      </c>
      <c r="AC15">
        <v>2.52</v>
      </c>
      <c r="AD15">
        <v>2.53</v>
      </c>
      <c r="AE15">
        <v>2.43</v>
      </c>
      <c r="AF15">
        <v>2.5</v>
      </c>
      <c r="AG15">
        <v>2.43</v>
      </c>
      <c r="AH15">
        <v>2.53</v>
      </c>
      <c r="AI15">
        <v>2.38</v>
      </c>
      <c r="AJ15">
        <v>2.35</v>
      </c>
      <c r="AK15">
        <v>2.36</v>
      </c>
      <c r="AL15">
        <v>2.41</v>
      </c>
    </row>
    <row r="16" spans="1:38" ht="12.75">
      <c r="A16">
        <f t="shared" si="0"/>
        <v>1.8727777777777783</v>
      </c>
      <c r="B16" t="s">
        <v>52</v>
      </c>
      <c r="C16">
        <v>1.97</v>
      </c>
      <c r="D16">
        <v>1.98</v>
      </c>
      <c r="E16">
        <v>1.97</v>
      </c>
      <c r="F16">
        <v>2.05</v>
      </c>
      <c r="G16">
        <v>1.85</v>
      </c>
      <c r="H16">
        <v>1.85</v>
      </c>
      <c r="I16">
        <v>1.84</v>
      </c>
      <c r="J16">
        <v>1.82</v>
      </c>
      <c r="K16">
        <v>1.8</v>
      </c>
      <c r="L16">
        <v>1.81</v>
      </c>
      <c r="M16">
        <v>1.79</v>
      </c>
      <c r="N16">
        <v>1.84</v>
      </c>
      <c r="O16">
        <v>1.86</v>
      </c>
      <c r="P16">
        <v>1.85</v>
      </c>
      <c r="Q16">
        <v>1.87</v>
      </c>
      <c r="R16">
        <v>1.94</v>
      </c>
      <c r="S16">
        <v>1.76</v>
      </c>
      <c r="T16">
        <v>1.79</v>
      </c>
      <c r="U16">
        <v>1.78</v>
      </c>
      <c r="V16">
        <v>1.77</v>
      </c>
      <c r="W16">
        <v>1.78</v>
      </c>
      <c r="X16">
        <v>1.84</v>
      </c>
      <c r="Y16">
        <v>1.77</v>
      </c>
      <c r="Z16">
        <v>1.83</v>
      </c>
      <c r="AA16">
        <v>1.96</v>
      </c>
      <c r="AB16">
        <v>1.96</v>
      </c>
      <c r="AC16">
        <v>1.96</v>
      </c>
      <c r="AD16">
        <v>1.99</v>
      </c>
      <c r="AE16">
        <v>1.91</v>
      </c>
      <c r="AF16">
        <v>1.91</v>
      </c>
      <c r="AG16">
        <v>1.93</v>
      </c>
      <c r="AH16">
        <v>1.96</v>
      </c>
      <c r="AI16">
        <v>1.88</v>
      </c>
      <c r="AJ16">
        <v>1.86</v>
      </c>
      <c r="AK16">
        <v>1.83</v>
      </c>
      <c r="AL16">
        <v>1.86</v>
      </c>
    </row>
    <row r="17" spans="1:38" ht="12.75">
      <c r="A17">
        <f t="shared" si="0"/>
        <v>0.5602777777777778</v>
      </c>
      <c r="B17" t="s">
        <v>53</v>
      </c>
      <c r="C17">
        <v>0.6</v>
      </c>
      <c r="D17">
        <v>0.59</v>
      </c>
      <c r="E17">
        <v>0.59</v>
      </c>
      <c r="F17">
        <v>0.6</v>
      </c>
      <c r="G17">
        <v>0.56</v>
      </c>
      <c r="H17">
        <v>0.56</v>
      </c>
      <c r="I17">
        <v>0.56</v>
      </c>
      <c r="J17">
        <v>0.56</v>
      </c>
      <c r="K17">
        <v>0.54</v>
      </c>
      <c r="L17">
        <v>0.54</v>
      </c>
      <c r="M17">
        <v>0.53</v>
      </c>
      <c r="N17">
        <v>0.55</v>
      </c>
      <c r="O17">
        <v>0.58</v>
      </c>
      <c r="P17">
        <v>0.58</v>
      </c>
      <c r="Q17">
        <v>0.57</v>
      </c>
      <c r="R17">
        <v>0.58</v>
      </c>
      <c r="S17">
        <v>0.55</v>
      </c>
      <c r="T17">
        <v>0.55</v>
      </c>
      <c r="U17">
        <v>0.54</v>
      </c>
      <c r="V17">
        <v>0.54</v>
      </c>
      <c r="W17">
        <v>0.54</v>
      </c>
      <c r="X17">
        <v>0.54</v>
      </c>
      <c r="Y17">
        <v>0.53</v>
      </c>
      <c r="Z17">
        <v>0.54</v>
      </c>
      <c r="AA17">
        <v>0.59</v>
      </c>
      <c r="AB17">
        <v>0.59</v>
      </c>
      <c r="AC17">
        <v>0.58</v>
      </c>
      <c r="AD17">
        <v>0.58</v>
      </c>
      <c r="AE17">
        <v>0.56</v>
      </c>
      <c r="AF17">
        <v>0.57</v>
      </c>
      <c r="AG17">
        <v>0.56</v>
      </c>
      <c r="AH17">
        <v>0.56</v>
      </c>
      <c r="AI17">
        <v>0.54</v>
      </c>
      <c r="AJ17">
        <v>0.53</v>
      </c>
      <c r="AK17">
        <v>0.54</v>
      </c>
      <c r="AL17">
        <v>0.55</v>
      </c>
    </row>
    <row r="18" spans="1:38" ht="12.75">
      <c r="A18">
        <f t="shared" si="0"/>
        <v>0.5580555555555553</v>
      </c>
      <c r="B18" t="s">
        <v>54</v>
      </c>
      <c r="C18">
        <v>0.59</v>
      </c>
      <c r="D18">
        <v>0.59</v>
      </c>
      <c r="E18">
        <v>0.59</v>
      </c>
      <c r="F18">
        <v>0.59</v>
      </c>
      <c r="G18">
        <v>0.55</v>
      </c>
      <c r="H18">
        <v>0.55</v>
      </c>
      <c r="I18">
        <v>0.55</v>
      </c>
      <c r="J18">
        <v>0.55</v>
      </c>
      <c r="K18">
        <v>0.55</v>
      </c>
      <c r="L18">
        <v>0.55</v>
      </c>
      <c r="M18">
        <v>0.54</v>
      </c>
      <c r="N18">
        <v>0.55</v>
      </c>
      <c r="O18">
        <v>0.57</v>
      </c>
      <c r="P18">
        <v>0.57</v>
      </c>
      <c r="Q18">
        <v>0.57</v>
      </c>
      <c r="R18">
        <v>0.57</v>
      </c>
      <c r="S18">
        <v>0.54</v>
      </c>
      <c r="T18">
        <v>0.54</v>
      </c>
      <c r="U18">
        <v>0.54</v>
      </c>
      <c r="V18">
        <v>0.54</v>
      </c>
      <c r="W18">
        <v>0.54</v>
      </c>
      <c r="X18">
        <v>0.54</v>
      </c>
      <c r="Y18">
        <v>0.54</v>
      </c>
      <c r="Z18">
        <v>0.54</v>
      </c>
      <c r="AA18">
        <v>0.58</v>
      </c>
      <c r="AB18">
        <v>0.58</v>
      </c>
      <c r="AC18">
        <v>0.58</v>
      </c>
      <c r="AD18">
        <v>0.59</v>
      </c>
      <c r="AE18">
        <v>0.55</v>
      </c>
      <c r="AF18">
        <v>0.56</v>
      </c>
      <c r="AG18">
        <v>0.56</v>
      </c>
      <c r="AH18">
        <v>0.57</v>
      </c>
      <c r="AI18">
        <v>0.53</v>
      </c>
      <c r="AJ18">
        <v>0.55</v>
      </c>
      <c r="AK18">
        <v>0.54</v>
      </c>
      <c r="AL18">
        <v>0.55</v>
      </c>
    </row>
    <row r="19" spans="1:38" ht="12.75">
      <c r="A19">
        <f t="shared" si="0"/>
        <v>0.7188888888888889</v>
      </c>
      <c r="B19" t="s">
        <v>55</v>
      </c>
      <c r="C19">
        <v>0.75</v>
      </c>
      <c r="D19">
        <v>0.76</v>
      </c>
      <c r="E19">
        <v>0.76</v>
      </c>
      <c r="F19">
        <v>0.78</v>
      </c>
      <c r="G19">
        <v>0.7</v>
      </c>
      <c r="H19">
        <v>0.72</v>
      </c>
      <c r="I19">
        <v>0.71</v>
      </c>
      <c r="J19">
        <v>0.71</v>
      </c>
      <c r="K19">
        <v>0.7</v>
      </c>
      <c r="L19">
        <v>0.71</v>
      </c>
      <c r="M19">
        <v>0.69</v>
      </c>
      <c r="N19">
        <v>0.71</v>
      </c>
      <c r="O19">
        <v>0.71</v>
      </c>
      <c r="P19">
        <v>0.74</v>
      </c>
      <c r="Q19">
        <v>0.74</v>
      </c>
      <c r="R19">
        <v>0.73</v>
      </c>
      <c r="S19">
        <v>0.68</v>
      </c>
      <c r="T19">
        <v>0.7</v>
      </c>
      <c r="U19">
        <v>0.7</v>
      </c>
      <c r="V19">
        <v>0.69</v>
      </c>
      <c r="W19">
        <v>0.69</v>
      </c>
      <c r="X19">
        <v>0.7</v>
      </c>
      <c r="Y19">
        <v>0.69</v>
      </c>
      <c r="Z19">
        <v>0.71</v>
      </c>
      <c r="AA19">
        <v>0.73</v>
      </c>
      <c r="AB19">
        <v>0.75</v>
      </c>
      <c r="AC19">
        <v>0.74</v>
      </c>
      <c r="AD19">
        <v>0.74</v>
      </c>
      <c r="AE19">
        <v>0.71</v>
      </c>
      <c r="AF19">
        <v>0.71</v>
      </c>
      <c r="AG19">
        <v>0.73</v>
      </c>
      <c r="AH19">
        <v>0.75</v>
      </c>
      <c r="AI19">
        <v>0.7</v>
      </c>
      <c r="AJ19">
        <v>0.71</v>
      </c>
      <c r="AK19">
        <v>0.7</v>
      </c>
      <c r="AL19">
        <v>0.73</v>
      </c>
    </row>
    <row r="20" spans="1:38" ht="12.75">
      <c r="A20">
        <f t="shared" si="0"/>
        <v>0.7408333333333337</v>
      </c>
      <c r="B20" t="s">
        <v>56</v>
      </c>
      <c r="C20">
        <v>0.77</v>
      </c>
      <c r="D20">
        <v>0.78</v>
      </c>
      <c r="E20">
        <v>0.77</v>
      </c>
      <c r="F20">
        <v>0.79</v>
      </c>
      <c r="G20">
        <v>0.72</v>
      </c>
      <c r="H20">
        <v>0.73</v>
      </c>
      <c r="I20">
        <v>0.73</v>
      </c>
      <c r="J20">
        <v>0.73</v>
      </c>
      <c r="K20">
        <v>0.71</v>
      </c>
      <c r="L20">
        <v>0.72</v>
      </c>
      <c r="M20">
        <v>0.73</v>
      </c>
      <c r="N20">
        <v>0.74</v>
      </c>
      <c r="O20">
        <v>0.74</v>
      </c>
      <c r="P20">
        <v>0.76</v>
      </c>
      <c r="Q20">
        <v>0.75</v>
      </c>
      <c r="R20">
        <v>0.77</v>
      </c>
      <c r="S20">
        <v>0.71</v>
      </c>
      <c r="T20">
        <v>0.71</v>
      </c>
      <c r="U20">
        <v>0.7</v>
      </c>
      <c r="V20">
        <v>0.71</v>
      </c>
      <c r="W20">
        <v>0.71</v>
      </c>
      <c r="X20">
        <v>0.73</v>
      </c>
      <c r="Y20">
        <v>0.71</v>
      </c>
      <c r="Z20">
        <v>0.75</v>
      </c>
      <c r="AA20">
        <v>0.76</v>
      </c>
      <c r="AB20">
        <v>0.76</v>
      </c>
      <c r="AC20">
        <v>0.76</v>
      </c>
      <c r="AD20">
        <v>0.77</v>
      </c>
      <c r="AE20">
        <v>0.75</v>
      </c>
      <c r="AF20">
        <v>0.76</v>
      </c>
      <c r="AG20">
        <v>0.75</v>
      </c>
      <c r="AH20">
        <v>0.76</v>
      </c>
      <c r="AI20">
        <v>0.73</v>
      </c>
      <c r="AJ20">
        <v>0.73</v>
      </c>
      <c r="AK20">
        <v>0.73</v>
      </c>
      <c r="AL20">
        <v>0.74</v>
      </c>
    </row>
    <row r="21" spans="1:38" ht="12.75">
      <c r="A21">
        <f t="shared" si="0"/>
        <v>0</v>
      </c>
      <c r="B21" t="s">
        <v>57</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row>
    <row r="22" spans="1:38" ht="12.75">
      <c r="A22">
        <f t="shared" si="0"/>
        <v>0</v>
      </c>
      <c r="B22" t="s">
        <v>58</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row>
    <row r="23" spans="1:38" ht="12.75">
      <c r="A23">
        <f t="shared" si="0"/>
        <v>0</v>
      </c>
      <c r="B23" t="s">
        <v>59</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AL40"/>
  <sheetViews>
    <sheetView workbookViewId="0" topLeftCell="A1">
      <pane xSplit="2" ySplit="1" topLeftCell="C26" activePane="bottomRight" state="frozen"/>
      <selection pane="topLeft" activeCell="A1" sqref="A1"/>
      <selection pane="topRight" activeCell="C1" sqref="C1"/>
      <selection pane="bottomLeft" activeCell="A2" sqref="A2"/>
      <selection pane="bottomRight" activeCell="E38" sqref="D38:E38"/>
    </sheetView>
  </sheetViews>
  <sheetFormatPr defaultColWidth="9.140625" defaultRowHeight="12.75"/>
  <cols>
    <col min="1" max="1" width="10.57421875" style="0" customWidth="1"/>
    <col min="2" max="2" width="14.8515625" style="0" bestFit="1" customWidth="1"/>
    <col min="3" max="38" width="6.00390625" style="0" customWidth="1"/>
  </cols>
  <sheetData>
    <row r="1" spans="1:38" ht="12.75">
      <c r="A1" t="s">
        <v>0</v>
      </c>
      <c r="B1" t="s">
        <v>223</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ht="12.75">
      <c r="A2">
        <f>SUM(C2:AL2)</f>
        <v>0</v>
      </c>
      <c r="B2" t="s">
        <v>137</v>
      </c>
      <c r="C2" t="s">
        <v>139</v>
      </c>
      <c r="D2" t="s">
        <v>139</v>
      </c>
      <c r="E2" t="s">
        <v>139</v>
      </c>
      <c r="F2" t="s">
        <v>139</v>
      </c>
      <c r="G2" t="s">
        <v>139</v>
      </c>
      <c r="H2" t="s">
        <v>139</v>
      </c>
      <c r="I2" t="s">
        <v>139</v>
      </c>
      <c r="J2" t="s">
        <v>139</v>
      </c>
      <c r="K2" t="s">
        <v>139</v>
      </c>
      <c r="L2" t="s">
        <v>139</v>
      </c>
      <c r="M2"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row>
    <row r="3" spans="1:38" ht="12.75">
      <c r="A3">
        <f aca="true" t="shared" si="0" ref="A3:A24">SUM(C3:AL3)</f>
        <v>0</v>
      </c>
      <c r="B3" t="s">
        <v>38</v>
      </c>
      <c r="C3" t="s">
        <v>139</v>
      </c>
      <c r="D3" t="s">
        <v>139</v>
      </c>
      <c r="E3" t="s">
        <v>139</v>
      </c>
      <c r="F3" t="s">
        <v>139</v>
      </c>
      <c r="G3" t="s">
        <v>139</v>
      </c>
      <c r="H3" t="s">
        <v>139</v>
      </c>
      <c r="I3" t="s">
        <v>139</v>
      </c>
      <c r="J3" t="s">
        <v>139</v>
      </c>
      <c r="K3" t="s">
        <v>139</v>
      </c>
      <c r="L3" t="s">
        <v>139</v>
      </c>
      <c r="M3" t="s">
        <v>139</v>
      </c>
      <c r="N3" t="s">
        <v>139</v>
      </c>
      <c r="O3" t="s">
        <v>139</v>
      </c>
      <c r="P3" t="s">
        <v>139</v>
      </c>
      <c r="Q3" t="s">
        <v>139</v>
      </c>
      <c r="R3" t="s">
        <v>139</v>
      </c>
      <c r="S3" t="s">
        <v>139</v>
      </c>
      <c r="T3" t="s">
        <v>139</v>
      </c>
      <c r="U3" t="s">
        <v>139</v>
      </c>
      <c r="V3" t="s">
        <v>139</v>
      </c>
      <c r="W3" t="s">
        <v>139</v>
      </c>
      <c r="X3" t="s">
        <v>139</v>
      </c>
      <c r="Y3" t="s">
        <v>139</v>
      </c>
      <c r="Z3" t="s">
        <v>139</v>
      </c>
      <c r="AA3" t="s">
        <v>139</v>
      </c>
      <c r="AB3" t="s">
        <v>139</v>
      </c>
      <c r="AC3" t="s">
        <v>139</v>
      </c>
      <c r="AD3" t="s">
        <v>139</v>
      </c>
      <c r="AE3" t="s">
        <v>139</v>
      </c>
      <c r="AF3" t="s">
        <v>139</v>
      </c>
      <c r="AG3" t="s">
        <v>139</v>
      </c>
      <c r="AH3" t="s">
        <v>139</v>
      </c>
      <c r="AI3" t="s">
        <v>139</v>
      </c>
      <c r="AJ3" t="s">
        <v>139</v>
      </c>
      <c r="AK3" t="s">
        <v>139</v>
      </c>
      <c r="AL3" t="s">
        <v>139</v>
      </c>
    </row>
    <row r="4" spans="1:38" ht="12.75">
      <c r="A4">
        <f t="shared" si="0"/>
        <v>0</v>
      </c>
      <c r="B4" t="s">
        <v>39</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row>
    <row r="5" spans="1:38" ht="12.75">
      <c r="A5">
        <f t="shared" si="0"/>
        <v>0</v>
      </c>
      <c r="B5" t="s">
        <v>40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row>
    <row r="6" spans="1:38" ht="12.75">
      <c r="A6">
        <f t="shared" si="0"/>
        <v>3015.0400000000013</v>
      </c>
      <c r="B6" t="s">
        <v>41</v>
      </c>
      <c r="C6">
        <v>77.63</v>
      </c>
      <c r="D6">
        <v>83.69</v>
      </c>
      <c r="E6">
        <v>86.28</v>
      </c>
      <c r="F6">
        <v>83.4</v>
      </c>
      <c r="G6">
        <v>76.47</v>
      </c>
      <c r="H6">
        <v>87.73</v>
      </c>
      <c r="I6">
        <v>90.61</v>
      </c>
      <c r="J6">
        <v>86.57</v>
      </c>
      <c r="K6">
        <v>75.03</v>
      </c>
      <c r="L6">
        <v>86.57</v>
      </c>
      <c r="M6">
        <v>89.17</v>
      </c>
      <c r="N6">
        <v>85.71</v>
      </c>
      <c r="O6">
        <v>76.76</v>
      </c>
      <c r="P6">
        <v>85.42</v>
      </c>
      <c r="Q6">
        <v>87.44</v>
      </c>
      <c r="R6">
        <v>84.55</v>
      </c>
      <c r="S6">
        <v>76.18</v>
      </c>
      <c r="T6">
        <v>87.44</v>
      </c>
      <c r="U6">
        <v>89.75</v>
      </c>
      <c r="V6">
        <v>87.73</v>
      </c>
      <c r="W6">
        <v>74.16</v>
      </c>
      <c r="X6">
        <v>86.57</v>
      </c>
      <c r="Y6">
        <v>88.88</v>
      </c>
      <c r="Z6">
        <v>86</v>
      </c>
      <c r="AA6">
        <v>75.61</v>
      </c>
      <c r="AB6">
        <v>86.86</v>
      </c>
      <c r="AC6">
        <v>89.17</v>
      </c>
      <c r="AD6">
        <v>86.28</v>
      </c>
      <c r="AE6">
        <v>75.03</v>
      </c>
      <c r="AF6">
        <v>86</v>
      </c>
      <c r="AG6">
        <v>88.88</v>
      </c>
      <c r="AH6">
        <v>86.28</v>
      </c>
      <c r="AI6">
        <v>70.7</v>
      </c>
      <c r="AJ6">
        <v>81.96</v>
      </c>
      <c r="AK6">
        <v>85.13</v>
      </c>
      <c r="AL6">
        <v>83.4</v>
      </c>
    </row>
    <row r="7" spans="1:38" ht="12.75">
      <c r="A7">
        <f t="shared" si="0"/>
        <v>322.84000000000003</v>
      </c>
      <c r="B7" t="s">
        <v>42</v>
      </c>
      <c r="C7">
        <v>75.34</v>
      </c>
      <c r="D7">
        <v>82.01</v>
      </c>
      <c r="E7">
        <v>84.35</v>
      </c>
      <c r="F7">
        <v>81.14</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 t="shared" si="0"/>
        <v>651.39</v>
      </c>
      <c r="B8" t="s">
        <v>43</v>
      </c>
      <c r="C8">
        <v>74.99</v>
      </c>
      <c r="D8">
        <v>81.92</v>
      </c>
      <c r="E8">
        <v>84.07</v>
      </c>
      <c r="F8">
        <v>81.32</v>
      </c>
      <c r="G8" t="s">
        <v>139</v>
      </c>
      <c r="H8" t="s">
        <v>139</v>
      </c>
      <c r="I8" t="s">
        <v>139</v>
      </c>
      <c r="J8" t="s">
        <v>139</v>
      </c>
      <c r="K8" t="s">
        <v>139</v>
      </c>
      <c r="L8" t="s">
        <v>139</v>
      </c>
      <c r="M8" t="s">
        <v>139</v>
      </c>
      <c r="N8" t="s">
        <v>139</v>
      </c>
      <c r="O8">
        <v>75.87</v>
      </c>
      <c r="P8">
        <v>84.25</v>
      </c>
      <c r="Q8">
        <v>85.63</v>
      </c>
      <c r="R8">
        <v>83.34</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f t="shared" si="0"/>
        <v>982.2799999999999</v>
      </c>
      <c r="B9" t="s">
        <v>44</v>
      </c>
      <c r="C9">
        <v>74.77</v>
      </c>
      <c r="D9">
        <v>81.51</v>
      </c>
      <c r="E9">
        <v>83.84</v>
      </c>
      <c r="F9">
        <v>81.08</v>
      </c>
      <c r="G9" t="s">
        <v>139</v>
      </c>
      <c r="H9" t="s">
        <v>139</v>
      </c>
      <c r="I9" t="s">
        <v>139</v>
      </c>
      <c r="J9" t="s">
        <v>139</v>
      </c>
      <c r="K9" t="s">
        <v>139</v>
      </c>
      <c r="L9" t="s">
        <v>139</v>
      </c>
      <c r="M9" t="s">
        <v>139</v>
      </c>
      <c r="N9" t="s">
        <v>139</v>
      </c>
      <c r="O9">
        <v>75.77</v>
      </c>
      <c r="P9">
        <v>83.72</v>
      </c>
      <c r="Q9">
        <v>85.51</v>
      </c>
      <c r="R9">
        <v>83.02</v>
      </c>
      <c r="S9" t="s">
        <v>139</v>
      </c>
      <c r="T9" t="s">
        <v>139</v>
      </c>
      <c r="U9" t="s">
        <v>139</v>
      </c>
      <c r="V9" t="s">
        <v>139</v>
      </c>
      <c r="W9" t="s">
        <v>139</v>
      </c>
      <c r="X9" t="s">
        <v>139</v>
      </c>
      <c r="Y9" t="s">
        <v>139</v>
      </c>
      <c r="Z9" t="s">
        <v>139</v>
      </c>
      <c r="AA9">
        <v>75.25</v>
      </c>
      <c r="AB9">
        <v>85.29</v>
      </c>
      <c r="AC9">
        <v>87.5</v>
      </c>
      <c r="AD9">
        <v>85.02</v>
      </c>
      <c r="AE9" t="s">
        <v>139</v>
      </c>
      <c r="AF9" t="s">
        <v>139</v>
      </c>
      <c r="AG9" t="s">
        <v>139</v>
      </c>
      <c r="AH9" t="s">
        <v>139</v>
      </c>
      <c r="AI9" t="s">
        <v>139</v>
      </c>
      <c r="AJ9" t="s">
        <v>139</v>
      </c>
      <c r="AK9" t="s">
        <v>139</v>
      </c>
      <c r="AL9" t="s">
        <v>139</v>
      </c>
    </row>
    <row r="10" spans="1:38" ht="12.75">
      <c r="A10">
        <f t="shared" si="0"/>
        <v>1316.22</v>
      </c>
      <c r="B10" t="s">
        <v>45</v>
      </c>
      <c r="C10">
        <v>74.61</v>
      </c>
      <c r="D10">
        <v>81.51</v>
      </c>
      <c r="E10">
        <v>83.99</v>
      </c>
      <c r="F10">
        <v>80.92</v>
      </c>
      <c r="G10">
        <v>75.87</v>
      </c>
      <c r="H10">
        <v>86.71</v>
      </c>
      <c r="I10">
        <v>88.32</v>
      </c>
      <c r="J10">
        <v>85.38</v>
      </c>
      <c r="K10" t="s">
        <v>139</v>
      </c>
      <c r="L10" t="s">
        <v>139</v>
      </c>
      <c r="M10" t="s">
        <v>139</v>
      </c>
      <c r="N10" t="s">
        <v>139</v>
      </c>
      <c r="O10">
        <v>75.57</v>
      </c>
      <c r="P10">
        <v>83.69</v>
      </c>
      <c r="Q10">
        <v>85.35</v>
      </c>
      <c r="R10">
        <v>82.73</v>
      </c>
      <c r="S10" t="s">
        <v>139</v>
      </c>
      <c r="T10" t="s">
        <v>139</v>
      </c>
      <c r="U10" t="s">
        <v>139</v>
      </c>
      <c r="V10" t="s">
        <v>139</v>
      </c>
      <c r="W10" t="s">
        <v>139</v>
      </c>
      <c r="X10" t="s">
        <v>139</v>
      </c>
      <c r="Y10" t="s">
        <v>139</v>
      </c>
      <c r="Z10" t="s">
        <v>139</v>
      </c>
      <c r="AA10">
        <v>74.87</v>
      </c>
      <c r="AB10">
        <v>85.08</v>
      </c>
      <c r="AC10">
        <v>87.05</v>
      </c>
      <c r="AD10">
        <v>84.57</v>
      </c>
      <c r="AE10" t="s">
        <v>139</v>
      </c>
      <c r="AF10" t="s">
        <v>139</v>
      </c>
      <c r="AG10" t="s">
        <v>139</v>
      </c>
      <c r="AH10" t="s">
        <v>139</v>
      </c>
      <c r="AI10" t="s">
        <v>139</v>
      </c>
      <c r="AJ10" t="s">
        <v>139</v>
      </c>
      <c r="AK10" t="s">
        <v>139</v>
      </c>
      <c r="AL10" t="s">
        <v>139</v>
      </c>
    </row>
    <row r="11" spans="1:38" ht="12.75">
      <c r="A11">
        <f t="shared" si="0"/>
        <v>1649.1500000000003</v>
      </c>
      <c r="B11" t="s">
        <v>46</v>
      </c>
      <c r="C11">
        <v>74.61</v>
      </c>
      <c r="D11">
        <v>81.31</v>
      </c>
      <c r="E11">
        <v>83.94</v>
      </c>
      <c r="F11">
        <v>80.79</v>
      </c>
      <c r="G11">
        <v>75.77</v>
      </c>
      <c r="H11">
        <v>86.75</v>
      </c>
      <c r="I11">
        <v>88.29</v>
      </c>
      <c r="J11">
        <v>85.33</v>
      </c>
      <c r="K11" t="s">
        <v>139</v>
      </c>
      <c r="L11" t="s">
        <v>139</v>
      </c>
      <c r="M11" t="s">
        <v>139</v>
      </c>
      <c r="N11" t="s">
        <v>139</v>
      </c>
      <c r="O11">
        <v>75.58</v>
      </c>
      <c r="P11">
        <v>83.56</v>
      </c>
      <c r="Q11">
        <v>85.39</v>
      </c>
      <c r="R11">
        <v>82.53</v>
      </c>
      <c r="S11">
        <v>75.53</v>
      </c>
      <c r="T11">
        <v>85.91</v>
      </c>
      <c r="U11">
        <v>87.7</v>
      </c>
      <c r="V11">
        <v>85.51</v>
      </c>
      <c r="W11" t="s">
        <v>139</v>
      </c>
      <c r="X11" t="s">
        <v>139</v>
      </c>
      <c r="Y11" t="s">
        <v>139</v>
      </c>
      <c r="Z11" t="s">
        <v>139</v>
      </c>
      <c r="AA11">
        <v>74.73</v>
      </c>
      <c r="AB11">
        <v>84.81</v>
      </c>
      <c r="AC11">
        <v>86.94</v>
      </c>
      <c r="AD11">
        <v>84.17</v>
      </c>
      <c r="AE11" t="s">
        <v>139</v>
      </c>
      <c r="AF11" t="s">
        <v>139</v>
      </c>
      <c r="AG11" t="s">
        <v>139</v>
      </c>
      <c r="AH11" t="s">
        <v>139</v>
      </c>
      <c r="AI11" t="s">
        <v>139</v>
      </c>
      <c r="AJ11" t="s">
        <v>139</v>
      </c>
      <c r="AK11" t="s">
        <v>139</v>
      </c>
      <c r="AL11" t="s">
        <v>139</v>
      </c>
    </row>
    <row r="12" spans="1:38" ht="12.75">
      <c r="A12">
        <f t="shared" si="0"/>
        <v>1974.6899999999998</v>
      </c>
      <c r="B12" t="s">
        <v>47</v>
      </c>
      <c r="C12">
        <v>74.32</v>
      </c>
      <c r="D12">
        <v>81.26</v>
      </c>
      <c r="E12">
        <v>83.85</v>
      </c>
      <c r="F12">
        <v>80.54</v>
      </c>
      <c r="G12">
        <v>75.54</v>
      </c>
      <c r="H12">
        <v>86.46</v>
      </c>
      <c r="I12">
        <v>88.09</v>
      </c>
      <c r="J12">
        <v>85.09</v>
      </c>
      <c r="K12" t="s">
        <v>139</v>
      </c>
      <c r="L12" t="s">
        <v>139</v>
      </c>
      <c r="M12" t="s">
        <v>139</v>
      </c>
      <c r="N12" t="s">
        <v>139</v>
      </c>
      <c r="O12">
        <v>75.46</v>
      </c>
      <c r="P12">
        <v>83.51</v>
      </c>
      <c r="Q12">
        <v>85.28</v>
      </c>
      <c r="R12">
        <v>82.4</v>
      </c>
      <c r="S12">
        <v>75.26</v>
      </c>
      <c r="T12">
        <v>86.02</v>
      </c>
      <c r="U12">
        <v>87.53</v>
      </c>
      <c r="V12">
        <v>85.51</v>
      </c>
      <c r="W12" t="s">
        <v>139</v>
      </c>
      <c r="X12" t="s">
        <v>139</v>
      </c>
      <c r="Y12" t="s">
        <v>139</v>
      </c>
      <c r="Z12" t="s">
        <v>139</v>
      </c>
      <c r="AA12">
        <v>74.76</v>
      </c>
      <c r="AB12">
        <v>84.61</v>
      </c>
      <c r="AC12">
        <v>86.73</v>
      </c>
      <c r="AD12">
        <v>84.02</v>
      </c>
      <c r="AE12">
        <v>73.52</v>
      </c>
      <c r="AF12">
        <v>84.43</v>
      </c>
      <c r="AG12">
        <v>86.22</v>
      </c>
      <c r="AH12">
        <v>84.28</v>
      </c>
      <c r="AI12" t="s">
        <v>139</v>
      </c>
      <c r="AJ12" t="s">
        <v>139</v>
      </c>
      <c r="AK12" t="s">
        <v>139</v>
      </c>
      <c r="AL12" t="s">
        <v>139</v>
      </c>
    </row>
    <row r="13" spans="1:38" ht="12.75">
      <c r="A13">
        <f t="shared" si="0"/>
        <v>2317.14</v>
      </c>
      <c r="B13" t="s">
        <v>48</v>
      </c>
      <c r="C13">
        <v>74.66</v>
      </c>
      <c r="D13">
        <v>81.69</v>
      </c>
      <c r="E13">
        <v>84.27</v>
      </c>
      <c r="F13">
        <v>81.03</v>
      </c>
      <c r="G13">
        <v>76.07</v>
      </c>
      <c r="H13">
        <v>86.91</v>
      </c>
      <c r="I13">
        <v>88.89</v>
      </c>
      <c r="J13">
        <v>85.42</v>
      </c>
      <c r="K13">
        <v>75.03</v>
      </c>
      <c r="L13">
        <v>85.89</v>
      </c>
      <c r="M13">
        <v>88.28</v>
      </c>
      <c r="N13">
        <v>84.86</v>
      </c>
      <c r="O13">
        <v>75.6</v>
      </c>
      <c r="P13">
        <v>84.02</v>
      </c>
      <c r="Q13">
        <v>85.43</v>
      </c>
      <c r="R13">
        <v>82.82</v>
      </c>
      <c r="S13">
        <v>75.68</v>
      </c>
      <c r="T13">
        <v>86.29</v>
      </c>
      <c r="U13">
        <v>88.21</v>
      </c>
      <c r="V13">
        <v>85.61</v>
      </c>
      <c r="W13" t="s">
        <v>139</v>
      </c>
      <c r="X13" t="s">
        <v>139</v>
      </c>
      <c r="Y13" t="s">
        <v>139</v>
      </c>
      <c r="Z13" t="s">
        <v>139</v>
      </c>
      <c r="AA13">
        <v>74.93</v>
      </c>
      <c r="AB13">
        <v>85.2</v>
      </c>
      <c r="AC13">
        <v>87.05</v>
      </c>
      <c r="AD13">
        <v>84.44</v>
      </c>
      <c r="AE13">
        <v>73.93</v>
      </c>
      <c r="AF13">
        <v>84.35</v>
      </c>
      <c r="AG13">
        <v>86.52</v>
      </c>
      <c r="AH13">
        <v>84.06</v>
      </c>
      <c r="AI13" t="s">
        <v>139</v>
      </c>
      <c r="AJ13" t="s">
        <v>139</v>
      </c>
      <c r="AK13" t="s">
        <v>139</v>
      </c>
      <c r="AL13" t="s">
        <v>139</v>
      </c>
    </row>
    <row r="14" spans="1:38" ht="12.75">
      <c r="A14">
        <f t="shared" si="0"/>
        <v>2642.3399999999997</v>
      </c>
      <c r="B14" t="s">
        <v>49</v>
      </c>
      <c r="C14">
        <v>74.42</v>
      </c>
      <c r="D14">
        <v>81.61</v>
      </c>
      <c r="E14">
        <v>84.08</v>
      </c>
      <c r="F14">
        <v>80.84</v>
      </c>
      <c r="G14">
        <v>75.76</v>
      </c>
      <c r="H14">
        <v>86.8</v>
      </c>
      <c r="I14">
        <v>88.67</v>
      </c>
      <c r="J14">
        <v>85.31</v>
      </c>
      <c r="K14">
        <v>74.69</v>
      </c>
      <c r="L14">
        <v>85.72</v>
      </c>
      <c r="M14">
        <v>87.83</v>
      </c>
      <c r="N14">
        <v>84.69</v>
      </c>
      <c r="O14">
        <v>75.7</v>
      </c>
      <c r="P14">
        <v>83.68</v>
      </c>
      <c r="Q14">
        <v>85.5</v>
      </c>
      <c r="R14">
        <v>82.67</v>
      </c>
      <c r="S14">
        <v>75.59</v>
      </c>
      <c r="T14">
        <v>86.23</v>
      </c>
      <c r="U14">
        <v>88.09</v>
      </c>
      <c r="V14">
        <v>85.57</v>
      </c>
      <c r="W14">
        <v>74.01</v>
      </c>
      <c r="X14">
        <v>85.27</v>
      </c>
      <c r="Y14">
        <v>86.84</v>
      </c>
      <c r="Z14">
        <v>84.5</v>
      </c>
      <c r="AA14">
        <v>74.81</v>
      </c>
      <c r="AB14">
        <v>84.85</v>
      </c>
      <c r="AC14">
        <v>86.94</v>
      </c>
      <c r="AD14">
        <v>83.93</v>
      </c>
      <c r="AE14">
        <v>73.81</v>
      </c>
      <c r="AF14">
        <v>84.08</v>
      </c>
      <c r="AG14">
        <v>86.14</v>
      </c>
      <c r="AH14">
        <v>83.71</v>
      </c>
      <c r="AI14" t="s">
        <v>139</v>
      </c>
      <c r="AJ14" t="s">
        <v>139</v>
      </c>
      <c r="AK14" t="s">
        <v>139</v>
      </c>
      <c r="AL14" t="s">
        <v>139</v>
      </c>
    </row>
    <row r="15" spans="1:38" ht="12.75">
      <c r="A15">
        <f t="shared" si="0"/>
        <v>2953.9799999999987</v>
      </c>
      <c r="B15" t="s">
        <v>50</v>
      </c>
      <c r="C15">
        <v>74.36</v>
      </c>
      <c r="D15">
        <v>81.36</v>
      </c>
      <c r="E15">
        <v>83.99</v>
      </c>
      <c r="F15">
        <v>80.66</v>
      </c>
      <c r="G15">
        <v>75.62</v>
      </c>
      <c r="H15">
        <v>86.74</v>
      </c>
      <c r="I15">
        <v>88.55</v>
      </c>
      <c r="J15">
        <v>85.16</v>
      </c>
      <c r="K15">
        <v>74.47</v>
      </c>
      <c r="L15">
        <v>85.52</v>
      </c>
      <c r="M15">
        <v>87.54</v>
      </c>
      <c r="N15">
        <v>84.55</v>
      </c>
      <c r="O15">
        <v>75.56</v>
      </c>
      <c r="P15">
        <v>83.67</v>
      </c>
      <c r="Q15">
        <v>85.28</v>
      </c>
      <c r="R15">
        <v>82.48</v>
      </c>
      <c r="S15">
        <v>75.5</v>
      </c>
      <c r="T15">
        <v>86.04</v>
      </c>
      <c r="U15">
        <v>87.88</v>
      </c>
      <c r="V15">
        <v>85.43</v>
      </c>
      <c r="W15">
        <v>73.82</v>
      </c>
      <c r="X15">
        <v>84.87</v>
      </c>
      <c r="Y15">
        <v>86.55</v>
      </c>
      <c r="Z15">
        <v>84.45</v>
      </c>
      <c r="AA15">
        <v>74.7</v>
      </c>
      <c r="AB15">
        <v>84.81</v>
      </c>
      <c r="AC15">
        <v>86.73</v>
      </c>
      <c r="AD15">
        <v>83.99</v>
      </c>
      <c r="AE15">
        <v>73.74</v>
      </c>
      <c r="AF15">
        <v>83.95</v>
      </c>
      <c r="AG15">
        <v>86.12</v>
      </c>
      <c r="AH15">
        <v>83.55</v>
      </c>
      <c r="AI15">
        <v>69.81</v>
      </c>
      <c r="AJ15">
        <v>80.71</v>
      </c>
      <c r="AK15">
        <v>83.74</v>
      </c>
      <c r="AL15">
        <v>82.08</v>
      </c>
    </row>
    <row r="16" spans="1:38" ht="12.75">
      <c r="A16">
        <f t="shared" si="0"/>
        <v>2960.3500000000004</v>
      </c>
      <c r="B16" t="s">
        <v>51</v>
      </c>
      <c r="C16">
        <v>74.08</v>
      </c>
      <c r="D16">
        <v>81.57</v>
      </c>
      <c r="E16">
        <v>84.02</v>
      </c>
      <c r="F16">
        <v>80.88</v>
      </c>
      <c r="G16">
        <v>75.79</v>
      </c>
      <c r="H16">
        <v>86.98</v>
      </c>
      <c r="I16">
        <v>88.74</v>
      </c>
      <c r="J16">
        <v>85.37</v>
      </c>
      <c r="K16">
        <v>74.72</v>
      </c>
      <c r="L16">
        <v>85.72</v>
      </c>
      <c r="M16">
        <v>87.99</v>
      </c>
      <c r="N16">
        <v>84.74</v>
      </c>
      <c r="O16">
        <v>75.41</v>
      </c>
      <c r="P16">
        <v>83.74</v>
      </c>
      <c r="Q16">
        <v>85.49</v>
      </c>
      <c r="R16">
        <v>82.68</v>
      </c>
      <c r="S16">
        <v>75.65</v>
      </c>
      <c r="T16">
        <v>86.31</v>
      </c>
      <c r="U16">
        <v>88.16</v>
      </c>
      <c r="V16">
        <v>85.79</v>
      </c>
      <c r="W16">
        <v>74.01</v>
      </c>
      <c r="X16">
        <v>85</v>
      </c>
      <c r="Y16">
        <v>86.87</v>
      </c>
      <c r="Z16">
        <v>84.69</v>
      </c>
      <c r="AA16">
        <v>74.59</v>
      </c>
      <c r="AB16">
        <v>84.86</v>
      </c>
      <c r="AC16">
        <v>86.9</v>
      </c>
      <c r="AD16">
        <v>84.09</v>
      </c>
      <c r="AE16">
        <v>73.83</v>
      </c>
      <c r="AF16">
        <v>84.34</v>
      </c>
      <c r="AG16">
        <v>86.37</v>
      </c>
      <c r="AH16">
        <v>83.77</v>
      </c>
      <c r="AI16">
        <v>69.95</v>
      </c>
      <c r="AJ16">
        <v>81.33</v>
      </c>
      <c r="AK16">
        <v>83.86</v>
      </c>
      <c r="AL16">
        <v>82.06</v>
      </c>
    </row>
    <row r="17" spans="1:38" ht="12.75">
      <c r="A17">
        <f t="shared" si="0"/>
        <v>2919.4299999999994</v>
      </c>
      <c r="B17" t="s">
        <v>52</v>
      </c>
      <c r="C17">
        <v>72.89</v>
      </c>
      <c r="D17">
        <v>79.76</v>
      </c>
      <c r="E17">
        <v>82.46</v>
      </c>
      <c r="F17">
        <v>79.19</v>
      </c>
      <c r="G17">
        <v>75.06</v>
      </c>
      <c r="H17">
        <v>86.02</v>
      </c>
      <c r="I17">
        <v>87.92</v>
      </c>
      <c r="J17">
        <v>84.5</v>
      </c>
      <c r="K17">
        <v>73.85</v>
      </c>
      <c r="L17">
        <v>84.64</v>
      </c>
      <c r="M17">
        <v>86.94</v>
      </c>
      <c r="N17">
        <v>84.26</v>
      </c>
      <c r="O17">
        <v>74.46</v>
      </c>
      <c r="P17">
        <v>82.29</v>
      </c>
      <c r="Q17">
        <v>84.1</v>
      </c>
      <c r="R17">
        <v>81.18</v>
      </c>
      <c r="S17">
        <v>74.83</v>
      </c>
      <c r="T17">
        <v>84.92</v>
      </c>
      <c r="U17">
        <v>87.05</v>
      </c>
      <c r="V17">
        <v>84.69</v>
      </c>
      <c r="W17">
        <v>73.11</v>
      </c>
      <c r="X17">
        <v>83.7</v>
      </c>
      <c r="Y17">
        <v>85.53</v>
      </c>
      <c r="Z17">
        <v>84.33</v>
      </c>
      <c r="AA17">
        <v>73.65</v>
      </c>
      <c r="AB17">
        <v>83.39</v>
      </c>
      <c r="AC17">
        <v>85.38</v>
      </c>
      <c r="AD17">
        <v>82.66</v>
      </c>
      <c r="AE17">
        <v>73.04</v>
      </c>
      <c r="AF17">
        <v>82.82</v>
      </c>
      <c r="AG17">
        <v>85.13</v>
      </c>
      <c r="AH17">
        <v>82.74</v>
      </c>
      <c r="AI17">
        <v>68.97</v>
      </c>
      <c r="AJ17">
        <v>79.98</v>
      </c>
      <c r="AK17">
        <v>82.54</v>
      </c>
      <c r="AL17">
        <v>81.45</v>
      </c>
    </row>
    <row r="18" spans="1:38" ht="12.75">
      <c r="A18">
        <f t="shared" si="0"/>
        <v>2886.680000000001</v>
      </c>
      <c r="B18" t="s">
        <v>53</v>
      </c>
      <c r="C18">
        <v>72.32</v>
      </c>
      <c r="D18">
        <v>78.78</v>
      </c>
      <c r="E18">
        <v>81.55</v>
      </c>
      <c r="F18">
        <v>77.97</v>
      </c>
      <c r="G18">
        <v>74.42</v>
      </c>
      <c r="H18">
        <v>84.85</v>
      </c>
      <c r="I18">
        <v>87.14</v>
      </c>
      <c r="J18">
        <v>83.51</v>
      </c>
      <c r="K18">
        <v>73.34</v>
      </c>
      <c r="L18">
        <v>83.7</v>
      </c>
      <c r="M18">
        <v>85.75</v>
      </c>
      <c r="N18">
        <v>83.39</v>
      </c>
      <c r="O18">
        <v>73.89</v>
      </c>
      <c r="P18">
        <v>81.53</v>
      </c>
      <c r="Q18">
        <v>83.16</v>
      </c>
      <c r="R18">
        <v>80.46</v>
      </c>
      <c r="S18">
        <v>74.04</v>
      </c>
      <c r="T18">
        <v>83.71</v>
      </c>
      <c r="U18">
        <v>85.96</v>
      </c>
      <c r="V18">
        <v>83.54</v>
      </c>
      <c r="W18">
        <v>72.64</v>
      </c>
      <c r="X18">
        <v>82.56</v>
      </c>
      <c r="Y18">
        <v>84.35</v>
      </c>
      <c r="Z18">
        <v>83.2</v>
      </c>
      <c r="AA18">
        <v>73.02</v>
      </c>
      <c r="AB18">
        <v>82.59</v>
      </c>
      <c r="AC18">
        <v>84.34</v>
      </c>
      <c r="AD18">
        <v>81.82</v>
      </c>
      <c r="AE18">
        <v>72.27</v>
      </c>
      <c r="AF18">
        <v>81.75</v>
      </c>
      <c r="AG18">
        <v>83.82</v>
      </c>
      <c r="AH18">
        <v>81.75</v>
      </c>
      <c r="AI18">
        <v>68.55</v>
      </c>
      <c r="AJ18">
        <v>78.88</v>
      </c>
      <c r="AK18">
        <v>81.53</v>
      </c>
      <c r="AL18">
        <v>80.6</v>
      </c>
    </row>
    <row r="19" spans="1:38" ht="12.75">
      <c r="A19">
        <f t="shared" si="0"/>
        <v>2872.2000000000003</v>
      </c>
      <c r="B19" t="s">
        <v>54</v>
      </c>
      <c r="C19">
        <v>72.02</v>
      </c>
      <c r="D19">
        <v>78.42</v>
      </c>
      <c r="E19">
        <v>81.1</v>
      </c>
      <c r="F19">
        <v>77.64</v>
      </c>
      <c r="G19">
        <v>74.03</v>
      </c>
      <c r="H19">
        <v>84.42</v>
      </c>
      <c r="I19">
        <v>86.7</v>
      </c>
      <c r="J19">
        <v>83.11</v>
      </c>
      <c r="K19">
        <v>72.94</v>
      </c>
      <c r="L19">
        <v>83.25</v>
      </c>
      <c r="M19">
        <v>85.42</v>
      </c>
      <c r="N19">
        <v>82.79</v>
      </c>
      <c r="O19">
        <v>73.55</v>
      </c>
      <c r="P19">
        <v>81.15</v>
      </c>
      <c r="Q19">
        <v>82.81</v>
      </c>
      <c r="R19">
        <v>80.02</v>
      </c>
      <c r="S19">
        <v>73.57</v>
      </c>
      <c r="T19">
        <v>83.29</v>
      </c>
      <c r="U19">
        <v>85.65</v>
      </c>
      <c r="V19">
        <v>83.15</v>
      </c>
      <c r="W19">
        <v>72.31</v>
      </c>
      <c r="X19">
        <v>82.03</v>
      </c>
      <c r="Y19">
        <v>84.01</v>
      </c>
      <c r="Z19">
        <v>82.5</v>
      </c>
      <c r="AA19">
        <v>72.86</v>
      </c>
      <c r="AB19">
        <v>82.22</v>
      </c>
      <c r="AC19">
        <v>83.93</v>
      </c>
      <c r="AD19">
        <v>81.45</v>
      </c>
      <c r="AE19">
        <v>71.89</v>
      </c>
      <c r="AF19">
        <v>81.34</v>
      </c>
      <c r="AG19">
        <v>83.4</v>
      </c>
      <c r="AH19">
        <v>81.3</v>
      </c>
      <c r="AI19">
        <v>68.21</v>
      </c>
      <c r="AJ19">
        <v>78.39</v>
      </c>
      <c r="AK19">
        <v>81.3</v>
      </c>
      <c r="AL19">
        <v>80.03</v>
      </c>
    </row>
    <row r="20" spans="1:38" ht="12.75">
      <c r="A20">
        <f t="shared" si="0"/>
        <v>2865.3600000000006</v>
      </c>
      <c r="B20" t="s">
        <v>55</v>
      </c>
      <c r="C20">
        <v>71.67</v>
      </c>
      <c r="D20">
        <v>78.23</v>
      </c>
      <c r="E20">
        <v>80.87</v>
      </c>
      <c r="F20">
        <v>77.58</v>
      </c>
      <c r="G20">
        <v>73.8</v>
      </c>
      <c r="H20">
        <v>84.5</v>
      </c>
      <c r="I20">
        <v>86.34</v>
      </c>
      <c r="J20">
        <v>83.09</v>
      </c>
      <c r="K20">
        <v>72.64</v>
      </c>
      <c r="L20">
        <v>83.05</v>
      </c>
      <c r="M20">
        <v>85.11</v>
      </c>
      <c r="N20">
        <v>82.18</v>
      </c>
      <c r="O20">
        <v>73.34</v>
      </c>
      <c r="P20">
        <v>80.99</v>
      </c>
      <c r="Q20">
        <v>82.69</v>
      </c>
      <c r="R20">
        <v>80</v>
      </c>
      <c r="S20">
        <v>73.4</v>
      </c>
      <c r="T20">
        <v>83.16</v>
      </c>
      <c r="U20">
        <v>85.26</v>
      </c>
      <c r="V20">
        <v>83.15</v>
      </c>
      <c r="W20">
        <v>72.08</v>
      </c>
      <c r="X20">
        <v>82.18</v>
      </c>
      <c r="Y20">
        <v>83.78</v>
      </c>
      <c r="Z20">
        <v>82.02</v>
      </c>
      <c r="AA20">
        <v>72.69</v>
      </c>
      <c r="AB20">
        <v>82.12</v>
      </c>
      <c r="AC20">
        <v>83.82</v>
      </c>
      <c r="AD20">
        <v>81.33</v>
      </c>
      <c r="AE20">
        <v>71.78</v>
      </c>
      <c r="AF20">
        <v>81.21</v>
      </c>
      <c r="AG20">
        <v>83.28</v>
      </c>
      <c r="AH20">
        <v>81.1</v>
      </c>
      <c r="AI20">
        <v>68.12</v>
      </c>
      <c r="AJ20">
        <v>78.28</v>
      </c>
      <c r="AK20">
        <v>80.95</v>
      </c>
      <c r="AL20">
        <v>79.57</v>
      </c>
    </row>
    <row r="21" spans="1:38" ht="12.75">
      <c r="A21">
        <f t="shared" si="0"/>
        <v>2784.7999999999997</v>
      </c>
      <c r="B21" t="s">
        <v>56</v>
      </c>
      <c r="C21">
        <v>68.93</v>
      </c>
      <c r="D21">
        <v>75.92</v>
      </c>
      <c r="E21">
        <v>78.56</v>
      </c>
      <c r="F21">
        <v>75.39</v>
      </c>
      <c r="G21">
        <v>71.77</v>
      </c>
      <c r="H21">
        <v>82.26</v>
      </c>
      <c r="I21">
        <v>84.35</v>
      </c>
      <c r="J21">
        <v>80.79</v>
      </c>
      <c r="K21">
        <v>70.93</v>
      </c>
      <c r="L21">
        <v>80.72</v>
      </c>
      <c r="M21">
        <v>83.01</v>
      </c>
      <c r="N21">
        <v>79.38</v>
      </c>
      <c r="O21">
        <v>71.14</v>
      </c>
      <c r="P21">
        <v>78.94</v>
      </c>
      <c r="Q21">
        <v>80.43</v>
      </c>
      <c r="R21">
        <v>78.01</v>
      </c>
      <c r="S21">
        <v>71.38</v>
      </c>
      <c r="T21">
        <v>80.93</v>
      </c>
      <c r="U21">
        <v>82.82</v>
      </c>
      <c r="V21">
        <v>80.69</v>
      </c>
      <c r="W21">
        <v>70.08</v>
      </c>
      <c r="X21">
        <v>79.66</v>
      </c>
      <c r="Y21">
        <v>81.46</v>
      </c>
      <c r="Z21">
        <v>79.17</v>
      </c>
      <c r="AA21">
        <v>70.83</v>
      </c>
      <c r="AB21">
        <v>80.03</v>
      </c>
      <c r="AC21">
        <v>81.67</v>
      </c>
      <c r="AD21">
        <v>79.17</v>
      </c>
      <c r="AE21">
        <v>69.93</v>
      </c>
      <c r="AF21">
        <v>78.83</v>
      </c>
      <c r="AG21">
        <v>80.61</v>
      </c>
      <c r="AH21">
        <v>78.81</v>
      </c>
      <c r="AI21">
        <v>66.29</v>
      </c>
      <c r="AJ21">
        <v>76.18</v>
      </c>
      <c r="AK21">
        <v>78.81</v>
      </c>
      <c r="AL21">
        <v>76.92</v>
      </c>
    </row>
    <row r="22" spans="1:38" ht="12.75">
      <c r="A22">
        <f t="shared" si="0"/>
        <v>2777.2400000000002</v>
      </c>
      <c r="B22" t="s">
        <v>57</v>
      </c>
      <c r="C22">
        <v>68.73</v>
      </c>
      <c r="D22">
        <v>75.6</v>
      </c>
      <c r="E22">
        <v>78.41</v>
      </c>
      <c r="F22">
        <v>75.14</v>
      </c>
      <c r="G22">
        <v>71.64</v>
      </c>
      <c r="H22">
        <v>81.98</v>
      </c>
      <c r="I22">
        <v>84.24</v>
      </c>
      <c r="J22">
        <v>80.42</v>
      </c>
      <c r="K22">
        <v>70.77</v>
      </c>
      <c r="L22">
        <v>80.5</v>
      </c>
      <c r="M22">
        <v>82.83</v>
      </c>
      <c r="N22">
        <v>79.21</v>
      </c>
      <c r="O22">
        <v>70.92</v>
      </c>
      <c r="P22">
        <v>78.79</v>
      </c>
      <c r="Q22">
        <v>80.19</v>
      </c>
      <c r="R22">
        <v>77.76</v>
      </c>
      <c r="S22">
        <v>71.15</v>
      </c>
      <c r="T22">
        <v>80.7</v>
      </c>
      <c r="U22">
        <v>82.55</v>
      </c>
      <c r="V22">
        <v>80.35</v>
      </c>
      <c r="W22">
        <v>69.93</v>
      </c>
      <c r="X22">
        <v>79.47</v>
      </c>
      <c r="Y22">
        <v>81.34</v>
      </c>
      <c r="Z22">
        <v>78.96</v>
      </c>
      <c r="AA22">
        <v>70.53</v>
      </c>
      <c r="AB22">
        <v>79.8</v>
      </c>
      <c r="AC22">
        <v>81.25</v>
      </c>
      <c r="AD22">
        <v>79.17</v>
      </c>
      <c r="AE22">
        <v>69.66</v>
      </c>
      <c r="AF22">
        <v>78.79</v>
      </c>
      <c r="AG22">
        <v>80.26</v>
      </c>
      <c r="AH22">
        <v>78.63</v>
      </c>
      <c r="AI22">
        <v>66.11</v>
      </c>
      <c r="AJ22">
        <v>76.07</v>
      </c>
      <c r="AK22">
        <v>78.64</v>
      </c>
      <c r="AL22">
        <v>76.75</v>
      </c>
    </row>
    <row r="23" spans="1:38" ht="12.75">
      <c r="A23">
        <f t="shared" si="0"/>
        <v>2693.5500000000006</v>
      </c>
      <c r="B23" t="s">
        <v>58</v>
      </c>
      <c r="C23">
        <v>66.63</v>
      </c>
      <c r="D23">
        <v>73.23</v>
      </c>
      <c r="E23">
        <v>76.09</v>
      </c>
      <c r="F23">
        <v>72.96</v>
      </c>
      <c r="G23">
        <v>69.48</v>
      </c>
      <c r="H23">
        <v>79.6</v>
      </c>
      <c r="I23">
        <v>81.68</v>
      </c>
      <c r="J23">
        <v>78.05</v>
      </c>
      <c r="K23">
        <v>68.55</v>
      </c>
      <c r="L23">
        <v>78.18</v>
      </c>
      <c r="M23">
        <v>80.38</v>
      </c>
      <c r="N23">
        <v>76.77</v>
      </c>
      <c r="O23">
        <v>68.8</v>
      </c>
      <c r="P23">
        <v>76.58</v>
      </c>
      <c r="Q23">
        <v>77.74</v>
      </c>
      <c r="R23">
        <v>75.51</v>
      </c>
      <c r="S23">
        <v>68.91</v>
      </c>
      <c r="T23">
        <v>78.12</v>
      </c>
      <c r="U23">
        <v>80.25</v>
      </c>
      <c r="V23">
        <v>77.8</v>
      </c>
      <c r="W23">
        <v>67.93</v>
      </c>
      <c r="X23">
        <v>77.02</v>
      </c>
      <c r="Y23">
        <v>78.89</v>
      </c>
      <c r="Z23">
        <v>76.41</v>
      </c>
      <c r="AA23">
        <v>68.27</v>
      </c>
      <c r="AB23">
        <v>77.54</v>
      </c>
      <c r="AC23">
        <v>78.93</v>
      </c>
      <c r="AD23">
        <v>76.86</v>
      </c>
      <c r="AE23">
        <v>67.55</v>
      </c>
      <c r="AF23">
        <v>76.32</v>
      </c>
      <c r="AG23">
        <v>77.86</v>
      </c>
      <c r="AH23">
        <v>76.2</v>
      </c>
      <c r="AI23">
        <v>64.27</v>
      </c>
      <c r="AJ23">
        <v>73.57</v>
      </c>
      <c r="AK23">
        <v>76.39</v>
      </c>
      <c r="AL23">
        <v>74.23</v>
      </c>
    </row>
    <row r="24" spans="1:38" ht="12.75">
      <c r="A24">
        <f t="shared" si="0"/>
        <v>0</v>
      </c>
      <c r="B24" t="s">
        <v>59</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row>
    <row r="30" spans="1:38" ht="12.75">
      <c r="A30" s="14">
        <f aca="true" t="shared" si="1" ref="A30:A35">AVERAGE(C30:AL30)</f>
        <v>99.82586239977105</v>
      </c>
      <c r="B30" t="s">
        <v>206</v>
      </c>
      <c r="C30">
        <f>100*C16/C7</f>
        <v>98.32758162994425</v>
      </c>
      <c r="D30">
        <f>100*D16/D7</f>
        <v>99.46348006340689</v>
      </c>
      <c r="E30">
        <f>100*E16/E7</f>
        <v>99.60877296976882</v>
      </c>
      <c r="F30">
        <f>100*F16/F7</f>
        <v>99.67956618190782</v>
      </c>
      <c r="G30">
        <f>100*G16/G10</f>
        <v>99.89455647818637</v>
      </c>
      <c r="H30">
        <f>100*H16/H10</f>
        <v>100.31138277015339</v>
      </c>
      <c r="I30">
        <f>100*I16/I10</f>
        <v>100.47554347826087</v>
      </c>
      <c r="J30">
        <f>100*J16/J10</f>
        <v>99.98828765518857</v>
      </c>
      <c r="K30">
        <f>100*K16/K13</f>
        <v>99.58683193389311</v>
      </c>
      <c r="L30">
        <f>100*L16/L13</f>
        <v>99.80207241820933</v>
      </c>
      <c r="M30">
        <f>100*M16/M13</f>
        <v>99.67149977344812</v>
      </c>
      <c r="N30">
        <f>100*N16/N13</f>
        <v>99.85859061984445</v>
      </c>
      <c r="O30">
        <f>100*O16/O8</f>
        <v>99.39369974957162</v>
      </c>
      <c r="P30">
        <f>100*P16/P8</f>
        <v>99.3946587537092</v>
      </c>
      <c r="Q30">
        <f>100*Q16/Q8</f>
        <v>99.83650589746584</v>
      </c>
      <c r="R30">
        <f>100*R16/R8</f>
        <v>99.2080633549316</v>
      </c>
      <c r="S30">
        <f>100*S16/S11</f>
        <v>100.15887726731101</v>
      </c>
      <c r="T30">
        <f>100*T16/T11</f>
        <v>100.46560353858689</v>
      </c>
      <c r="U30">
        <f>100*U16/U11</f>
        <v>100.52451539338654</v>
      </c>
      <c r="V30">
        <f>100*V16/V11</f>
        <v>100.3274470822126</v>
      </c>
      <c r="W30">
        <f>100*W16/W14</f>
        <v>100</v>
      </c>
      <c r="X30">
        <f>100*X16/X14</f>
        <v>99.68335874281694</v>
      </c>
      <c r="Y30">
        <f>100*Y16/Y14</f>
        <v>100.03454629203132</v>
      </c>
      <c r="Z30">
        <f>100*Z16/Z14</f>
        <v>100.22485207100591</v>
      </c>
      <c r="AA30">
        <f>100*AA16/AA9</f>
        <v>99.12292358803987</v>
      </c>
      <c r="AB30">
        <f>100*AB16/AB9</f>
        <v>99.4958377300973</v>
      </c>
      <c r="AC30">
        <f>100*AC16/AC9</f>
        <v>99.31428571428572</v>
      </c>
      <c r="AD30">
        <f>100*AD16/AD9</f>
        <v>98.9061397318278</v>
      </c>
      <c r="AE30">
        <f>100*AE16/AE12</f>
        <v>100.42165397170838</v>
      </c>
      <c r="AF30">
        <f>100*AF16/AF12</f>
        <v>99.89340281890323</v>
      </c>
      <c r="AG30">
        <f>100*AG16/AG12</f>
        <v>100.17397355601949</v>
      </c>
      <c r="AH30">
        <f>100*AH16/AH12</f>
        <v>99.39487422876127</v>
      </c>
      <c r="AI30">
        <f>100*AI16/AI15</f>
        <v>100.20054433462255</v>
      </c>
      <c r="AJ30">
        <f>100*AJ16/AJ15</f>
        <v>100.76818238136539</v>
      </c>
      <c r="AK30">
        <f>100*AK16/AK15</f>
        <v>100.14330069262002</v>
      </c>
      <c r="AL30">
        <f>100*AL16/AL15</f>
        <v>99.9756335282651</v>
      </c>
    </row>
    <row r="31" spans="1:38" ht="12.75">
      <c r="A31" s="14">
        <f t="shared" si="1"/>
        <v>98.3754152316082</v>
      </c>
      <c r="B31" t="s">
        <v>192</v>
      </c>
      <c r="C31">
        <f>100*C7/C6</f>
        <v>97.05010949375242</v>
      </c>
      <c r="D31">
        <f>100*D7/D6</f>
        <v>97.99259170749194</v>
      </c>
      <c r="E31">
        <f>100*E7/E6</f>
        <v>97.76309689383403</v>
      </c>
      <c r="F31">
        <f>100*F7/F6</f>
        <v>97.29016786570743</v>
      </c>
      <c r="G31">
        <f>100*G10/G6</f>
        <v>99.21537857983523</v>
      </c>
      <c r="H31">
        <f>100*H10/H6</f>
        <v>98.837341844295</v>
      </c>
      <c r="I31">
        <f>100*I10/I6</f>
        <v>97.47268513409117</v>
      </c>
      <c r="J31">
        <f>100*J10/J6</f>
        <v>98.62538985791845</v>
      </c>
      <c r="K31">
        <f>100*K13/K6</f>
        <v>100</v>
      </c>
      <c r="L31">
        <f>100*L13/L6</f>
        <v>99.21450849023913</v>
      </c>
      <c r="M31">
        <f>100*M13/M6</f>
        <v>99.00190647078614</v>
      </c>
      <c r="N31">
        <f>100*N13/N6</f>
        <v>99.00828374752072</v>
      </c>
      <c r="O31">
        <f>100*O8/O6</f>
        <v>98.84054194893173</v>
      </c>
      <c r="P31">
        <f>100*P8/P6</f>
        <v>98.63029735424959</v>
      </c>
      <c r="Q31">
        <f>100*Q8/Q6</f>
        <v>97.93000914913084</v>
      </c>
      <c r="R31">
        <f>100*R8/R6</f>
        <v>98.56889414547605</v>
      </c>
      <c r="S31">
        <f>100*S11/S6</f>
        <v>99.14675767918088</v>
      </c>
      <c r="T31">
        <f>100*T11/T6</f>
        <v>98.25022872827081</v>
      </c>
      <c r="U31">
        <f>100*U11/U6</f>
        <v>97.7158774373259</v>
      </c>
      <c r="V31">
        <f>100*V11/V6</f>
        <v>97.46950871993616</v>
      </c>
      <c r="W31">
        <f>100*W14/W6</f>
        <v>99.79773462783173</v>
      </c>
      <c r="X31">
        <f>100*X14/X6</f>
        <v>98.4983250548689</v>
      </c>
      <c r="Y31">
        <f>100*Y14/Y6</f>
        <v>97.70477047704772</v>
      </c>
      <c r="Z31">
        <f>100*Z14/Z6</f>
        <v>98.25581395348837</v>
      </c>
      <c r="AA31">
        <f>100*AA9/AA6</f>
        <v>99.52387250363708</v>
      </c>
      <c r="AB31">
        <f>100*AB9/AB6</f>
        <v>98.19249366797145</v>
      </c>
      <c r="AC31">
        <f>100*AC9/AC6</f>
        <v>98.1271728159695</v>
      </c>
      <c r="AD31">
        <f>100*AD9/AD6</f>
        <v>98.53963838664812</v>
      </c>
      <c r="AE31">
        <f>100*AE12/AE6</f>
        <v>97.98747167799547</v>
      </c>
      <c r="AF31">
        <f>100*AF12/AF6</f>
        <v>98.17441860465117</v>
      </c>
      <c r="AG31">
        <f>100*AG12/AG6</f>
        <v>97.007200720072</v>
      </c>
      <c r="AH31">
        <f>100*AH12/AH6</f>
        <v>97.68196569309225</v>
      </c>
      <c r="AI31">
        <f>100*AI15/AI6</f>
        <v>98.74115983026874</v>
      </c>
      <c r="AJ31">
        <f>100*AJ15/AJ6</f>
        <v>98.47486578818936</v>
      </c>
      <c r="AK31">
        <f>100*AK15/AK6</f>
        <v>98.36720310113944</v>
      </c>
      <c r="AL31">
        <f>100*AL15/AL6</f>
        <v>98.41726618705036</v>
      </c>
    </row>
    <row r="32" spans="1:38" ht="12.75">
      <c r="A32" s="14">
        <f t="shared" si="1"/>
        <v>97.52320230887885</v>
      </c>
      <c r="B32" t="s">
        <v>193</v>
      </c>
      <c r="C32">
        <f>100*C18/C16</f>
        <v>97.6241900647948</v>
      </c>
      <c r="D32">
        <f aca="true" t="shared" si="2" ref="D32:AL32">100*D18/D16</f>
        <v>96.57962486208166</v>
      </c>
      <c r="E32">
        <f t="shared" si="2"/>
        <v>97.06022375624852</v>
      </c>
      <c r="F32">
        <f t="shared" si="2"/>
        <v>96.40207715133532</v>
      </c>
      <c r="G32">
        <f t="shared" si="2"/>
        <v>98.19237366407177</v>
      </c>
      <c r="H32">
        <f t="shared" si="2"/>
        <v>97.55116118647965</v>
      </c>
      <c r="I32">
        <f t="shared" si="2"/>
        <v>98.19697994140185</v>
      </c>
      <c r="J32">
        <f t="shared" si="2"/>
        <v>97.82124868220686</v>
      </c>
      <c r="K32">
        <f t="shared" si="2"/>
        <v>98.15310492505354</v>
      </c>
      <c r="L32">
        <f t="shared" si="2"/>
        <v>97.64349043397107</v>
      </c>
      <c r="M32">
        <f t="shared" si="2"/>
        <v>97.45425616547335</v>
      </c>
      <c r="N32">
        <f t="shared" si="2"/>
        <v>98.40689166863348</v>
      </c>
      <c r="O32">
        <f t="shared" si="2"/>
        <v>97.98435220792999</v>
      </c>
      <c r="P32">
        <f t="shared" si="2"/>
        <v>97.36087891091474</v>
      </c>
      <c r="Q32">
        <f t="shared" si="2"/>
        <v>97.27453503333724</v>
      </c>
      <c r="R32">
        <f t="shared" si="2"/>
        <v>97.31494920174164</v>
      </c>
      <c r="S32">
        <f t="shared" si="2"/>
        <v>97.87177792465302</v>
      </c>
      <c r="T32">
        <f t="shared" si="2"/>
        <v>96.98760282701889</v>
      </c>
      <c r="U32">
        <f t="shared" si="2"/>
        <v>97.50453720508168</v>
      </c>
      <c r="V32">
        <f t="shared" si="2"/>
        <v>97.3773167035785</v>
      </c>
      <c r="W32">
        <f t="shared" si="2"/>
        <v>98.1488987974598</v>
      </c>
      <c r="X32">
        <f t="shared" si="2"/>
        <v>97.12941176470588</v>
      </c>
      <c r="Y32">
        <f t="shared" si="2"/>
        <v>97.09911361804996</v>
      </c>
      <c r="Z32">
        <f t="shared" si="2"/>
        <v>98.24064234266147</v>
      </c>
      <c r="AA32">
        <f t="shared" si="2"/>
        <v>97.89516020914331</v>
      </c>
      <c r="AB32">
        <f t="shared" si="2"/>
        <v>97.3250058920575</v>
      </c>
      <c r="AC32">
        <f t="shared" si="2"/>
        <v>97.05408515535098</v>
      </c>
      <c r="AD32">
        <f t="shared" si="2"/>
        <v>97.30051135687953</v>
      </c>
      <c r="AE32">
        <f t="shared" si="2"/>
        <v>97.88703778951646</v>
      </c>
      <c r="AF32">
        <f t="shared" si="2"/>
        <v>96.92909651410956</v>
      </c>
      <c r="AG32">
        <f t="shared" si="2"/>
        <v>97.04758596734978</v>
      </c>
      <c r="AH32">
        <f t="shared" si="2"/>
        <v>97.58863554971947</v>
      </c>
      <c r="AI32">
        <f t="shared" si="2"/>
        <v>97.99857040743387</v>
      </c>
      <c r="AJ32">
        <f t="shared" si="2"/>
        <v>96.98758145825649</v>
      </c>
      <c r="AK32">
        <f t="shared" si="2"/>
        <v>97.22155974242786</v>
      </c>
      <c r="AL32">
        <f t="shared" si="2"/>
        <v>98.2208140385084</v>
      </c>
    </row>
    <row r="33" spans="1:38" ht="12.75">
      <c r="A33" s="14">
        <f t="shared" si="1"/>
        <v>99.49893259422933</v>
      </c>
      <c r="B33" t="s">
        <v>205</v>
      </c>
      <c r="C33">
        <f>100*C19/C18</f>
        <v>99.58517699115045</v>
      </c>
      <c r="D33">
        <f aca="true" t="shared" si="3" ref="D33:AL33">100*D19/D18</f>
        <v>99.54303122619955</v>
      </c>
      <c r="E33">
        <f t="shared" si="3"/>
        <v>99.44819129368484</v>
      </c>
      <c r="F33">
        <f t="shared" si="3"/>
        <v>99.57676029242016</v>
      </c>
      <c r="G33">
        <f t="shared" si="3"/>
        <v>99.47594732598763</v>
      </c>
      <c r="H33">
        <f t="shared" si="3"/>
        <v>99.49322333529759</v>
      </c>
      <c r="I33">
        <f t="shared" si="3"/>
        <v>99.49506541198072</v>
      </c>
      <c r="J33">
        <f t="shared" si="3"/>
        <v>99.52101544725183</v>
      </c>
      <c r="K33">
        <f t="shared" si="3"/>
        <v>99.45459503681484</v>
      </c>
      <c r="L33">
        <f t="shared" si="3"/>
        <v>99.46236559139784</v>
      </c>
      <c r="M33">
        <f t="shared" si="3"/>
        <v>99.61516034985422</v>
      </c>
      <c r="N33">
        <f t="shared" si="3"/>
        <v>99.28048926729824</v>
      </c>
      <c r="O33">
        <f t="shared" si="3"/>
        <v>99.53985654351062</v>
      </c>
      <c r="P33">
        <f t="shared" si="3"/>
        <v>99.53391389672514</v>
      </c>
      <c r="Q33">
        <f t="shared" si="3"/>
        <v>99.57912457912458</v>
      </c>
      <c r="R33">
        <f t="shared" si="3"/>
        <v>99.45314441958737</v>
      </c>
      <c r="S33">
        <f t="shared" si="3"/>
        <v>99.36520799567799</v>
      </c>
      <c r="T33">
        <f t="shared" si="3"/>
        <v>99.49826782941106</v>
      </c>
      <c r="U33">
        <f t="shared" si="3"/>
        <v>99.63936714751048</v>
      </c>
      <c r="V33">
        <f t="shared" si="3"/>
        <v>99.53315776873353</v>
      </c>
      <c r="W33">
        <f t="shared" si="3"/>
        <v>99.54570484581498</v>
      </c>
      <c r="X33">
        <f t="shared" si="3"/>
        <v>99.35804263565892</v>
      </c>
      <c r="Y33">
        <f t="shared" si="3"/>
        <v>99.59691760521636</v>
      </c>
      <c r="Z33">
        <f t="shared" si="3"/>
        <v>99.15865384615384</v>
      </c>
      <c r="AA33">
        <f t="shared" si="3"/>
        <v>99.78088195015064</v>
      </c>
      <c r="AB33">
        <f t="shared" si="3"/>
        <v>99.55200387456108</v>
      </c>
      <c r="AC33">
        <f t="shared" si="3"/>
        <v>99.51387242115247</v>
      </c>
      <c r="AD33">
        <f t="shared" si="3"/>
        <v>99.54778782693718</v>
      </c>
      <c r="AE33">
        <f t="shared" si="3"/>
        <v>99.47419399474195</v>
      </c>
      <c r="AF33">
        <f t="shared" si="3"/>
        <v>99.49847094801223</v>
      </c>
      <c r="AG33">
        <f t="shared" si="3"/>
        <v>99.49892627057982</v>
      </c>
      <c r="AH33">
        <f t="shared" si="3"/>
        <v>99.44954128440367</v>
      </c>
      <c r="AI33">
        <f t="shared" si="3"/>
        <v>99.50401167031363</v>
      </c>
      <c r="AJ33">
        <f t="shared" si="3"/>
        <v>99.37880324543612</v>
      </c>
      <c r="AK33">
        <f t="shared" si="3"/>
        <v>99.717895253281</v>
      </c>
      <c r="AL33">
        <f t="shared" si="3"/>
        <v>99.29280397022333</v>
      </c>
    </row>
    <row r="34" spans="1:38" ht="12.75">
      <c r="A34" s="14" t="e">
        <f t="shared" si="1"/>
        <v>#DIV/0!</v>
      </c>
      <c r="B34" t="s">
        <v>194</v>
      </c>
      <c r="C34" t="e">
        <f>100*C6/C5</f>
        <v>#DIV/0!</v>
      </c>
      <c r="D34" t="e">
        <f aca="true" t="shared" si="4" ref="D34:AL34">100*D6/D5</f>
        <v>#DIV/0!</v>
      </c>
      <c r="E34" t="e">
        <f t="shared" si="4"/>
        <v>#DIV/0!</v>
      </c>
      <c r="F34" t="e">
        <f t="shared" si="4"/>
        <v>#DIV/0!</v>
      </c>
      <c r="G34" t="e">
        <f t="shared" si="4"/>
        <v>#DIV/0!</v>
      </c>
      <c r="H34" t="e">
        <f t="shared" si="4"/>
        <v>#DIV/0!</v>
      </c>
      <c r="I34" t="e">
        <f t="shared" si="4"/>
        <v>#DIV/0!</v>
      </c>
      <c r="J34" t="e">
        <f t="shared" si="4"/>
        <v>#DIV/0!</v>
      </c>
      <c r="K34" t="e">
        <f t="shared" si="4"/>
        <v>#DIV/0!</v>
      </c>
      <c r="L34" t="e">
        <f t="shared" si="4"/>
        <v>#DIV/0!</v>
      </c>
      <c r="M34" t="e">
        <f t="shared" si="4"/>
        <v>#DIV/0!</v>
      </c>
      <c r="N34" t="e">
        <f t="shared" si="4"/>
        <v>#DIV/0!</v>
      </c>
      <c r="O34" t="e">
        <f t="shared" si="4"/>
        <v>#DIV/0!</v>
      </c>
      <c r="P34" t="e">
        <f t="shared" si="4"/>
        <v>#DIV/0!</v>
      </c>
      <c r="Q34" t="e">
        <f t="shared" si="4"/>
        <v>#DIV/0!</v>
      </c>
      <c r="R34" t="e">
        <f t="shared" si="4"/>
        <v>#DIV/0!</v>
      </c>
      <c r="S34" t="e">
        <f t="shared" si="4"/>
        <v>#DIV/0!</v>
      </c>
      <c r="T34" t="e">
        <f t="shared" si="4"/>
        <v>#DIV/0!</v>
      </c>
      <c r="U34" t="e">
        <f t="shared" si="4"/>
        <v>#DIV/0!</v>
      </c>
      <c r="V34" t="e">
        <f t="shared" si="4"/>
        <v>#DIV/0!</v>
      </c>
      <c r="W34" t="e">
        <f t="shared" si="4"/>
        <v>#DIV/0!</v>
      </c>
      <c r="X34" t="e">
        <f t="shared" si="4"/>
        <v>#DIV/0!</v>
      </c>
      <c r="Y34" t="e">
        <f t="shared" si="4"/>
        <v>#DIV/0!</v>
      </c>
      <c r="Z34" t="e">
        <f t="shared" si="4"/>
        <v>#DIV/0!</v>
      </c>
      <c r="AA34" t="e">
        <f t="shared" si="4"/>
        <v>#DIV/0!</v>
      </c>
      <c r="AB34" t="e">
        <f t="shared" si="4"/>
        <v>#DIV/0!</v>
      </c>
      <c r="AC34" t="e">
        <f t="shared" si="4"/>
        <v>#DIV/0!</v>
      </c>
      <c r="AD34" t="e">
        <f t="shared" si="4"/>
        <v>#DIV/0!</v>
      </c>
      <c r="AE34" t="e">
        <f t="shared" si="4"/>
        <v>#DIV/0!</v>
      </c>
      <c r="AF34" t="e">
        <f t="shared" si="4"/>
        <v>#DIV/0!</v>
      </c>
      <c r="AG34" t="e">
        <f t="shared" si="4"/>
        <v>#DIV/0!</v>
      </c>
      <c r="AH34" t="e">
        <f t="shared" si="4"/>
        <v>#DIV/0!</v>
      </c>
      <c r="AI34" t="e">
        <f t="shared" si="4"/>
        <v>#DIV/0!</v>
      </c>
      <c r="AJ34" t="e">
        <f t="shared" si="4"/>
        <v>#DIV/0!</v>
      </c>
      <c r="AK34" t="e">
        <f t="shared" si="4"/>
        <v>#DIV/0!</v>
      </c>
      <c r="AL34" t="e">
        <f t="shared" si="4"/>
        <v>#DIV/0!</v>
      </c>
    </row>
    <row r="35" spans="1:38" ht="12.75">
      <c r="A35" s="14">
        <f t="shared" si="1"/>
        <v>92.1414572941441</v>
      </c>
      <c r="B35" t="s">
        <v>195</v>
      </c>
      <c r="C35">
        <f>100*C22/C6</f>
        <v>88.53536004122118</v>
      </c>
      <c r="D35">
        <f aca="true" t="shared" si="5" ref="D35:AL35">100*D22/D6</f>
        <v>90.33337316286294</v>
      </c>
      <c r="E35">
        <f t="shared" si="5"/>
        <v>90.87853500231803</v>
      </c>
      <c r="F35">
        <f t="shared" si="5"/>
        <v>90.09592326139088</v>
      </c>
      <c r="G35">
        <f t="shared" si="5"/>
        <v>93.6837975676736</v>
      </c>
      <c r="H35">
        <f t="shared" si="5"/>
        <v>93.44579961244727</v>
      </c>
      <c r="I35">
        <f t="shared" si="5"/>
        <v>92.96987087517934</v>
      </c>
      <c r="J35">
        <f t="shared" si="5"/>
        <v>92.89592237495668</v>
      </c>
      <c r="K35">
        <f t="shared" si="5"/>
        <v>94.32227109156338</v>
      </c>
      <c r="L35">
        <f t="shared" si="5"/>
        <v>92.98833314081091</v>
      </c>
      <c r="M35">
        <f t="shared" si="5"/>
        <v>92.88998542110575</v>
      </c>
      <c r="N35">
        <f t="shared" si="5"/>
        <v>92.41628748104071</v>
      </c>
      <c r="O35">
        <f t="shared" si="5"/>
        <v>92.39187076602397</v>
      </c>
      <c r="P35">
        <f t="shared" si="5"/>
        <v>92.23835167408102</v>
      </c>
      <c r="Q35">
        <f t="shared" si="5"/>
        <v>91.70860018298262</v>
      </c>
      <c r="R35">
        <f t="shared" si="5"/>
        <v>91.96924896510941</v>
      </c>
      <c r="S35">
        <f t="shared" si="5"/>
        <v>93.39721711735363</v>
      </c>
      <c r="T35">
        <f t="shared" si="5"/>
        <v>92.29185727355902</v>
      </c>
      <c r="U35">
        <f t="shared" si="5"/>
        <v>91.97771587743732</v>
      </c>
      <c r="V35">
        <f t="shared" si="5"/>
        <v>91.58782628519319</v>
      </c>
      <c r="W35">
        <f t="shared" si="5"/>
        <v>94.29611650485438</v>
      </c>
      <c r="X35">
        <f t="shared" si="5"/>
        <v>91.79854453043781</v>
      </c>
      <c r="Y35">
        <f t="shared" si="5"/>
        <v>91.51665166516652</v>
      </c>
      <c r="Z35">
        <f t="shared" si="5"/>
        <v>91.81395348837208</v>
      </c>
      <c r="AA35">
        <f t="shared" si="5"/>
        <v>93.28131199576775</v>
      </c>
      <c r="AB35">
        <f t="shared" si="5"/>
        <v>91.87197789546397</v>
      </c>
      <c r="AC35">
        <f t="shared" si="5"/>
        <v>91.11808904340025</v>
      </c>
      <c r="AD35">
        <f t="shared" si="5"/>
        <v>91.75938803894297</v>
      </c>
      <c r="AE35">
        <f t="shared" si="5"/>
        <v>92.84286285485805</v>
      </c>
      <c r="AF35">
        <f t="shared" si="5"/>
        <v>91.61627906976746</v>
      </c>
      <c r="AG35">
        <f t="shared" si="5"/>
        <v>90.30153015301532</v>
      </c>
      <c r="AH35">
        <f t="shared" si="5"/>
        <v>91.13351877607788</v>
      </c>
      <c r="AI35">
        <f t="shared" si="5"/>
        <v>93.5077793493635</v>
      </c>
      <c r="AJ35">
        <f t="shared" si="5"/>
        <v>92.81356759394826</v>
      </c>
      <c r="AK35">
        <f t="shared" si="5"/>
        <v>92.37636555855751</v>
      </c>
      <c r="AL35">
        <f t="shared" si="5"/>
        <v>92.02637889688249</v>
      </c>
    </row>
    <row r="40" ht="12.75">
      <c r="A40" t="e">
        <f>A6/A5</f>
        <v>#DIV/0!</v>
      </c>
    </row>
  </sheetData>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Sheet1"/>
  <dimension ref="A1:AN61"/>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P11" sqref="P11"/>
    </sheetView>
  </sheetViews>
  <sheetFormatPr defaultColWidth="9.140625" defaultRowHeight="12.75"/>
  <cols>
    <col min="1" max="1" width="17.140625" style="0" customWidth="1"/>
    <col min="2" max="2" width="14.8515625" style="0" bestFit="1" customWidth="1"/>
    <col min="3" max="38" width="5.00390625" style="0" customWidth="1"/>
    <col min="39" max="39" width="6.7109375" style="0" bestFit="1" customWidth="1"/>
    <col min="40" max="40" width="13.140625" style="0" customWidth="1"/>
  </cols>
  <sheetData>
    <row r="1" spans="1:40" ht="12.75">
      <c r="A1" s="2" t="s">
        <v>0</v>
      </c>
      <c r="B1" t="s">
        <v>223</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1</v>
      </c>
    </row>
    <row r="2" spans="1:38" ht="12.75">
      <c r="A2" s="1">
        <f>AVERAGE(C2:AL2)</f>
        <v>0</v>
      </c>
      <c r="B2" t="s">
        <v>38</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row>
    <row r="3" spans="1:38" ht="12.75">
      <c r="A3" s="1">
        <f>AVERAGE(C3:AL3)</f>
        <v>1.0916666666666666</v>
      </c>
      <c r="B3" t="s">
        <v>39</v>
      </c>
      <c r="C3">
        <v>0</v>
      </c>
      <c r="D3">
        <v>0.38</v>
      </c>
      <c r="E3">
        <v>0</v>
      </c>
      <c r="F3">
        <v>0</v>
      </c>
      <c r="G3">
        <v>1.2</v>
      </c>
      <c r="H3">
        <v>1.21</v>
      </c>
      <c r="I3">
        <v>1.23</v>
      </c>
      <c r="J3">
        <v>1.22</v>
      </c>
      <c r="K3">
        <v>1.18</v>
      </c>
      <c r="L3">
        <v>1.21</v>
      </c>
      <c r="M3">
        <v>1.22</v>
      </c>
      <c r="N3">
        <v>1.22</v>
      </c>
      <c r="O3">
        <v>1.23</v>
      </c>
      <c r="P3">
        <v>1.27</v>
      </c>
      <c r="Q3">
        <v>1.27</v>
      </c>
      <c r="R3">
        <v>1.26</v>
      </c>
      <c r="S3">
        <v>1.19</v>
      </c>
      <c r="T3">
        <v>1.22</v>
      </c>
      <c r="U3">
        <v>1.23</v>
      </c>
      <c r="V3">
        <v>1.23</v>
      </c>
      <c r="W3">
        <v>1.15</v>
      </c>
      <c r="X3">
        <v>1.2</v>
      </c>
      <c r="Y3">
        <v>1.22</v>
      </c>
      <c r="Z3">
        <v>1.21</v>
      </c>
      <c r="AA3">
        <v>1.21</v>
      </c>
      <c r="AB3">
        <v>1.26</v>
      </c>
      <c r="AC3">
        <v>1.24</v>
      </c>
      <c r="AD3">
        <v>1.25</v>
      </c>
      <c r="AE3">
        <v>1.19</v>
      </c>
      <c r="AF3">
        <v>1.2</v>
      </c>
      <c r="AG3">
        <v>1.22</v>
      </c>
      <c r="AH3">
        <v>1.21</v>
      </c>
      <c r="AI3">
        <v>1.15</v>
      </c>
      <c r="AJ3">
        <v>1.18</v>
      </c>
      <c r="AK3">
        <v>1.22</v>
      </c>
      <c r="AL3">
        <v>1.22</v>
      </c>
    </row>
    <row r="4" spans="1:38" ht="12.75">
      <c r="A4" s="1">
        <f>AVERAGE(C4:AL4)</f>
        <v>0.46361111111111103</v>
      </c>
      <c r="B4" t="s">
        <v>40</v>
      </c>
      <c r="C4">
        <v>0</v>
      </c>
      <c r="D4">
        <v>0.15</v>
      </c>
      <c r="E4">
        <v>0</v>
      </c>
      <c r="F4">
        <v>0</v>
      </c>
      <c r="G4">
        <v>0.51</v>
      </c>
      <c r="H4">
        <v>0.52</v>
      </c>
      <c r="I4">
        <v>0.52</v>
      </c>
      <c r="J4">
        <v>0.52</v>
      </c>
      <c r="K4">
        <v>0.51</v>
      </c>
      <c r="L4">
        <v>0.52</v>
      </c>
      <c r="M4">
        <v>0.52</v>
      </c>
      <c r="N4">
        <v>0.52</v>
      </c>
      <c r="O4">
        <v>0.52</v>
      </c>
      <c r="P4">
        <v>0.53</v>
      </c>
      <c r="Q4">
        <v>0.53</v>
      </c>
      <c r="R4">
        <v>0.53</v>
      </c>
      <c r="S4">
        <v>0.51</v>
      </c>
      <c r="T4">
        <v>0.51</v>
      </c>
      <c r="U4">
        <v>0.52</v>
      </c>
      <c r="V4">
        <v>0.51</v>
      </c>
      <c r="W4">
        <v>0.49</v>
      </c>
      <c r="X4">
        <v>0.51</v>
      </c>
      <c r="Y4">
        <v>0.51</v>
      </c>
      <c r="Z4">
        <v>0.51</v>
      </c>
      <c r="AA4">
        <v>0.52</v>
      </c>
      <c r="AB4">
        <v>0.53</v>
      </c>
      <c r="AC4">
        <v>0.53</v>
      </c>
      <c r="AD4">
        <v>0.53</v>
      </c>
      <c r="AE4">
        <v>0.5</v>
      </c>
      <c r="AF4">
        <v>0.52</v>
      </c>
      <c r="AG4">
        <v>0.52</v>
      </c>
      <c r="AH4">
        <v>0.52</v>
      </c>
      <c r="AI4">
        <v>0.5</v>
      </c>
      <c r="AJ4">
        <v>0.51</v>
      </c>
      <c r="AK4">
        <v>0.52</v>
      </c>
      <c r="AL4">
        <v>0.52</v>
      </c>
    </row>
    <row r="5" spans="1:38" ht="12.75">
      <c r="A5" s="1">
        <f>AVERAGE(C5:AL5)</f>
        <v>2.0955555555555563</v>
      </c>
      <c r="B5" t="s">
        <v>41</v>
      </c>
      <c r="C5">
        <v>2.17</v>
      </c>
      <c r="D5">
        <v>2.2</v>
      </c>
      <c r="E5">
        <v>2.18</v>
      </c>
      <c r="F5">
        <v>2.34</v>
      </c>
      <c r="G5">
        <v>2.05</v>
      </c>
      <c r="H5">
        <v>2.06</v>
      </c>
      <c r="I5">
        <v>2.05</v>
      </c>
      <c r="J5">
        <v>2.08</v>
      </c>
      <c r="K5">
        <v>2.07</v>
      </c>
      <c r="L5">
        <v>2.08</v>
      </c>
      <c r="M5">
        <v>2.07</v>
      </c>
      <c r="N5">
        <v>2.13</v>
      </c>
      <c r="O5">
        <v>2.1</v>
      </c>
      <c r="P5">
        <v>2.12</v>
      </c>
      <c r="Q5">
        <v>2.12</v>
      </c>
      <c r="R5">
        <v>2.16</v>
      </c>
      <c r="S5">
        <v>1.88</v>
      </c>
      <c r="T5">
        <v>1.91</v>
      </c>
      <c r="U5">
        <v>1.9</v>
      </c>
      <c r="V5">
        <v>1.9</v>
      </c>
      <c r="W5">
        <v>2.07</v>
      </c>
      <c r="X5">
        <v>2.09</v>
      </c>
      <c r="Y5">
        <v>2.06</v>
      </c>
      <c r="Z5">
        <v>2.11</v>
      </c>
      <c r="AA5">
        <v>2.14</v>
      </c>
      <c r="AB5">
        <v>2.13</v>
      </c>
      <c r="AC5">
        <v>2.14</v>
      </c>
      <c r="AD5">
        <v>2.16</v>
      </c>
      <c r="AE5">
        <v>2.09</v>
      </c>
      <c r="AF5">
        <v>2.13</v>
      </c>
      <c r="AG5">
        <v>2.13</v>
      </c>
      <c r="AH5">
        <v>2.15</v>
      </c>
      <c r="AI5">
        <v>2.11</v>
      </c>
      <c r="AJ5">
        <v>2.11</v>
      </c>
      <c r="AK5">
        <v>2.1</v>
      </c>
      <c r="AL5">
        <v>2.15</v>
      </c>
    </row>
    <row r="6" spans="1:38" ht="12.75">
      <c r="A6">
        <f>AVERAGE(C6:F6)</f>
        <v>2.64</v>
      </c>
      <c r="B6" t="s">
        <v>42</v>
      </c>
      <c r="C6">
        <v>2.61</v>
      </c>
      <c r="D6">
        <v>2.64</v>
      </c>
      <c r="E6">
        <v>2.63</v>
      </c>
      <c r="F6">
        <v>2.68</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f>AVERAGE(AVERAGE(C7:F7),AVERAGE(O7:R7))</f>
        <v>2.59</v>
      </c>
      <c r="B7" t="s">
        <v>43</v>
      </c>
      <c r="C7">
        <v>2.59</v>
      </c>
      <c r="D7">
        <v>2.62</v>
      </c>
      <c r="E7">
        <v>2.62</v>
      </c>
      <c r="F7">
        <v>2.69</v>
      </c>
      <c r="G7" t="s">
        <v>139</v>
      </c>
      <c r="H7" t="s">
        <v>139</v>
      </c>
      <c r="I7" t="s">
        <v>139</v>
      </c>
      <c r="J7" t="s">
        <v>139</v>
      </c>
      <c r="K7" t="s">
        <v>139</v>
      </c>
      <c r="L7" t="s">
        <v>139</v>
      </c>
      <c r="M7" t="s">
        <v>139</v>
      </c>
      <c r="N7" t="s">
        <v>139</v>
      </c>
      <c r="O7">
        <v>2.5</v>
      </c>
      <c r="P7">
        <v>2.54</v>
      </c>
      <c r="Q7">
        <v>2.55</v>
      </c>
      <c r="R7">
        <v>2.61</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AVERAGE(AVERAGE(C8:F8),AVERAGE(O8:R8),AVERAGE(AA8:AD8))</f>
        <v>2.600833333333333</v>
      </c>
      <c r="B8" t="s">
        <v>44</v>
      </c>
      <c r="C8">
        <v>2.59</v>
      </c>
      <c r="D8">
        <v>2.63</v>
      </c>
      <c r="E8">
        <v>2.63</v>
      </c>
      <c r="F8">
        <v>2.69</v>
      </c>
      <c r="G8" t="s">
        <v>139</v>
      </c>
      <c r="H8" t="s">
        <v>139</v>
      </c>
      <c r="I8" t="s">
        <v>139</v>
      </c>
      <c r="J8" t="s">
        <v>139</v>
      </c>
      <c r="K8" t="s">
        <v>139</v>
      </c>
      <c r="L8" t="s">
        <v>139</v>
      </c>
      <c r="M8" t="s">
        <v>139</v>
      </c>
      <c r="N8" t="s">
        <v>139</v>
      </c>
      <c r="O8">
        <v>2.5</v>
      </c>
      <c r="P8">
        <v>2.54</v>
      </c>
      <c r="Q8">
        <v>2.54</v>
      </c>
      <c r="R8">
        <v>2.61</v>
      </c>
      <c r="S8" t="s">
        <v>139</v>
      </c>
      <c r="T8" t="s">
        <v>139</v>
      </c>
      <c r="U8" t="s">
        <v>139</v>
      </c>
      <c r="V8" t="s">
        <v>139</v>
      </c>
      <c r="W8" t="s">
        <v>139</v>
      </c>
      <c r="X8" t="s">
        <v>139</v>
      </c>
      <c r="Y8" t="s">
        <v>139</v>
      </c>
      <c r="Z8" t="s">
        <v>139</v>
      </c>
      <c r="AA8">
        <v>2.57</v>
      </c>
      <c r="AB8">
        <v>2.61</v>
      </c>
      <c r="AC8">
        <v>2.62</v>
      </c>
      <c r="AD8">
        <v>2.68</v>
      </c>
      <c r="AE8" t="s">
        <v>139</v>
      </c>
      <c r="AF8" t="s">
        <v>139</v>
      </c>
      <c r="AG8" t="s">
        <v>139</v>
      </c>
      <c r="AH8" t="s">
        <v>139</v>
      </c>
      <c r="AI8" t="s">
        <v>139</v>
      </c>
      <c r="AJ8" t="s">
        <v>139</v>
      </c>
      <c r="AK8" t="s">
        <v>139</v>
      </c>
      <c r="AL8" t="s">
        <v>139</v>
      </c>
    </row>
    <row r="9" spans="1:38" ht="12.75">
      <c r="A9">
        <f>AVERAGE(AVERAGE(C9:F9),AVERAGE(G9:J9),AVERAGE(O9:R9),AVERAGE(AA9:AD9))</f>
        <v>2.55125</v>
      </c>
      <c r="B9" t="s">
        <v>45</v>
      </c>
      <c r="C9">
        <v>2.57</v>
      </c>
      <c r="D9">
        <v>2.61</v>
      </c>
      <c r="E9">
        <v>2.61</v>
      </c>
      <c r="F9">
        <v>2.68</v>
      </c>
      <c r="G9">
        <v>2.4</v>
      </c>
      <c r="H9">
        <v>2.43</v>
      </c>
      <c r="I9">
        <v>2.44</v>
      </c>
      <c r="J9">
        <v>2.51</v>
      </c>
      <c r="K9" t="s">
        <v>139</v>
      </c>
      <c r="L9" t="s">
        <v>139</v>
      </c>
      <c r="M9" t="s">
        <v>139</v>
      </c>
      <c r="N9" t="s">
        <v>139</v>
      </c>
      <c r="O9">
        <v>2.49</v>
      </c>
      <c r="P9">
        <v>2.53</v>
      </c>
      <c r="Q9">
        <v>2.53</v>
      </c>
      <c r="R9">
        <v>2.6</v>
      </c>
      <c r="S9" t="s">
        <v>139</v>
      </c>
      <c r="T9" t="s">
        <v>139</v>
      </c>
      <c r="U9" t="s">
        <v>139</v>
      </c>
      <c r="V9" t="s">
        <v>139</v>
      </c>
      <c r="W9" t="s">
        <v>139</v>
      </c>
      <c r="X9" t="s">
        <v>139</v>
      </c>
      <c r="Y9" t="s">
        <v>139</v>
      </c>
      <c r="Z9" t="s">
        <v>139</v>
      </c>
      <c r="AA9">
        <v>2.57</v>
      </c>
      <c r="AB9">
        <v>2.6</v>
      </c>
      <c r="AC9">
        <v>2.6</v>
      </c>
      <c r="AD9">
        <v>2.65</v>
      </c>
      <c r="AE9" t="s">
        <v>139</v>
      </c>
      <c r="AF9" t="s">
        <v>139</v>
      </c>
      <c r="AG9" t="s">
        <v>139</v>
      </c>
      <c r="AH9" t="s">
        <v>139</v>
      </c>
      <c r="AI9" t="s">
        <v>139</v>
      </c>
      <c r="AJ9" t="s">
        <v>139</v>
      </c>
      <c r="AK9" t="s">
        <v>139</v>
      </c>
      <c r="AL9" t="s">
        <v>139</v>
      </c>
    </row>
    <row r="10" spans="1:38" ht="12.75">
      <c r="A10">
        <f>AVERAGE(AVERAGE(C10:F10),AVERAGE(G10:J10),AVERAGE(S10:V10),AVERAGE(O10:R10),AVERAGE(AA10:AD10))</f>
        <v>2.5235</v>
      </c>
      <c r="B10" t="s">
        <v>46</v>
      </c>
      <c r="C10">
        <v>2.59</v>
      </c>
      <c r="D10">
        <v>2.63</v>
      </c>
      <c r="E10">
        <v>2.62</v>
      </c>
      <c r="F10">
        <v>2.69</v>
      </c>
      <c r="G10">
        <v>2.41</v>
      </c>
      <c r="H10">
        <v>2.45</v>
      </c>
      <c r="I10">
        <v>2.43</v>
      </c>
      <c r="J10">
        <v>2.48</v>
      </c>
      <c r="K10" t="s">
        <v>139</v>
      </c>
      <c r="L10" t="s">
        <v>139</v>
      </c>
      <c r="M10" t="s">
        <v>139</v>
      </c>
      <c r="N10" t="s">
        <v>139</v>
      </c>
      <c r="O10">
        <v>2.5</v>
      </c>
      <c r="P10">
        <v>2.55</v>
      </c>
      <c r="Q10">
        <v>2.55</v>
      </c>
      <c r="R10">
        <v>2.6</v>
      </c>
      <c r="S10">
        <v>2.35</v>
      </c>
      <c r="T10">
        <v>2.4</v>
      </c>
      <c r="U10">
        <v>2.36</v>
      </c>
      <c r="V10">
        <v>2.41</v>
      </c>
      <c r="W10" t="s">
        <v>139</v>
      </c>
      <c r="X10" t="s">
        <v>139</v>
      </c>
      <c r="Y10" t="s">
        <v>139</v>
      </c>
      <c r="Z10" t="s">
        <v>139</v>
      </c>
      <c r="AA10">
        <v>2.57</v>
      </c>
      <c r="AB10">
        <v>2.61</v>
      </c>
      <c r="AC10">
        <v>2.61</v>
      </c>
      <c r="AD10">
        <v>2.66</v>
      </c>
      <c r="AE10" t="s">
        <v>139</v>
      </c>
      <c r="AF10" t="s">
        <v>139</v>
      </c>
      <c r="AG10" t="s">
        <v>139</v>
      </c>
      <c r="AH10" t="s">
        <v>139</v>
      </c>
      <c r="AI10" t="s">
        <v>139</v>
      </c>
      <c r="AJ10" t="s">
        <v>139</v>
      </c>
      <c r="AK10" t="s">
        <v>139</v>
      </c>
      <c r="AL10" t="s">
        <v>139</v>
      </c>
    </row>
    <row r="11" spans="1:38" ht="12.75">
      <c r="A11">
        <f>AVERAGE(AVERAGE(C11:J11),AVERAGE(O11:V11),AVERAGE(AA11:AH11))</f>
        <v>2.5279166666666666</v>
      </c>
      <c r="B11" t="s">
        <v>47</v>
      </c>
      <c r="C11">
        <v>2.58</v>
      </c>
      <c r="D11">
        <v>2.62</v>
      </c>
      <c r="E11">
        <v>2.62</v>
      </c>
      <c r="F11">
        <v>2.68</v>
      </c>
      <c r="G11">
        <v>2.41</v>
      </c>
      <c r="H11">
        <v>2.46</v>
      </c>
      <c r="I11">
        <v>2.44</v>
      </c>
      <c r="J11">
        <v>2.49</v>
      </c>
      <c r="K11" t="s">
        <v>139</v>
      </c>
      <c r="L11" t="s">
        <v>139</v>
      </c>
      <c r="M11" t="s">
        <v>139</v>
      </c>
      <c r="N11" t="s">
        <v>139</v>
      </c>
      <c r="O11">
        <v>2.49</v>
      </c>
      <c r="P11">
        <v>2.54</v>
      </c>
      <c r="Q11">
        <v>2.54</v>
      </c>
      <c r="R11">
        <v>2.6</v>
      </c>
      <c r="S11">
        <v>2.34</v>
      </c>
      <c r="T11">
        <v>2.39</v>
      </c>
      <c r="U11">
        <v>2.37</v>
      </c>
      <c r="V11">
        <v>2.4</v>
      </c>
      <c r="W11" t="s">
        <v>139</v>
      </c>
      <c r="X11" t="s">
        <v>139</v>
      </c>
      <c r="Y11" t="s">
        <v>139</v>
      </c>
      <c r="Z11" t="s">
        <v>139</v>
      </c>
      <c r="AA11">
        <v>2.57</v>
      </c>
      <c r="AB11">
        <v>2.61</v>
      </c>
      <c r="AC11">
        <v>2.6</v>
      </c>
      <c r="AD11">
        <v>2.65</v>
      </c>
      <c r="AE11">
        <v>2.5</v>
      </c>
      <c r="AF11">
        <v>2.57</v>
      </c>
      <c r="AG11">
        <v>2.56</v>
      </c>
      <c r="AH11">
        <v>2.64</v>
      </c>
      <c r="AI11" t="s">
        <v>139</v>
      </c>
      <c r="AJ11" t="s">
        <v>139</v>
      </c>
      <c r="AK11" t="s">
        <v>139</v>
      </c>
      <c r="AL11" t="s">
        <v>139</v>
      </c>
    </row>
    <row r="12" spans="1:38" ht="12.75">
      <c r="A12">
        <f>(SUM(C12:V12)+SUM(AA12:AH12))/28</f>
        <v>2.519642857142857</v>
      </c>
      <c r="B12" t="s">
        <v>48</v>
      </c>
      <c r="C12">
        <v>2.58</v>
      </c>
      <c r="D12">
        <v>2.63</v>
      </c>
      <c r="E12">
        <v>2.63</v>
      </c>
      <c r="F12">
        <v>2.68</v>
      </c>
      <c r="G12">
        <v>2.39</v>
      </c>
      <c r="H12">
        <v>2.44</v>
      </c>
      <c r="I12">
        <v>2.43</v>
      </c>
      <c r="J12">
        <v>2.48</v>
      </c>
      <c r="K12">
        <v>2.43</v>
      </c>
      <c r="L12">
        <v>2.49</v>
      </c>
      <c r="M12">
        <v>2.46</v>
      </c>
      <c r="N12">
        <v>2.57</v>
      </c>
      <c r="O12">
        <v>2.5</v>
      </c>
      <c r="P12">
        <v>2.56</v>
      </c>
      <c r="Q12">
        <v>2.55</v>
      </c>
      <c r="R12">
        <v>2.6</v>
      </c>
      <c r="S12">
        <v>2.33</v>
      </c>
      <c r="T12">
        <v>2.38</v>
      </c>
      <c r="U12">
        <v>2.36</v>
      </c>
      <c r="V12">
        <v>2.4</v>
      </c>
      <c r="W12" t="s">
        <v>139</v>
      </c>
      <c r="X12" t="s">
        <v>139</v>
      </c>
      <c r="Y12" t="s">
        <v>139</v>
      </c>
      <c r="Z12" t="s">
        <v>139</v>
      </c>
      <c r="AA12">
        <v>2.57</v>
      </c>
      <c r="AB12">
        <v>2.61</v>
      </c>
      <c r="AC12">
        <v>2.61</v>
      </c>
      <c r="AD12">
        <v>2.65</v>
      </c>
      <c r="AE12">
        <v>2.5</v>
      </c>
      <c r="AF12">
        <v>2.54</v>
      </c>
      <c r="AG12">
        <v>2.56</v>
      </c>
      <c r="AH12">
        <v>2.62</v>
      </c>
      <c r="AI12" t="s">
        <v>139</v>
      </c>
      <c r="AJ12" t="s">
        <v>139</v>
      </c>
      <c r="AK12" t="s">
        <v>139</v>
      </c>
      <c r="AL12" t="s">
        <v>139</v>
      </c>
    </row>
    <row r="13" spans="1:38" ht="12.75">
      <c r="A13">
        <f>(SUM(C13:AH13))/32</f>
        <v>2.5175</v>
      </c>
      <c r="B13" t="s">
        <v>49</v>
      </c>
      <c r="C13">
        <v>2.59</v>
      </c>
      <c r="D13">
        <v>2.63</v>
      </c>
      <c r="E13">
        <v>2.64</v>
      </c>
      <c r="F13">
        <v>2.69</v>
      </c>
      <c r="G13">
        <v>2.4</v>
      </c>
      <c r="H13">
        <v>2.45</v>
      </c>
      <c r="I13">
        <v>2.44</v>
      </c>
      <c r="J13">
        <v>2.48</v>
      </c>
      <c r="K13">
        <v>2.43</v>
      </c>
      <c r="L13">
        <v>2.47</v>
      </c>
      <c r="M13">
        <v>2.46</v>
      </c>
      <c r="N13">
        <v>2.56</v>
      </c>
      <c r="O13">
        <v>2.5</v>
      </c>
      <c r="P13">
        <v>2.56</v>
      </c>
      <c r="Q13">
        <v>2.55</v>
      </c>
      <c r="R13">
        <v>2.61</v>
      </c>
      <c r="S13">
        <v>2.34</v>
      </c>
      <c r="T13">
        <v>2.38</v>
      </c>
      <c r="U13">
        <v>2.36</v>
      </c>
      <c r="V13">
        <v>2.39</v>
      </c>
      <c r="W13">
        <v>2.42</v>
      </c>
      <c r="X13">
        <v>2.49</v>
      </c>
      <c r="Y13">
        <v>2.5</v>
      </c>
      <c r="Z13">
        <v>2.56</v>
      </c>
      <c r="AA13">
        <v>2.58</v>
      </c>
      <c r="AB13">
        <v>2.61</v>
      </c>
      <c r="AC13">
        <v>2.61</v>
      </c>
      <c r="AD13">
        <v>2.65</v>
      </c>
      <c r="AE13">
        <v>2.5</v>
      </c>
      <c r="AF13">
        <v>2.55</v>
      </c>
      <c r="AG13">
        <v>2.56</v>
      </c>
      <c r="AH13">
        <v>2.6</v>
      </c>
      <c r="AI13" t="s">
        <v>139</v>
      </c>
      <c r="AJ13" t="s">
        <v>139</v>
      </c>
      <c r="AK13" t="s">
        <v>139</v>
      </c>
      <c r="AL13" t="s">
        <v>139</v>
      </c>
    </row>
    <row r="14" spans="1:38" ht="12.75">
      <c r="A14">
        <f>AVERAGE(C14:AL14)</f>
        <v>2.5250000000000004</v>
      </c>
      <c r="B14" t="s">
        <v>50</v>
      </c>
      <c r="C14">
        <v>2.58</v>
      </c>
      <c r="D14">
        <v>2.63</v>
      </c>
      <c r="E14">
        <v>2.64</v>
      </c>
      <c r="F14">
        <v>2.68</v>
      </c>
      <c r="G14">
        <v>2.4</v>
      </c>
      <c r="H14">
        <v>2.46</v>
      </c>
      <c r="I14">
        <v>2.44</v>
      </c>
      <c r="J14">
        <v>2.48</v>
      </c>
      <c r="K14">
        <v>2.44</v>
      </c>
      <c r="L14">
        <v>2.48</v>
      </c>
      <c r="M14">
        <v>2.47</v>
      </c>
      <c r="N14">
        <v>2.56</v>
      </c>
      <c r="O14">
        <v>2.5</v>
      </c>
      <c r="P14">
        <v>2.56</v>
      </c>
      <c r="Q14">
        <v>2.56</v>
      </c>
      <c r="R14">
        <v>2.61</v>
      </c>
      <c r="S14">
        <v>2.34</v>
      </c>
      <c r="T14">
        <v>2.39</v>
      </c>
      <c r="U14">
        <v>2.36</v>
      </c>
      <c r="V14">
        <v>2.4</v>
      </c>
      <c r="W14">
        <v>2.44</v>
      </c>
      <c r="X14">
        <v>2.49</v>
      </c>
      <c r="Y14">
        <v>2.49</v>
      </c>
      <c r="Z14">
        <v>2.56</v>
      </c>
      <c r="AA14">
        <v>2.57</v>
      </c>
      <c r="AB14">
        <v>2.61</v>
      </c>
      <c r="AC14">
        <v>2.61</v>
      </c>
      <c r="AD14">
        <v>2.65</v>
      </c>
      <c r="AE14">
        <v>2.5</v>
      </c>
      <c r="AF14">
        <v>2.55</v>
      </c>
      <c r="AG14">
        <v>2.56</v>
      </c>
      <c r="AH14">
        <v>2.62</v>
      </c>
      <c r="AI14">
        <v>2.52</v>
      </c>
      <c r="AJ14">
        <v>2.56</v>
      </c>
      <c r="AK14">
        <v>2.57</v>
      </c>
      <c r="AL14">
        <v>2.62</v>
      </c>
    </row>
    <row r="15" spans="1:38" ht="12.75">
      <c r="A15" s="1">
        <f aca="true" t="shared" si="0" ref="A15:A23">AVERAGE(C15:AL15)</f>
        <v>2.518888888888889</v>
      </c>
      <c r="B15" t="s">
        <v>51</v>
      </c>
      <c r="C15">
        <v>2.6</v>
      </c>
      <c r="D15">
        <v>2.64</v>
      </c>
      <c r="E15">
        <v>2.63</v>
      </c>
      <c r="F15">
        <v>2.69</v>
      </c>
      <c r="G15">
        <v>2.4</v>
      </c>
      <c r="H15">
        <v>2.45</v>
      </c>
      <c r="I15">
        <v>2.44</v>
      </c>
      <c r="J15">
        <v>2.47</v>
      </c>
      <c r="K15">
        <v>2.41</v>
      </c>
      <c r="L15">
        <v>2.45</v>
      </c>
      <c r="M15">
        <v>2.45</v>
      </c>
      <c r="N15">
        <v>2.55</v>
      </c>
      <c r="O15">
        <v>2.52</v>
      </c>
      <c r="P15">
        <v>2.58</v>
      </c>
      <c r="Q15">
        <v>2.57</v>
      </c>
      <c r="R15">
        <v>2.61</v>
      </c>
      <c r="S15">
        <v>2.32</v>
      </c>
      <c r="T15">
        <v>2.38</v>
      </c>
      <c r="U15">
        <v>2.37</v>
      </c>
      <c r="V15">
        <v>2.38</v>
      </c>
      <c r="W15">
        <v>2.42</v>
      </c>
      <c r="X15">
        <v>2.47</v>
      </c>
      <c r="Y15">
        <v>2.47</v>
      </c>
      <c r="Z15">
        <v>2.54</v>
      </c>
      <c r="AA15">
        <v>2.59</v>
      </c>
      <c r="AB15">
        <v>2.63</v>
      </c>
      <c r="AC15">
        <v>2.62</v>
      </c>
      <c r="AD15">
        <v>2.65</v>
      </c>
      <c r="AE15">
        <v>2.5</v>
      </c>
      <c r="AF15">
        <v>2.55</v>
      </c>
      <c r="AG15">
        <v>2.55</v>
      </c>
      <c r="AH15">
        <v>2.6</v>
      </c>
      <c r="AI15">
        <v>2.5</v>
      </c>
      <c r="AJ15">
        <v>2.53</v>
      </c>
      <c r="AK15">
        <v>2.54</v>
      </c>
      <c r="AL15">
        <v>2.61</v>
      </c>
    </row>
    <row r="16" spans="1:38" ht="12.75">
      <c r="A16" s="1">
        <f t="shared" si="0"/>
        <v>2.3047222222222223</v>
      </c>
      <c r="B16" t="s">
        <v>52</v>
      </c>
      <c r="C16">
        <v>2.38</v>
      </c>
      <c r="D16">
        <v>2.41</v>
      </c>
      <c r="E16">
        <v>2.4</v>
      </c>
      <c r="F16">
        <v>2.44</v>
      </c>
      <c r="G16">
        <v>2.2</v>
      </c>
      <c r="H16">
        <v>2.26</v>
      </c>
      <c r="I16">
        <v>2.24</v>
      </c>
      <c r="J16">
        <v>2.27</v>
      </c>
      <c r="K16">
        <v>2.21</v>
      </c>
      <c r="L16">
        <v>2.26</v>
      </c>
      <c r="M16">
        <v>2.25</v>
      </c>
      <c r="N16">
        <v>2.35</v>
      </c>
      <c r="O16">
        <v>2.32</v>
      </c>
      <c r="P16">
        <v>2.36</v>
      </c>
      <c r="Q16">
        <v>2.35</v>
      </c>
      <c r="R16">
        <v>2.38</v>
      </c>
      <c r="S16">
        <v>2.13</v>
      </c>
      <c r="T16">
        <v>2.18</v>
      </c>
      <c r="U16">
        <v>2.17</v>
      </c>
      <c r="V16">
        <v>2.19</v>
      </c>
      <c r="W16">
        <v>2.21</v>
      </c>
      <c r="X16">
        <v>2.25</v>
      </c>
      <c r="Y16">
        <v>2.26</v>
      </c>
      <c r="Z16">
        <v>2.34</v>
      </c>
      <c r="AA16">
        <v>2.38</v>
      </c>
      <c r="AB16">
        <v>2.4</v>
      </c>
      <c r="AC16">
        <v>2.38</v>
      </c>
      <c r="AD16">
        <v>2.41</v>
      </c>
      <c r="AE16">
        <v>2.28</v>
      </c>
      <c r="AF16">
        <v>2.33</v>
      </c>
      <c r="AG16">
        <v>2.34</v>
      </c>
      <c r="AH16">
        <v>2.38</v>
      </c>
      <c r="AI16">
        <v>2.27</v>
      </c>
      <c r="AJ16">
        <v>2.3</v>
      </c>
      <c r="AK16">
        <v>2.3</v>
      </c>
      <c r="AL16">
        <v>2.39</v>
      </c>
    </row>
    <row r="17" spans="1:38" ht="12.75">
      <c r="A17" s="1">
        <f t="shared" si="0"/>
        <v>1.5097222222222222</v>
      </c>
      <c r="B17" t="s">
        <v>53</v>
      </c>
      <c r="C17">
        <v>1.55</v>
      </c>
      <c r="D17">
        <v>1.57</v>
      </c>
      <c r="E17">
        <v>1.57</v>
      </c>
      <c r="F17">
        <v>1.59</v>
      </c>
      <c r="G17">
        <v>1.45</v>
      </c>
      <c r="H17">
        <v>1.49</v>
      </c>
      <c r="I17">
        <v>1.48</v>
      </c>
      <c r="J17">
        <v>1.49</v>
      </c>
      <c r="K17">
        <v>1.46</v>
      </c>
      <c r="L17">
        <v>1.49</v>
      </c>
      <c r="M17">
        <v>1.48</v>
      </c>
      <c r="N17">
        <v>1.53</v>
      </c>
      <c r="O17">
        <v>1.51</v>
      </c>
      <c r="P17">
        <v>1.54</v>
      </c>
      <c r="Q17">
        <v>1.53</v>
      </c>
      <c r="R17">
        <v>1.56</v>
      </c>
      <c r="S17">
        <v>1.41</v>
      </c>
      <c r="T17">
        <v>1.45</v>
      </c>
      <c r="U17">
        <v>1.44</v>
      </c>
      <c r="V17">
        <v>1.45</v>
      </c>
      <c r="W17">
        <v>1.46</v>
      </c>
      <c r="X17">
        <v>1.48</v>
      </c>
      <c r="Y17">
        <v>1.48</v>
      </c>
      <c r="Z17">
        <v>1.52</v>
      </c>
      <c r="AA17">
        <v>1.54</v>
      </c>
      <c r="AB17">
        <v>1.56</v>
      </c>
      <c r="AC17">
        <v>1.55</v>
      </c>
      <c r="AD17">
        <v>1.57</v>
      </c>
      <c r="AE17">
        <v>1.5</v>
      </c>
      <c r="AF17">
        <v>1.52</v>
      </c>
      <c r="AG17">
        <v>1.53</v>
      </c>
      <c r="AH17">
        <v>1.55</v>
      </c>
      <c r="AI17">
        <v>1.49</v>
      </c>
      <c r="AJ17">
        <v>1.51</v>
      </c>
      <c r="AK17">
        <v>1.51</v>
      </c>
      <c r="AL17">
        <v>1.54</v>
      </c>
    </row>
    <row r="18" spans="1:38" ht="12.75">
      <c r="A18" s="1">
        <f t="shared" si="0"/>
        <v>1.525277777777778</v>
      </c>
      <c r="B18" t="s">
        <v>54</v>
      </c>
      <c r="C18">
        <v>1.57</v>
      </c>
      <c r="D18">
        <v>1.58</v>
      </c>
      <c r="E18">
        <v>1.58</v>
      </c>
      <c r="F18">
        <v>1.6</v>
      </c>
      <c r="G18">
        <v>1.46</v>
      </c>
      <c r="H18">
        <v>1.5</v>
      </c>
      <c r="I18">
        <v>1.49</v>
      </c>
      <c r="J18">
        <v>1.51</v>
      </c>
      <c r="K18">
        <v>1.47</v>
      </c>
      <c r="L18">
        <v>1.5</v>
      </c>
      <c r="M18">
        <v>1.5</v>
      </c>
      <c r="N18">
        <v>1.55</v>
      </c>
      <c r="O18">
        <v>1.53</v>
      </c>
      <c r="P18">
        <v>1.56</v>
      </c>
      <c r="Q18">
        <v>1.55</v>
      </c>
      <c r="R18">
        <v>1.57</v>
      </c>
      <c r="S18">
        <v>1.42</v>
      </c>
      <c r="T18">
        <v>1.46</v>
      </c>
      <c r="U18">
        <v>1.45</v>
      </c>
      <c r="V18">
        <v>1.46</v>
      </c>
      <c r="W18">
        <v>1.47</v>
      </c>
      <c r="X18">
        <v>1.5</v>
      </c>
      <c r="Y18">
        <v>1.5</v>
      </c>
      <c r="Z18">
        <v>1.54</v>
      </c>
      <c r="AA18">
        <v>1.56</v>
      </c>
      <c r="AB18">
        <v>1.58</v>
      </c>
      <c r="AC18">
        <v>1.57</v>
      </c>
      <c r="AD18">
        <v>1.58</v>
      </c>
      <c r="AE18">
        <v>1.52</v>
      </c>
      <c r="AF18">
        <v>1.54</v>
      </c>
      <c r="AG18">
        <v>1.54</v>
      </c>
      <c r="AH18">
        <v>1.57</v>
      </c>
      <c r="AI18">
        <v>1.51</v>
      </c>
      <c r="AJ18">
        <v>1.53</v>
      </c>
      <c r="AK18">
        <v>1.53</v>
      </c>
      <c r="AL18">
        <v>1.56</v>
      </c>
    </row>
    <row r="19" spans="1:38" ht="12.75">
      <c r="A19" s="1">
        <f t="shared" si="0"/>
        <v>1.5275000000000003</v>
      </c>
      <c r="B19" t="s">
        <v>55</v>
      </c>
      <c r="C19">
        <v>1.57</v>
      </c>
      <c r="D19">
        <v>1.59</v>
      </c>
      <c r="E19">
        <v>1.58</v>
      </c>
      <c r="F19">
        <v>1.61</v>
      </c>
      <c r="G19">
        <v>1.47</v>
      </c>
      <c r="H19">
        <v>1.5</v>
      </c>
      <c r="I19">
        <v>1.5</v>
      </c>
      <c r="J19">
        <v>1.51</v>
      </c>
      <c r="K19">
        <v>1.48</v>
      </c>
      <c r="L19">
        <v>1.5</v>
      </c>
      <c r="M19">
        <v>1.5</v>
      </c>
      <c r="N19">
        <v>1.54</v>
      </c>
      <c r="O19">
        <v>1.53</v>
      </c>
      <c r="P19">
        <v>1.56</v>
      </c>
      <c r="Q19">
        <v>1.55</v>
      </c>
      <c r="R19">
        <v>1.57</v>
      </c>
      <c r="S19">
        <v>1.42</v>
      </c>
      <c r="T19">
        <v>1.46</v>
      </c>
      <c r="U19">
        <v>1.45</v>
      </c>
      <c r="V19">
        <v>1.46</v>
      </c>
      <c r="W19">
        <v>1.47</v>
      </c>
      <c r="X19">
        <v>1.5</v>
      </c>
      <c r="Y19">
        <v>1.5</v>
      </c>
      <c r="Z19">
        <v>1.54</v>
      </c>
      <c r="AA19">
        <v>1.56</v>
      </c>
      <c r="AB19">
        <v>1.58</v>
      </c>
      <c r="AC19">
        <v>1.57</v>
      </c>
      <c r="AD19">
        <v>1.59</v>
      </c>
      <c r="AE19">
        <v>1.52</v>
      </c>
      <c r="AF19">
        <v>1.54</v>
      </c>
      <c r="AG19">
        <v>1.55</v>
      </c>
      <c r="AH19">
        <v>1.57</v>
      </c>
      <c r="AI19">
        <v>1.51</v>
      </c>
      <c r="AJ19">
        <v>1.53</v>
      </c>
      <c r="AK19">
        <v>1.54</v>
      </c>
      <c r="AL19">
        <v>1.57</v>
      </c>
    </row>
    <row r="20" spans="1:38" ht="12.75">
      <c r="A20" s="1">
        <f t="shared" si="0"/>
        <v>1.568333333333333</v>
      </c>
      <c r="B20" t="s">
        <v>56</v>
      </c>
      <c r="C20">
        <v>1.6</v>
      </c>
      <c r="D20">
        <v>1.62</v>
      </c>
      <c r="E20">
        <v>1.62</v>
      </c>
      <c r="F20">
        <v>1.64</v>
      </c>
      <c r="G20">
        <v>1.5</v>
      </c>
      <c r="H20">
        <v>1.54</v>
      </c>
      <c r="I20">
        <v>1.53</v>
      </c>
      <c r="J20">
        <v>1.55</v>
      </c>
      <c r="K20">
        <v>1.52</v>
      </c>
      <c r="L20">
        <v>1.55</v>
      </c>
      <c r="M20">
        <v>1.55</v>
      </c>
      <c r="N20">
        <v>1.59</v>
      </c>
      <c r="O20">
        <v>1.57</v>
      </c>
      <c r="P20">
        <v>1.6</v>
      </c>
      <c r="Q20">
        <v>1.59</v>
      </c>
      <c r="R20">
        <v>1.61</v>
      </c>
      <c r="S20">
        <v>1.46</v>
      </c>
      <c r="T20">
        <v>1.5</v>
      </c>
      <c r="U20">
        <v>1.5</v>
      </c>
      <c r="V20">
        <v>1.5</v>
      </c>
      <c r="W20">
        <v>1.52</v>
      </c>
      <c r="X20">
        <v>1.55</v>
      </c>
      <c r="Y20">
        <v>1.55</v>
      </c>
      <c r="Z20">
        <v>1.58</v>
      </c>
      <c r="AA20">
        <v>1.6</v>
      </c>
      <c r="AB20">
        <v>1.62</v>
      </c>
      <c r="AC20">
        <v>1.61</v>
      </c>
      <c r="AD20">
        <v>1.63</v>
      </c>
      <c r="AE20">
        <v>1.55</v>
      </c>
      <c r="AF20">
        <v>1.58</v>
      </c>
      <c r="AG20">
        <v>1.59</v>
      </c>
      <c r="AH20">
        <v>1.61</v>
      </c>
      <c r="AI20">
        <v>1.55</v>
      </c>
      <c r="AJ20">
        <v>1.58</v>
      </c>
      <c r="AK20">
        <v>1.58</v>
      </c>
      <c r="AL20">
        <v>1.62</v>
      </c>
    </row>
    <row r="21" spans="1:38" ht="12.75">
      <c r="A21" s="1">
        <f t="shared" si="0"/>
        <v>1.5697222222222225</v>
      </c>
      <c r="B21" t="s">
        <v>57</v>
      </c>
      <c r="C21">
        <v>1.6</v>
      </c>
      <c r="D21">
        <v>1.62</v>
      </c>
      <c r="E21">
        <v>1.62</v>
      </c>
      <c r="F21">
        <v>1.64</v>
      </c>
      <c r="G21">
        <v>1.5</v>
      </c>
      <c r="H21">
        <v>1.54</v>
      </c>
      <c r="I21">
        <v>1.54</v>
      </c>
      <c r="J21">
        <v>1.55</v>
      </c>
      <c r="K21">
        <v>1.52</v>
      </c>
      <c r="L21">
        <v>1.55</v>
      </c>
      <c r="M21">
        <v>1.55</v>
      </c>
      <c r="N21">
        <v>1.59</v>
      </c>
      <c r="O21">
        <v>1.57</v>
      </c>
      <c r="P21">
        <v>1.6</v>
      </c>
      <c r="Q21">
        <v>1.59</v>
      </c>
      <c r="R21">
        <v>1.61</v>
      </c>
      <c r="S21">
        <v>1.46</v>
      </c>
      <c r="T21">
        <v>1.5</v>
      </c>
      <c r="U21">
        <v>1.5</v>
      </c>
      <c r="V21">
        <v>1.51</v>
      </c>
      <c r="W21">
        <v>1.52</v>
      </c>
      <c r="X21">
        <v>1.55</v>
      </c>
      <c r="Y21">
        <v>1.56</v>
      </c>
      <c r="Z21">
        <v>1.59</v>
      </c>
      <c r="AA21">
        <v>1.6</v>
      </c>
      <c r="AB21">
        <v>1.62</v>
      </c>
      <c r="AC21">
        <v>1.61</v>
      </c>
      <c r="AD21">
        <v>1.63</v>
      </c>
      <c r="AE21">
        <v>1.55</v>
      </c>
      <c r="AF21">
        <v>1.58</v>
      </c>
      <c r="AG21">
        <v>1.59</v>
      </c>
      <c r="AH21">
        <v>1.61</v>
      </c>
      <c r="AI21">
        <v>1.55</v>
      </c>
      <c r="AJ21">
        <v>1.58</v>
      </c>
      <c r="AK21">
        <v>1.59</v>
      </c>
      <c r="AL21">
        <v>1.62</v>
      </c>
    </row>
    <row r="22" spans="1:38" ht="12.75">
      <c r="A22" s="1">
        <f t="shared" si="0"/>
        <v>1.613611111111111</v>
      </c>
      <c r="B22" t="s">
        <v>58</v>
      </c>
      <c r="C22">
        <v>1.64</v>
      </c>
      <c r="D22">
        <v>1.66</v>
      </c>
      <c r="E22">
        <v>1.66</v>
      </c>
      <c r="F22">
        <v>1.68</v>
      </c>
      <c r="G22">
        <v>1.54</v>
      </c>
      <c r="H22">
        <v>1.58</v>
      </c>
      <c r="I22">
        <v>1.58</v>
      </c>
      <c r="J22">
        <v>1.59</v>
      </c>
      <c r="K22">
        <v>1.56</v>
      </c>
      <c r="L22">
        <v>1.6</v>
      </c>
      <c r="M22">
        <v>1.6</v>
      </c>
      <c r="N22">
        <v>1.65</v>
      </c>
      <c r="O22">
        <v>1.61</v>
      </c>
      <c r="P22">
        <v>1.65</v>
      </c>
      <c r="Q22">
        <v>1.63</v>
      </c>
      <c r="R22">
        <v>1.66</v>
      </c>
      <c r="S22">
        <v>1.49</v>
      </c>
      <c r="T22">
        <v>1.54</v>
      </c>
      <c r="U22">
        <v>1.54</v>
      </c>
      <c r="V22">
        <v>1.55</v>
      </c>
      <c r="W22">
        <v>1.56</v>
      </c>
      <c r="X22">
        <v>1.6</v>
      </c>
      <c r="Y22">
        <v>1.61</v>
      </c>
      <c r="Z22">
        <v>1.64</v>
      </c>
      <c r="AA22">
        <v>1.64</v>
      </c>
      <c r="AB22">
        <v>1.66</v>
      </c>
      <c r="AC22">
        <v>1.65</v>
      </c>
      <c r="AD22">
        <v>1.67</v>
      </c>
      <c r="AE22">
        <v>1.59</v>
      </c>
      <c r="AF22">
        <v>1.63</v>
      </c>
      <c r="AG22">
        <v>1.64</v>
      </c>
      <c r="AH22">
        <v>1.66</v>
      </c>
      <c r="AI22">
        <v>1.59</v>
      </c>
      <c r="AJ22">
        <v>1.63</v>
      </c>
      <c r="AK22">
        <v>1.64</v>
      </c>
      <c r="AL22">
        <v>1.67</v>
      </c>
    </row>
    <row r="23" spans="1:38" ht="12.75">
      <c r="A23" s="1">
        <f t="shared" si="0"/>
        <v>0</v>
      </c>
      <c r="B23" t="s">
        <v>59</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row>
    <row r="49" spans="9:10" ht="12.75">
      <c r="I49" s="15"/>
      <c r="J49" s="15"/>
    </row>
    <row r="50" spans="9:10" ht="12.75">
      <c r="I50" s="15"/>
      <c r="J50" s="15"/>
    </row>
    <row r="53" spans="9:10" ht="12.75">
      <c r="I53" s="15"/>
      <c r="J53" s="15"/>
    </row>
    <row r="61" spans="9:10" ht="12.75">
      <c r="I61" s="15"/>
      <c r="J61" s="1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P81"/>
  <sheetViews>
    <sheetView workbookViewId="0" topLeftCell="A1">
      <pane ySplit="1" topLeftCell="BM17" activePane="bottomLeft" state="frozen"/>
      <selection pane="topLeft" activeCell="A1" sqref="A1"/>
      <selection pane="bottomLeft" activeCell="K33" sqref="K33"/>
    </sheetView>
  </sheetViews>
  <sheetFormatPr defaultColWidth="9.140625" defaultRowHeight="12.75"/>
  <cols>
    <col min="1" max="1" width="19.28125" style="0" bestFit="1" customWidth="1"/>
    <col min="6" max="6" width="11.140625" style="0" customWidth="1"/>
    <col min="9" max="9" width="10.8515625" style="0" customWidth="1"/>
    <col min="12" max="12" width="10.140625" style="0" customWidth="1"/>
    <col min="13" max="13" width="10.7109375" style="0" customWidth="1"/>
  </cols>
  <sheetData>
    <row r="1" spans="1:13" s="5" customFormat="1" ht="63.75">
      <c r="A1" s="3" t="s">
        <v>140</v>
      </c>
      <c r="B1" s="3" t="s">
        <v>141</v>
      </c>
      <c r="C1" s="3" t="s">
        <v>142</v>
      </c>
      <c r="D1" s="3" t="s">
        <v>143</v>
      </c>
      <c r="E1" s="3" t="s">
        <v>144</v>
      </c>
      <c r="F1" s="3" t="s">
        <v>145</v>
      </c>
      <c r="G1" s="3" t="s">
        <v>146</v>
      </c>
      <c r="H1" s="3" t="s">
        <v>147</v>
      </c>
      <c r="I1" s="3" t="s">
        <v>148</v>
      </c>
      <c r="J1" s="3" t="s">
        <v>149</v>
      </c>
      <c r="K1" s="3" t="s">
        <v>150</v>
      </c>
      <c r="L1" s="3" t="s">
        <v>151</v>
      </c>
      <c r="M1" s="4" t="s">
        <v>152</v>
      </c>
    </row>
    <row r="2" s="5" customFormat="1" ht="12.75"/>
    <row r="3" spans="1:13" s="5" customFormat="1" ht="12.75">
      <c r="A3"/>
      <c r="B3" s="6" t="s">
        <v>153</v>
      </c>
      <c r="C3" s="6" t="s">
        <v>154</v>
      </c>
      <c r="D3" s="6" t="s">
        <v>155</v>
      </c>
      <c r="E3" s="6" t="s">
        <v>156</v>
      </c>
      <c r="F3" s="6" t="s">
        <v>157</v>
      </c>
      <c r="G3" s="6" t="s">
        <v>158</v>
      </c>
      <c r="H3" s="6" t="s">
        <v>159</v>
      </c>
      <c r="I3" s="6" t="s">
        <v>160</v>
      </c>
      <c r="J3"/>
      <c r="K3"/>
      <c r="L3"/>
      <c r="M3"/>
    </row>
    <row r="4" spans="1:13" s="5" customFormat="1" ht="12.75">
      <c r="A4" s="6" t="s">
        <v>161</v>
      </c>
      <c r="B4">
        <v>8</v>
      </c>
      <c r="C4">
        <v>8</v>
      </c>
      <c r="D4">
        <v>150</v>
      </c>
      <c r="E4">
        <v>150</v>
      </c>
      <c r="F4">
        <v>150</v>
      </c>
      <c r="G4">
        <v>193</v>
      </c>
      <c r="H4">
        <v>980</v>
      </c>
      <c r="I4">
        <v>980</v>
      </c>
      <c r="J4"/>
      <c r="K4"/>
      <c r="L4"/>
      <c r="M4"/>
    </row>
    <row r="5" spans="1:13" s="5" customFormat="1" ht="12.75">
      <c r="A5" s="6" t="s">
        <v>162</v>
      </c>
      <c r="B5">
        <f aca="true" t="shared" si="0" ref="B5:I5">B4/0.938</f>
        <v>8.528784648187633</v>
      </c>
      <c r="C5">
        <f t="shared" si="0"/>
        <v>8.528784648187633</v>
      </c>
      <c r="D5">
        <f t="shared" si="0"/>
        <v>159.91471215351814</v>
      </c>
      <c r="E5">
        <f t="shared" si="0"/>
        <v>159.91471215351814</v>
      </c>
      <c r="F5">
        <f t="shared" si="0"/>
        <v>159.91471215351814</v>
      </c>
      <c r="G5">
        <f t="shared" si="0"/>
        <v>205.75692963752667</v>
      </c>
      <c r="H5">
        <f t="shared" si="0"/>
        <v>1044.7761194029852</v>
      </c>
      <c r="I5">
        <f t="shared" si="0"/>
        <v>1044.7761194029852</v>
      </c>
      <c r="J5"/>
      <c r="K5"/>
      <c r="L5"/>
      <c r="M5"/>
    </row>
    <row r="6" spans="1:13" s="5" customFormat="1" ht="12.75">
      <c r="A6" s="6"/>
      <c r="B6"/>
      <c r="C6"/>
      <c r="D6"/>
      <c r="E6"/>
      <c r="F6"/>
      <c r="G6"/>
      <c r="H6"/>
      <c r="I6"/>
      <c r="J6"/>
      <c r="K6" t="s">
        <v>163</v>
      </c>
      <c r="L6"/>
      <c r="M6"/>
    </row>
    <row r="7" spans="1:13" s="5" customFormat="1" ht="12.75">
      <c r="A7" s="6" t="s">
        <v>164</v>
      </c>
      <c r="B7">
        <v>50</v>
      </c>
      <c r="C7">
        <v>58</v>
      </c>
      <c r="D7">
        <v>58</v>
      </c>
      <c r="E7">
        <v>58</v>
      </c>
      <c r="F7">
        <v>84.219</v>
      </c>
      <c r="G7">
        <v>84.219</v>
      </c>
      <c r="H7">
        <v>84.219</v>
      </c>
      <c r="I7">
        <v>80.161</v>
      </c>
      <c r="J7"/>
      <c r="K7">
        <v>0.001</v>
      </c>
      <c r="L7"/>
      <c r="M7"/>
    </row>
    <row r="8" spans="1:13" s="5" customFormat="1" ht="12.75">
      <c r="A8" s="6" t="s">
        <v>165</v>
      </c>
      <c r="B8">
        <v>50</v>
      </c>
      <c r="C8">
        <v>53.4</v>
      </c>
      <c r="D8">
        <v>53.4</v>
      </c>
      <c r="E8">
        <v>53.4</v>
      </c>
      <c r="F8">
        <v>83.244</v>
      </c>
      <c r="G8">
        <v>83.244</v>
      </c>
      <c r="H8">
        <v>83.244</v>
      </c>
      <c r="I8">
        <v>80.804</v>
      </c>
      <c r="J8"/>
      <c r="K8"/>
      <c r="L8"/>
      <c r="M8"/>
    </row>
    <row r="9" spans="1:13" s="5" customFormat="1" ht="12.75">
      <c r="A9" s="6" t="s">
        <v>166</v>
      </c>
      <c r="B9"/>
      <c r="C9">
        <v>50</v>
      </c>
      <c r="D9">
        <v>50</v>
      </c>
      <c r="E9">
        <v>50</v>
      </c>
      <c r="F9">
        <v>61.884</v>
      </c>
      <c r="G9">
        <v>61.884</v>
      </c>
      <c r="H9">
        <v>61.884</v>
      </c>
      <c r="I9">
        <v>68.157</v>
      </c>
      <c r="J9"/>
      <c r="K9"/>
      <c r="L9"/>
      <c r="M9"/>
    </row>
    <row r="10" spans="1:13" s="5" customFormat="1" ht="12.75">
      <c r="A10" s="6" t="s">
        <v>167</v>
      </c>
      <c r="B10"/>
      <c r="C10">
        <v>-0.005</v>
      </c>
      <c r="D10">
        <v>-0.005</v>
      </c>
      <c r="E10">
        <v>-0.005</v>
      </c>
      <c r="F10">
        <v>2.772</v>
      </c>
      <c r="G10">
        <v>2.772</v>
      </c>
      <c r="H10">
        <v>2.772</v>
      </c>
      <c r="I10">
        <v>2.03</v>
      </c>
      <c r="J10"/>
      <c r="K10"/>
      <c r="L10"/>
      <c r="M10"/>
    </row>
    <row r="11" spans="1:13" s="5" customFormat="1" ht="12.75">
      <c r="A11" s="6" t="s">
        <v>168</v>
      </c>
      <c r="B11"/>
      <c r="C11">
        <v>0</v>
      </c>
      <c r="D11">
        <v>0</v>
      </c>
      <c r="E11">
        <v>0</v>
      </c>
      <c r="F11">
        <v>4.561</v>
      </c>
      <c r="G11">
        <v>4.561</v>
      </c>
      <c r="H11">
        <v>4.561</v>
      </c>
      <c r="I11">
        <v>5.278</v>
      </c>
      <c r="J11"/>
      <c r="K11"/>
      <c r="L11"/>
      <c r="M11"/>
    </row>
    <row r="12" spans="1:13" s="5" customFormat="1" ht="12.75">
      <c r="A12" s="6" t="s">
        <v>169</v>
      </c>
      <c r="B12"/>
      <c r="C12">
        <v>0</v>
      </c>
      <c r="D12">
        <v>0</v>
      </c>
      <c r="E12">
        <v>0</v>
      </c>
      <c r="F12">
        <v>-0.027</v>
      </c>
      <c r="G12">
        <v>-0.027</v>
      </c>
      <c r="H12">
        <v>-0.027</v>
      </c>
      <c r="I12">
        <v>0.039</v>
      </c>
      <c r="J12"/>
      <c r="K12"/>
      <c r="L12"/>
      <c r="M12"/>
    </row>
    <row r="13" spans="1:13" s="5" customFormat="1" ht="12.75">
      <c r="A13" s="6"/>
      <c r="B13"/>
      <c r="C13"/>
      <c r="D13"/>
      <c r="E13"/>
      <c r="F13"/>
      <c r="G13"/>
      <c r="H13"/>
      <c r="I13"/>
      <c r="J13"/>
      <c r="K13"/>
      <c r="L13"/>
      <c r="M13"/>
    </row>
    <row r="14" spans="1:13" s="5" customFormat="1" ht="12.75">
      <c r="A14" s="6"/>
      <c r="B14"/>
      <c r="C14"/>
      <c r="D14"/>
      <c r="E14"/>
      <c r="F14"/>
      <c r="G14"/>
      <c r="H14"/>
      <c r="I14"/>
      <c r="J14"/>
      <c r="K14"/>
      <c r="L14"/>
      <c r="M14"/>
    </row>
    <row r="15" spans="1:13" s="5" customFormat="1" ht="12.75">
      <c r="A15" s="6" t="s">
        <v>170</v>
      </c>
      <c r="B15"/>
      <c r="C15"/>
      <c r="D15"/>
      <c r="E15">
        <v>1.0643</v>
      </c>
      <c r="F15"/>
      <c r="G15"/>
      <c r="H15"/>
      <c r="I15"/>
      <c r="J15"/>
      <c r="K15"/>
      <c r="L15"/>
      <c r="M15"/>
    </row>
    <row r="16" spans="1:13" s="5" customFormat="1" ht="12.75">
      <c r="A16" s="6"/>
      <c r="B16"/>
      <c r="C16"/>
      <c r="D16"/>
      <c r="E16"/>
      <c r="F16"/>
      <c r="G16"/>
      <c r="H16"/>
      <c r="I16"/>
      <c r="J16"/>
      <c r="K16"/>
      <c r="L16"/>
      <c r="M16"/>
    </row>
    <row r="17" spans="1:13" s="5" customFormat="1" ht="12.75">
      <c r="A17" s="6"/>
      <c r="B17"/>
      <c r="C17"/>
      <c r="D17"/>
      <c r="E17"/>
      <c r="F17"/>
      <c r="G17"/>
      <c r="H17"/>
      <c r="I17"/>
      <c r="J17"/>
      <c r="K17"/>
      <c r="L17"/>
      <c r="M17"/>
    </row>
    <row r="18" spans="2:13" s="5" customFormat="1" ht="12.75">
      <c r="B18"/>
      <c r="C18"/>
      <c r="D18"/>
      <c r="E18" s="6" t="s">
        <v>171</v>
      </c>
      <c r="F18">
        <v>47713</v>
      </c>
      <c r="G18"/>
      <c r="H18"/>
      <c r="I18">
        <v>0.68</v>
      </c>
      <c r="J18" s="6" t="s">
        <v>172</v>
      </c>
      <c r="K18"/>
      <c r="L18"/>
      <c r="M18"/>
    </row>
    <row r="19" spans="2:13" s="5" customFormat="1" ht="12.75">
      <c r="B19"/>
      <c r="C19"/>
      <c r="D19"/>
      <c r="E19" s="6" t="s">
        <v>173</v>
      </c>
      <c r="F19">
        <v>36</v>
      </c>
      <c r="G19"/>
      <c r="H19"/>
      <c r="I19">
        <v>0.35</v>
      </c>
      <c r="J19" s="6" t="s">
        <v>174</v>
      </c>
      <c r="K19">
        <v>0.28</v>
      </c>
      <c r="L19"/>
      <c r="M19"/>
    </row>
    <row r="20" spans="2:13" s="5" customFormat="1" ht="12.75">
      <c r="B20"/>
      <c r="C20"/>
      <c r="D20"/>
      <c r="E20" s="6" t="s">
        <v>175</v>
      </c>
      <c r="F20">
        <f>F18*F19</f>
        <v>1717668</v>
      </c>
      <c r="G20"/>
      <c r="H20"/>
      <c r="I20">
        <v>0.35</v>
      </c>
      <c r="J20" s="6" t="s">
        <v>176</v>
      </c>
      <c r="K20"/>
      <c r="L20"/>
      <c r="M20"/>
    </row>
    <row r="21" s="5" customFormat="1" ht="12.75"/>
    <row r="22" s="5" customFormat="1" ht="12.75"/>
    <row r="23" spans="1:12" s="5" customFormat="1" ht="12.75">
      <c r="A23" s="7" t="s">
        <v>38</v>
      </c>
      <c r="B23" s="7"/>
      <c r="C23" s="7">
        <f>pbar_int!A3</f>
        <v>0</v>
      </c>
      <c r="D23" s="7"/>
      <c r="E23" s="7"/>
      <c r="F23" s="7"/>
      <c r="G23">
        <f>6*$B$5*(Pbar_FW_VE11!A2*Pbar_FW_VE11!A2)/$B$8</f>
        <v>1.3718884940377485</v>
      </c>
      <c r="H23">
        <f>6*$B$5*(Pbar_FW_HE11!A2*Pbar_FW_HE11!A2)/$B$8</f>
        <v>1.7563496801705747</v>
      </c>
      <c r="I23" s="7"/>
      <c r="J23" s="7"/>
      <c r="K23">
        <f>C23/(SQRT((G23*G23)+(H23*H23)))</f>
        <v>0</v>
      </c>
      <c r="L23" s="7"/>
    </row>
    <row r="24" spans="1:12" ht="12.75">
      <c r="A24" t="s">
        <v>96</v>
      </c>
      <c r="B24">
        <f>Proton_int!A2</f>
        <v>13875.539999999999</v>
      </c>
      <c r="C24">
        <f>pbar_int!A4</f>
        <v>0</v>
      </c>
      <c r="D24">
        <f>6*GammaMIINJ*(Proton_FW_VE11!A2*Proton_FW_VE11!A2)/BetaYMIINJ</f>
        <v>6.344902291047467</v>
      </c>
      <c r="E24">
        <f>6*GammaMIINJ*((Proton_FW_HE11!A2*Proton_FW_HE11!A2)-(DxMIInj*$K$7*DxMIInj*$K$7))/BetaXMIINJ</f>
        <v>14.451885346099008</v>
      </c>
      <c r="F24" t="e">
        <f>proton_long!A2</f>
        <v>#DIV/0!</v>
      </c>
      <c r="G24">
        <f>6*GammaMIINJ*(Pbar_FW_VE11!A3*Pbar_FW_VE11!A3)/BetaYMIINJ</f>
        <v>0.6067523293546353</v>
      </c>
      <c r="H24">
        <f>6*GammaMIINJ*((Pbar_FW_HE11!A3*Pbar_FW_HE11!A3)-(DxMIInj*$K$7*DxMIInj*$K$7))/BetaYMIINJ</f>
        <v>2.0395839008154635</v>
      </c>
      <c r="I24">
        <f>pbar_long!A3</f>
        <v>1.0916666666666666</v>
      </c>
      <c r="J24">
        <f>B24/(SQRT((D24*D24)+(E24*E24)))</f>
        <v>879.1240284343702</v>
      </c>
      <c r="K24">
        <f>C24/(SQRT((G24*G24)+(H24*H24)))</f>
        <v>0</v>
      </c>
      <c r="L24">
        <f>(freq*(B24*C24/(2*PI()*betaStar*(D24+G24)))*6*GammaTop*HourGlass/(36*36))*0.0000000001</f>
        <v>0</v>
      </c>
    </row>
    <row r="25" spans="1:12" ht="12.75">
      <c r="A25" t="s">
        <v>97</v>
      </c>
      <c r="B25">
        <f>Proton_int!A3</f>
        <v>13131.570000000002</v>
      </c>
      <c r="C25">
        <f>pbar_int!A5</f>
        <v>0</v>
      </c>
      <c r="D25">
        <f>6*GammaMIFT*(Proton_FW_VE11!A3*Proton_FW_VE11!A3)/BetaYMIFT</f>
        <v>58.98680581966767</v>
      </c>
      <c r="E25">
        <f>6*GammaMIFT*((Proton_FW_HE11!A3*Proton_FW_HE11!A3)-(DxMIFT*$K$7*DxMIFT*$K$7))/BetaXMIFT</f>
        <v>13.366684638787794</v>
      </c>
      <c r="F25" t="e">
        <f>proton_long!A3</f>
        <v>#DIV/0!</v>
      </c>
      <c r="G25">
        <f>6*GammaMIFT*(Pbar_FW_VE11!A4*Pbar_FW_VE11!A4)/BetaYMIFT</f>
        <v>0.5661025730097504</v>
      </c>
      <c r="H25">
        <f>6*GammaMIFT*((Pbar_FW_HE11!A4*Pbar_FW_HE11!A4)-(DxMIFT*$K$7*DxMIFT*$K$7))/BetaYMIFT</f>
        <v>2.8469890266819573</v>
      </c>
      <c r="I25">
        <f>pbar_long!A4</f>
        <v>0.46361111111111103</v>
      </c>
      <c r="J25">
        <f>B25/(SQRT((D25*D25)+(E25*E25)))</f>
        <v>217.11417695085845</v>
      </c>
      <c r="K25">
        <f>C25/(SQRT((G25*G25)+(H25*H25)))</f>
        <v>0</v>
      </c>
      <c r="L25">
        <f>(freq*(B25*C25/(2*PI()*betaStar*(D25+G25)))*6*GammaTop*HourGlass/(36*36))*0.0000000001</f>
        <v>0</v>
      </c>
    </row>
    <row r="26" spans="1:12" ht="12.75">
      <c r="A26" t="s">
        <v>98</v>
      </c>
      <c r="B26">
        <f>Proton_int!A4</f>
        <v>11420.3</v>
      </c>
      <c r="C26">
        <f>pbar_int!A6</f>
        <v>3015.0400000000013</v>
      </c>
      <c r="D26">
        <f>6*GammaCoal*(Proton_FW_VE11!A4*Proton_FW_VE11!A4)/BetaYCoal</f>
        <v>3.1917800857802563</v>
      </c>
      <c r="E26">
        <f>6*GammaCoal*((Proton_FW_HE11!A4*Proton_FW_HE11!A4)-(DxCoal*$K$7*DxCoal*$K$7))/BetaXCoal</f>
        <v>13.993457639547541</v>
      </c>
      <c r="F26">
        <f>proton_long!A4</f>
        <v>2.5433333333333334</v>
      </c>
      <c r="G26">
        <f>6*GammaCoal*(Pbar_FW_VE11!A5*Pbar_FW_VE11!A5)/BetaYCoal</f>
        <v>1.2522939076687198</v>
      </c>
      <c r="H26">
        <f>6*GammaCoal*((Pbar_FW_HE11!A5*Pbar_FW_HE11!A5)-(DxCoal*$K$7*DxCoal*$K$7))/BetaYCoal</f>
        <v>3.040909738798208</v>
      </c>
      <c r="I26">
        <f>pbar_long!A5</f>
        <v>2.0955555555555563</v>
      </c>
      <c r="J26">
        <f>B26/(SQRT((D26*D26)+(E26*E26)))</f>
        <v>795.681667415456</v>
      </c>
      <c r="K26">
        <f>C26/(SQRT((G26*G26)+(H26*H26)))</f>
        <v>916.795231827444</v>
      </c>
      <c r="L26">
        <f>(freq*(B26*C26/(2*PI()*betaStar*(D26+G26)))*6*GammaTop*HourGlass/(36*36))*0.0000000001</f>
        <v>2488.1068878862047</v>
      </c>
    </row>
    <row r="27" spans="1:10" ht="12.75">
      <c r="A27" t="s">
        <v>99</v>
      </c>
      <c r="B27">
        <f>Proton_int!A5</f>
        <v>320.57</v>
      </c>
      <c r="D27">
        <f>6*GammaInj*(Proton_FW_VE11!A5*Proton_FW_VE11!A5)/BetaYInj</f>
        <v>18.299019534015095</v>
      </c>
      <c r="E27">
        <f>6*GammaInj*((Proton_FW_HE11!A5*Proton_FW_HE11!A5)-(DxInj*$K$7*DxInj*$K$7))/BetaXInj</f>
        <v>31.393848326017523</v>
      </c>
      <c r="F27">
        <f>proton_long!A5</f>
        <v>2.81</v>
      </c>
      <c r="J27">
        <f>36*B27/(SQRT((D27*D27)+(E27*E27)))</f>
        <v>317.5908953331908</v>
      </c>
    </row>
    <row r="28" spans="1:10" ht="12.75">
      <c r="A28" t="s">
        <v>100</v>
      </c>
      <c r="B28">
        <f>Proton_int!A6</f>
        <v>638.26</v>
      </c>
      <c r="D28">
        <f>6*GammaInj*(Proton_FW_VE11!A6*Proton_FW_VE11!A6)/BetaYInj</f>
        <v>18.590632783076934</v>
      </c>
      <c r="E28">
        <f>6*GammaInj*((Proton_FW_HE11!A6*Proton_FW_HE11!A6)-(DxInj*$K$7*DxInj*$K$7))/BetaXInj</f>
        <v>32.53882239871574</v>
      </c>
      <c r="F28">
        <f>proton_long!A6</f>
        <v>1.395</v>
      </c>
      <c r="J28">
        <f>36*B28/(SQRT((D28*D28)+(E28*E28)))/2</f>
        <v>306.56798261330044</v>
      </c>
    </row>
    <row r="29" spans="1:10" ht="12.75">
      <c r="A29" t="s">
        <v>101</v>
      </c>
      <c r="B29">
        <f>Proton_int!A7</f>
        <v>968.9399999999998</v>
      </c>
      <c r="D29">
        <f>6*GammaInj*(Proton_FW_VE11!A7*Proton_FW_VE11!A7)/BetaYInj</f>
        <v>18.20232739390016</v>
      </c>
      <c r="E29">
        <f>6*GammaInj*((Proton_FW_HE11!A7*Proton_FW_HE11!A7)-(DxInj*$K$7*DxInj*$K$7))/BetaXInj</f>
        <v>32.6673076042203</v>
      </c>
      <c r="F29">
        <f>proton_long!A7</f>
        <v>2.9499999999999997</v>
      </c>
      <c r="J29">
        <f>36*B29/(SQRT((D29*D29)+(E29*E29)))/3</f>
        <v>310.92121550311623</v>
      </c>
    </row>
    <row r="30" spans="1:10" ht="12.75">
      <c r="A30" t="s">
        <v>102</v>
      </c>
      <c r="B30">
        <f>Proton_int!A8</f>
        <v>1285.65</v>
      </c>
      <c r="D30">
        <f>6*GammaInj*(Proton_FW_VE11!A8*Proton_FW_VE11!A8)/BetaYInj</f>
        <v>18.66389628957296</v>
      </c>
      <c r="E30">
        <f>6*GammaInj*((Proton_FW_HE11!A8*Proton_FW_HE11!A8)-(DxInj*$K$7*DxInj*$K$7))/BetaXInj</f>
        <v>33.41101067088493</v>
      </c>
      <c r="F30">
        <f>proton_long!A8</f>
        <v>2.91</v>
      </c>
      <c r="J30">
        <f>36*B30/(SQRT((D30*D30)+(E30*E30)))/4</f>
        <v>302.34327536772315</v>
      </c>
    </row>
    <row r="31" spans="1:10" ht="12.75">
      <c r="A31" t="s">
        <v>103</v>
      </c>
      <c r="B31">
        <f>Proton_int!A9</f>
        <v>1609.9799999999998</v>
      </c>
      <c r="D31">
        <f>6*GammaInj*(Proton_FW_VE11!A9*Proton_FW_VE11!A9)/BetaYInj</f>
        <v>18.357157764381412</v>
      </c>
      <c r="E31">
        <f>6*GammaInj*((Proton_FW_HE11!A9*Proton_FW_HE11!A9)-(DxInj*$K$7*DxInj*$K$7))/BetaXInj</f>
        <v>32.231490850605226</v>
      </c>
      <c r="F31">
        <f>proton_long!A9</f>
        <v>2.926</v>
      </c>
      <c r="J31">
        <f>36*B31/(SQRT((D31*D31)+(E31*E31)))/5</f>
        <v>312.5120470257431</v>
      </c>
    </row>
    <row r="32" spans="1:10" ht="12.75">
      <c r="A32" t="s">
        <v>104</v>
      </c>
      <c r="B32">
        <f>Proton_int!A10</f>
        <v>1939.4099999999999</v>
      </c>
      <c r="D32">
        <f>6*GammaInj*(Proton_FW_VE11!A10*Proton_FW_VE11!A10)/BetaYInj</f>
        <v>18.347461655867374</v>
      </c>
      <c r="E32">
        <f>6*GammaInj*((Proton_FW_HE11!A10*Proton_FW_HE11!A10)-(DxInj*$K$7*DxInj*$K$7))/BetaXInj</f>
        <v>33.5086325274564</v>
      </c>
      <c r="F32">
        <f>proton_long!A10</f>
        <v>2.9033333333333338</v>
      </c>
      <c r="J32">
        <f>36*B32/(SQRT((D32*D32)+(E32*E32)))/6</f>
        <v>304.5966408509702</v>
      </c>
    </row>
    <row r="33" spans="1:10" ht="12.75">
      <c r="A33" t="s">
        <v>105</v>
      </c>
      <c r="B33">
        <f>Proton_int!A11</f>
        <v>2258.02</v>
      </c>
      <c r="D33">
        <f>6*GammaInj*(Proton_FW_VE11!A11*Proton_FW_VE11!A11)/BetaYInj</f>
        <v>18.340537432264195</v>
      </c>
      <c r="E33">
        <f>6*GammaInj*((Proton_FW_HE11!A11*Proton_FW_HE11!A11)-(DxInj*$K$7*DxInj*$K$7))/BetaXInj</f>
        <v>32.53882239871575</v>
      </c>
      <c r="F33">
        <f>proton_long!A11</f>
        <v>2.904285714285714</v>
      </c>
      <c r="J33">
        <f>36*B33/(SQRT((D33*D33)+(E33*E33)))/7</f>
        <v>310.9007361084982</v>
      </c>
    </row>
    <row r="34" spans="1:10" ht="12.75">
      <c r="A34" t="s">
        <v>106</v>
      </c>
      <c r="B34">
        <f>Proton_int!A12</f>
        <v>2578.04</v>
      </c>
      <c r="D34">
        <f>6*GammaInj*(Proton_FW_VE11!A12*Proton_FW_VE11!A12)/BetaYInj</f>
        <v>18.55405505896351</v>
      </c>
      <c r="E34">
        <f>6*GammaInj*((Proton_FW_HE11!A12*Proton_FW_HE11!A12)-(DxInj*$K$7*DxInj*$K$7))/BetaXInj</f>
        <v>33.26484490423497</v>
      </c>
      <c r="F34">
        <f>proton_long!A12</f>
        <v>2.9124999999999996</v>
      </c>
      <c r="J34">
        <f>36*B34/(SQRT((D34*D34)+(E34*E34)))/8</f>
        <v>304.5776018461719</v>
      </c>
    </row>
    <row r="35" spans="1:10" ht="12.75">
      <c r="A35" t="s">
        <v>107</v>
      </c>
      <c r="B35">
        <f>Proton_int!A13</f>
        <v>2897.6400000000003</v>
      </c>
      <c r="D35">
        <f>6*GammaInj*(Proton_FW_VE11!A13*Proton_FW_VE11!A13)/BetaYInj</f>
        <v>18.395967812249527</v>
      </c>
      <c r="E35">
        <f>6*GammaInj*((Proton_FW_HE11!A13*Proton_FW_HE11!A13)-(DxInj*$K$7*DxInj*$K$7))/BetaXInj</f>
        <v>33.140586058519446</v>
      </c>
      <c r="F35">
        <f>proton_long!A13</f>
        <v>2.8966666666666665</v>
      </c>
      <c r="J35">
        <f>36*B35/(SQRT((D35*D35)+(E35*E35)))/9</f>
        <v>305.78758615588987</v>
      </c>
    </row>
    <row r="36" spans="1:10" ht="12.75">
      <c r="A36" t="s">
        <v>108</v>
      </c>
      <c r="B36">
        <f>Proton_int!A14</f>
        <v>3224.37</v>
      </c>
      <c r="D36">
        <f>6*GammaInj*(Proton_FW_VE11!A14*Proton_FW_VE11!A14)/BetaYInj</f>
        <v>18.154077375637513</v>
      </c>
      <c r="E36">
        <f>6*GammaInj*((Proton_FW_HE11!A14*Proton_FW_HE11!A14)-(DxInj*$K$7*DxInj*$K$7))/BetaXInj</f>
        <v>34.01856182616188</v>
      </c>
      <c r="F36">
        <f>proton_long!A14</f>
        <v>2.8950000000000005</v>
      </c>
      <c r="J36">
        <f>36*B36/(SQRT((D36*D36)+(E36*E36)))/10</f>
        <v>301.0344966857803</v>
      </c>
    </row>
    <row r="37" spans="1:10" ht="12.75">
      <c r="A37" t="s">
        <v>109</v>
      </c>
      <c r="B37">
        <f>Proton_int!A15</f>
        <v>3539.1899999999996</v>
      </c>
      <c r="D37">
        <f>6*GammaInj*(Proton_FW_VE11!A15*Proton_FW_VE11!A15)/BetaYInj</f>
        <v>18.564027229729337</v>
      </c>
      <c r="E37">
        <f>6*GammaInj*((Proton_FW_HE11!A15*Proton_FW_HE11!A15)-(DxInj*$K$7*DxInj*$K$7))/BetaXInj</f>
        <v>32.67900063147207</v>
      </c>
      <c r="F37">
        <f>proton_long!A15</f>
        <v>2.898181818181818</v>
      </c>
      <c r="J37">
        <f>36*B37/(SQRT((D37*D37)+(E37*E37)))/11</f>
        <v>308.1862704779999</v>
      </c>
    </row>
    <row r="38" spans="1:10" ht="12.75">
      <c r="A38" t="s">
        <v>110</v>
      </c>
      <c r="B38">
        <f>Proton_int!A16</f>
        <v>3868.4500000000003</v>
      </c>
      <c r="D38">
        <f>6*GammaInj*(Proton_FW_VE11!A16*Proton_FW_VE11!A16)/BetaYInj</f>
        <v>18.323232590624997</v>
      </c>
      <c r="E38">
        <f>6*GammaInj*((Proton_FW_HE11!A16*Proton_FW_HE11!A16)-(DxInj*$K$7*DxInj*$K$7))/BetaXInj</f>
        <v>34.03168757094884</v>
      </c>
      <c r="F38">
        <f>proton_long!A16</f>
        <v>2.900833333333333</v>
      </c>
      <c r="J38">
        <f>36*B38/(SQRT((D38*D38)+(E38*E38)))/12</f>
        <v>300.2603396764964</v>
      </c>
    </row>
    <row r="39" spans="1:10" ht="12.75">
      <c r="A39" t="s">
        <v>111</v>
      </c>
      <c r="B39">
        <f>Proton_int!A17</f>
        <v>4193.650000000001</v>
      </c>
      <c r="D39">
        <f>6*GammaInj*(Proton_FW_VE11!A17*Proton_FW_VE11!A17)/BetaYInj</f>
        <v>18.613160054907297</v>
      </c>
      <c r="E39">
        <f>6*GammaInj*((Proton_FW_HE11!A17*Proton_FW_HE11!A17)-(DxInj*$K$7*DxInj*$K$7))/BetaXInj</f>
        <v>33.523663914536385</v>
      </c>
      <c r="F39">
        <f>proton_long!A17</f>
        <v>2.8992307692307695</v>
      </c>
      <c r="J39">
        <f>36*B39/(SQRT((D39*D39)+(E39*E39)))/13</f>
        <v>302.86595215084594</v>
      </c>
    </row>
    <row r="40" spans="1:10" ht="12.75">
      <c r="A40" t="s">
        <v>112</v>
      </c>
      <c r="B40">
        <f>Proton_int!A18</f>
        <v>4519.400000000001</v>
      </c>
      <c r="D40">
        <f>6*GammaInj*(Proton_FW_VE11!A18*Proton_FW_VE11!A18)/BetaYInj</f>
        <v>18.36131402355514</v>
      </c>
      <c r="E40">
        <f>6*GammaInj*((Proton_FW_HE11!A18*Proton_FW_HE11!A18)-(DxInj*$K$7*DxInj*$K$7))/BetaXInj</f>
        <v>32.98039712891545</v>
      </c>
      <c r="F40">
        <f>proton_long!A18</f>
        <v>2.8957142857142864</v>
      </c>
      <c r="J40">
        <f>36*B40/(SQRT((D40*D40)+(E40*E40)))/14</f>
        <v>307.8729401757966</v>
      </c>
    </row>
    <row r="41" spans="1:10" ht="12.75">
      <c r="A41" t="s">
        <v>113</v>
      </c>
      <c r="B41">
        <f>Proton_int!A19</f>
        <v>4832.07</v>
      </c>
      <c r="D41">
        <f>6*GammaInj*(Proton_FW_VE11!A19*Proton_FW_VE11!A19)/BetaYInj</f>
        <v>18.376557665553086</v>
      </c>
      <c r="E41">
        <f>6*GammaInj*((Proton_FW_HE11!A19*Proton_FW_HE11!A19)-(DxInj*$K$7*DxInj*$K$7))/BetaXInj</f>
        <v>32.20594571319556</v>
      </c>
      <c r="F41">
        <f>proton_long!A19</f>
        <v>2.912</v>
      </c>
      <c r="J41">
        <f>36*B41/(SQRT((D41*D41)+(E41*E41)))/15</f>
        <v>312.7559754838429</v>
      </c>
    </row>
    <row r="42" spans="1:10" ht="12.75">
      <c r="A42" t="s">
        <v>114</v>
      </c>
      <c r="B42">
        <f>Proton_int!A20</f>
        <v>5144.719999999998</v>
      </c>
      <c r="D42">
        <f>6*GammaInj*(Proton_FW_VE11!A20*Proton_FW_VE11!A20)/BetaYInj</f>
        <v>18.9399176308794</v>
      </c>
      <c r="E42">
        <f>6*GammaInj*((Proton_FW_HE11!A20*Proton_FW_HE11!A20)-(DxInj*$K$7*DxInj*$K$7))/BetaXInj</f>
        <v>33.33788773482886</v>
      </c>
      <c r="F42">
        <f>proton_long!A20</f>
        <v>2.9125</v>
      </c>
      <c r="J42">
        <f>36*B42/(SQRT((D42*D42)+(E42*E42)))/16</f>
        <v>301.9017411429133</v>
      </c>
    </row>
    <row r="43" spans="1:10" ht="12.75">
      <c r="A43" t="s">
        <v>115</v>
      </c>
      <c r="B43">
        <f>Proton_int!A21</f>
        <v>5458.849999999999</v>
      </c>
      <c r="D43">
        <f>6*GammaInj*(Proton_FW_VE11!A21*Proton_FW_VE11!A21)/BetaYInj</f>
        <v>18.52181050883413</v>
      </c>
      <c r="E43">
        <f>6*GammaInj*((Proton_FW_HE11!A21*Proton_FW_HE11!A21)-(DxInj*$K$7*DxInj*$K$7))/BetaXInj</f>
        <v>32.85671635186481</v>
      </c>
      <c r="F43">
        <f>proton_long!A21</f>
        <v>2.9147058823529415</v>
      </c>
      <c r="J43">
        <f>36*B43/(SQRT((D43*D43)+(E43*E43)))/17</f>
        <v>306.4856115838005</v>
      </c>
    </row>
    <row r="44" spans="1:10" ht="12.75">
      <c r="A44" t="s">
        <v>116</v>
      </c>
      <c r="B44">
        <f>Proton_int!A22</f>
        <v>5784.820000000001</v>
      </c>
      <c r="D44">
        <f>6*GammaInj*(Proton_FW_VE11!A22*Proton_FW_VE11!A22)/BetaYInj</f>
        <v>19.01592167073181</v>
      </c>
      <c r="E44">
        <f>6*GammaInj*((Proton_FW_HE11!A22*Proton_FW_HE11!A22)-(DxInj*$K$7*DxInj*$K$7))/BetaXInj</f>
        <v>33.92238372275209</v>
      </c>
      <c r="F44">
        <f>proton_long!A22</f>
        <v>2.9138888888888888</v>
      </c>
      <c r="J44">
        <f>36*B44/(SQRT((D44*D44)+(E44*E44)))/18</f>
        <v>297.5062368765146</v>
      </c>
    </row>
    <row r="45" spans="1:10" ht="12.75">
      <c r="A45" t="s">
        <v>117</v>
      </c>
      <c r="B45">
        <f>Proton_int!A23</f>
        <v>6106.389999999999</v>
      </c>
      <c r="D45">
        <f>6*GammaInj*(Proton_FW_VE11!A23*Proton_FW_VE11!A23)/BetaYInj</f>
        <v>18.43686476850587</v>
      </c>
      <c r="E45">
        <f>6*GammaInj*((Proton_FW_HE11!A23*Proton_FW_HE11!A23)-(DxInj*$K$7*DxInj*$K$7))/BetaXInj</f>
        <v>33.41614511295546</v>
      </c>
      <c r="F45">
        <f>proton_long!A23</f>
        <v>2.914736842105263</v>
      </c>
      <c r="J45">
        <f>36*B45/(SQRT((D45*D45)+(E45*E45)))/19</f>
        <v>303.1584897555829</v>
      </c>
    </row>
    <row r="46" spans="1:10" ht="12.75">
      <c r="A46" t="s">
        <v>118</v>
      </c>
      <c r="B46">
        <f>Proton_int!A24</f>
        <v>6421.240000000002</v>
      </c>
      <c r="D46">
        <f>6*GammaInj*(Proton_FW_VE11!A24*Proton_FW_VE11!A24)/BetaYInj</f>
        <v>18.79613367705019</v>
      </c>
      <c r="E46">
        <f>6*GammaInj*((Proton_FW_HE11!A24*Proton_FW_HE11!A24)-(DxInj*$K$7*DxInj*$K$7))/BetaXInj</f>
        <v>33.606396793738405</v>
      </c>
      <c r="F46">
        <f>proton_long!A24</f>
        <v>2.9090000000000003</v>
      </c>
      <c r="J46">
        <f>36*B46/(SQRT((D46*D46)+(E46*E46)))/20</f>
        <v>300.16982147550544</v>
      </c>
    </row>
    <row r="47" spans="1:10" ht="12.75">
      <c r="A47" t="s">
        <v>119</v>
      </c>
      <c r="B47">
        <f>Proton_int!A25</f>
        <v>6742.379999999999</v>
      </c>
      <c r="D47">
        <f>6*GammaInj*(Proton_FW_VE11!A25*Proton_FW_VE11!A25)/BetaYInj</f>
        <v>18.47927020148437</v>
      </c>
      <c r="E47">
        <f>6*GammaInj*((Proton_FW_HE11!A25*Proton_FW_HE11!A25)-(DxInj*$K$7*DxInj*$K$7))/BetaXInj</f>
        <v>32.94348556530332</v>
      </c>
      <c r="F47">
        <f>proton_long!A25</f>
        <v>2.910952380952381</v>
      </c>
      <c r="J47">
        <f>36*B47/(SQRT((D47*D47)+(E47*E47)))/21</f>
        <v>306.00003502803116</v>
      </c>
    </row>
    <row r="48" spans="1:10" ht="12.75">
      <c r="A48" t="s">
        <v>120</v>
      </c>
      <c r="B48">
        <f>Proton_int!A26</f>
        <v>7060.12</v>
      </c>
      <c r="D48">
        <f>6*GammaInj*(Proton_FW_VE11!A26*Proton_FW_VE11!A26)/BetaYInj</f>
        <v>18.49759669709142</v>
      </c>
      <c r="E48">
        <f>6*GammaInj*((Proton_FW_HE11!A26*Proton_FW_HE11!A26)-(DxInj*$K$7*DxInj*$K$7))/BetaXInj</f>
        <v>34.00782446353068</v>
      </c>
      <c r="F48">
        <f>proton_long!A26</f>
        <v>2.911818181818182</v>
      </c>
      <c r="J48">
        <f>36*B48/(SQRT((D48*D48)+(E48*E48)))/22</f>
        <v>298.42522715121464</v>
      </c>
    </row>
    <row r="49" spans="1:10" ht="12.75">
      <c r="A49" t="s">
        <v>121</v>
      </c>
      <c r="B49">
        <f>Proton_int!A27</f>
        <v>7373.380000000001</v>
      </c>
      <c r="D49">
        <f>6*GammaInj*(Proton_FW_VE11!A27*Proton_FW_VE11!A27)/BetaYInj</f>
        <v>18.552465540208253</v>
      </c>
      <c r="E49">
        <f>6*GammaInj*((Proton_FW_HE11!A27*Proton_FW_HE11!A27)-(DxInj*$K$7*DxInj*$K$7))/BetaXInj</f>
        <v>32.85770600718045</v>
      </c>
      <c r="F49">
        <f>proton_long!A27</f>
        <v>2.9047826086956516</v>
      </c>
      <c r="J49">
        <f>36*B49/(SQRT((D49*D49)+(E49*E49)))/23</f>
        <v>305.8533956498488</v>
      </c>
    </row>
    <row r="50" spans="1:10" ht="12.75">
      <c r="A50" t="s">
        <v>122</v>
      </c>
      <c r="B50">
        <f>Proton_int!A28</f>
        <v>7704.02</v>
      </c>
      <c r="D50">
        <f>6*GammaInj*(Proton_FW_VE11!A28*Proton_FW_VE11!A28)/BetaYInj</f>
        <v>18.54187048857527</v>
      </c>
      <c r="E50">
        <f>6*GammaInj*((Proton_FW_HE11!A28*Proton_FW_HE11!A28)-(DxInj*$K$7*DxInj*$K$7))/BetaXInj</f>
        <v>33.83506723060404</v>
      </c>
      <c r="F50">
        <f>proton_long!A28</f>
        <v>2.9083333333333328</v>
      </c>
      <c r="J50">
        <f>36*B50/(SQRT((D50*D50)+(E50*E50)))/24</f>
        <v>299.51446092417325</v>
      </c>
    </row>
    <row r="51" spans="1:10" ht="12.75">
      <c r="A51" t="s">
        <v>123</v>
      </c>
      <c r="B51">
        <f>Proton_int!A29</f>
        <v>8002.590000000002</v>
      </c>
      <c r="D51">
        <f>6*GammaInj*(Proton_FW_VE11!A29*Proton_FW_VE11!A29)/BetaYInj</f>
        <v>18.415388204470766</v>
      </c>
      <c r="E51">
        <f>6*GammaInj*((Proton_FW_HE11!A29*Proton_FW_HE11!A29)-(DxInj*$K$7*DxInj*$K$7))/BetaXInj</f>
        <v>33.11123014133804</v>
      </c>
      <c r="F51">
        <f>proton_long!A29</f>
        <v>2.9071999999999996</v>
      </c>
      <c r="J51">
        <f>36*B51/(SQRT((D51*D51)+(E51*E51)))/25</f>
        <v>304.1546590793519</v>
      </c>
    </row>
    <row r="52" spans="1:10" ht="12.75">
      <c r="A52" t="s">
        <v>124</v>
      </c>
      <c r="B52">
        <f>Proton_int!A30</f>
        <v>8319.899999999998</v>
      </c>
      <c r="D52">
        <f>6*GammaInj*(Proton_FW_VE11!A30*Proton_FW_VE11!A30)/BetaYInj</f>
        <v>18.53437428065163</v>
      </c>
      <c r="E52">
        <f>6*GammaInj*((Proton_FW_HE11!A30*Proton_FW_HE11!A30)-(DxInj*$K$7*DxInj*$K$7))/BetaXInj</f>
        <v>33.855207203237065</v>
      </c>
      <c r="F52">
        <f>proton_long!A30</f>
        <v>2.908461538461538</v>
      </c>
      <c r="J52">
        <f>36*B52/(SQRT((D52*D52)+(E52*E52)))/26</f>
        <v>298.4682433051011</v>
      </c>
    </row>
    <row r="53" spans="1:10" ht="12.75">
      <c r="A53" t="s">
        <v>125</v>
      </c>
      <c r="B53">
        <f>Proton_int!A31</f>
        <v>8638.98</v>
      </c>
      <c r="D53">
        <f>6*GammaInj*(Proton_FW_VE11!A31*Proton_FW_VE11!A31)/BetaYInj</f>
        <v>18.48235908910146</v>
      </c>
      <c r="E53">
        <f>6*GammaInj*((Proton_FW_HE11!A31*Proton_FW_HE11!A31)-(DxInj*$K$7*DxInj*$K$7))/BetaXInj</f>
        <v>34.06816125689384</v>
      </c>
      <c r="F53">
        <f>proton_long!A31</f>
        <v>2.899259259259259</v>
      </c>
      <c r="J53">
        <f>36*B53/(SQRT((D53*D53)+(E53*E53)))/27</f>
        <v>297.18846428661465</v>
      </c>
    </row>
    <row r="54" spans="1:10" ht="12.75">
      <c r="A54" t="s">
        <v>126</v>
      </c>
      <c r="B54">
        <f>Proton_int!A32</f>
        <v>8961.69</v>
      </c>
      <c r="D54">
        <f>6*GammaInj*(Proton_FW_VE11!A32*Proton_FW_VE11!A32)/BetaYInj</f>
        <v>18.61155051169905</v>
      </c>
      <c r="E54">
        <f>6*GammaInj*((Proton_FW_HE11!A32*Proton_FW_HE11!A32)-(DxInj*$K$7*DxInj*$K$7))/BetaXInj</f>
        <v>34.238281757823245</v>
      </c>
      <c r="F54">
        <f>proton_long!A32</f>
        <v>2.9060714285714284</v>
      </c>
      <c r="J54">
        <f>36*B54/(SQRT((D54*D54)+(E54*E54)))/28</f>
        <v>295.6688517979711</v>
      </c>
    </row>
    <row r="55" spans="1:10" ht="12.75">
      <c r="A55" t="s">
        <v>127</v>
      </c>
      <c r="B55">
        <f>Proton_int!A33</f>
        <v>9274.349999999999</v>
      </c>
      <c r="D55">
        <f>6*GammaInj*(Proton_FW_VE11!A33*Proton_FW_VE11!A33)/BetaYInj</f>
        <v>18.966037917486755</v>
      </c>
      <c r="E55">
        <f>6*GammaInj*((Proton_FW_HE11!A33*Proton_FW_HE11!A33)-(DxInj*$K$7*DxInj*$K$7))/BetaXInj</f>
        <v>33.27323655729533</v>
      </c>
      <c r="F55">
        <f>proton_long!A33</f>
        <v>2.903448275862069</v>
      </c>
      <c r="J55">
        <f>36*B55/(SQRT((D55*D55)+(E55*E55)))/29</f>
        <v>300.60745091069793</v>
      </c>
    </row>
    <row r="56" spans="1:10" ht="12.75">
      <c r="A56" t="s">
        <v>128</v>
      </c>
      <c r="B56">
        <f>Proton_int!A34</f>
        <v>9597.87</v>
      </c>
      <c r="D56">
        <f>6*GammaInj*(Proton_FW_VE11!A34*Proton_FW_VE11!A34)/BetaYInj</f>
        <v>18.590632783076934</v>
      </c>
      <c r="E56">
        <f>6*GammaInj*((Proton_FW_HE11!A34*Proton_FW_HE11!A34)-(DxInj*$K$7*DxInj*$K$7))/BetaXInj</f>
        <v>34.228877550135756</v>
      </c>
      <c r="F56">
        <f>proton_long!A34</f>
        <v>2.898666666666666</v>
      </c>
      <c r="J56">
        <f>36*B56/(SQRT((D56*D56)+(E56*E56)))/30</f>
        <v>295.6859779520036</v>
      </c>
    </row>
    <row r="57" spans="1:10" ht="12.75">
      <c r="A57" t="s">
        <v>129</v>
      </c>
      <c r="B57">
        <f>Proton_int!A35</f>
        <v>9911.209999999997</v>
      </c>
      <c r="D57">
        <f>6*GammaInj*(Proton_FW_VE11!A35*Proton_FW_VE11!A35)/BetaYInj</f>
        <v>18.53401159935564</v>
      </c>
      <c r="E57">
        <f>6*GammaInj*((Proton_FW_HE11!A35*Proton_FW_HE11!A35)-(DxInj*$K$7*DxInj*$K$7))/BetaXInj</f>
        <v>33.17541781143716</v>
      </c>
      <c r="F57">
        <f>proton_long!A35</f>
        <v>2.904193548387097</v>
      </c>
      <c r="J57">
        <f>36*B57/(SQRT((D57*D57)+(E57*E57)))/31</f>
        <v>302.8769020713818</v>
      </c>
    </row>
    <row r="58" spans="1:10" ht="12.75">
      <c r="A58" t="s">
        <v>130</v>
      </c>
      <c r="B58">
        <f>Proton_int!A36</f>
        <v>10228.55</v>
      </c>
      <c r="D58">
        <f>6*GammaInj*(Proton_FW_VE11!A36*Proton_FW_VE11!A36)/BetaYInj</f>
        <v>18.299019534015105</v>
      </c>
      <c r="E58">
        <f>6*GammaInj*((Proton_FW_HE11!A36*Proton_FW_HE11!A36)-(DxInj*$K$7*DxInj*$K$7))/BetaXInj</f>
        <v>34.691202763735774</v>
      </c>
      <c r="F58">
        <f>proton_long!A36</f>
        <v>2.9046875</v>
      </c>
      <c r="J58">
        <f>36*B58/(SQRT((D58*D58)+(E58*E58)))/32</f>
        <v>293.38730834762146</v>
      </c>
    </row>
    <row r="59" spans="1:10" ht="12.75">
      <c r="A59" t="s">
        <v>131</v>
      </c>
      <c r="B59">
        <f>Proton_int!A37</f>
        <v>10529.480000000001</v>
      </c>
      <c r="D59">
        <f>6*GammaInj*(Proton_FW_VE11!A37*Proton_FW_VE11!A37)/BetaYInj</f>
        <v>18.688349475669895</v>
      </c>
      <c r="E59">
        <f>6*GammaInj*((Proton_FW_HE11!A37*Proton_FW_HE11!A37)-(DxInj*$K$7*DxInj*$K$7))/BetaXInj</f>
        <v>33.408054655915436</v>
      </c>
      <c r="F59">
        <f>proton_long!A37</f>
        <v>2.9015151515151514</v>
      </c>
      <c r="J59">
        <f>36*B59/(SQRT((D59*D59)+(E59*E59)))/33</f>
        <v>300.0712772436811</v>
      </c>
    </row>
    <row r="60" spans="1:10" ht="12.75">
      <c r="A60" t="s">
        <v>132</v>
      </c>
      <c r="B60">
        <f>Proton_int!A38</f>
        <v>10858.040000000003</v>
      </c>
      <c r="D60">
        <f>6*GammaInj*(Proton_FW_VE11!A38*Proton_FW_VE11!A38)/BetaYInj</f>
        <v>18.358869108241805</v>
      </c>
      <c r="E60">
        <f>6*GammaInj*((Proton_FW_HE11!A38*Proton_FW_HE11!A38)-(DxInj*$K$7*DxInj*$K$7))/BetaXInj</f>
        <v>33.92366862834232</v>
      </c>
      <c r="F60">
        <f>proton_long!A38</f>
        <v>2.8982352941176472</v>
      </c>
      <c r="J60">
        <f>36*B60/(SQRT((D60*D60)+(E60*E60)))/34</f>
        <v>298.05299845987986</v>
      </c>
    </row>
    <row r="61" spans="1:10" ht="12.75">
      <c r="A61" t="s">
        <v>133</v>
      </c>
      <c r="B61">
        <f>Proton_int!A39</f>
        <v>11165.710000000003</v>
      </c>
      <c r="D61">
        <f>6*GammaInj*(Proton_FW_VE11!A39*Proton_FW_VE11!A39)/BetaYInj</f>
        <v>18.935168767661025</v>
      </c>
      <c r="E61">
        <f>6*GammaInj*((Proton_FW_HE11!A39*Proton_FW_HE11!A39)-(DxInj*$K$7*DxInj*$K$7))/BetaXInj</f>
        <v>32.925037533685575</v>
      </c>
      <c r="F61">
        <f>proton_long!A39</f>
        <v>2.897142857142857</v>
      </c>
      <c r="J61">
        <f>36*B61/(SQRT((D61*D61)+(E61*E61)))/35</f>
        <v>302.37649614165747</v>
      </c>
    </row>
    <row r="62" spans="1:10" ht="12.75">
      <c r="A62" t="s">
        <v>134</v>
      </c>
      <c r="B62">
        <f>Proton_int!A40</f>
        <v>11481.180000000004</v>
      </c>
      <c r="D62">
        <f>6*GammaInj*(Proton_FW_VE11!A40*Proton_FW_VE11!A40)/BetaYInj</f>
        <v>19.081777627236878</v>
      </c>
      <c r="E62">
        <f>6*GammaInj*((Proton_FW_HE11!A40*Proton_FW_HE11!A40)-(DxInj*$K$7*DxInj*$K$7))/BetaXInj</f>
        <v>33.7805515627102</v>
      </c>
      <c r="F62">
        <f>proton_long!A40</f>
        <v>2.8969444444444443</v>
      </c>
      <c r="J62">
        <f>36*B62/(SQRT((D62*D62)+(E62*E62)))/36</f>
        <v>295.92636852034434</v>
      </c>
    </row>
    <row r="63" spans="1:10" ht="12.75">
      <c r="A63" t="s">
        <v>135</v>
      </c>
      <c r="B63">
        <f>Proton_int!A41</f>
        <v>11496.799999999997</v>
      </c>
      <c r="D63">
        <f>6*GammaInj*(Proton_FW_VE11!A41*Proton_FW_VE11!A41)/BetaYInj</f>
        <v>18.81085553564168</v>
      </c>
      <c r="E63">
        <f>6*GammaInj*((Proton_FW_HE11!A41*Proton_FW_HE11!A41)-(DxInj*$K$7*DxInj*$K$7))/BetaXInj</f>
        <v>35.05663399261815</v>
      </c>
      <c r="F63">
        <f>proton_long!A41</f>
        <v>2.894444444444444</v>
      </c>
      <c r="J63">
        <f aca="true" t="shared" si="1" ref="J63:J81">B63/(SQRT((D63*D63)+(E63*E63)))</f>
        <v>288.97600178366235</v>
      </c>
    </row>
    <row r="64" spans="1:12" ht="12.75">
      <c r="A64" t="s">
        <v>42</v>
      </c>
      <c r="B64">
        <f>Proton_int!A42</f>
        <v>11438.92</v>
      </c>
      <c r="C64">
        <f>SUM(pbar_int!C7:pbar_int!F7)</f>
        <v>322.84000000000003</v>
      </c>
      <c r="D64">
        <f>6*GammaInj*(Proton_FW_VE11!A42*Proton_FW_VE11!A42)/BetaYInj</f>
        <v>19.081777627236864</v>
      </c>
      <c r="E64">
        <f>6*GammaInj*((Proton_FW_HE11!A42*Proton_FW_HE11!A42)-(DxInj*$K$7*DxInj*$K$7))/BetaXInj</f>
        <v>33.71519078000855</v>
      </c>
      <c r="F64">
        <f>proton_long!A42</f>
        <v>2.8911111111111114</v>
      </c>
      <c r="G64">
        <f>6*GammaInj*(Pbar_FW_VE11!A6*Pbar_FW_VE11!A6)/BetaYInj</f>
        <v>3.9109169165806303</v>
      </c>
      <c r="H64">
        <f>6*GammaInj*((Pbar_FW_HE11!A6*Pbar_FW_HE11!A6)-(DxInj*$K$7*DxInj*$K$7))/BetaXInj</f>
        <v>20.763248254030366</v>
      </c>
      <c r="I64">
        <f>pbar_long!A6</f>
        <v>2.64</v>
      </c>
      <c r="J64">
        <f t="shared" si="1"/>
        <v>295.2701289274846</v>
      </c>
      <c r="K64">
        <f aca="true" t="shared" si="2" ref="K64:K81">C64/(SQRT((G64*G64)+(H64*H64)))</f>
        <v>15.279933923536499</v>
      </c>
      <c r="L64">
        <f>(freq*(B64*C64/(2*PI()*betaStar*(D64+G64)))*6*GammaTop*HourGlass/(36*36))*0.0000000001*9</f>
        <v>464.19956058215706</v>
      </c>
    </row>
    <row r="65" spans="1:12" ht="12.75">
      <c r="A65" t="s">
        <v>43</v>
      </c>
      <c r="B65">
        <f>Proton_int!A43</f>
        <v>11368.830000000004</v>
      </c>
      <c r="C65">
        <f>C64+SUM(pbar_int!O8:pbar_int!R8)</f>
        <v>651.9300000000001</v>
      </c>
      <c r="D65">
        <f>6*GammaInj*(Proton_FW_VE11!A43*Proton_FW_VE11!A43)/BetaYInj</f>
        <v>19.05706830302042</v>
      </c>
      <c r="E65">
        <f>6*GammaInj*((Proton_FW_HE11!A43*Proton_FW_HE11!A43)-(DxInj*$K$7*DxInj*$K$7))/BetaXInj</f>
        <v>34.37164680123583</v>
      </c>
      <c r="F65">
        <f>proton_long!A43</f>
        <v>2.8847222222222224</v>
      </c>
      <c r="G65">
        <f>6*GammaInj*(Pbar_FW_VE11!A7*Pbar_FW_VE11!A7)/BetaYInj</f>
        <v>3.9445590577149874</v>
      </c>
      <c r="H65">
        <f>6*GammaInj*((Pbar_FW_HE11!A7*Pbar_FW_HE11!A7)-(DxInj*$K$7*DxInj*$K$7))/BetaXInj</f>
        <v>20.49496616059699</v>
      </c>
      <c r="I65">
        <f>pbar_long!A7</f>
        <v>2.59</v>
      </c>
      <c r="J65">
        <f t="shared" si="1"/>
        <v>289.27459479254213</v>
      </c>
      <c r="K65">
        <f t="shared" si="2"/>
        <v>31.236002125858604</v>
      </c>
      <c r="L65">
        <f>(freq*(B65*C65/(2*PI()*betaStar*(D65+G65)))*6*GammaTop*HourGlass/(36*36))*0.0000000001*9/2</f>
        <v>465.64014245169386</v>
      </c>
    </row>
    <row r="66" spans="1:12" ht="12.75">
      <c r="A66" t="s">
        <v>44</v>
      </c>
      <c r="B66">
        <f>Proton_int!A44</f>
        <v>11279.920000000002</v>
      </c>
      <c r="C66">
        <f>C65+SUM(pbar_int!AA9:pbar_int!AD9)</f>
        <v>984.99</v>
      </c>
      <c r="D66">
        <f>6*GammaInj*(Proton_FW_VE11!A44*Proton_FW_VE11!A44)/BetaYInj</f>
        <v>18.753636236353834</v>
      </c>
      <c r="E66">
        <f>6*GammaInj*((Proton_FW_HE11!A44*Proton_FW_HE11!A44)-(DxInj*$K$7*DxInj*$K$7))/BetaXInj</f>
        <v>33.72607984843072</v>
      </c>
      <c r="F66">
        <f>proton_long!A44</f>
        <v>2.874722222222223</v>
      </c>
      <c r="G66">
        <f>6*GammaInj*(Pbar_FW_VE11!A8*Pbar_FW_VE11!A8)/BetaYInj</f>
        <v>3.8108549593309027</v>
      </c>
      <c r="H66">
        <f>6*GammaInj*((Pbar_FW_HE11!A8*Pbar_FW_HE11!A8)-(DxInj*$K$7*DxInj*$K$7))/BetaXInj</f>
        <v>20.84022070257432</v>
      </c>
      <c r="I66">
        <f>pbar_long!A8</f>
        <v>2.600833333333333</v>
      </c>
      <c r="J66">
        <f t="shared" si="1"/>
        <v>292.30563345381256</v>
      </c>
      <c r="K66">
        <f t="shared" si="2"/>
        <v>46.492970573374436</v>
      </c>
      <c r="L66">
        <f>(freq*(B66*C66/(2*PI()*betaStar*(D66+G66)))*6*GammaTop*HourGlass/(36*36))*0.0000000001*9/3</f>
        <v>474.3656952444565</v>
      </c>
    </row>
    <row r="67" spans="1:12" ht="12.75">
      <c r="A67" t="s">
        <v>45</v>
      </c>
      <c r="B67">
        <f>Proton_int!A45</f>
        <v>11126.189999999999</v>
      </c>
      <c r="C67">
        <f>C66+SUM(pbar_int!G10:pbar_int!J10)</f>
        <v>1321.27</v>
      </c>
      <c r="D67">
        <f>6*GammaInj*(Proton_FW_VE11!A45*Proton_FW_VE11!A45)/BetaYInj</f>
        <v>18.517513354273152</v>
      </c>
      <c r="E67">
        <f>6*GammaInj*((Proton_FW_HE11!A45*Proton_FW_HE11!A45)-(DxInj*$K$7*DxInj*$K$7))/BetaXInj</f>
        <v>34.75750239564018</v>
      </c>
      <c r="F67">
        <f>proton_long!A45</f>
        <v>2.8580555555555556</v>
      </c>
      <c r="G67">
        <f>6*GammaInj*(Pbar_FW_VE11!A9*Pbar_FW_VE11!A9)/BetaYInj</f>
        <v>4.324131737879725</v>
      </c>
      <c r="H67">
        <f>6*GammaInj*((Pbar_FW_HE11!A9*Pbar_FW_HE11!A9)-(DxInj*$K$7*DxInj*$K$7))/BetaXInj</f>
        <v>20.418634555750447</v>
      </c>
      <c r="I67">
        <f>pbar_long!A9</f>
        <v>2.55125</v>
      </c>
      <c r="J67">
        <f t="shared" si="1"/>
        <v>282.5160040692629</v>
      </c>
      <c r="K67">
        <f t="shared" si="2"/>
        <v>63.305040477856394</v>
      </c>
      <c r="L67">
        <f>(freq*(B67*C67/(2*PI()*betaStar*(D67+G67)))*6*GammaTop*HourGlass/(36*36))*0.0000000001*9/4</f>
        <v>465.02136769947185</v>
      </c>
    </row>
    <row r="68" spans="1:12" ht="12.75">
      <c r="A68" t="s">
        <v>46</v>
      </c>
      <c r="B68">
        <f>Proton_int!A46</f>
        <v>11029.74</v>
      </c>
      <c r="C68">
        <f>C67+SUM(pbar_int!S11:pbar_int!V11)</f>
        <v>1655.92</v>
      </c>
      <c r="D68">
        <f>6*GammaInj*(Proton_FW_VE11!A46*Proton_FW_VE11!A46)/BetaYInj</f>
        <v>0</v>
      </c>
      <c r="E68">
        <f>6*GammaInj*((Proton_FW_HE11!A46*Proton_FW_HE11!A46)-(DxInj*$K$7*DxInj*$K$7))/BetaXInj</f>
        <v>-8.754191497540262E-05</v>
      </c>
      <c r="F68">
        <f>proton_long!A46</f>
        <v>2.845833333333333</v>
      </c>
      <c r="G68">
        <f>6*GammaInj*(Pbar_FW_VE11!A10*Pbar_FW_VE11!A10)/BetaYInj</f>
        <v>0</v>
      </c>
      <c r="H68">
        <f>6*GammaInj*((Pbar_FW_HE11!A10*Pbar_FW_HE11!A10)-(DxInj*$K$7*DxInj*$K$7))/BetaXInj</f>
        <v>-8.754191497540262E-05</v>
      </c>
      <c r="I68">
        <f>pbar_long!A10</f>
        <v>2.5235</v>
      </c>
      <c r="J68">
        <f t="shared" si="1"/>
        <v>125993816.82590696</v>
      </c>
      <c r="K68">
        <f t="shared" si="2"/>
        <v>18915738.82597014</v>
      </c>
      <c r="L68" t="e">
        <f>(freq*(B68*C68/(2*PI()*betaStar*(D68+G68)))*6*GammaTop*HourGlass/(36*36))*0.0000000001*9/5</f>
        <v>#DIV/0!</v>
      </c>
    </row>
    <row r="69" spans="1:12" ht="12.75">
      <c r="A69" t="s">
        <v>47</v>
      </c>
      <c r="B69">
        <f>Proton_int!A47</f>
        <v>10930.53</v>
      </c>
      <c r="C69">
        <f>C68+SUM(pbar_int!AE12:pbar_int!AH12)</f>
        <v>1984.3700000000001</v>
      </c>
      <c r="D69">
        <f>6*GammaInj*(Proton_FW_VE11!A47*Proton_FW_VE11!A47)/BetaYInj</f>
        <v>18.68019663490065</v>
      </c>
      <c r="E69">
        <f>6*GammaInj*((Proton_FW_HE11!A47*Proton_FW_HE11!A47)-(DxInj*$K$7*DxInj*$K$7))/BetaXInj</f>
        <v>34.72434466803739</v>
      </c>
      <c r="F69">
        <f>proton_long!A47</f>
        <v>2.835555555555555</v>
      </c>
      <c r="G69">
        <f>6*GammaInj*(Pbar_FW_VE11!A11*Pbar_FW_VE11!A11)/BetaYInj</f>
        <v>4.448560834826874</v>
      </c>
      <c r="H69">
        <f>6*GammaInj*((Pbar_FW_HE11!A11*Pbar_FW_HE11!A11)-(DxInj*$K$7*DxInj*$K$7))/BetaXInj</f>
        <v>20.40592646699787</v>
      </c>
      <c r="I69">
        <f>pbar_long!A11</f>
        <v>2.5279166666666666</v>
      </c>
      <c r="J69">
        <f t="shared" si="1"/>
        <v>277.2131008891257</v>
      </c>
      <c r="K69">
        <f t="shared" si="2"/>
        <v>95.01322060654452</v>
      </c>
      <c r="L69">
        <f>(freq*(B69*C69/(2*PI()*betaStar*(D69+G69)))*6*GammaTop*HourGlass/(36*36))*0.0000000001*9/6</f>
        <v>451.73376599440167</v>
      </c>
    </row>
    <row r="70" spans="1:12" ht="12.75">
      <c r="A70" t="s">
        <v>48</v>
      </c>
      <c r="B70">
        <f>Proton_int!A48</f>
        <v>10754.26</v>
      </c>
      <c r="C70">
        <f>C69+SUM(pbar_int!K13:pbar_int!N13)</f>
        <v>2318.4300000000003</v>
      </c>
      <c r="D70">
        <f>6*GammaInj*(Proton_FW_VE11!A48*Proton_FW_VE11!A48)/BetaYInj</f>
        <v>18.501284158423097</v>
      </c>
      <c r="E70">
        <f>6*GammaInj*((Proton_FW_HE11!A48*Proton_FW_HE11!A48)-(DxInj*$K$7*DxInj*$K$7))/BetaXInj</f>
        <v>33.367668890834324</v>
      </c>
      <c r="F70">
        <f>proton_long!A48</f>
        <v>2.817500000000001</v>
      </c>
      <c r="G70">
        <f>6*GammaInj*(Pbar_FW_VE11!A12*Pbar_FW_VE11!A12)/BetaYInj</f>
        <v>4.354440979745997</v>
      </c>
      <c r="H70">
        <f>6*GammaInj*((Pbar_FW_HE11!A12*Pbar_FW_HE11!A12)-(DxInj*$K$7*DxInj*$K$7))/BetaXInj</f>
        <v>19.211412544655403</v>
      </c>
      <c r="I70">
        <f>pbar_long!A12</f>
        <v>2.519642857142857</v>
      </c>
      <c r="J70">
        <f t="shared" si="1"/>
        <v>281.8673442621227</v>
      </c>
      <c r="K70">
        <f t="shared" si="2"/>
        <v>117.6944554656614</v>
      </c>
      <c r="L70">
        <f>(freq*(B70*C70/(2*PI()*betaStar*(D70+G70)))*6*GammaTop*HourGlass/(36*36))*0.0000000001*9/7</f>
        <v>450.40552440200526</v>
      </c>
    </row>
    <row r="71" spans="1:12" ht="12.75">
      <c r="A71" t="s">
        <v>49</v>
      </c>
      <c r="B71">
        <f>Proton_int!A49</f>
        <v>10641.779999999997</v>
      </c>
      <c r="C71">
        <f>C70+SUM(pbar_int!W14:pbar_int!Z14)</f>
        <v>2649.05</v>
      </c>
      <c r="D71">
        <f>6*GammaInj*(Proton_FW_VE11!A49*Proton_FW_VE11!A49)/BetaYInj</f>
        <v>18.509397866979644</v>
      </c>
      <c r="E71">
        <f>6*GammaInj*((Proton_FW_HE11!A49*Proton_FW_HE11!A49)-(DxInj*$K$7*DxInj*$K$7))/BetaXInj</f>
        <v>34.36065400228376</v>
      </c>
      <c r="F71">
        <f>proton_long!A49</f>
        <v>2.803611111111111</v>
      </c>
      <c r="G71">
        <f>6*GammaInj*(Pbar_FW_VE11!A13*Pbar_FW_VE11!A13)/BetaYInj</f>
        <v>4.702713883910417</v>
      </c>
      <c r="H71">
        <f>6*GammaInj*((Pbar_FW_HE11!A13*Pbar_FW_HE11!A13)-(DxInj*$K$7*DxInj*$K$7))/BetaXInj</f>
        <v>20.98492788226716</v>
      </c>
      <c r="I71">
        <f>pbar_long!A13</f>
        <v>2.5175</v>
      </c>
      <c r="J71">
        <f t="shared" si="1"/>
        <v>272.66434282629393</v>
      </c>
      <c r="K71">
        <f t="shared" si="2"/>
        <v>123.18062465410544</v>
      </c>
      <c r="L71">
        <f>(freq*(B71*C71/(2*PI()*betaStar*(D71+G71)))*6*GammaTop*HourGlass/(36*36))*0.0000000001*9/8</f>
        <v>438.75494648448665</v>
      </c>
    </row>
    <row r="72" spans="1:12" ht="12.75">
      <c r="A72" t="s">
        <v>50</v>
      </c>
      <c r="B72">
        <f>Proton_int!A50</f>
        <v>10510.130000000003</v>
      </c>
      <c r="C72">
        <f>C71+SUM(pbar_int!AI15:pbar_int!AL15)</f>
        <v>2965.3900000000003</v>
      </c>
      <c r="D72">
        <f>6*GammaInj*(Proton_FW_VE11!A50*Proton_FW_VE11!A50)/BetaYInj</f>
        <v>19.04883541908881</v>
      </c>
      <c r="E72">
        <f>6*GammaInj*((Proton_FW_HE11!A50*Proton_FW_HE11!A50)-(DxInj*$K$7*DxInj*$K$7))/BetaXInj</f>
        <v>33.747863259708794</v>
      </c>
      <c r="F72">
        <f>proton_long!A50</f>
        <v>2.791666666666667</v>
      </c>
      <c r="G72">
        <f>6*GammaInj*(Pbar_FW_VE11!A14*Pbar_FW_VE11!A14)/BetaYInj</f>
        <v>4.474456354240887</v>
      </c>
      <c r="H72">
        <f>6*GammaInj*((Pbar_FW_HE11!A14*Pbar_FW_HE11!A14)-(DxInj*$K$7*DxInj*$K$7))/BetaXInj</f>
        <v>20.161014290552988</v>
      </c>
      <c r="I72">
        <f>pbar_long!A14</f>
        <v>2.5250000000000004</v>
      </c>
      <c r="J72">
        <f t="shared" si="1"/>
        <v>271.2098443489327</v>
      </c>
      <c r="K72">
        <f t="shared" si="2"/>
        <v>143.5915187552549</v>
      </c>
      <c r="L72">
        <f aca="true" t="shared" si="3" ref="L72:L81">(freq*(B72*C72/(2*PI()*betaStar*(D72+G72)))*6*GammaTop*HourGlass/(36*36))*0.0000000001</f>
        <v>425.4725392076251</v>
      </c>
    </row>
    <row r="73" spans="1:12" ht="12.75">
      <c r="A73" t="s">
        <v>51</v>
      </c>
      <c r="B73">
        <f>Proton_int!A51</f>
        <v>10473.02</v>
      </c>
      <c r="C73">
        <f>pbar_int!A16</f>
        <v>2960.3500000000004</v>
      </c>
      <c r="D73">
        <f>6*GammaInj*(Proton_FW_VE11!A51*Proton_FW_VE11!A51)/BetaYInj</f>
        <v>18.089843627222674</v>
      </c>
      <c r="E73">
        <f>6*GammaInj*((Proton_FW_HE11!A51*Proton_FW_HE11!A51)-(DxInj*$K$7*DxInj*$K$7))/BetaXInj</f>
        <v>34.39363767357369</v>
      </c>
      <c r="F73">
        <f>proton_long!A51</f>
        <v>2.795555555555555</v>
      </c>
      <c r="G73">
        <f>6*GammaInj*(Pbar_FW_VE11!A15*Pbar_FW_VE11!A15)/BetaYInj</f>
        <v>4.869825997178998</v>
      </c>
      <c r="H73">
        <f>6*GammaInj*((Pbar_FW_HE11!A15*Pbar_FW_HE11!A15)-(DxInj*$K$7*DxInj*$K$7))/BetaXInj</f>
        <v>20.72908398865865</v>
      </c>
      <c r="I73">
        <f>pbar_long!A15</f>
        <v>2.518888888888889</v>
      </c>
      <c r="J73">
        <f t="shared" si="1"/>
        <v>269.5006194655305</v>
      </c>
      <c r="K73">
        <f t="shared" si="2"/>
        <v>139.0264559277925</v>
      </c>
      <c r="L73">
        <f t="shared" si="3"/>
        <v>433.6397474270733</v>
      </c>
    </row>
    <row r="74" spans="1:12" ht="12.75">
      <c r="A74" t="s">
        <v>52</v>
      </c>
      <c r="B74">
        <f>Proton_int!A52</f>
        <v>10290.669999999996</v>
      </c>
      <c r="C74">
        <f>pbar_int!A17</f>
        <v>2919.4299999999994</v>
      </c>
      <c r="D74">
        <f>6*GammaAccel*(Proton_FW_VE11!A52*Proton_FW_VE11!A52)/BetaYAccel</f>
        <v>16.186555689428513</v>
      </c>
      <c r="E74">
        <f>6*GammaAccel*((Proton_FW_HE11!A52*Proton_FW_HE11!A52)-(DXAccel*$K$7*DXAccel*$K$7))/BetaXAccel</f>
        <v>36.23448986894425</v>
      </c>
      <c r="F74">
        <f>proton_long!A52</f>
        <v>2.5558333333333336</v>
      </c>
      <c r="G74">
        <f>6*GammaAccel*(Pbar_FW_VE11!A16*Pbar_FW_VE11!A16)/BetaYAccel</f>
        <v>4.591025209681021</v>
      </c>
      <c r="H74">
        <f>6*GammaAccel*((Pbar_FW_HE11!A16*Pbar_FW_HE11!A16)-(DXAccel*$K$7*DXAccel*$K$7))/BetaXAccel</f>
        <v>22.84307858316179</v>
      </c>
      <c r="I74">
        <f>pbar_long!A16</f>
        <v>2.3047222222222223</v>
      </c>
      <c r="J74">
        <f t="shared" si="1"/>
        <v>259.3052162062</v>
      </c>
      <c r="K74">
        <f t="shared" si="2"/>
        <v>125.29814595141211</v>
      </c>
      <c r="L74">
        <f t="shared" si="3"/>
        <v>464.32969648006565</v>
      </c>
    </row>
    <row r="75" spans="1:12" ht="12.75">
      <c r="A75" t="s">
        <v>53</v>
      </c>
      <c r="B75">
        <f>Proton_int!A53</f>
        <v>10030.679999999998</v>
      </c>
      <c r="C75">
        <f>pbar_int!A18</f>
        <v>2886.680000000001</v>
      </c>
      <c r="D75">
        <f>6*GammaFT*(Proton_FW_VE11!A53*Proton_FW_VE11!A53)/BetaYFT</f>
        <v>18.389437357444194</v>
      </c>
      <c r="E75">
        <f>6*GammaFT*((Proton_FW_HE11!A53*Proton_FW_HE11!A53)-(DXFT*$K$7*DXFT*$K$7))/BetaXFT</f>
        <v>28.25359386326985</v>
      </c>
      <c r="F75">
        <f>proton_long!A53</f>
        <v>1.6788888888888889</v>
      </c>
      <c r="G75">
        <f>6*GammaFT*(Pbar_FW_VE11!A17*Pbar_FW_VE11!A17)/BetaYFT</f>
        <v>5.221956145943676</v>
      </c>
      <c r="H75">
        <f>6*GammaFT*((Pbar_FW_HE11!A17*Pbar_FW_HE11!A17)-(DXFT*$K$7*DXFT*$K$7))/BetaXFT</f>
        <v>13.14674891387955</v>
      </c>
      <c r="I75">
        <f>pbar_long!A17</f>
        <v>1.5097222222222222</v>
      </c>
      <c r="J75">
        <f t="shared" si="1"/>
        <v>297.5484542514691</v>
      </c>
      <c r="K75">
        <f>C75/(SQRT((G75*G75)+(H75*H75)))</f>
        <v>204.06511539662824</v>
      </c>
      <c r="L75">
        <f t="shared" si="3"/>
        <v>393.8103481266317</v>
      </c>
    </row>
    <row r="76" spans="1:12" ht="12.75">
      <c r="A76" t="s">
        <v>54</v>
      </c>
      <c r="B76">
        <f>Proton_int!A54</f>
        <v>9670.369999999997</v>
      </c>
      <c r="C76">
        <f>pbar_int!A19</f>
        <v>2872.2000000000003</v>
      </c>
      <c r="D76">
        <f>6*GammaTop*(Proton_FW_VE11!A54*Proton_FW_VE11!A54)/BetaY</f>
        <v>17.915495839505084</v>
      </c>
      <c r="E76">
        <f>6*GammaTop*((Proton_FW_HE11!A54*Proton_FW_HE11!A54)-(Dx*$K$7*Dx*$K$7))/BetaX</f>
        <v>31.03758708397857</v>
      </c>
      <c r="F76">
        <f>proton_long!A54</f>
        <v>1.6919444444444445</v>
      </c>
      <c r="G76">
        <f>6*GammaTop*(Pbar_FW_VE11!A18*Pbar_FW_VE11!A18)/BetaY</f>
        <v>5.447953293283107</v>
      </c>
      <c r="H76">
        <f>6*GammaTop*((Pbar_FW_HE11!A18*Pbar_FW_HE11!A18)-(Dx*$K$7*Dx*$K$7))/BetaX</f>
        <v>13.485851321741256</v>
      </c>
      <c r="I76">
        <f>pbar_long!A18</f>
        <v>1.525277777777778</v>
      </c>
      <c r="J76">
        <f t="shared" si="1"/>
        <v>269.8425239069233</v>
      </c>
      <c r="K76">
        <f t="shared" si="2"/>
        <v>197.47395528609596</v>
      </c>
      <c r="L76">
        <f t="shared" si="3"/>
        <v>381.76888988276454</v>
      </c>
    </row>
    <row r="77" spans="1:12" ht="12.75">
      <c r="A77" t="s">
        <v>55</v>
      </c>
      <c r="B77">
        <f>Proton_int!A55</f>
        <v>9604.81</v>
      </c>
      <c r="C77">
        <f>pbar_int!A20</f>
        <v>2865.3600000000006</v>
      </c>
      <c r="D77">
        <f>6*GammaTop*(Proton_FW_VE11!A55*Proton_FW_VE11!A55)/BetaY</f>
        <v>16.277133951110304</v>
      </c>
      <c r="E77">
        <f>6*GammaTop*((Proton_FW_HE11!A55*Proton_FW_HE11!A55)-(Dx*$K$7*Dx*$K$7))/BetaX</f>
        <v>26.559020734963784</v>
      </c>
      <c r="F77">
        <f>proton_long!A55</f>
        <v>1.6919444444444445</v>
      </c>
      <c r="G77">
        <f>6*GammaTop*(Pbar_FW_VE11!A19*Pbar_FW_VE11!A19)/BetaY</f>
        <v>6.789469500672467</v>
      </c>
      <c r="H77">
        <f>6*GammaTop*((Pbar_FW_HE11!A19*Pbar_FW_HE11!A19)-(Dx*$K$7*Dx*$K$7))/BetaX</f>
        <v>9.994232543945614</v>
      </c>
      <c r="I77">
        <f>pbar_long!A19</f>
        <v>1.5275000000000003</v>
      </c>
      <c r="J77">
        <f t="shared" si="1"/>
        <v>308.3399470731711</v>
      </c>
      <c r="K77">
        <f t="shared" si="2"/>
        <v>237.15384135517164</v>
      </c>
      <c r="L77">
        <f t="shared" si="3"/>
        <v>383.1457800114812</v>
      </c>
    </row>
    <row r="78" spans="1:15" ht="12.75">
      <c r="A78" t="s">
        <v>136</v>
      </c>
      <c r="B78">
        <f>Proton_int!A56</f>
        <v>8960.89</v>
      </c>
      <c r="C78">
        <f>pbar_int!A21</f>
        <v>2784.7999999999997</v>
      </c>
      <c r="D78">
        <f>6*GammaTop*(Proton_FW_VE11!A56*Proton_FW_VE11!A56)/BetaY</f>
        <v>15.787329598453168</v>
      </c>
      <c r="E78">
        <f>6*GammaTop*((Proton_FW_HE11!A56*Proton_FW_HE11!A56)-(Dx*$K$7*Dx*$K$7))/BetaX</f>
        <v>25.28346020931108</v>
      </c>
      <c r="F78">
        <f>proton_long!A56</f>
        <v>1.6936111111111112</v>
      </c>
      <c r="G78">
        <f>6*GammaTop*(Pbar_FW_VE11!A20*Pbar_FW_VE11!A20)/BetaY</f>
        <v>8.306674773145696</v>
      </c>
      <c r="H78">
        <f>6*GammaTop*((Pbar_FW_HE11!A20*Pbar_FW_HE11!A20)-(Dx*$K$7*Dx*$K$7))/BetaX</f>
        <v>11.657997435729968</v>
      </c>
      <c r="I78">
        <f>pbar_long!A20</f>
        <v>1.568333333333333</v>
      </c>
      <c r="J78">
        <f>B78/(SQRT((D78*D78)+(E78*E78)))</f>
        <v>300.6243174128545</v>
      </c>
      <c r="K78">
        <f>C78/(SQRT((G78*G78)+(H78*H78)))</f>
        <v>194.54169637868625</v>
      </c>
      <c r="L78">
        <f>(freq*(B78*C78/(2*PI()*betaStar*(D78+G78)))*6*GammaTop*HourGlass/(36*36))*0.0000000001</f>
        <v>332.5951375379216</v>
      </c>
      <c r="O78" t="s">
        <v>221</v>
      </c>
    </row>
    <row r="79" spans="1:16" ht="12.75">
      <c r="A79" t="s">
        <v>57</v>
      </c>
      <c r="B79">
        <f>Proton_int!A57</f>
        <v>8942.190000000002</v>
      </c>
      <c r="C79">
        <f>pbar_int!A22</f>
        <v>2777.2400000000002</v>
      </c>
      <c r="D79">
        <f>6*GammaTop*(Proton_FW_VE11!A57*Proton_FW_VE11!A57)/BetaX</f>
        <v>24.160200668294372</v>
      </c>
      <c r="E79">
        <f>6*GammaTop*((Proton_FW_HE11!A57*Proton_FW_HE11!A57)-(Dx*$K$7*Dx*$K$7))/BetaX</f>
        <v>17.27424104176913</v>
      </c>
      <c r="F79">
        <f>proton_long!A57</f>
        <v>1.6969444444444441</v>
      </c>
      <c r="G79">
        <f>6*GammaTop*(Pbar_FW_VE11!A21*Pbar_FW_VE11!A21)/BetaY</f>
        <v>9.700484666142303</v>
      </c>
      <c r="H79">
        <f>6*GammaTop*((Pbar_FW_HE11!A21*Pbar_FW_HE11!A21)-(Dx*$K$7*Dx*$K$7))/BetaX</f>
        <v>6.0820610475122505</v>
      </c>
      <c r="I79">
        <f>pbar_long!A21</f>
        <v>1.5697222222222225</v>
      </c>
      <c r="J79">
        <f t="shared" si="1"/>
        <v>301.07962306287214</v>
      </c>
      <c r="K79">
        <f t="shared" si="2"/>
        <v>242.56447148820314</v>
      </c>
      <c r="L79">
        <f t="shared" si="3"/>
        <v>235.52731715495474</v>
      </c>
      <c r="M79">
        <f>Proton_int!A60</f>
        <v>275.74</v>
      </c>
      <c r="O79" s="6">
        <f>((M79+M80)/2)/((M79-M80)/0.5)</f>
        <v>4.48780068728522</v>
      </c>
      <c r="P79" t="s">
        <v>222</v>
      </c>
    </row>
    <row r="80" spans="1:13" ht="12.75">
      <c r="A80" t="s">
        <v>58</v>
      </c>
      <c r="B80">
        <f>Proton_int!A58</f>
        <v>8630.130000000001</v>
      </c>
      <c r="C80">
        <f>pbar_int!A23</f>
        <v>2693.5500000000006</v>
      </c>
      <c r="D80">
        <f>6*GammaTop*(Proton_FW_VE11!A58*Proton_FW_VE11!A58)/BetaX</f>
        <v>24.792130953923444</v>
      </c>
      <c r="E80">
        <f>6*GammaTop*((Proton_FW_HE11!A58*Proton_FW_HE11!A58)-(Dx*$K$7*Dx*$K$7))/BetaX</f>
        <v>17.871469709180985</v>
      </c>
      <c r="F80">
        <f>proton_long!A58</f>
        <v>1.7174999999999998</v>
      </c>
      <c r="G80">
        <f>6*GammaTop*(Pbar_FW_VE11!A22*Pbar_FW_VE11!A22)/BetaY</f>
        <v>10.13190757240205</v>
      </c>
      <c r="H80">
        <f>6*GammaTop*((Pbar_FW_HE11!A22*Pbar_FW_HE11!A22)-(Dx*$K$7*Dx*$K$7))/BetaX</f>
        <v>6.40116387794163</v>
      </c>
      <c r="I80">
        <f>pbar_long!A22</f>
        <v>1.613611111111111</v>
      </c>
      <c r="J80">
        <f t="shared" si="1"/>
        <v>282.3805561461781</v>
      </c>
      <c r="K80">
        <f t="shared" si="2"/>
        <v>224.7510767557385</v>
      </c>
      <c r="L80">
        <f t="shared" si="3"/>
        <v>213.7458270924816</v>
      </c>
      <c r="M80">
        <f>Proton_int!A61</f>
        <v>246.64</v>
      </c>
    </row>
    <row r="81" spans="1:13" ht="12.75">
      <c r="A81" t="s">
        <v>59</v>
      </c>
      <c r="B81">
        <f>Proton_int!A59</f>
        <v>0</v>
      </c>
      <c r="C81">
        <f>pbar_int!A24</f>
        <v>0</v>
      </c>
      <c r="D81">
        <f>6*GammaTop*(Proton_FW_VE11!A59*Proton_FW_VE11!A59)/BetaX</f>
        <v>0</v>
      </c>
      <c r="E81">
        <f>6*GammaTop*((Proton_FW_HE11!A59*Proton_FW_HE11!A59)-(Dx*$K$7*Dx*$K$7))/BetaX</f>
        <v>-0.0003222577994621645</v>
      </c>
      <c r="F81">
        <f>proton_long!A59</f>
        <v>0</v>
      </c>
      <c r="G81">
        <f>6*GammaTop*(Pbar_FW_VE11!A23*Pbar_FW_VE11!A23)/BetaY</f>
        <v>0</v>
      </c>
      <c r="H81">
        <f>6*GammaTop*((Pbar_FW_HE11!A23*Pbar_FW_HE11!A23)-(Dx*$K$7*Dx*$K$7))/BetaX</f>
        <v>-0.0003222577994621645</v>
      </c>
      <c r="I81">
        <f>pbar_long!A23</f>
        <v>0</v>
      </c>
      <c r="J81">
        <f t="shared" si="1"/>
        <v>0</v>
      </c>
      <c r="K81">
        <f t="shared" si="2"/>
        <v>0</v>
      </c>
      <c r="L81" t="e">
        <f t="shared" si="3"/>
        <v>#DIV/0!</v>
      </c>
      <c r="M81">
        <f>Proton_int!A62</f>
        <v>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6"/>
  <dimension ref="A1:AL120"/>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9.140625" defaultRowHeight="12.75"/>
  <cols>
    <col min="2" max="2" width="19.28125" style="0" bestFit="1" customWidth="1"/>
    <col min="3" max="38" width="7.00390625" style="0" customWidth="1"/>
  </cols>
  <sheetData>
    <row r="1" spans="1:38" ht="12.75">
      <c r="A1" t="s">
        <v>0</v>
      </c>
      <c r="B1" t="s">
        <v>224</v>
      </c>
      <c r="C1" t="s">
        <v>60</v>
      </c>
      <c r="D1" t="s">
        <v>61</v>
      </c>
      <c r="E1" t="s">
        <v>62</v>
      </c>
      <c r="F1" t="s">
        <v>63</v>
      </c>
      <c r="G1" t="s">
        <v>64</v>
      </c>
      <c r="H1" t="s">
        <v>65</v>
      </c>
      <c r="I1" t="s">
        <v>66</v>
      </c>
      <c r="J1" t="s">
        <v>67</v>
      </c>
      <c r="K1" t="s">
        <v>68</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90</v>
      </c>
      <c r="AH1" t="s">
        <v>91</v>
      </c>
      <c r="AI1" t="s">
        <v>92</v>
      </c>
      <c r="AJ1" t="s">
        <v>93</v>
      </c>
      <c r="AK1" t="s">
        <v>94</v>
      </c>
      <c r="AL1" t="s">
        <v>95</v>
      </c>
    </row>
    <row r="2" spans="1:38" ht="12.75">
      <c r="A2">
        <f>SUM(C2:AL2)</f>
        <v>13875.539999999999</v>
      </c>
      <c r="B2" t="s">
        <v>96</v>
      </c>
      <c r="C2">
        <v>392.75</v>
      </c>
      <c r="D2">
        <v>392.75</v>
      </c>
      <c r="E2">
        <v>386.11</v>
      </c>
      <c r="F2">
        <v>384.96</v>
      </c>
      <c r="G2">
        <v>381.78</v>
      </c>
      <c r="H2">
        <v>388.71</v>
      </c>
      <c r="I2">
        <v>389</v>
      </c>
      <c r="J2">
        <v>386.98</v>
      </c>
      <c r="K2">
        <v>384.96</v>
      </c>
      <c r="L2">
        <v>383.8</v>
      </c>
      <c r="M2">
        <v>386.4</v>
      </c>
      <c r="N2">
        <v>392.46</v>
      </c>
      <c r="O2">
        <v>390.73</v>
      </c>
      <c r="P2">
        <v>387.56</v>
      </c>
      <c r="Q2">
        <v>391.88</v>
      </c>
      <c r="R2">
        <v>385.25</v>
      </c>
      <c r="S2">
        <v>380.92</v>
      </c>
      <c r="T2">
        <v>387.56</v>
      </c>
      <c r="U2">
        <v>384.09</v>
      </c>
      <c r="V2">
        <v>386.11</v>
      </c>
      <c r="W2">
        <v>388.71</v>
      </c>
      <c r="X2">
        <v>380.05</v>
      </c>
      <c r="Y2">
        <v>380.92</v>
      </c>
      <c r="Z2">
        <v>392.46</v>
      </c>
      <c r="AA2">
        <v>377.46</v>
      </c>
      <c r="AB2">
        <v>386.69</v>
      </c>
      <c r="AC2">
        <v>383.52</v>
      </c>
      <c r="AD2">
        <v>384.96</v>
      </c>
      <c r="AE2">
        <v>382.65</v>
      </c>
      <c r="AF2">
        <v>382.36</v>
      </c>
      <c r="AG2">
        <v>378.9</v>
      </c>
      <c r="AH2">
        <v>381.5</v>
      </c>
      <c r="AI2">
        <v>380.05</v>
      </c>
      <c r="AJ2">
        <v>382.94</v>
      </c>
      <c r="AK2">
        <v>385.25</v>
      </c>
      <c r="AL2">
        <v>382.36</v>
      </c>
    </row>
    <row r="3" spans="1:38" ht="12.75">
      <c r="A3">
        <f aca="true" t="shared" si="0" ref="A3:A65">SUM(C3:AL3)</f>
        <v>13131.570000000002</v>
      </c>
      <c r="B3" t="s">
        <v>97</v>
      </c>
      <c r="C3">
        <v>373.13</v>
      </c>
      <c r="D3">
        <v>380.05</v>
      </c>
      <c r="E3">
        <v>367.93</v>
      </c>
      <c r="F3">
        <v>358.99</v>
      </c>
      <c r="G3">
        <v>359.56</v>
      </c>
      <c r="H3">
        <v>365.62</v>
      </c>
      <c r="I3">
        <v>366.78</v>
      </c>
      <c r="J3">
        <v>364.47</v>
      </c>
      <c r="K3">
        <v>361.87</v>
      </c>
      <c r="L3">
        <v>365.05</v>
      </c>
      <c r="M3">
        <v>359.28</v>
      </c>
      <c r="N3">
        <v>375.72</v>
      </c>
      <c r="O3">
        <v>373.99</v>
      </c>
      <c r="P3">
        <v>373.7</v>
      </c>
      <c r="Q3">
        <v>378.32</v>
      </c>
      <c r="R3">
        <v>370.82</v>
      </c>
      <c r="S3">
        <v>361.3</v>
      </c>
      <c r="T3">
        <v>367.93</v>
      </c>
      <c r="U3">
        <v>362.16</v>
      </c>
      <c r="V3">
        <v>365.91</v>
      </c>
      <c r="W3">
        <v>371.4</v>
      </c>
      <c r="X3">
        <v>357.54</v>
      </c>
      <c r="Y3">
        <v>359.85</v>
      </c>
      <c r="Z3">
        <v>369.66</v>
      </c>
      <c r="AA3">
        <v>354.95</v>
      </c>
      <c r="AB3">
        <v>367.07</v>
      </c>
      <c r="AC3">
        <v>363.03</v>
      </c>
      <c r="AD3">
        <v>366.2</v>
      </c>
      <c r="AE3">
        <v>354.95</v>
      </c>
      <c r="AF3">
        <v>361.58</v>
      </c>
      <c r="AG3">
        <v>354.66</v>
      </c>
      <c r="AH3">
        <v>359.85</v>
      </c>
      <c r="AI3">
        <v>353.5</v>
      </c>
      <c r="AJ3">
        <v>359.85</v>
      </c>
      <c r="AK3">
        <v>367.07</v>
      </c>
      <c r="AL3">
        <v>357.83</v>
      </c>
    </row>
    <row r="4" spans="1:38" ht="12.75">
      <c r="A4">
        <f t="shared" si="0"/>
        <v>11420.3</v>
      </c>
      <c r="B4" t="s">
        <v>98</v>
      </c>
      <c r="C4">
        <v>313.1</v>
      </c>
      <c r="D4">
        <v>309.64</v>
      </c>
      <c r="E4">
        <v>327.53</v>
      </c>
      <c r="F4">
        <v>312.24</v>
      </c>
      <c r="G4">
        <v>320.32</v>
      </c>
      <c r="H4">
        <v>328.97</v>
      </c>
      <c r="I4">
        <v>314.55</v>
      </c>
      <c r="J4">
        <v>315.99</v>
      </c>
      <c r="K4">
        <v>317.14</v>
      </c>
      <c r="L4">
        <v>323.2</v>
      </c>
      <c r="M4">
        <v>311.08</v>
      </c>
      <c r="N4">
        <v>323.49</v>
      </c>
      <c r="O4">
        <v>322.63</v>
      </c>
      <c r="P4">
        <v>321.47</v>
      </c>
      <c r="Q4">
        <v>313.1</v>
      </c>
      <c r="R4">
        <v>316.28</v>
      </c>
      <c r="S4">
        <v>309.93</v>
      </c>
      <c r="T4">
        <v>319.45</v>
      </c>
      <c r="U4">
        <v>320.89</v>
      </c>
      <c r="V4">
        <v>320.89</v>
      </c>
      <c r="W4">
        <v>317.14</v>
      </c>
      <c r="X4">
        <v>314.83</v>
      </c>
      <c r="Y4">
        <v>320.32</v>
      </c>
      <c r="Z4">
        <v>322.05</v>
      </c>
      <c r="AA4">
        <v>307.62</v>
      </c>
      <c r="AB4">
        <v>313.1</v>
      </c>
      <c r="AC4">
        <v>317.14</v>
      </c>
      <c r="AD4">
        <v>318.87</v>
      </c>
      <c r="AE4">
        <v>312.81</v>
      </c>
      <c r="AF4">
        <v>313.1</v>
      </c>
      <c r="AG4">
        <v>318.3</v>
      </c>
      <c r="AH4">
        <v>322.34</v>
      </c>
      <c r="AI4">
        <v>305.89</v>
      </c>
      <c r="AJ4">
        <v>322.05</v>
      </c>
      <c r="AK4">
        <v>316.28</v>
      </c>
      <c r="AL4">
        <v>316.57</v>
      </c>
    </row>
    <row r="5" spans="1:38" ht="12.75">
      <c r="A5">
        <f t="shared" si="0"/>
        <v>320.57</v>
      </c>
      <c r="B5" t="s">
        <v>99</v>
      </c>
      <c r="C5">
        <v>320.57</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f t="shared" si="0"/>
        <v>638.26</v>
      </c>
      <c r="B6" t="s">
        <v>100</v>
      </c>
      <c r="C6">
        <v>318.91</v>
      </c>
      <c r="D6">
        <v>319.35</v>
      </c>
      <c r="E6" t="s">
        <v>139</v>
      </c>
      <c r="F6" t="s">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f t="shared" si="0"/>
        <v>968.9399999999998</v>
      </c>
      <c r="B7" t="s">
        <v>101</v>
      </c>
      <c r="C7">
        <v>318.59</v>
      </c>
      <c r="D7">
        <v>314.52</v>
      </c>
      <c r="E7">
        <v>335.83</v>
      </c>
      <c r="F7" t="s">
        <v>139</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 t="shared" si="0"/>
        <v>1285.65</v>
      </c>
      <c r="B8" t="s">
        <v>102</v>
      </c>
      <c r="C8">
        <v>319.36</v>
      </c>
      <c r="D8">
        <v>315.36</v>
      </c>
      <c r="E8">
        <v>331.93</v>
      </c>
      <c r="F8">
        <v>319</v>
      </c>
      <c r="G8" t="s">
        <v>139</v>
      </c>
      <c r="H8" t="s">
        <v>139</v>
      </c>
      <c r="I8" t="s">
        <v>139</v>
      </c>
      <c r="J8" t="s">
        <v>139</v>
      </c>
      <c r="K8" t="s">
        <v>139</v>
      </c>
      <c r="L8" t="s">
        <v>139</v>
      </c>
      <c r="M8" t="s">
        <v>139</v>
      </c>
      <c r="N8" t="s">
        <v>139</v>
      </c>
      <c r="O8" t="s">
        <v>139</v>
      </c>
      <c r="P8" t="s">
        <v>139</v>
      </c>
      <c r="Q8" t="s">
        <v>139</v>
      </c>
      <c r="R8" t="s">
        <v>139</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f t="shared" si="0"/>
        <v>1609.9799999999998</v>
      </c>
      <c r="B9" t="s">
        <v>103</v>
      </c>
      <c r="C9">
        <v>319.02</v>
      </c>
      <c r="D9">
        <v>313.59</v>
      </c>
      <c r="E9">
        <v>333.11</v>
      </c>
      <c r="F9">
        <v>317.42</v>
      </c>
      <c r="G9">
        <v>326.84</v>
      </c>
      <c r="H9" t="s">
        <v>139</v>
      </c>
      <c r="I9" t="s">
        <v>139</v>
      </c>
      <c r="J9" t="s">
        <v>139</v>
      </c>
      <c r="K9" t="s">
        <v>139</v>
      </c>
      <c r="L9" t="s">
        <v>139</v>
      </c>
      <c r="M9" t="s">
        <v>139</v>
      </c>
      <c r="N9" t="s">
        <v>139</v>
      </c>
      <c r="O9" t="s">
        <v>139</v>
      </c>
      <c r="P9" t="s">
        <v>139</v>
      </c>
      <c r="Q9" t="s">
        <v>139</v>
      </c>
      <c r="R9" t="s">
        <v>139</v>
      </c>
      <c r="S9" t="s">
        <v>139</v>
      </c>
      <c r="T9" t="s">
        <v>139</v>
      </c>
      <c r="U9" t="s">
        <v>139</v>
      </c>
      <c r="V9" t="s">
        <v>139</v>
      </c>
      <c r="W9" t="s">
        <v>139</v>
      </c>
      <c r="X9" t="s">
        <v>139</v>
      </c>
      <c r="Y9" t="s">
        <v>139</v>
      </c>
      <c r="Z9" t="s">
        <v>139</v>
      </c>
      <c r="AA9" t="s">
        <v>139</v>
      </c>
      <c r="AB9" t="s">
        <v>139</v>
      </c>
      <c r="AC9" t="s">
        <v>139</v>
      </c>
      <c r="AD9" t="s">
        <v>139</v>
      </c>
      <c r="AE9" t="s">
        <v>139</v>
      </c>
      <c r="AF9" t="s">
        <v>139</v>
      </c>
      <c r="AG9" t="s">
        <v>139</v>
      </c>
      <c r="AH9" t="s">
        <v>139</v>
      </c>
      <c r="AI9" t="s">
        <v>139</v>
      </c>
      <c r="AJ9" t="s">
        <v>139</v>
      </c>
      <c r="AK9" t="s">
        <v>139</v>
      </c>
      <c r="AL9" t="s">
        <v>139</v>
      </c>
    </row>
    <row r="10" spans="1:38" ht="12.75">
      <c r="A10">
        <f t="shared" si="0"/>
        <v>1939.4099999999999</v>
      </c>
      <c r="B10" t="s">
        <v>104</v>
      </c>
      <c r="C10">
        <v>318.34</v>
      </c>
      <c r="D10">
        <v>314.27</v>
      </c>
      <c r="E10">
        <v>331.23</v>
      </c>
      <c r="F10">
        <v>318.38</v>
      </c>
      <c r="G10">
        <v>323.09</v>
      </c>
      <c r="H10">
        <v>334.1</v>
      </c>
      <c r="I10" t="s">
        <v>139</v>
      </c>
      <c r="J10" t="s">
        <v>139</v>
      </c>
      <c r="K10" t="s">
        <v>139</v>
      </c>
      <c r="L10" t="s">
        <v>139</v>
      </c>
      <c r="M10" t="s">
        <v>139</v>
      </c>
      <c r="N10" t="s">
        <v>139</v>
      </c>
      <c r="O10" t="s">
        <v>139</v>
      </c>
      <c r="P10" t="s">
        <v>139</v>
      </c>
      <c r="Q10" t="s">
        <v>139</v>
      </c>
      <c r="R10" t="s">
        <v>139</v>
      </c>
      <c r="S10" t="s">
        <v>139</v>
      </c>
      <c r="T10" t="s">
        <v>139</v>
      </c>
      <c r="U10" t="s">
        <v>139</v>
      </c>
      <c r="V10" t="s">
        <v>139</v>
      </c>
      <c r="W10" t="s">
        <v>139</v>
      </c>
      <c r="X10" t="s">
        <v>139</v>
      </c>
      <c r="Y10" t="s">
        <v>139</v>
      </c>
      <c r="Z10" t="s">
        <v>139</v>
      </c>
      <c r="AA10" t="s">
        <v>139</v>
      </c>
      <c r="AB10" t="s">
        <v>139</v>
      </c>
      <c r="AC10" t="s">
        <v>139</v>
      </c>
      <c r="AD10" t="s">
        <v>139</v>
      </c>
      <c r="AE10" t="s">
        <v>139</v>
      </c>
      <c r="AF10" t="s">
        <v>139</v>
      </c>
      <c r="AG10" t="s">
        <v>139</v>
      </c>
      <c r="AH10" t="s">
        <v>139</v>
      </c>
      <c r="AI10" t="s">
        <v>139</v>
      </c>
      <c r="AJ10" t="s">
        <v>139</v>
      </c>
      <c r="AK10" t="s">
        <v>139</v>
      </c>
      <c r="AL10" t="s">
        <v>139</v>
      </c>
    </row>
    <row r="11" spans="1:38" ht="12.75">
      <c r="A11">
        <f t="shared" si="0"/>
        <v>2258.02</v>
      </c>
      <c r="B11" t="s">
        <v>105</v>
      </c>
      <c r="C11">
        <v>318.03</v>
      </c>
      <c r="D11">
        <v>313.44</v>
      </c>
      <c r="E11">
        <v>331.84</v>
      </c>
      <c r="F11">
        <v>316.71</v>
      </c>
      <c r="G11">
        <v>323.1</v>
      </c>
      <c r="H11">
        <v>331.08</v>
      </c>
      <c r="I11">
        <v>323.82</v>
      </c>
      <c r="J11" t="s">
        <v>139</v>
      </c>
      <c r="K11" t="s">
        <v>139</v>
      </c>
      <c r="L11" t="s">
        <v>139</v>
      </c>
      <c r="M11" t="s">
        <v>139</v>
      </c>
      <c r="N11" t="s">
        <v>139</v>
      </c>
      <c r="O11" t="s">
        <v>139</v>
      </c>
      <c r="P11" t="s">
        <v>139</v>
      </c>
      <c r="Q11" t="s">
        <v>139</v>
      </c>
      <c r="R11" t="s">
        <v>139</v>
      </c>
      <c r="S11" t="s">
        <v>139</v>
      </c>
      <c r="T11" t="s">
        <v>139</v>
      </c>
      <c r="U11" t="s">
        <v>139</v>
      </c>
      <c r="V11" t="s">
        <v>139</v>
      </c>
      <c r="W11" t="s">
        <v>139</v>
      </c>
      <c r="X11" t="s">
        <v>139</v>
      </c>
      <c r="Y11" t="s">
        <v>139</v>
      </c>
      <c r="Z11" t="s">
        <v>139</v>
      </c>
      <c r="AA11" t="s">
        <v>139</v>
      </c>
      <c r="AB11" t="s">
        <v>139</v>
      </c>
      <c r="AC11" t="s">
        <v>139</v>
      </c>
      <c r="AD11" t="s">
        <v>139</v>
      </c>
      <c r="AE11" t="s">
        <v>139</v>
      </c>
      <c r="AF11" t="s">
        <v>139</v>
      </c>
      <c r="AG11" t="s">
        <v>139</v>
      </c>
      <c r="AH11" t="s">
        <v>139</v>
      </c>
      <c r="AI11" t="s">
        <v>139</v>
      </c>
      <c r="AJ11" t="s">
        <v>139</v>
      </c>
      <c r="AK11" t="s">
        <v>139</v>
      </c>
      <c r="AL11" t="s">
        <v>139</v>
      </c>
    </row>
    <row r="12" spans="1:38" ht="12.75">
      <c r="A12">
        <f t="shared" si="0"/>
        <v>2578.04</v>
      </c>
      <c r="B12" t="s">
        <v>106</v>
      </c>
      <c r="C12">
        <v>319.17</v>
      </c>
      <c r="D12">
        <v>313.46</v>
      </c>
      <c r="E12">
        <v>331.42</v>
      </c>
      <c r="F12">
        <v>316.77</v>
      </c>
      <c r="G12">
        <v>322.64</v>
      </c>
      <c r="H12">
        <v>330.9</v>
      </c>
      <c r="I12">
        <v>321.96</v>
      </c>
      <c r="J12">
        <v>321.72</v>
      </c>
      <c r="K12" t="s">
        <v>139</v>
      </c>
      <c r="L12" t="s">
        <v>139</v>
      </c>
      <c r="M12" t="s">
        <v>139</v>
      </c>
      <c r="N12" t="s">
        <v>139</v>
      </c>
      <c r="O12" t="s">
        <v>139</v>
      </c>
      <c r="P12" t="s">
        <v>139</v>
      </c>
      <c r="Q12" t="s">
        <v>139</v>
      </c>
      <c r="R12" t="s">
        <v>139</v>
      </c>
      <c r="S12" t="s">
        <v>139</v>
      </c>
      <c r="T12" t="s">
        <v>139</v>
      </c>
      <c r="U12" t="s">
        <v>139</v>
      </c>
      <c r="V12" t="s">
        <v>139</v>
      </c>
      <c r="W12" t="s">
        <v>139</v>
      </c>
      <c r="X12" t="s">
        <v>139</v>
      </c>
      <c r="Y12" t="s">
        <v>139</v>
      </c>
      <c r="Z12" t="s">
        <v>139</v>
      </c>
      <c r="AA12" t="s">
        <v>139</v>
      </c>
      <c r="AB12" t="s">
        <v>139</v>
      </c>
      <c r="AC12" t="s">
        <v>139</v>
      </c>
      <c r="AD12" t="s">
        <v>139</v>
      </c>
      <c r="AE12" t="s">
        <v>139</v>
      </c>
      <c r="AF12" t="s">
        <v>139</v>
      </c>
      <c r="AG12" t="s">
        <v>139</v>
      </c>
      <c r="AH12" t="s">
        <v>139</v>
      </c>
      <c r="AI12" t="s">
        <v>139</v>
      </c>
      <c r="AJ12" t="s">
        <v>139</v>
      </c>
      <c r="AK12" t="s">
        <v>139</v>
      </c>
      <c r="AL12" t="s">
        <v>139</v>
      </c>
    </row>
    <row r="13" spans="1:38" ht="12.75">
      <c r="A13">
        <f t="shared" si="0"/>
        <v>2897.6400000000003</v>
      </c>
      <c r="B13" t="s">
        <v>107</v>
      </c>
      <c r="C13">
        <v>317.87</v>
      </c>
      <c r="D13">
        <v>312.96</v>
      </c>
      <c r="E13">
        <v>330.37</v>
      </c>
      <c r="F13">
        <v>317.79</v>
      </c>
      <c r="G13">
        <v>322.14</v>
      </c>
      <c r="H13">
        <v>332.24</v>
      </c>
      <c r="I13">
        <v>321.14</v>
      </c>
      <c r="J13">
        <v>318.15</v>
      </c>
      <c r="K13">
        <v>324.98</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c r="AF13" t="s">
        <v>139</v>
      </c>
      <c r="AG13" t="s">
        <v>139</v>
      </c>
      <c r="AH13" t="s">
        <v>139</v>
      </c>
      <c r="AI13" t="s">
        <v>139</v>
      </c>
      <c r="AJ13" t="s">
        <v>139</v>
      </c>
      <c r="AK13" t="s">
        <v>139</v>
      </c>
      <c r="AL13" t="s">
        <v>139</v>
      </c>
    </row>
    <row r="14" spans="1:38" ht="12.75">
      <c r="A14">
        <f t="shared" si="0"/>
        <v>3224.37</v>
      </c>
      <c r="B14" t="s">
        <v>108</v>
      </c>
      <c r="C14">
        <v>317.95</v>
      </c>
      <c r="D14">
        <v>313.68</v>
      </c>
      <c r="E14">
        <v>331.24</v>
      </c>
      <c r="F14">
        <v>316.75</v>
      </c>
      <c r="G14">
        <v>322.66</v>
      </c>
      <c r="H14">
        <v>331.16</v>
      </c>
      <c r="I14">
        <v>320.43</v>
      </c>
      <c r="J14">
        <v>317.71</v>
      </c>
      <c r="K14">
        <v>323.7</v>
      </c>
      <c r="L14">
        <v>329.09</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row>
    <row r="15" spans="1:38" ht="12.75">
      <c r="A15">
        <f t="shared" si="0"/>
        <v>3539.1899999999996</v>
      </c>
      <c r="B15" t="s">
        <v>109</v>
      </c>
      <c r="C15">
        <v>317.51</v>
      </c>
      <c r="D15">
        <v>313.43</v>
      </c>
      <c r="E15">
        <v>330.88</v>
      </c>
      <c r="F15">
        <v>317.27</v>
      </c>
      <c r="G15">
        <v>322.1</v>
      </c>
      <c r="H15">
        <v>330.32</v>
      </c>
      <c r="I15">
        <v>320.46</v>
      </c>
      <c r="J15">
        <v>318.58</v>
      </c>
      <c r="K15">
        <v>322.89</v>
      </c>
      <c r="L15">
        <v>326.49</v>
      </c>
      <c r="M15">
        <v>319.26</v>
      </c>
      <c r="N15" t="s">
        <v>139</v>
      </c>
      <c r="O15" t="s">
        <v>139</v>
      </c>
      <c r="P15" t="s">
        <v>139</v>
      </c>
      <c r="Q15" t="s">
        <v>139</v>
      </c>
      <c r="R15" t="s">
        <v>139</v>
      </c>
      <c r="S15" t="s">
        <v>139</v>
      </c>
      <c r="T15" t="s">
        <v>139</v>
      </c>
      <c r="U15" t="s">
        <v>139</v>
      </c>
      <c r="V15" t="s">
        <v>139</v>
      </c>
      <c r="W15" t="s">
        <v>139</v>
      </c>
      <c r="X15" t="s">
        <v>139</v>
      </c>
      <c r="Y15" t="s">
        <v>139</v>
      </c>
      <c r="Z15" t="s">
        <v>139</v>
      </c>
      <c r="AA15" t="s">
        <v>139</v>
      </c>
      <c r="AB15" t="s">
        <v>139</v>
      </c>
      <c r="AC15" t="s">
        <v>139</v>
      </c>
      <c r="AD15" t="s">
        <v>139</v>
      </c>
      <c r="AE15" t="s">
        <v>139</v>
      </c>
      <c r="AF15" t="s">
        <v>139</v>
      </c>
      <c r="AG15" t="s">
        <v>139</v>
      </c>
      <c r="AH15" t="s">
        <v>139</v>
      </c>
      <c r="AI15" t="s">
        <v>139</v>
      </c>
      <c r="AJ15" t="s">
        <v>139</v>
      </c>
      <c r="AK15" t="s">
        <v>139</v>
      </c>
      <c r="AL15" t="s">
        <v>139</v>
      </c>
    </row>
    <row r="16" spans="1:38" ht="12.75">
      <c r="A16">
        <f t="shared" si="0"/>
        <v>3868.4500000000003</v>
      </c>
      <c r="B16" t="s">
        <v>110</v>
      </c>
      <c r="C16">
        <v>318.38</v>
      </c>
      <c r="D16">
        <v>312.4</v>
      </c>
      <c r="E16">
        <v>331.12</v>
      </c>
      <c r="F16">
        <v>317.15</v>
      </c>
      <c r="G16">
        <v>323.05</v>
      </c>
      <c r="H16">
        <v>332.08</v>
      </c>
      <c r="I16">
        <v>320.9</v>
      </c>
      <c r="J16">
        <v>317.67</v>
      </c>
      <c r="K16">
        <v>322.5</v>
      </c>
      <c r="L16">
        <v>326.73</v>
      </c>
      <c r="M16">
        <v>315.11</v>
      </c>
      <c r="N16">
        <v>331.36</v>
      </c>
      <c r="O16" t="s">
        <v>139</v>
      </c>
      <c r="P16" t="s">
        <v>139</v>
      </c>
      <c r="Q16" t="s">
        <v>139</v>
      </c>
      <c r="R16" t="s">
        <v>139</v>
      </c>
      <c r="S16" t="s">
        <v>139</v>
      </c>
      <c r="T16" t="s">
        <v>139</v>
      </c>
      <c r="U16" t="s">
        <v>139</v>
      </c>
      <c r="V16" t="s">
        <v>139</v>
      </c>
      <c r="W16" t="s">
        <v>139</v>
      </c>
      <c r="X16" t="s">
        <v>139</v>
      </c>
      <c r="Y16" t="s">
        <v>139</v>
      </c>
      <c r="Z16" t="s">
        <v>139</v>
      </c>
      <c r="AA16" t="s">
        <v>139</v>
      </c>
      <c r="AB16" t="s">
        <v>139</v>
      </c>
      <c r="AC16" t="s">
        <v>139</v>
      </c>
      <c r="AD16" t="s">
        <v>139</v>
      </c>
      <c r="AE16" t="s">
        <v>139</v>
      </c>
      <c r="AF16" t="s">
        <v>139</v>
      </c>
      <c r="AG16" t="s">
        <v>139</v>
      </c>
      <c r="AH16" t="s">
        <v>139</v>
      </c>
      <c r="AI16" t="s">
        <v>139</v>
      </c>
      <c r="AJ16" t="s">
        <v>139</v>
      </c>
      <c r="AK16" t="s">
        <v>139</v>
      </c>
      <c r="AL16" t="s">
        <v>139</v>
      </c>
    </row>
    <row r="17" spans="1:38" ht="12.75">
      <c r="A17">
        <f t="shared" si="0"/>
        <v>4193.650000000001</v>
      </c>
      <c r="B17" t="s">
        <v>111</v>
      </c>
      <c r="C17">
        <v>319.24</v>
      </c>
      <c r="D17">
        <v>313.09</v>
      </c>
      <c r="E17">
        <v>331.65</v>
      </c>
      <c r="F17">
        <v>316.52</v>
      </c>
      <c r="G17">
        <v>323.23</v>
      </c>
      <c r="H17">
        <v>330.13</v>
      </c>
      <c r="I17">
        <v>320.11</v>
      </c>
      <c r="J17">
        <v>318.04</v>
      </c>
      <c r="K17">
        <v>321.11</v>
      </c>
      <c r="L17">
        <v>325.3</v>
      </c>
      <c r="M17">
        <v>315.6</v>
      </c>
      <c r="N17">
        <v>327.7</v>
      </c>
      <c r="O17">
        <v>331.93</v>
      </c>
      <c r="P17" t="s">
        <v>139</v>
      </c>
      <c r="Q17" t="s">
        <v>139</v>
      </c>
      <c r="R17" t="s">
        <v>139</v>
      </c>
      <c r="S17" t="s">
        <v>139</v>
      </c>
      <c r="T17" t="s">
        <v>139</v>
      </c>
      <c r="U17" t="s">
        <v>139</v>
      </c>
      <c r="V17" t="s">
        <v>139</v>
      </c>
      <c r="W17" t="s">
        <v>139</v>
      </c>
      <c r="X17" t="s">
        <v>139</v>
      </c>
      <c r="Y17" t="s">
        <v>139</v>
      </c>
      <c r="Z17" t="s">
        <v>139</v>
      </c>
      <c r="AA17" t="s">
        <v>139</v>
      </c>
      <c r="AB17" t="s">
        <v>139</v>
      </c>
      <c r="AC17" t="s">
        <v>139</v>
      </c>
      <c r="AD17" t="s">
        <v>139</v>
      </c>
      <c r="AE17" t="s">
        <v>139</v>
      </c>
      <c r="AF17" t="s">
        <v>139</v>
      </c>
      <c r="AG17" t="s">
        <v>139</v>
      </c>
      <c r="AH17" t="s">
        <v>139</v>
      </c>
      <c r="AI17" t="s">
        <v>139</v>
      </c>
      <c r="AJ17" t="s">
        <v>139</v>
      </c>
      <c r="AK17" t="s">
        <v>139</v>
      </c>
      <c r="AL17" t="s">
        <v>139</v>
      </c>
    </row>
    <row r="18" spans="1:38" ht="12.75">
      <c r="A18">
        <f t="shared" si="0"/>
        <v>4519.400000000001</v>
      </c>
      <c r="B18" t="s">
        <v>112</v>
      </c>
      <c r="C18">
        <v>318.75</v>
      </c>
      <c r="D18">
        <v>313.08</v>
      </c>
      <c r="E18">
        <v>331.24</v>
      </c>
      <c r="F18">
        <v>316.75</v>
      </c>
      <c r="G18">
        <v>321.42</v>
      </c>
      <c r="H18">
        <v>331.56</v>
      </c>
      <c r="I18">
        <v>320.15</v>
      </c>
      <c r="J18">
        <v>317.67</v>
      </c>
      <c r="K18">
        <v>321.34</v>
      </c>
      <c r="L18">
        <v>325.14</v>
      </c>
      <c r="M18">
        <v>315.68</v>
      </c>
      <c r="N18">
        <v>328.57</v>
      </c>
      <c r="O18">
        <v>327.33</v>
      </c>
      <c r="P18">
        <v>330.72</v>
      </c>
      <c r="Q18" t="s">
        <v>139</v>
      </c>
      <c r="R18" t="s">
        <v>139</v>
      </c>
      <c r="S18" t="s">
        <v>139</v>
      </c>
      <c r="T18" t="s">
        <v>139</v>
      </c>
      <c r="U18" t="s">
        <v>139</v>
      </c>
      <c r="V18" t="s">
        <v>139</v>
      </c>
      <c r="W18" t="s">
        <v>139</v>
      </c>
      <c r="X18" t="s">
        <v>139</v>
      </c>
      <c r="Y18" t="s">
        <v>139</v>
      </c>
      <c r="Z18" t="s">
        <v>139</v>
      </c>
      <c r="AA18" t="s">
        <v>139</v>
      </c>
      <c r="AB18" t="s">
        <v>139</v>
      </c>
      <c r="AC18" t="s">
        <v>139</v>
      </c>
      <c r="AD18" t="s">
        <v>139</v>
      </c>
      <c r="AE18" t="s">
        <v>139</v>
      </c>
      <c r="AF18" t="s">
        <v>139</v>
      </c>
      <c r="AG18" t="s">
        <v>139</v>
      </c>
      <c r="AH18" t="s">
        <v>139</v>
      </c>
      <c r="AI18" t="s">
        <v>139</v>
      </c>
      <c r="AJ18" t="s">
        <v>139</v>
      </c>
      <c r="AK18" t="s">
        <v>139</v>
      </c>
      <c r="AL18" t="s">
        <v>139</v>
      </c>
    </row>
    <row r="19" spans="1:38" ht="12.75">
      <c r="A19">
        <f t="shared" si="0"/>
        <v>4832.07</v>
      </c>
      <c r="B19" t="s">
        <v>113</v>
      </c>
      <c r="C19">
        <v>318.6</v>
      </c>
      <c r="D19">
        <v>312.7</v>
      </c>
      <c r="E19">
        <v>330.98</v>
      </c>
      <c r="F19">
        <v>316.73</v>
      </c>
      <c r="G19">
        <v>322.08</v>
      </c>
      <c r="H19">
        <v>330.02</v>
      </c>
      <c r="I19">
        <v>319.92</v>
      </c>
      <c r="J19">
        <v>316.77</v>
      </c>
      <c r="K19">
        <v>321.92</v>
      </c>
      <c r="L19">
        <v>325.63</v>
      </c>
      <c r="M19">
        <v>315.49</v>
      </c>
      <c r="N19">
        <v>327.94</v>
      </c>
      <c r="O19">
        <v>327.46</v>
      </c>
      <c r="P19">
        <v>326.39</v>
      </c>
      <c r="Q19">
        <v>319.44</v>
      </c>
      <c r="R19" t="s">
        <v>139</v>
      </c>
      <c r="S19" t="s">
        <v>139</v>
      </c>
      <c r="T19" t="s">
        <v>139</v>
      </c>
      <c r="U19" t="s">
        <v>139</v>
      </c>
      <c r="V19" t="s">
        <v>139</v>
      </c>
      <c r="W19" t="s">
        <v>139</v>
      </c>
      <c r="X19" t="s">
        <v>139</v>
      </c>
      <c r="Y19" t="s">
        <v>139</v>
      </c>
      <c r="Z19" t="s">
        <v>139</v>
      </c>
      <c r="AA19" t="s">
        <v>139</v>
      </c>
      <c r="AB19" t="s">
        <v>139</v>
      </c>
      <c r="AC19" t="s">
        <v>139</v>
      </c>
      <c r="AD19" t="s">
        <v>139</v>
      </c>
      <c r="AE19" t="s">
        <v>139</v>
      </c>
      <c r="AF19" t="s">
        <v>139</v>
      </c>
      <c r="AG19" t="s">
        <v>139</v>
      </c>
      <c r="AH19" t="s">
        <v>139</v>
      </c>
      <c r="AI19" t="s">
        <v>139</v>
      </c>
      <c r="AJ19" t="s">
        <v>139</v>
      </c>
      <c r="AK19" t="s">
        <v>139</v>
      </c>
      <c r="AL19" t="s">
        <v>139</v>
      </c>
    </row>
    <row r="20" spans="1:38" ht="12.75">
      <c r="A20">
        <f t="shared" si="0"/>
        <v>5144.719999999998</v>
      </c>
      <c r="B20" t="s">
        <v>114</v>
      </c>
      <c r="C20">
        <v>317.8</v>
      </c>
      <c r="D20">
        <v>312.22</v>
      </c>
      <c r="E20">
        <v>331.1</v>
      </c>
      <c r="F20">
        <v>316.25</v>
      </c>
      <c r="G20">
        <v>322.67</v>
      </c>
      <c r="H20">
        <v>328.7</v>
      </c>
      <c r="I20">
        <v>320.96</v>
      </c>
      <c r="J20">
        <v>316.49</v>
      </c>
      <c r="K20">
        <v>322.12</v>
      </c>
      <c r="L20">
        <v>325.19</v>
      </c>
      <c r="M20">
        <v>315.77</v>
      </c>
      <c r="N20">
        <v>326.99</v>
      </c>
      <c r="O20">
        <v>325.95</v>
      </c>
      <c r="P20">
        <v>323.71</v>
      </c>
      <c r="Q20">
        <v>313.69</v>
      </c>
      <c r="R20">
        <v>325.11</v>
      </c>
      <c r="S20" t="s">
        <v>139</v>
      </c>
      <c r="T20" t="s">
        <v>139</v>
      </c>
      <c r="U20" t="s">
        <v>139</v>
      </c>
      <c r="V20" t="s">
        <v>139</v>
      </c>
      <c r="W20" t="s">
        <v>139</v>
      </c>
      <c r="X20" t="s">
        <v>139</v>
      </c>
      <c r="Y20" t="s">
        <v>139</v>
      </c>
      <c r="Z20" t="s">
        <v>139</v>
      </c>
      <c r="AA20" t="s">
        <v>139</v>
      </c>
      <c r="AB20" t="s">
        <v>139</v>
      </c>
      <c r="AC20" t="s">
        <v>139</v>
      </c>
      <c r="AD20" t="s">
        <v>139</v>
      </c>
      <c r="AE20" t="s">
        <v>139</v>
      </c>
      <c r="AF20" t="s">
        <v>139</v>
      </c>
      <c r="AG20" t="s">
        <v>139</v>
      </c>
      <c r="AH20" t="s">
        <v>139</v>
      </c>
      <c r="AI20" t="s">
        <v>139</v>
      </c>
      <c r="AJ20" t="s">
        <v>139</v>
      </c>
      <c r="AK20" t="s">
        <v>139</v>
      </c>
      <c r="AL20" t="s">
        <v>139</v>
      </c>
    </row>
    <row r="21" spans="1:38" ht="12.75">
      <c r="A21">
        <f t="shared" si="0"/>
        <v>5458.849999999999</v>
      </c>
      <c r="B21" t="s">
        <v>115</v>
      </c>
      <c r="C21">
        <v>318.27</v>
      </c>
      <c r="D21">
        <v>311.76</v>
      </c>
      <c r="E21">
        <v>330.84</v>
      </c>
      <c r="F21">
        <v>316.23</v>
      </c>
      <c r="G21">
        <v>321.82</v>
      </c>
      <c r="H21">
        <v>330.09</v>
      </c>
      <c r="I21">
        <v>319.75</v>
      </c>
      <c r="J21">
        <v>317.71</v>
      </c>
      <c r="K21">
        <v>320.71</v>
      </c>
      <c r="L21">
        <v>324.7</v>
      </c>
      <c r="M21">
        <v>314.48</v>
      </c>
      <c r="N21">
        <v>327.89</v>
      </c>
      <c r="O21">
        <v>326.73</v>
      </c>
      <c r="P21">
        <v>324.42</v>
      </c>
      <c r="Q21">
        <v>313.36</v>
      </c>
      <c r="R21">
        <v>322.14</v>
      </c>
      <c r="S21">
        <v>317.95</v>
      </c>
      <c r="T21" t="s">
        <v>139</v>
      </c>
      <c r="U21" t="s">
        <v>139</v>
      </c>
      <c r="V21" t="s">
        <v>139</v>
      </c>
      <c r="W21" t="s">
        <v>139</v>
      </c>
      <c r="X21" t="s">
        <v>139</v>
      </c>
      <c r="Y21" t="s">
        <v>139</v>
      </c>
      <c r="Z21" t="s">
        <v>139</v>
      </c>
      <c r="AA21" t="s">
        <v>139</v>
      </c>
      <c r="AB21" t="s">
        <v>139</v>
      </c>
      <c r="AC21" t="s">
        <v>139</v>
      </c>
      <c r="AD21" t="s">
        <v>139</v>
      </c>
      <c r="AE21" t="s">
        <v>139</v>
      </c>
      <c r="AF21" t="s">
        <v>139</v>
      </c>
      <c r="AG21" t="s">
        <v>139</v>
      </c>
      <c r="AH21" t="s">
        <v>139</v>
      </c>
      <c r="AI21" t="s">
        <v>139</v>
      </c>
      <c r="AJ21" t="s">
        <v>139</v>
      </c>
      <c r="AK21" t="s">
        <v>139</v>
      </c>
      <c r="AL21" t="s">
        <v>139</v>
      </c>
    </row>
    <row r="22" spans="1:38" ht="12.75">
      <c r="A22">
        <f t="shared" si="0"/>
        <v>5784.820000000001</v>
      </c>
      <c r="B22" t="s">
        <v>116</v>
      </c>
      <c r="C22">
        <v>318.28</v>
      </c>
      <c r="D22">
        <v>312.46</v>
      </c>
      <c r="E22">
        <v>330.42</v>
      </c>
      <c r="F22">
        <v>317.53</v>
      </c>
      <c r="G22">
        <v>321.72</v>
      </c>
      <c r="H22">
        <v>331.3</v>
      </c>
      <c r="I22">
        <v>319.84</v>
      </c>
      <c r="J22">
        <v>316.41</v>
      </c>
      <c r="K22">
        <v>322.36</v>
      </c>
      <c r="L22">
        <v>324.75</v>
      </c>
      <c r="M22">
        <v>315.77</v>
      </c>
      <c r="N22">
        <v>328.02</v>
      </c>
      <c r="O22">
        <v>326.19</v>
      </c>
      <c r="P22">
        <v>324.31</v>
      </c>
      <c r="Q22">
        <v>312.58</v>
      </c>
      <c r="R22">
        <v>321.04</v>
      </c>
      <c r="S22">
        <v>315.89</v>
      </c>
      <c r="T22">
        <v>325.95</v>
      </c>
      <c r="U22" t="s">
        <v>139</v>
      </c>
      <c r="V22" t="s">
        <v>139</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row>
    <row r="23" spans="1:38" ht="12.75">
      <c r="A23">
        <f t="shared" si="0"/>
        <v>6106.389999999999</v>
      </c>
      <c r="B23" t="s">
        <v>117</v>
      </c>
      <c r="C23">
        <v>317.46</v>
      </c>
      <c r="D23">
        <v>313.07</v>
      </c>
      <c r="E23">
        <v>329.79</v>
      </c>
      <c r="F23">
        <v>317.06</v>
      </c>
      <c r="G23">
        <v>321.65</v>
      </c>
      <c r="H23">
        <v>330.31</v>
      </c>
      <c r="I23">
        <v>319.65</v>
      </c>
      <c r="J23">
        <v>316.46</v>
      </c>
      <c r="K23">
        <v>322.33</v>
      </c>
      <c r="L23">
        <v>325.6</v>
      </c>
      <c r="M23">
        <v>315.82</v>
      </c>
      <c r="N23">
        <v>327.28</v>
      </c>
      <c r="O23">
        <v>326.16</v>
      </c>
      <c r="P23">
        <v>324.24</v>
      </c>
      <c r="Q23">
        <v>311.03</v>
      </c>
      <c r="R23">
        <v>320.69</v>
      </c>
      <c r="S23">
        <v>315.06</v>
      </c>
      <c r="T23">
        <v>323.85</v>
      </c>
      <c r="U23">
        <v>328.88</v>
      </c>
      <c r="V23" t="s">
        <v>139</v>
      </c>
      <c r="W23" t="s">
        <v>139</v>
      </c>
      <c r="X23" t="s">
        <v>139</v>
      </c>
      <c r="Y23" t="s">
        <v>139</v>
      </c>
      <c r="Z23" t="s">
        <v>139</v>
      </c>
      <c r="AA23" t="s">
        <v>139</v>
      </c>
      <c r="AB23" t="s">
        <v>139</v>
      </c>
      <c r="AC23" t="s">
        <v>139</v>
      </c>
      <c r="AD23" t="s">
        <v>139</v>
      </c>
      <c r="AE23" t="s">
        <v>139</v>
      </c>
      <c r="AF23" t="s">
        <v>139</v>
      </c>
      <c r="AG23" t="s">
        <v>139</v>
      </c>
      <c r="AH23" t="s">
        <v>139</v>
      </c>
      <c r="AI23" t="s">
        <v>139</v>
      </c>
      <c r="AJ23" t="s">
        <v>139</v>
      </c>
      <c r="AK23" t="s">
        <v>139</v>
      </c>
      <c r="AL23" t="s">
        <v>139</v>
      </c>
    </row>
    <row r="24" spans="1:38" ht="12.75">
      <c r="A24">
        <f t="shared" si="0"/>
        <v>6421.240000000002</v>
      </c>
      <c r="B24" t="s">
        <v>118</v>
      </c>
      <c r="C24">
        <v>317.22</v>
      </c>
      <c r="D24">
        <v>311.63</v>
      </c>
      <c r="E24">
        <v>329.55</v>
      </c>
      <c r="F24">
        <v>316.3</v>
      </c>
      <c r="G24">
        <v>321.45</v>
      </c>
      <c r="H24">
        <v>328.64</v>
      </c>
      <c r="I24">
        <v>319.69</v>
      </c>
      <c r="J24">
        <v>316.3</v>
      </c>
      <c r="K24">
        <v>321.29</v>
      </c>
      <c r="L24">
        <v>325.8</v>
      </c>
      <c r="M24">
        <v>314.94</v>
      </c>
      <c r="N24">
        <v>327.44</v>
      </c>
      <c r="O24">
        <v>324.24</v>
      </c>
      <c r="P24">
        <v>324.4</v>
      </c>
      <c r="Q24">
        <v>312.23</v>
      </c>
      <c r="R24">
        <v>320.33</v>
      </c>
      <c r="S24">
        <v>315.1</v>
      </c>
      <c r="T24">
        <v>322.81</v>
      </c>
      <c r="U24">
        <v>326.6</v>
      </c>
      <c r="V24">
        <v>325.28</v>
      </c>
      <c r="W24" t="s">
        <v>139</v>
      </c>
      <c r="X24" t="s">
        <v>139</v>
      </c>
      <c r="Y24" t="s">
        <v>139</v>
      </c>
      <c r="Z24" t="s">
        <v>139</v>
      </c>
      <c r="AA24" t="s">
        <v>139</v>
      </c>
      <c r="AB24" t="s">
        <v>139</v>
      </c>
      <c r="AC24" t="s">
        <v>139</v>
      </c>
      <c r="AD24" t="s">
        <v>139</v>
      </c>
      <c r="AE24" t="s">
        <v>139</v>
      </c>
      <c r="AF24" t="s">
        <v>139</v>
      </c>
      <c r="AG24" t="s">
        <v>139</v>
      </c>
      <c r="AH24" t="s">
        <v>139</v>
      </c>
      <c r="AI24" t="s">
        <v>139</v>
      </c>
      <c r="AJ24" t="s">
        <v>139</v>
      </c>
      <c r="AK24" t="s">
        <v>139</v>
      </c>
      <c r="AL24" t="s">
        <v>139</v>
      </c>
    </row>
    <row r="25" spans="1:38" ht="12.75">
      <c r="A25">
        <f t="shared" si="0"/>
        <v>6742.379999999999</v>
      </c>
      <c r="B25" t="s">
        <v>119</v>
      </c>
      <c r="C25">
        <v>316.83</v>
      </c>
      <c r="D25">
        <v>312.56</v>
      </c>
      <c r="E25">
        <v>329.76</v>
      </c>
      <c r="F25">
        <v>316.23</v>
      </c>
      <c r="G25">
        <v>321.3</v>
      </c>
      <c r="H25">
        <v>330.48</v>
      </c>
      <c r="I25">
        <v>320.06</v>
      </c>
      <c r="J25">
        <v>316.19</v>
      </c>
      <c r="K25">
        <v>321.38</v>
      </c>
      <c r="L25">
        <v>325.45</v>
      </c>
      <c r="M25">
        <v>314.87</v>
      </c>
      <c r="N25">
        <v>328.16</v>
      </c>
      <c r="O25">
        <v>325.13</v>
      </c>
      <c r="P25">
        <v>323.57</v>
      </c>
      <c r="Q25">
        <v>310.4</v>
      </c>
      <c r="R25">
        <v>320.26</v>
      </c>
      <c r="S25">
        <v>314.35</v>
      </c>
      <c r="T25">
        <v>322.85</v>
      </c>
      <c r="U25">
        <v>326.61</v>
      </c>
      <c r="V25">
        <v>322.61</v>
      </c>
      <c r="W25">
        <v>323.33</v>
      </c>
      <c r="X25" t="s">
        <v>139</v>
      </c>
      <c r="Y25" t="s">
        <v>139</v>
      </c>
      <c r="Z25" t="s">
        <v>139</v>
      </c>
      <c r="AA25" t="s">
        <v>139</v>
      </c>
      <c r="AB25" t="s">
        <v>139</v>
      </c>
      <c r="AC25" t="s">
        <v>139</v>
      </c>
      <c r="AD25" t="s">
        <v>139</v>
      </c>
      <c r="AE25" t="s">
        <v>139</v>
      </c>
      <c r="AF25" t="s">
        <v>139</v>
      </c>
      <c r="AG25" t="s">
        <v>139</v>
      </c>
      <c r="AH25" t="s">
        <v>139</v>
      </c>
      <c r="AI25" t="s">
        <v>139</v>
      </c>
      <c r="AJ25" t="s">
        <v>139</v>
      </c>
      <c r="AK25" t="s">
        <v>139</v>
      </c>
      <c r="AL25" t="s">
        <v>139</v>
      </c>
    </row>
    <row r="26" spans="1:38" ht="12.75">
      <c r="A26">
        <f t="shared" si="0"/>
        <v>7060.12</v>
      </c>
      <c r="B26" t="s">
        <v>120</v>
      </c>
      <c r="C26">
        <v>317.18</v>
      </c>
      <c r="D26">
        <v>312.11</v>
      </c>
      <c r="E26">
        <v>329.95</v>
      </c>
      <c r="F26">
        <v>315.9</v>
      </c>
      <c r="G26">
        <v>321.77</v>
      </c>
      <c r="H26">
        <v>330.19</v>
      </c>
      <c r="I26">
        <v>319.77</v>
      </c>
      <c r="J26">
        <v>316.46</v>
      </c>
      <c r="K26">
        <v>321.61</v>
      </c>
      <c r="L26">
        <v>324.64</v>
      </c>
      <c r="M26">
        <v>314.47</v>
      </c>
      <c r="N26">
        <v>327.24</v>
      </c>
      <c r="O26">
        <v>325.88</v>
      </c>
      <c r="P26">
        <v>325</v>
      </c>
      <c r="Q26">
        <v>310.75</v>
      </c>
      <c r="R26">
        <v>320.89</v>
      </c>
      <c r="S26">
        <v>313.83</v>
      </c>
      <c r="T26">
        <v>323.85</v>
      </c>
      <c r="U26">
        <v>326.24</v>
      </c>
      <c r="V26">
        <v>320.77</v>
      </c>
      <c r="W26">
        <v>320.65</v>
      </c>
      <c r="X26">
        <v>320.97</v>
      </c>
      <c r="Y26" t="s">
        <v>139</v>
      </c>
      <c r="Z26" t="s">
        <v>139</v>
      </c>
      <c r="AA26" t="s">
        <v>139</v>
      </c>
      <c r="AB26" t="s">
        <v>139</v>
      </c>
      <c r="AC26" t="s">
        <v>139</v>
      </c>
      <c r="AD26" t="s">
        <v>139</v>
      </c>
      <c r="AE26" t="s">
        <v>139</v>
      </c>
      <c r="AF26" t="s">
        <v>139</v>
      </c>
      <c r="AG26" t="s">
        <v>139</v>
      </c>
      <c r="AH26" t="s">
        <v>139</v>
      </c>
      <c r="AI26" t="s">
        <v>139</v>
      </c>
      <c r="AJ26" t="s">
        <v>139</v>
      </c>
      <c r="AK26" t="s">
        <v>139</v>
      </c>
      <c r="AL26" t="s">
        <v>139</v>
      </c>
    </row>
    <row r="27" spans="1:38" ht="12.75">
      <c r="A27">
        <f t="shared" si="0"/>
        <v>7373.380000000001</v>
      </c>
      <c r="B27" t="s">
        <v>121</v>
      </c>
      <c r="C27">
        <v>317.51</v>
      </c>
      <c r="D27">
        <v>310.84</v>
      </c>
      <c r="E27">
        <v>331.12</v>
      </c>
      <c r="F27">
        <v>315.83</v>
      </c>
      <c r="G27">
        <v>322.18</v>
      </c>
      <c r="H27">
        <v>329.44</v>
      </c>
      <c r="I27">
        <v>319.66</v>
      </c>
      <c r="J27">
        <v>316.27</v>
      </c>
      <c r="K27">
        <v>321.66</v>
      </c>
      <c r="L27">
        <v>325.49</v>
      </c>
      <c r="M27">
        <v>313.95</v>
      </c>
      <c r="N27">
        <v>326.61</v>
      </c>
      <c r="O27">
        <v>326.17</v>
      </c>
      <c r="P27">
        <v>324.97</v>
      </c>
      <c r="Q27">
        <v>311.68</v>
      </c>
      <c r="R27">
        <v>320.34</v>
      </c>
      <c r="S27">
        <v>313.87</v>
      </c>
      <c r="T27">
        <v>321.26</v>
      </c>
      <c r="U27">
        <v>323.81</v>
      </c>
      <c r="V27">
        <v>320.46</v>
      </c>
      <c r="W27">
        <v>319.22</v>
      </c>
      <c r="X27">
        <v>318.46</v>
      </c>
      <c r="Y27">
        <v>322.58</v>
      </c>
      <c r="Z27" t="s">
        <v>139</v>
      </c>
      <c r="AA27" t="s">
        <v>139</v>
      </c>
      <c r="AB27" t="s">
        <v>139</v>
      </c>
      <c r="AC27" t="s">
        <v>139</v>
      </c>
      <c r="AD27" t="s">
        <v>139</v>
      </c>
      <c r="AE27" t="s">
        <v>139</v>
      </c>
      <c r="AF27" t="s">
        <v>139</v>
      </c>
      <c r="AG27" t="s">
        <v>139</v>
      </c>
      <c r="AH27" t="s">
        <v>139</v>
      </c>
      <c r="AI27" t="s">
        <v>139</v>
      </c>
      <c r="AJ27" t="s">
        <v>139</v>
      </c>
      <c r="AK27" t="s">
        <v>139</v>
      </c>
      <c r="AL27" t="s">
        <v>139</v>
      </c>
    </row>
    <row r="28" spans="1:38" ht="12.75">
      <c r="A28">
        <f t="shared" si="0"/>
        <v>7704.02</v>
      </c>
      <c r="B28" t="s">
        <v>122</v>
      </c>
      <c r="C28">
        <v>316.61</v>
      </c>
      <c r="D28">
        <v>311.1</v>
      </c>
      <c r="E28">
        <v>330.5</v>
      </c>
      <c r="F28">
        <v>315.93</v>
      </c>
      <c r="G28">
        <v>321.76</v>
      </c>
      <c r="H28">
        <v>329.22</v>
      </c>
      <c r="I28">
        <v>319.36</v>
      </c>
      <c r="J28">
        <v>316.77</v>
      </c>
      <c r="K28">
        <v>321.08</v>
      </c>
      <c r="L28">
        <v>324.47</v>
      </c>
      <c r="M28">
        <v>314.25</v>
      </c>
      <c r="N28">
        <v>327.23</v>
      </c>
      <c r="O28">
        <v>325.47</v>
      </c>
      <c r="P28">
        <v>324.75</v>
      </c>
      <c r="Q28">
        <v>312.06</v>
      </c>
      <c r="R28">
        <v>320.8</v>
      </c>
      <c r="S28">
        <v>314.33</v>
      </c>
      <c r="T28">
        <v>323.75</v>
      </c>
      <c r="U28">
        <v>326.27</v>
      </c>
      <c r="V28">
        <v>321.2</v>
      </c>
      <c r="W28">
        <v>320.32</v>
      </c>
      <c r="X28">
        <v>316.73</v>
      </c>
      <c r="Y28">
        <v>321.24</v>
      </c>
      <c r="Z28">
        <v>328.82</v>
      </c>
      <c r="AA28" t="s">
        <v>139</v>
      </c>
      <c r="AB28" t="s">
        <v>139</v>
      </c>
      <c r="AC28" t="s">
        <v>139</v>
      </c>
      <c r="AD28" t="s">
        <v>139</v>
      </c>
      <c r="AE28" t="s">
        <v>139</v>
      </c>
      <c r="AF28" t="s">
        <v>139</v>
      </c>
      <c r="AG28" t="s">
        <v>139</v>
      </c>
      <c r="AH28" t="s">
        <v>139</v>
      </c>
      <c r="AI28" t="s">
        <v>139</v>
      </c>
      <c r="AJ28" t="s">
        <v>139</v>
      </c>
      <c r="AK28" t="s">
        <v>139</v>
      </c>
      <c r="AL28" t="s">
        <v>139</v>
      </c>
    </row>
    <row r="29" spans="1:38" ht="12.75">
      <c r="A29">
        <f t="shared" si="0"/>
        <v>8002.590000000002</v>
      </c>
      <c r="B29" t="s">
        <v>123</v>
      </c>
      <c r="C29">
        <v>317.49</v>
      </c>
      <c r="D29">
        <v>310.82</v>
      </c>
      <c r="E29">
        <v>330.46</v>
      </c>
      <c r="F29">
        <v>315.57</v>
      </c>
      <c r="G29">
        <v>321.44</v>
      </c>
      <c r="H29">
        <v>328.78</v>
      </c>
      <c r="I29">
        <v>318.44</v>
      </c>
      <c r="J29">
        <v>316.01</v>
      </c>
      <c r="K29">
        <v>320.68</v>
      </c>
      <c r="L29">
        <v>324.11</v>
      </c>
      <c r="M29">
        <v>313.65</v>
      </c>
      <c r="N29">
        <v>327.23</v>
      </c>
      <c r="O29">
        <v>324.79</v>
      </c>
      <c r="P29">
        <v>323.59</v>
      </c>
      <c r="Q29">
        <v>310.82</v>
      </c>
      <c r="R29">
        <v>320.32</v>
      </c>
      <c r="S29">
        <v>314.09</v>
      </c>
      <c r="T29">
        <v>323.39</v>
      </c>
      <c r="U29">
        <v>325.27</v>
      </c>
      <c r="V29">
        <v>319.8</v>
      </c>
      <c r="W29">
        <v>318.84</v>
      </c>
      <c r="X29">
        <v>318.04</v>
      </c>
      <c r="Y29">
        <v>319.52</v>
      </c>
      <c r="Z29">
        <v>324.59</v>
      </c>
      <c r="AA29">
        <v>314.85</v>
      </c>
      <c r="AB29" t="s">
        <v>139</v>
      </c>
      <c r="AC29" t="s">
        <v>139</v>
      </c>
      <c r="AD29" t="s">
        <v>139</v>
      </c>
      <c r="AE29" t="s">
        <v>139</v>
      </c>
      <c r="AF29" t="s">
        <v>139</v>
      </c>
      <c r="AG29" t="s">
        <v>139</v>
      </c>
      <c r="AH29" t="s">
        <v>139</v>
      </c>
      <c r="AI29" t="s">
        <v>139</v>
      </c>
      <c r="AJ29" t="s">
        <v>139</v>
      </c>
      <c r="AK29" t="s">
        <v>139</v>
      </c>
      <c r="AL29" t="s">
        <v>139</v>
      </c>
    </row>
    <row r="30" spans="1:38" ht="12.75">
      <c r="A30">
        <f t="shared" si="0"/>
        <v>8319.899999999998</v>
      </c>
      <c r="B30" t="s">
        <v>124</v>
      </c>
      <c r="C30">
        <v>316.53</v>
      </c>
      <c r="D30">
        <v>311.78</v>
      </c>
      <c r="E30">
        <v>328.58</v>
      </c>
      <c r="F30">
        <v>315.77</v>
      </c>
      <c r="G30">
        <v>320.6</v>
      </c>
      <c r="H30">
        <v>329.42</v>
      </c>
      <c r="I30">
        <v>318.88</v>
      </c>
      <c r="J30">
        <v>316.01</v>
      </c>
      <c r="K30">
        <v>321</v>
      </c>
      <c r="L30">
        <v>324.91</v>
      </c>
      <c r="M30">
        <v>314.61</v>
      </c>
      <c r="N30">
        <v>326.47</v>
      </c>
      <c r="O30">
        <v>324.79</v>
      </c>
      <c r="P30">
        <v>322.87</v>
      </c>
      <c r="Q30">
        <v>309.94</v>
      </c>
      <c r="R30">
        <v>319.32</v>
      </c>
      <c r="S30">
        <v>314.25</v>
      </c>
      <c r="T30">
        <v>321.88</v>
      </c>
      <c r="U30">
        <v>325.47</v>
      </c>
      <c r="V30">
        <v>321.08</v>
      </c>
      <c r="W30">
        <v>318.12</v>
      </c>
      <c r="X30">
        <v>317.49</v>
      </c>
      <c r="Y30">
        <v>320.48</v>
      </c>
      <c r="Z30">
        <v>326.39</v>
      </c>
      <c r="AA30">
        <v>310.78</v>
      </c>
      <c r="AB30">
        <v>322.48</v>
      </c>
      <c r="AC30" t="s">
        <v>139</v>
      </c>
      <c r="AD30" t="s">
        <v>139</v>
      </c>
      <c r="AE30" t="s">
        <v>139</v>
      </c>
      <c r="AF30" t="s">
        <v>139</v>
      </c>
      <c r="AG30" t="s">
        <v>139</v>
      </c>
      <c r="AH30" t="s">
        <v>139</v>
      </c>
      <c r="AI30" t="s">
        <v>139</v>
      </c>
      <c r="AJ30" t="s">
        <v>139</v>
      </c>
      <c r="AK30" t="s">
        <v>139</v>
      </c>
      <c r="AL30" t="s">
        <v>139</v>
      </c>
    </row>
    <row r="31" spans="1:38" ht="12.75">
      <c r="A31">
        <f t="shared" si="0"/>
        <v>8638.98</v>
      </c>
      <c r="B31" t="s">
        <v>125</v>
      </c>
      <c r="C31">
        <v>317.21</v>
      </c>
      <c r="D31">
        <v>310.87</v>
      </c>
      <c r="E31">
        <v>329.03</v>
      </c>
      <c r="F31">
        <v>316.53</v>
      </c>
      <c r="G31">
        <v>320.77</v>
      </c>
      <c r="H31">
        <v>329.63</v>
      </c>
      <c r="I31">
        <v>318.49</v>
      </c>
      <c r="J31">
        <v>315.98</v>
      </c>
      <c r="K31">
        <v>320.09</v>
      </c>
      <c r="L31">
        <v>324</v>
      </c>
      <c r="M31">
        <v>313.7</v>
      </c>
      <c r="N31">
        <v>325.95</v>
      </c>
      <c r="O31">
        <v>324.52</v>
      </c>
      <c r="P31">
        <v>323.36</v>
      </c>
      <c r="Q31">
        <v>310.91</v>
      </c>
      <c r="R31">
        <v>319.89</v>
      </c>
      <c r="S31">
        <v>314.34</v>
      </c>
      <c r="T31">
        <v>322.2</v>
      </c>
      <c r="U31">
        <v>324.72</v>
      </c>
      <c r="V31">
        <v>320.21</v>
      </c>
      <c r="W31">
        <v>320.29</v>
      </c>
      <c r="X31">
        <v>315.7</v>
      </c>
      <c r="Y31">
        <v>320.89</v>
      </c>
      <c r="Z31">
        <v>325.95</v>
      </c>
      <c r="AA31">
        <v>308.43</v>
      </c>
      <c r="AB31">
        <v>319.09</v>
      </c>
      <c r="AC31">
        <v>326.23</v>
      </c>
      <c r="AD31" t="s">
        <v>139</v>
      </c>
      <c r="AE31" t="s">
        <v>139</v>
      </c>
      <c r="AF31" t="s">
        <v>139</v>
      </c>
      <c r="AG31" t="s">
        <v>139</v>
      </c>
      <c r="AH31" t="s">
        <v>139</v>
      </c>
      <c r="AI31" t="s">
        <v>139</v>
      </c>
      <c r="AJ31" t="s">
        <v>139</v>
      </c>
      <c r="AK31" t="s">
        <v>139</v>
      </c>
      <c r="AL31" t="s">
        <v>139</v>
      </c>
    </row>
    <row r="32" spans="1:38" ht="12.75">
      <c r="A32">
        <f t="shared" si="0"/>
        <v>8961.69</v>
      </c>
      <c r="B32" t="s">
        <v>126</v>
      </c>
      <c r="C32">
        <v>316.37</v>
      </c>
      <c r="D32">
        <v>310.43</v>
      </c>
      <c r="E32">
        <v>329.51</v>
      </c>
      <c r="F32">
        <v>315.02</v>
      </c>
      <c r="G32">
        <v>321.44</v>
      </c>
      <c r="H32">
        <v>328.55</v>
      </c>
      <c r="I32">
        <v>319.45</v>
      </c>
      <c r="J32">
        <v>315.54</v>
      </c>
      <c r="K32">
        <v>320.77</v>
      </c>
      <c r="L32">
        <v>324.76</v>
      </c>
      <c r="M32">
        <v>313.62</v>
      </c>
      <c r="N32">
        <v>326.15</v>
      </c>
      <c r="O32">
        <v>325.36</v>
      </c>
      <c r="P32">
        <v>323.92</v>
      </c>
      <c r="Q32">
        <v>311.54</v>
      </c>
      <c r="R32">
        <v>320.33</v>
      </c>
      <c r="S32">
        <v>315.02</v>
      </c>
      <c r="T32">
        <v>321.84</v>
      </c>
      <c r="U32">
        <v>324.88</v>
      </c>
      <c r="V32">
        <v>321.32</v>
      </c>
      <c r="W32">
        <v>318.49</v>
      </c>
      <c r="X32">
        <v>317.77</v>
      </c>
      <c r="Y32">
        <v>319.29</v>
      </c>
      <c r="Z32">
        <v>324.68</v>
      </c>
      <c r="AA32">
        <v>309.39</v>
      </c>
      <c r="AB32">
        <v>319.45</v>
      </c>
      <c r="AC32">
        <v>323.32</v>
      </c>
      <c r="AD32">
        <v>323.48</v>
      </c>
      <c r="AE32" t="s">
        <v>139</v>
      </c>
      <c r="AF32" t="s">
        <v>139</v>
      </c>
      <c r="AG32" t="s">
        <v>139</v>
      </c>
      <c r="AH32" t="s">
        <v>139</v>
      </c>
      <c r="AI32" t="s">
        <v>139</v>
      </c>
      <c r="AJ32" t="s">
        <v>139</v>
      </c>
      <c r="AK32" t="s">
        <v>139</v>
      </c>
      <c r="AL32" t="s">
        <v>139</v>
      </c>
    </row>
    <row r="33" spans="1:38" ht="12.75">
      <c r="A33">
        <f t="shared" si="0"/>
        <v>9274.349999999999</v>
      </c>
      <c r="B33" t="s">
        <v>127</v>
      </c>
      <c r="C33">
        <v>315.99</v>
      </c>
      <c r="D33">
        <v>310.72</v>
      </c>
      <c r="E33">
        <v>329.32</v>
      </c>
      <c r="F33">
        <v>315.03</v>
      </c>
      <c r="G33">
        <v>321.1</v>
      </c>
      <c r="H33">
        <v>329.8</v>
      </c>
      <c r="I33">
        <v>319.46</v>
      </c>
      <c r="J33">
        <v>315.23</v>
      </c>
      <c r="K33">
        <v>320.9</v>
      </c>
      <c r="L33">
        <v>323.81</v>
      </c>
      <c r="M33">
        <v>314.03</v>
      </c>
      <c r="N33">
        <v>325.65</v>
      </c>
      <c r="O33">
        <v>325.57</v>
      </c>
      <c r="P33">
        <v>322.38</v>
      </c>
      <c r="Q33">
        <v>311</v>
      </c>
      <c r="R33">
        <v>319.54</v>
      </c>
      <c r="S33">
        <v>314.71</v>
      </c>
      <c r="T33">
        <v>321.14</v>
      </c>
      <c r="U33">
        <v>324.65</v>
      </c>
      <c r="V33">
        <v>319.58</v>
      </c>
      <c r="W33">
        <v>318.74</v>
      </c>
      <c r="X33">
        <v>318.02</v>
      </c>
      <c r="Y33">
        <v>318.06</v>
      </c>
      <c r="Z33">
        <v>325.17</v>
      </c>
      <c r="AA33">
        <v>309.2</v>
      </c>
      <c r="AB33">
        <v>317.47</v>
      </c>
      <c r="AC33">
        <v>323.53</v>
      </c>
      <c r="AD33">
        <v>321.66</v>
      </c>
      <c r="AE33">
        <v>322.89</v>
      </c>
      <c r="AF33" t="s">
        <v>139</v>
      </c>
      <c r="AG33" t="s">
        <v>139</v>
      </c>
      <c r="AH33" t="s">
        <v>139</v>
      </c>
      <c r="AI33" t="s">
        <v>139</v>
      </c>
      <c r="AJ33" t="s">
        <v>139</v>
      </c>
      <c r="AK33" t="s">
        <v>139</v>
      </c>
      <c r="AL33" t="s">
        <v>139</v>
      </c>
    </row>
    <row r="34" spans="1:38" ht="12.75">
      <c r="A34">
        <f t="shared" si="0"/>
        <v>9597.87</v>
      </c>
      <c r="B34" t="s">
        <v>128</v>
      </c>
      <c r="C34">
        <v>316.44</v>
      </c>
      <c r="D34">
        <v>311.21</v>
      </c>
      <c r="E34">
        <v>329.05</v>
      </c>
      <c r="F34">
        <v>315.12</v>
      </c>
      <c r="G34">
        <v>320.55</v>
      </c>
      <c r="H34">
        <v>329.41</v>
      </c>
      <c r="I34">
        <v>318.4</v>
      </c>
      <c r="J34">
        <v>315.44</v>
      </c>
      <c r="K34">
        <v>321.39</v>
      </c>
      <c r="L34">
        <v>324.86</v>
      </c>
      <c r="M34">
        <v>313.73</v>
      </c>
      <c r="N34">
        <v>326.9</v>
      </c>
      <c r="O34">
        <v>325.22</v>
      </c>
      <c r="P34">
        <v>323.03</v>
      </c>
      <c r="Q34">
        <v>310.65</v>
      </c>
      <c r="R34">
        <v>319.91</v>
      </c>
      <c r="S34">
        <v>313.37</v>
      </c>
      <c r="T34">
        <v>323.47</v>
      </c>
      <c r="U34">
        <v>324.74</v>
      </c>
      <c r="V34">
        <v>320.99</v>
      </c>
      <c r="W34">
        <v>318.92</v>
      </c>
      <c r="X34">
        <v>318.56</v>
      </c>
      <c r="Y34">
        <v>321.03</v>
      </c>
      <c r="Z34">
        <v>325.02</v>
      </c>
      <c r="AA34">
        <v>308.98</v>
      </c>
      <c r="AB34">
        <v>319.12</v>
      </c>
      <c r="AC34">
        <v>324.66</v>
      </c>
      <c r="AD34">
        <v>320.99</v>
      </c>
      <c r="AE34">
        <v>315.28</v>
      </c>
      <c r="AF34">
        <v>321.43</v>
      </c>
      <c r="AG34" t="s">
        <v>139</v>
      </c>
      <c r="AH34" t="s">
        <v>139</v>
      </c>
      <c r="AI34" t="s">
        <v>139</v>
      </c>
      <c r="AJ34" t="s">
        <v>139</v>
      </c>
      <c r="AK34" t="s">
        <v>139</v>
      </c>
      <c r="AL34" t="s">
        <v>139</v>
      </c>
    </row>
    <row r="35" spans="1:38" ht="12.75">
      <c r="A35">
        <f t="shared" si="0"/>
        <v>9911.209999999997</v>
      </c>
      <c r="B35" t="s">
        <v>129</v>
      </c>
      <c r="C35">
        <v>316.36</v>
      </c>
      <c r="D35">
        <v>310.97</v>
      </c>
      <c r="E35">
        <v>328.86</v>
      </c>
      <c r="F35">
        <v>315.2</v>
      </c>
      <c r="G35">
        <v>319.71</v>
      </c>
      <c r="H35">
        <v>330.13</v>
      </c>
      <c r="I35">
        <v>318.36</v>
      </c>
      <c r="J35">
        <v>315.64</v>
      </c>
      <c r="K35">
        <v>320.59</v>
      </c>
      <c r="L35">
        <v>324.19</v>
      </c>
      <c r="M35">
        <v>313.93</v>
      </c>
      <c r="N35">
        <v>325.74</v>
      </c>
      <c r="O35">
        <v>324.94</v>
      </c>
      <c r="P35">
        <v>323.11</v>
      </c>
      <c r="Q35">
        <v>310.49</v>
      </c>
      <c r="R35">
        <v>320.15</v>
      </c>
      <c r="S35">
        <v>313.17</v>
      </c>
      <c r="T35">
        <v>321.67</v>
      </c>
      <c r="U35">
        <v>323.79</v>
      </c>
      <c r="V35">
        <v>320.03</v>
      </c>
      <c r="W35">
        <v>317.08</v>
      </c>
      <c r="X35">
        <v>319.16</v>
      </c>
      <c r="Y35">
        <v>319.47</v>
      </c>
      <c r="Z35">
        <v>324.34</v>
      </c>
      <c r="AA35">
        <v>309.42</v>
      </c>
      <c r="AB35">
        <v>318.76</v>
      </c>
      <c r="AC35">
        <v>325.06</v>
      </c>
      <c r="AD35">
        <v>320.51</v>
      </c>
      <c r="AE35">
        <v>317.24</v>
      </c>
      <c r="AF35">
        <v>320.15</v>
      </c>
      <c r="AG35">
        <v>322.99</v>
      </c>
      <c r="AH35" t="s">
        <v>139</v>
      </c>
      <c r="AI35" t="s">
        <v>139</v>
      </c>
      <c r="AJ35" t="s">
        <v>139</v>
      </c>
      <c r="AK35" t="s">
        <v>139</v>
      </c>
      <c r="AL35" t="s">
        <v>139</v>
      </c>
    </row>
    <row r="36" spans="1:38" ht="12.75">
      <c r="A36">
        <f t="shared" si="0"/>
        <v>10228.55</v>
      </c>
      <c r="B36" t="s">
        <v>130</v>
      </c>
      <c r="C36">
        <v>316.43</v>
      </c>
      <c r="D36">
        <v>310.36</v>
      </c>
      <c r="E36">
        <v>328.4</v>
      </c>
      <c r="F36">
        <v>315.15</v>
      </c>
      <c r="G36">
        <v>320.58</v>
      </c>
      <c r="H36">
        <v>330.6</v>
      </c>
      <c r="I36">
        <v>318.42</v>
      </c>
      <c r="J36">
        <v>316.19</v>
      </c>
      <c r="K36">
        <v>320.22</v>
      </c>
      <c r="L36">
        <v>324.37</v>
      </c>
      <c r="M36">
        <v>312.92</v>
      </c>
      <c r="N36">
        <v>324.97</v>
      </c>
      <c r="O36">
        <v>324.73</v>
      </c>
      <c r="P36">
        <v>324.77</v>
      </c>
      <c r="Q36">
        <v>310.24</v>
      </c>
      <c r="R36">
        <v>319.5</v>
      </c>
      <c r="S36">
        <v>313.83</v>
      </c>
      <c r="T36">
        <v>322.14</v>
      </c>
      <c r="U36">
        <v>324.41</v>
      </c>
      <c r="V36">
        <v>319.86</v>
      </c>
      <c r="W36">
        <v>317.94</v>
      </c>
      <c r="X36">
        <v>315.27</v>
      </c>
      <c r="Y36">
        <v>321.3</v>
      </c>
      <c r="Z36">
        <v>323.53</v>
      </c>
      <c r="AA36">
        <v>309.28</v>
      </c>
      <c r="AB36">
        <v>318.98</v>
      </c>
      <c r="AC36">
        <v>323.65</v>
      </c>
      <c r="AD36">
        <v>320.18</v>
      </c>
      <c r="AE36">
        <v>316.03</v>
      </c>
      <c r="AF36">
        <v>317.39</v>
      </c>
      <c r="AG36">
        <v>321.82</v>
      </c>
      <c r="AH36">
        <v>325.09</v>
      </c>
      <c r="AI36" t="s">
        <v>139</v>
      </c>
      <c r="AJ36" t="s">
        <v>139</v>
      </c>
      <c r="AK36" t="s">
        <v>139</v>
      </c>
      <c r="AL36" t="s">
        <v>139</v>
      </c>
    </row>
    <row r="37" spans="1:38" ht="12.75">
      <c r="A37">
        <f t="shared" si="0"/>
        <v>10529.480000000001</v>
      </c>
      <c r="B37" t="s">
        <v>131</v>
      </c>
      <c r="C37">
        <v>316.48</v>
      </c>
      <c r="D37">
        <v>310.05</v>
      </c>
      <c r="E37">
        <v>327.86</v>
      </c>
      <c r="F37">
        <v>314.8</v>
      </c>
      <c r="G37">
        <v>319.95</v>
      </c>
      <c r="H37">
        <v>328.14</v>
      </c>
      <c r="I37">
        <v>317.52</v>
      </c>
      <c r="J37">
        <v>315.76</v>
      </c>
      <c r="K37">
        <v>320.19</v>
      </c>
      <c r="L37">
        <v>324.34</v>
      </c>
      <c r="M37">
        <v>313.65</v>
      </c>
      <c r="N37">
        <v>324.54</v>
      </c>
      <c r="O37">
        <v>324.38</v>
      </c>
      <c r="P37">
        <v>323.39</v>
      </c>
      <c r="Q37">
        <v>309.58</v>
      </c>
      <c r="R37">
        <v>318.92</v>
      </c>
      <c r="S37">
        <v>312.37</v>
      </c>
      <c r="T37">
        <v>321.19</v>
      </c>
      <c r="U37">
        <v>324.07</v>
      </c>
      <c r="V37">
        <v>320.55</v>
      </c>
      <c r="W37">
        <v>317.6</v>
      </c>
      <c r="X37">
        <v>317</v>
      </c>
      <c r="Y37">
        <v>318.4</v>
      </c>
      <c r="Z37">
        <v>324.78</v>
      </c>
      <c r="AA37">
        <v>308.54</v>
      </c>
      <c r="AB37">
        <v>317.88</v>
      </c>
      <c r="AC37">
        <v>324.54</v>
      </c>
      <c r="AD37">
        <v>320.11</v>
      </c>
      <c r="AE37">
        <v>316.36</v>
      </c>
      <c r="AF37">
        <v>318.4</v>
      </c>
      <c r="AG37">
        <v>319.83</v>
      </c>
      <c r="AH37">
        <v>322.43</v>
      </c>
      <c r="AI37">
        <v>315.88</v>
      </c>
      <c r="AJ37" t="s">
        <v>139</v>
      </c>
      <c r="AK37" t="s">
        <v>139</v>
      </c>
      <c r="AL37" t="s">
        <v>139</v>
      </c>
    </row>
    <row r="38" spans="1:38" ht="12.75">
      <c r="A38">
        <f t="shared" si="0"/>
        <v>10858.040000000003</v>
      </c>
      <c r="B38" t="s">
        <v>132</v>
      </c>
      <c r="C38">
        <v>315.96</v>
      </c>
      <c r="D38">
        <v>310.21</v>
      </c>
      <c r="E38">
        <v>328.46</v>
      </c>
      <c r="F38">
        <v>314.64</v>
      </c>
      <c r="G38">
        <v>319.91</v>
      </c>
      <c r="H38">
        <v>328.18</v>
      </c>
      <c r="I38">
        <v>318.32</v>
      </c>
      <c r="J38">
        <v>315.12</v>
      </c>
      <c r="K38">
        <v>320.43</v>
      </c>
      <c r="L38">
        <v>324.38</v>
      </c>
      <c r="M38">
        <v>313.45</v>
      </c>
      <c r="N38">
        <v>324.86</v>
      </c>
      <c r="O38">
        <v>323.95</v>
      </c>
      <c r="P38">
        <v>323.95</v>
      </c>
      <c r="Q38">
        <v>309.7</v>
      </c>
      <c r="R38">
        <v>319</v>
      </c>
      <c r="S38">
        <v>314.21</v>
      </c>
      <c r="T38">
        <v>321.31</v>
      </c>
      <c r="U38">
        <v>324.58</v>
      </c>
      <c r="V38">
        <v>319.36</v>
      </c>
      <c r="W38">
        <v>317.72</v>
      </c>
      <c r="X38">
        <v>316.88</v>
      </c>
      <c r="Y38">
        <v>319.59</v>
      </c>
      <c r="Z38">
        <v>326.02</v>
      </c>
      <c r="AA38">
        <v>309.3</v>
      </c>
      <c r="AB38">
        <v>317.64</v>
      </c>
      <c r="AC38">
        <v>323.39</v>
      </c>
      <c r="AD38">
        <v>320.19</v>
      </c>
      <c r="AE38">
        <v>316.88</v>
      </c>
      <c r="AF38">
        <v>318.2</v>
      </c>
      <c r="AG38">
        <v>320.19</v>
      </c>
      <c r="AH38">
        <v>322.95</v>
      </c>
      <c r="AI38">
        <v>313.41</v>
      </c>
      <c r="AJ38">
        <v>325.7</v>
      </c>
      <c r="AK38" t="s">
        <v>139</v>
      </c>
      <c r="AL38" t="s">
        <v>139</v>
      </c>
    </row>
    <row r="39" spans="1:38" ht="12.75">
      <c r="A39">
        <f t="shared" si="0"/>
        <v>11165.710000000003</v>
      </c>
      <c r="B39" t="s">
        <v>133</v>
      </c>
      <c r="C39">
        <v>314.86</v>
      </c>
      <c r="D39">
        <v>309.95</v>
      </c>
      <c r="E39">
        <v>327.71</v>
      </c>
      <c r="F39">
        <v>314.54</v>
      </c>
      <c r="G39">
        <v>319.41</v>
      </c>
      <c r="H39">
        <v>329.15</v>
      </c>
      <c r="I39">
        <v>318.05</v>
      </c>
      <c r="J39">
        <v>314.74</v>
      </c>
      <c r="K39">
        <v>320.41</v>
      </c>
      <c r="L39">
        <v>323.2</v>
      </c>
      <c r="M39">
        <v>313.38</v>
      </c>
      <c r="N39">
        <v>325</v>
      </c>
      <c r="O39">
        <v>324.16</v>
      </c>
      <c r="P39">
        <v>323.72</v>
      </c>
      <c r="Q39">
        <v>309.91</v>
      </c>
      <c r="R39">
        <v>318.93</v>
      </c>
      <c r="S39">
        <v>313.18</v>
      </c>
      <c r="T39">
        <v>320.65</v>
      </c>
      <c r="U39">
        <v>324.88</v>
      </c>
      <c r="V39">
        <v>319.13</v>
      </c>
      <c r="W39">
        <v>318.61</v>
      </c>
      <c r="X39">
        <v>316.81</v>
      </c>
      <c r="Y39">
        <v>317.89</v>
      </c>
      <c r="Z39">
        <v>324.6</v>
      </c>
      <c r="AA39">
        <v>308.75</v>
      </c>
      <c r="AB39">
        <v>317.97</v>
      </c>
      <c r="AC39">
        <v>324.28</v>
      </c>
      <c r="AD39">
        <v>319.45</v>
      </c>
      <c r="AE39">
        <v>316.1</v>
      </c>
      <c r="AF39">
        <v>317.65</v>
      </c>
      <c r="AG39">
        <v>319.81</v>
      </c>
      <c r="AH39">
        <v>322.68</v>
      </c>
      <c r="AI39">
        <v>310.35</v>
      </c>
      <c r="AJ39">
        <v>324.12</v>
      </c>
      <c r="AK39">
        <v>321.68</v>
      </c>
      <c r="AL39" t="s">
        <v>139</v>
      </c>
    </row>
    <row r="40" spans="1:38" ht="12.75">
      <c r="A40">
        <f t="shared" si="0"/>
        <v>11481.180000000004</v>
      </c>
      <c r="B40" t="s">
        <v>134</v>
      </c>
      <c r="C40">
        <v>314.33</v>
      </c>
      <c r="D40">
        <v>309.26</v>
      </c>
      <c r="E40">
        <v>327.42</v>
      </c>
      <c r="F40">
        <v>314.09</v>
      </c>
      <c r="G40">
        <v>319.92</v>
      </c>
      <c r="H40">
        <v>328.42</v>
      </c>
      <c r="I40">
        <v>317.73</v>
      </c>
      <c r="J40">
        <v>315.09</v>
      </c>
      <c r="K40">
        <v>319.68</v>
      </c>
      <c r="L40">
        <v>323.79</v>
      </c>
      <c r="M40">
        <v>313.21</v>
      </c>
      <c r="N40">
        <v>324.95</v>
      </c>
      <c r="O40">
        <v>324.07</v>
      </c>
      <c r="P40">
        <v>322.71</v>
      </c>
      <c r="Q40">
        <v>309.78</v>
      </c>
      <c r="R40">
        <v>318.72</v>
      </c>
      <c r="S40">
        <v>313.05</v>
      </c>
      <c r="T40">
        <v>321.08</v>
      </c>
      <c r="U40">
        <v>324.75</v>
      </c>
      <c r="V40">
        <v>319.6</v>
      </c>
      <c r="W40">
        <v>318.04</v>
      </c>
      <c r="X40">
        <v>316.01</v>
      </c>
      <c r="Y40">
        <v>317.77</v>
      </c>
      <c r="Z40">
        <v>325.39</v>
      </c>
      <c r="AA40">
        <v>308.42</v>
      </c>
      <c r="AB40">
        <v>318.16</v>
      </c>
      <c r="AC40">
        <v>324.11</v>
      </c>
      <c r="AD40">
        <v>319.36</v>
      </c>
      <c r="AE40">
        <v>317.05</v>
      </c>
      <c r="AF40">
        <v>317.21</v>
      </c>
      <c r="AG40">
        <v>320</v>
      </c>
      <c r="AH40">
        <v>322.52</v>
      </c>
      <c r="AI40">
        <v>310.86</v>
      </c>
      <c r="AJ40">
        <v>324.27</v>
      </c>
      <c r="AK40">
        <v>320.68</v>
      </c>
      <c r="AL40">
        <v>319.68</v>
      </c>
    </row>
    <row r="41" spans="1:38" ht="12.75">
      <c r="A41">
        <f t="shared" si="0"/>
        <v>11496.799999999997</v>
      </c>
      <c r="B41" t="s">
        <v>135</v>
      </c>
      <c r="C41">
        <v>314.39</v>
      </c>
      <c r="D41">
        <v>308.76</v>
      </c>
      <c r="E41">
        <v>327.56</v>
      </c>
      <c r="F41">
        <v>313.91</v>
      </c>
      <c r="G41">
        <v>319.26</v>
      </c>
      <c r="H41">
        <v>329.88</v>
      </c>
      <c r="I41">
        <v>317.86</v>
      </c>
      <c r="J41">
        <v>315.55</v>
      </c>
      <c r="K41">
        <v>320.1</v>
      </c>
      <c r="L41">
        <v>324.21</v>
      </c>
      <c r="M41">
        <v>312.96</v>
      </c>
      <c r="N41">
        <v>325.33</v>
      </c>
      <c r="O41">
        <v>325.01</v>
      </c>
      <c r="P41">
        <v>323.37</v>
      </c>
      <c r="Q41">
        <v>310.04</v>
      </c>
      <c r="R41">
        <v>319.46</v>
      </c>
      <c r="S41">
        <v>313.31</v>
      </c>
      <c r="T41">
        <v>323.21</v>
      </c>
      <c r="U41">
        <v>323.89</v>
      </c>
      <c r="V41">
        <v>321.62</v>
      </c>
      <c r="W41">
        <v>318.26</v>
      </c>
      <c r="X41">
        <v>317.75</v>
      </c>
      <c r="Y41">
        <v>320.74</v>
      </c>
      <c r="Z41">
        <v>324.25</v>
      </c>
      <c r="AA41">
        <v>310.8</v>
      </c>
      <c r="AB41">
        <v>319.06</v>
      </c>
      <c r="AC41">
        <v>324.97</v>
      </c>
      <c r="AD41">
        <v>319.78</v>
      </c>
      <c r="AE41">
        <v>316.71</v>
      </c>
      <c r="AF41">
        <v>317.31</v>
      </c>
      <c r="AG41">
        <v>319.42</v>
      </c>
      <c r="AH41">
        <v>322.3</v>
      </c>
      <c r="AI41">
        <v>312.36</v>
      </c>
      <c r="AJ41">
        <v>323.13</v>
      </c>
      <c r="AK41">
        <v>321.22</v>
      </c>
      <c r="AL41">
        <v>319.06</v>
      </c>
    </row>
    <row r="42" spans="1:38" ht="12.75">
      <c r="A42">
        <f t="shared" si="0"/>
        <v>11438.92</v>
      </c>
      <c r="B42" t="s">
        <v>42</v>
      </c>
      <c r="C42">
        <v>312.87</v>
      </c>
      <c r="D42">
        <v>307.04</v>
      </c>
      <c r="E42">
        <v>325.84</v>
      </c>
      <c r="F42">
        <v>313.15</v>
      </c>
      <c r="G42">
        <v>317.9</v>
      </c>
      <c r="H42">
        <v>329.03</v>
      </c>
      <c r="I42">
        <v>316.34</v>
      </c>
      <c r="J42">
        <v>314.11</v>
      </c>
      <c r="K42">
        <v>318.42</v>
      </c>
      <c r="L42">
        <v>322.41</v>
      </c>
      <c r="M42">
        <v>311.31</v>
      </c>
      <c r="N42">
        <v>323.41</v>
      </c>
      <c r="O42">
        <v>323.09</v>
      </c>
      <c r="P42">
        <v>321.73</v>
      </c>
      <c r="Q42">
        <v>307.72</v>
      </c>
      <c r="R42">
        <v>317.78</v>
      </c>
      <c r="S42">
        <v>311.63</v>
      </c>
      <c r="T42">
        <v>322.29</v>
      </c>
      <c r="U42">
        <v>323.01</v>
      </c>
      <c r="V42">
        <v>320.21</v>
      </c>
      <c r="W42">
        <v>317.06</v>
      </c>
      <c r="X42">
        <v>315.9</v>
      </c>
      <c r="Y42">
        <v>318.86</v>
      </c>
      <c r="Z42">
        <v>322.41</v>
      </c>
      <c r="AA42">
        <v>309.48</v>
      </c>
      <c r="AB42">
        <v>317.14</v>
      </c>
      <c r="AC42">
        <v>323.41</v>
      </c>
      <c r="AD42">
        <v>317.82</v>
      </c>
      <c r="AE42">
        <v>315.06</v>
      </c>
      <c r="AF42">
        <v>315.94</v>
      </c>
      <c r="AG42">
        <v>318.1</v>
      </c>
      <c r="AH42">
        <v>320.73</v>
      </c>
      <c r="AI42">
        <v>310.75</v>
      </c>
      <c r="AJ42">
        <v>321.29</v>
      </c>
      <c r="AK42">
        <v>318.66</v>
      </c>
      <c r="AL42">
        <v>317.02</v>
      </c>
    </row>
    <row r="43" spans="1:38" ht="12.75">
      <c r="A43">
        <f t="shared" si="0"/>
        <v>11368.830000000004</v>
      </c>
      <c r="B43" t="s">
        <v>43</v>
      </c>
      <c r="C43">
        <v>311.15</v>
      </c>
      <c r="D43">
        <v>304.97</v>
      </c>
      <c r="E43">
        <v>323.93</v>
      </c>
      <c r="F43">
        <v>310.87</v>
      </c>
      <c r="G43">
        <v>315.82</v>
      </c>
      <c r="H43">
        <v>326.32</v>
      </c>
      <c r="I43">
        <v>315.1</v>
      </c>
      <c r="J43">
        <v>312.27</v>
      </c>
      <c r="K43">
        <v>317.42</v>
      </c>
      <c r="L43">
        <v>321.37</v>
      </c>
      <c r="M43">
        <v>309.79</v>
      </c>
      <c r="N43">
        <v>322.49</v>
      </c>
      <c r="O43">
        <v>321.45</v>
      </c>
      <c r="P43">
        <v>320.41</v>
      </c>
      <c r="Q43">
        <v>306.08</v>
      </c>
      <c r="R43">
        <v>316.1</v>
      </c>
      <c r="S43">
        <v>310.35</v>
      </c>
      <c r="T43">
        <v>320.73</v>
      </c>
      <c r="U43">
        <v>321.21</v>
      </c>
      <c r="V43">
        <v>319.34</v>
      </c>
      <c r="W43">
        <v>315.1</v>
      </c>
      <c r="X43">
        <v>312.39</v>
      </c>
      <c r="Y43">
        <v>314.9</v>
      </c>
      <c r="Z43">
        <v>319.14</v>
      </c>
      <c r="AA43">
        <v>307.92</v>
      </c>
      <c r="AB43">
        <v>315.5</v>
      </c>
      <c r="AC43">
        <v>322.05</v>
      </c>
      <c r="AD43">
        <v>316.86</v>
      </c>
      <c r="AE43">
        <v>313.47</v>
      </c>
      <c r="AF43">
        <v>314.98</v>
      </c>
      <c r="AG43">
        <v>315.98</v>
      </c>
      <c r="AH43">
        <v>318.94</v>
      </c>
      <c r="AI43">
        <v>308.28</v>
      </c>
      <c r="AJ43">
        <v>318.7</v>
      </c>
      <c r="AK43">
        <v>315.94</v>
      </c>
      <c r="AL43">
        <v>311.51</v>
      </c>
    </row>
    <row r="44" spans="1:38" ht="12.75">
      <c r="A44">
        <f t="shared" si="0"/>
        <v>11279.920000000002</v>
      </c>
      <c r="B44" t="s">
        <v>44</v>
      </c>
      <c r="C44">
        <v>309.95</v>
      </c>
      <c r="D44">
        <v>303.53</v>
      </c>
      <c r="E44">
        <v>322.21</v>
      </c>
      <c r="F44">
        <v>308.8</v>
      </c>
      <c r="G44">
        <v>313.59</v>
      </c>
      <c r="H44">
        <v>324.01</v>
      </c>
      <c r="I44">
        <v>312.27</v>
      </c>
      <c r="J44">
        <v>310.11</v>
      </c>
      <c r="K44">
        <v>315.54</v>
      </c>
      <c r="L44">
        <v>318.06</v>
      </c>
      <c r="M44">
        <v>307.2</v>
      </c>
      <c r="N44">
        <v>318.18</v>
      </c>
      <c r="O44">
        <v>319.45</v>
      </c>
      <c r="P44">
        <v>319.22</v>
      </c>
      <c r="Q44">
        <v>303.93</v>
      </c>
      <c r="R44">
        <v>314.39</v>
      </c>
      <c r="S44">
        <v>308.52</v>
      </c>
      <c r="T44">
        <v>318.38</v>
      </c>
      <c r="U44">
        <v>319.93</v>
      </c>
      <c r="V44">
        <v>316.06</v>
      </c>
      <c r="W44">
        <v>312.63</v>
      </c>
      <c r="X44">
        <v>308.84</v>
      </c>
      <c r="Y44">
        <v>311.47</v>
      </c>
      <c r="Z44">
        <v>316.46</v>
      </c>
      <c r="AA44">
        <v>305.76</v>
      </c>
      <c r="AB44">
        <v>313.67</v>
      </c>
      <c r="AC44">
        <v>320.73</v>
      </c>
      <c r="AD44">
        <v>314.35</v>
      </c>
      <c r="AE44">
        <v>311.59</v>
      </c>
      <c r="AF44">
        <v>312.63</v>
      </c>
      <c r="AG44">
        <v>314.7</v>
      </c>
      <c r="AH44">
        <v>317.18</v>
      </c>
      <c r="AI44">
        <v>305.48</v>
      </c>
      <c r="AJ44">
        <v>313.67</v>
      </c>
      <c r="AK44">
        <v>310.83</v>
      </c>
      <c r="AL44">
        <v>306.6</v>
      </c>
    </row>
    <row r="45" spans="1:38" ht="12.75">
      <c r="A45">
        <f t="shared" si="0"/>
        <v>11126.189999999999</v>
      </c>
      <c r="B45" t="s">
        <v>45</v>
      </c>
      <c r="C45">
        <v>306.8</v>
      </c>
      <c r="D45">
        <v>300.02</v>
      </c>
      <c r="E45">
        <v>318.66</v>
      </c>
      <c r="F45">
        <v>306.72</v>
      </c>
      <c r="G45">
        <v>309.48</v>
      </c>
      <c r="H45">
        <v>318.98</v>
      </c>
      <c r="I45">
        <v>306</v>
      </c>
      <c r="J45">
        <v>303.81</v>
      </c>
      <c r="K45">
        <v>310.91</v>
      </c>
      <c r="L45">
        <v>314.78</v>
      </c>
      <c r="M45">
        <v>301.85</v>
      </c>
      <c r="N45">
        <v>313.55</v>
      </c>
      <c r="O45">
        <v>316.94</v>
      </c>
      <c r="P45">
        <v>316.06</v>
      </c>
      <c r="Q45">
        <v>300.89</v>
      </c>
      <c r="R45">
        <v>311.55</v>
      </c>
      <c r="S45">
        <v>304.85</v>
      </c>
      <c r="T45">
        <v>313.59</v>
      </c>
      <c r="U45">
        <v>314.23</v>
      </c>
      <c r="V45">
        <v>309.99</v>
      </c>
      <c r="W45">
        <v>306.64</v>
      </c>
      <c r="X45">
        <v>305.16</v>
      </c>
      <c r="Y45">
        <v>305.64</v>
      </c>
      <c r="Z45">
        <v>312.47</v>
      </c>
      <c r="AA45">
        <v>303.65</v>
      </c>
      <c r="AB45">
        <v>310.63</v>
      </c>
      <c r="AC45">
        <v>318.5</v>
      </c>
      <c r="AD45">
        <v>311.35</v>
      </c>
      <c r="AE45">
        <v>307.8</v>
      </c>
      <c r="AF45">
        <v>307.16</v>
      </c>
      <c r="AG45">
        <v>307.72</v>
      </c>
      <c r="AH45">
        <v>309.72</v>
      </c>
      <c r="AI45">
        <v>301.05</v>
      </c>
      <c r="AJ45">
        <v>310.59</v>
      </c>
      <c r="AK45">
        <v>305.48</v>
      </c>
      <c r="AL45">
        <v>302.97</v>
      </c>
    </row>
    <row r="46" spans="1:38" ht="12.75">
      <c r="A46">
        <f t="shared" si="0"/>
        <v>11029.74</v>
      </c>
      <c r="B46" t="s">
        <v>46</v>
      </c>
      <c r="C46">
        <v>305.48</v>
      </c>
      <c r="D46">
        <v>297.49</v>
      </c>
      <c r="E46">
        <v>317.29</v>
      </c>
      <c r="F46">
        <v>304.72</v>
      </c>
      <c r="G46">
        <v>306.71</v>
      </c>
      <c r="H46">
        <v>314.78</v>
      </c>
      <c r="I46">
        <v>301.88</v>
      </c>
      <c r="J46">
        <v>300.97</v>
      </c>
      <c r="K46">
        <v>308.39</v>
      </c>
      <c r="L46">
        <v>313.66</v>
      </c>
      <c r="M46">
        <v>298.05</v>
      </c>
      <c r="N46">
        <v>311.39</v>
      </c>
      <c r="O46">
        <v>315.06</v>
      </c>
      <c r="P46">
        <v>313.86</v>
      </c>
      <c r="Q46">
        <v>298.09</v>
      </c>
      <c r="R46">
        <v>310.23</v>
      </c>
      <c r="S46">
        <v>302.76</v>
      </c>
      <c r="T46">
        <v>312.34</v>
      </c>
      <c r="U46">
        <v>310.91</v>
      </c>
      <c r="V46">
        <v>307.35</v>
      </c>
      <c r="W46">
        <v>303.68</v>
      </c>
      <c r="X46">
        <v>302.4</v>
      </c>
      <c r="Y46">
        <v>303.12</v>
      </c>
      <c r="Z46">
        <v>307.67</v>
      </c>
      <c r="AA46">
        <v>300.93</v>
      </c>
      <c r="AB46">
        <v>308.67</v>
      </c>
      <c r="AC46">
        <v>315.54</v>
      </c>
      <c r="AD46">
        <v>310.47</v>
      </c>
      <c r="AE46">
        <v>304.32</v>
      </c>
      <c r="AF46">
        <v>304.12</v>
      </c>
      <c r="AG46">
        <v>303.72</v>
      </c>
      <c r="AH46">
        <v>306.2</v>
      </c>
      <c r="AI46">
        <v>298.21</v>
      </c>
      <c r="AJ46">
        <v>307.67</v>
      </c>
      <c r="AK46">
        <v>303.04</v>
      </c>
      <c r="AL46">
        <v>298.57</v>
      </c>
    </row>
    <row r="47" spans="1:38" ht="12.75">
      <c r="A47">
        <f t="shared" si="0"/>
        <v>10930.53</v>
      </c>
      <c r="B47" t="s">
        <v>47</v>
      </c>
      <c r="C47">
        <v>303.83</v>
      </c>
      <c r="D47">
        <v>294.97</v>
      </c>
      <c r="E47">
        <v>314.53</v>
      </c>
      <c r="F47">
        <v>303.11</v>
      </c>
      <c r="G47">
        <v>302.87</v>
      </c>
      <c r="H47">
        <v>312.05</v>
      </c>
      <c r="I47">
        <v>297.76</v>
      </c>
      <c r="J47">
        <v>298.4</v>
      </c>
      <c r="K47">
        <v>305.62</v>
      </c>
      <c r="L47">
        <v>311.05</v>
      </c>
      <c r="M47">
        <v>294.05</v>
      </c>
      <c r="N47">
        <v>306.38</v>
      </c>
      <c r="O47">
        <v>313.93</v>
      </c>
      <c r="P47">
        <v>312.69</v>
      </c>
      <c r="Q47">
        <v>295.72</v>
      </c>
      <c r="R47">
        <v>308.34</v>
      </c>
      <c r="S47">
        <v>299.72</v>
      </c>
      <c r="T47">
        <v>309.02</v>
      </c>
      <c r="U47">
        <v>307.02</v>
      </c>
      <c r="V47">
        <v>304.55</v>
      </c>
      <c r="W47">
        <v>301.11</v>
      </c>
      <c r="X47">
        <v>299.92</v>
      </c>
      <c r="Y47">
        <v>301.07</v>
      </c>
      <c r="Z47">
        <v>304.11</v>
      </c>
      <c r="AA47">
        <v>298.8</v>
      </c>
      <c r="AB47">
        <v>305.78</v>
      </c>
      <c r="AC47">
        <v>313.61</v>
      </c>
      <c r="AD47">
        <v>307.74</v>
      </c>
      <c r="AE47">
        <v>301.67</v>
      </c>
      <c r="AF47">
        <v>300.27</v>
      </c>
      <c r="AG47">
        <v>300.83</v>
      </c>
      <c r="AH47">
        <v>302.91</v>
      </c>
      <c r="AI47">
        <v>296.24</v>
      </c>
      <c r="AJ47">
        <v>305.42</v>
      </c>
      <c r="AK47">
        <v>300.04</v>
      </c>
      <c r="AL47">
        <v>295.4</v>
      </c>
    </row>
    <row r="48" spans="1:38" ht="12.75">
      <c r="A48">
        <f t="shared" si="0"/>
        <v>10754.26</v>
      </c>
      <c r="B48" t="s">
        <v>48</v>
      </c>
      <c r="C48">
        <v>299.62</v>
      </c>
      <c r="D48">
        <v>289.96</v>
      </c>
      <c r="E48">
        <v>308.2</v>
      </c>
      <c r="F48">
        <v>296.27</v>
      </c>
      <c r="G48">
        <v>297.15</v>
      </c>
      <c r="H48">
        <v>306.65</v>
      </c>
      <c r="I48">
        <v>293.48</v>
      </c>
      <c r="J48">
        <v>293.87</v>
      </c>
      <c r="K48">
        <v>301.38</v>
      </c>
      <c r="L48">
        <v>305.65</v>
      </c>
      <c r="M48">
        <v>289.8</v>
      </c>
      <c r="N48">
        <v>302.18</v>
      </c>
      <c r="O48">
        <v>309.52</v>
      </c>
      <c r="P48">
        <v>307.41</v>
      </c>
      <c r="Q48">
        <v>289.56</v>
      </c>
      <c r="R48">
        <v>302.1</v>
      </c>
      <c r="S48">
        <v>294.39</v>
      </c>
      <c r="T48">
        <v>304.73</v>
      </c>
      <c r="U48">
        <v>303.06</v>
      </c>
      <c r="V48">
        <v>300.1</v>
      </c>
      <c r="W48">
        <v>295.39</v>
      </c>
      <c r="X48">
        <v>294.47</v>
      </c>
      <c r="Y48">
        <v>296.51</v>
      </c>
      <c r="Z48">
        <v>299.9</v>
      </c>
      <c r="AA48">
        <v>294.83</v>
      </c>
      <c r="AB48">
        <v>300.42</v>
      </c>
      <c r="AC48">
        <v>308.44</v>
      </c>
      <c r="AD48">
        <v>301.7</v>
      </c>
      <c r="AE48">
        <v>296.27</v>
      </c>
      <c r="AF48">
        <v>296.71</v>
      </c>
      <c r="AG48">
        <v>295.71</v>
      </c>
      <c r="AH48">
        <v>299.38</v>
      </c>
      <c r="AI48">
        <v>290.96</v>
      </c>
      <c r="AJ48">
        <v>301.26</v>
      </c>
      <c r="AK48">
        <v>295.15</v>
      </c>
      <c r="AL48">
        <v>292.08</v>
      </c>
    </row>
    <row r="49" spans="1:38" ht="12.75">
      <c r="A49">
        <f t="shared" si="0"/>
        <v>10641.779999999997</v>
      </c>
      <c r="B49" t="s">
        <v>49</v>
      </c>
      <c r="C49">
        <v>296.1</v>
      </c>
      <c r="D49">
        <v>285.4</v>
      </c>
      <c r="E49">
        <v>303.48</v>
      </c>
      <c r="F49">
        <v>292.66</v>
      </c>
      <c r="G49">
        <v>293.58</v>
      </c>
      <c r="H49">
        <v>303.68</v>
      </c>
      <c r="I49">
        <v>291.27</v>
      </c>
      <c r="J49">
        <v>291.27</v>
      </c>
      <c r="K49">
        <v>297.89</v>
      </c>
      <c r="L49">
        <v>301.61</v>
      </c>
      <c r="M49">
        <v>286.4</v>
      </c>
      <c r="N49">
        <v>300.13</v>
      </c>
      <c r="O49">
        <v>306.95</v>
      </c>
      <c r="P49">
        <v>303.92</v>
      </c>
      <c r="Q49">
        <v>285.88</v>
      </c>
      <c r="R49">
        <v>298.49</v>
      </c>
      <c r="S49">
        <v>292.54</v>
      </c>
      <c r="T49">
        <v>302.04</v>
      </c>
      <c r="U49">
        <v>300.93</v>
      </c>
      <c r="V49">
        <v>298.33</v>
      </c>
      <c r="W49">
        <v>292.3</v>
      </c>
      <c r="X49">
        <v>292.22</v>
      </c>
      <c r="Y49">
        <v>293.9</v>
      </c>
      <c r="Z49">
        <v>297.33</v>
      </c>
      <c r="AA49">
        <v>291.51</v>
      </c>
      <c r="AB49">
        <v>296.26</v>
      </c>
      <c r="AC49">
        <v>304.8</v>
      </c>
      <c r="AD49">
        <v>298.57</v>
      </c>
      <c r="AE49">
        <v>293.58</v>
      </c>
      <c r="AF49">
        <v>294.14</v>
      </c>
      <c r="AG49">
        <v>293.3</v>
      </c>
      <c r="AH49">
        <v>296.46</v>
      </c>
      <c r="AI49">
        <v>288.07</v>
      </c>
      <c r="AJ49">
        <v>296.9</v>
      </c>
      <c r="AK49">
        <v>292.22</v>
      </c>
      <c r="AL49">
        <v>287.67</v>
      </c>
    </row>
    <row r="50" spans="1:38" ht="12.75">
      <c r="A50">
        <f t="shared" si="0"/>
        <v>10510.130000000003</v>
      </c>
      <c r="B50" t="s">
        <v>50</v>
      </c>
      <c r="C50">
        <v>292.68</v>
      </c>
      <c r="D50">
        <v>281.06</v>
      </c>
      <c r="E50">
        <v>299.26</v>
      </c>
      <c r="F50">
        <v>288.45</v>
      </c>
      <c r="G50">
        <v>289.08</v>
      </c>
      <c r="H50">
        <v>300.02</v>
      </c>
      <c r="I50">
        <v>288.01</v>
      </c>
      <c r="J50">
        <v>287.69</v>
      </c>
      <c r="K50">
        <v>294.19</v>
      </c>
      <c r="L50">
        <v>296.55</v>
      </c>
      <c r="M50">
        <v>283.02</v>
      </c>
      <c r="N50">
        <v>295.71</v>
      </c>
      <c r="O50">
        <v>303.69</v>
      </c>
      <c r="P50">
        <v>300.74</v>
      </c>
      <c r="Q50">
        <v>281.58</v>
      </c>
      <c r="R50">
        <v>295.43</v>
      </c>
      <c r="S50">
        <v>289.24</v>
      </c>
      <c r="T50">
        <v>299.74</v>
      </c>
      <c r="U50">
        <v>298.27</v>
      </c>
      <c r="V50">
        <v>294.27</v>
      </c>
      <c r="W50">
        <v>289.56</v>
      </c>
      <c r="X50">
        <v>287.61</v>
      </c>
      <c r="Y50">
        <v>291.8</v>
      </c>
      <c r="Z50">
        <v>294.47</v>
      </c>
      <c r="AA50">
        <v>285.77</v>
      </c>
      <c r="AB50">
        <v>288.81</v>
      </c>
      <c r="AC50">
        <v>300.1</v>
      </c>
      <c r="AD50">
        <v>295.19</v>
      </c>
      <c r="AE50">
        <v>291.12</v>
      </c>
      <c r="AF50">
        <v>291.6</v>
      </c>
      <c r="AG50">
        <v>290.72</v>
      </c>
      <c r="AH50">
        <v>292.44</v>
      </c>
      <c r="AI50">
        <v>285.45</v>
      </c>
      <c r="AJ50">
        <v>292.84</v>
      </c>
      <c r="AK50">
        <v>289.72</v>
      </c>
      <c r="AL50">
        <v>284.25</v>
      </c>
    </row>
    <row r="51" spans="1:38" ht="12.75">
      <c r="A51">
        <f t="shared" si="0"/>
        <v>10473.02</v>
      </c>
      <c r="B51" t="s">
        <v>51</v>
      </c>
      <c r="C51">
        <v>290.46</v>
      </c>
      <c r="D51">
        <v>280.32</v>
      </c>
      <c r="E51">
        <v>297.73</v>
      </c>
      <c r="F51">
        <v>287.79</v>
      </c>
      <c r="G51">
        <v>287.71</v>
      </c>
      <c r="H51">
        <v>299.4</v>
      </c>
      <c r="I51">
        <v>287.15</v>
      </c>
      <c r="J51">
        <v>286.55</v>
      </c>
      <c r="K51">
        <v>293.3</v>
      </c>
      <c r="L51">
        <v>295.37</v>
      </c>
      <c r="M51">
        <v>282.8</v>
      </c>
      <c r="N51">
        <v>294.29</v>
      </c>
      <c r="O51">
        <v>302.36</v>
      </c>
      <c r="P51">
        <v>299.4</v>
      </c>
      <c r="Q51">
        <v>280.24</v>
      </c>
      <c r="R51">
        <v>294.49</v>
      </c>
      <c r="S51">
        <v>288.19</v>
      </c>
      <c r="T51">
        <v>299</v>
      </c>
      <c r="U51">
        <v>297.53</v>
      </c>
      <c r="V51">
        <v>293.93</v>
      </c>
      <c r="W51">
        <v>288.35</v>
      </c>
      <c r="X51">
        <v>286.67</v>
      </c>
      <c r="Y51">
        <v>290.86</v>
      </c>
      <c r="Z51">
        <v>293.54</v>
      </c>
      <c r="AA51">
        <v>284.39</v>
      </c>
      <c r="AB51">
        <v>286.95</v>
      </c>
      <c r="AC51">
        <v>299.24</v>
      </c>
      <c r="AD51">
        <v>294.09</v>
      </c>
      <c r="AE51">
        <v>290.3</v>
      </c>
      <c r="AF51">
        <v>290.86</v>
      </c>
      <c r="AG51">
        <v>289.3</v>
      </c>
      <c r="AH51">
        <v>291.54</v>
      </c>
      <c r="AI51">
        <v>284.27</v>
      </c>
      <c r="AJ51">
        <v>292.38</v>
      </c>
      <c r="AK51">
        <v>288.43</v>
      </c>
      <c r="AL51">
        <v>283.84</v>
      </c>
    </row>
    <row r="52" spans="1:38" ht="12.75">
      <c r="A52">
        <f t="shared" si="0"/>
        <v>10290.669999999996</v>
      </c>
      <c r="B52" t="s">
        <v>52</v>
      </c>
      <c r="C52">
        <v>286.99</v>
      </c>
      <c r="D52">
        <v>274.54</v>
      </c>
      <c r="E52">
        <v>294.25</v>
      </c>
      <c r="F52">
        <v>284.71</v>
      </c>
      <c r="G52">
        <v>284.91</v>
      </c>
      <c r="H52">
        <v>295.37</v>
      </c>
      <c r="I52">
        <v>283.32</v>
      </c>
      <c r="J52">
        <v>282.68</v>
      </c>
      <c r="K52">
        <v>288.11</v>
      </c>
      <c r="L52">
        <v>288.51</v>
      </c>
      <c r="M52">
        <v>274.1</v>
      </c>
      <c r="N52">
        <v>285.39</v>
      </c>
      <c r="O52">
        <v>299.16</v>
      </c>
      <c r="P52">
        <v>295.61</v>
      </c>
      <c r="Q52">
        <v>275.81</v>
      </c>
      <c r="R52">
        <v>290.5</v>
      </c>
      <c r="S52">
        <v>284.47</v>
      </c>
      <c r="T52">
        <v>294.61</v>
      </c>
      <c r="U52">
        <v>292.5</v>
      </c>
      <c r="V52">
        <v>289.94</v>
      </c>
      <c r="W52">
        <v>282.2</v>
      </c>
      <c r="X52">
        <v>280.16</v>
      </c>
      <c r="Y52">
        <v>283.4</v>
      </c>
      <c r="Z52">
        <v>285.75</v>
      </c>
      <c r="AA52">
        <v>279.84</v>
      </c>
      <c r="AB52">
        <v>282.28</v>
      </c>
      <c r="AC52">
        <v>295.49</v>
      </c>
      <c r="AD52">
        <v>290.46</v>
      </c>
      <c r="AE52">
        <v>286.63</v>
      </c>
      <c r="AF52">
        <v>286.15</v>
      </c>
      <c r="AG52">
        <v>283.96</v>
      </c>
      <c r="AH52">
        <v>286.75</v>
      </c>
      <c r="AI52">
        <v>279.72</v>
      </c>
      <c r="AJ52">
        <v>285.35</v>
      </c>
      <c r="AK52">
        <v>281.16</v>
      </c>
      <c r="AL52">
        <v>275.89</v>
      </c>
    </row>
    <row r="53" spans="1:38" ht="12.75">
      <c r="A53">
        <f t="shared" si="0"/>
        <v>10030.679999999998</v>
      </c>
      <c r="B53" t="s">
        <v>53</v>
      </c>
      <c r="C53">
        <v>281.47</v>
      </c>
      <c r="D53">
        <v>268.25</v>
      </c>
      <c r="E53">
        <v>288.57</v>
      </c>
      <c r="F53">
        <v>279.51</v>
      </c>
      <c r="G53">
        <v>279.55</v>
      </c>
      <c r="H53">
        <v>287.97</v>
      </c>
      <c r="I53">
        <v>275.28</v>
      </c>
      <c r="J53">
        <v>275.12</v>
      </c>
      <c r="K53">
        <v>280.87</v>
      </c>
      <c r="L53">
        <v>278.63</v>
      </c>
      <c r="M53">
        <v>264.82</v>
      </c>
      <c r="N53">
        <v>275.76</v>
      </c>
      <c r="O53">
        <v>291.93</v>
      </c>
      <c r="P53">
        <v>289.85</v>
      </c>
      <c r="Q53">
        <v>269.45</v>
      </c>
      <c r="R53">
        <v>284.86</v>
      </c>
      <c r="S53">
        <v>279.31</v>
      </c>
      <c r="T53">
        <v>287.77</v>
      </c>
      <c r="U53">
        <v>285.7</v>
      </c>
      <c r="V53">
        <v>281.71</v>
      </c>
      <c r="W53">
        <v>273.56</v>
      </c>
      <c r="X53">
        <v>272.17</v>
      </c>
      <c r="Y53">
        <v>274.84</v>
      </c>
      <c r="Z53">
        <v>276.8</v>
      </c>
      <c r="AA53">
        <v>272.73</v>
      </c>
      <c r="AB53">
        <v>276.12</v>
      </c>
      <c r="AC53">
        <v>290.69</v>
      </c>
      <c r="AD53">
        <v>285.82</v>
      </c>
      <c r="AE53">
        <v>280.67</v>
      </c>
      <c r="AF53">
        <v>279.79</v>
      </c>
      <c r="AG53">
        <v>275.8</v>
      </c>
      <c r="AH53">
        <v>278.75</v>
      </c>
      <c r="AI53">
        <v>271.69</v>
      </c>
      <c r="AJ53">
        <v>276.4</v>
      </c>
      <c r="AK53">
        <v>272.33</v>
      </c>
      <c r="AL53">
        <v>266.14</v>
      </c>
    </row>
    <row r="54" spans="1:38" ht="12.75">
      <c r="A54">
        <f t="shared" si="0"/>
        <v>9670.369999999997</v>
      </c>
      <c r="B54" t="s">
        <v>54</v>
      </c>
      <c r="C54">
        <v>272.25</v>
      </c>
      <c r="D54">
        <v>259.44</v>
      </c>
      <c r="E54">
        <v>279.04</v>
      </c>
      <c r="F54">
        <v>270.22</v>
      </c>
      <c r="G54">
        <v>269.3</v>
      </c>
      <c r="H54">
        <v>277.52</v>
      </c>
      <c r="I54">
        <v>262.87</v>
      </c>
      <c r="J54">
        <v>263.07</v>
      </c>
      <c r="K54">
        <v>268.42</v>
      </c>
      <c r="L54">
        <v>268.98</v>
      </c>
      <c r="M54">
        <v>254.25</v>
      </c>
      <c r="N54">
        <v>266.94</v>
      </c>
      <c r="O54">
        <v>283.47</v>
      </c>
      <c r="P54">
        <v>280.16</v>
      </c>
      <c r="Q54">
        <v>259.64</v>
      </c>
      <c r="R54">
        <v>273.45</v>
      </c>
      <c r="S54">
        <v>268.38</v>
      </c>
      <c r="T54">
        <v>276.44</v>
      </c>
      <c r="U54">
        <v>272.41</v>
      </c>
      <c r="V54">
        <v>269.7</v>
      </c>
      <c r="W54">
        <v>261.24</v>
      </c>
      <c r="X54">
        <v>264.03</v>
      </c>
      <c r="Y54">
        <v>265.19</v>
      </c>
      <c r="Z54">
        <v>269.94</v>
      </c>
      <c r="AA54">
        <v>264.79</v>
      </c>
      <c r="AB54">
        <v>266.19</v>
      </c>
      <c r="AC54">
        <v>281.27</v>
      </c>
      <c r="AD54">
        <v>275.13</v>
      </c>
      <c r="AE54">
        <v>271.49</v>
      </c>
      <c r="AF54">
        <v>270.54</v>
      </c>
      <c r="AG54">
        <v>265.23</v>
      </c>
      <c r="AH54">
        <v>268.46</v>
      </c>
      <c r="AI54">
        <v>262.03</v>
      </c>
      <c r="AJ54">
        <v>267.38</v>
      </c>
      <c r="AK54">
        <v>262.39</v>
      </c>
      <c r="AL54">
        <v>259.12</v>
      </c>
    </row>
    <row r="55" spans="1:38" ht="12.75">
      <c r="A55">
        <f t="shared" si="0"/>
        <v>9604.81</v>
      </c>
      <c r="B55" t="s">
        <v>55</v>
      </c>
      <c r="C55">
        <v>270.82</v>
      </c>
      <c r="D55">
        <v>257.69</v>
      </c>
      <c r="E55">
        <v>277.13</v>
      </c>
      <c r="F55">
        <v>268.95</v>
      </c>
      <c r="G55">
        <v>268.67</v>
      </c>
      <c r="H55">
        <v>275.89</v>
      </c>
      <c r="I55">
        <v>261.68</v>
      </c>
      <c r="J55">
        <v>260.72</v>
      </c>
      <c r="K55">
        <v>265.99</v>
      </c>
      <c r="L55">
        <v>265.23</v>
      </c>
      <c r="M55">
        <v>250.94</v>
      </c>
      <c r="N55">
        <v>264.56</v>
      </c>
      <c r="O55">
        <v>282.68</v>
      </c>
      <c r="P55">
        <v>278.73</v>
      </c>
      <c r="Q55">
        <v>258.33</v>
      </c>
      <c r="R55">
        <v>272.46</v>
      </c>
      <c r="S55">
        <v>267.47</v>
      </c>
      <c r="T55">
        <v>274.46</v>
      </c>
      <c r="U55">
        <v>270.3</v>
      </c>
      <c r="V55">
        <v>267.87</v>
      </c>
      <c r="W55">
        <v>259.21</v>
      </c>
      <c r="X55">
        <v>261.04</v>
      </c>
      <c r="Y55">
        <v>262.4</v>
      </c>
      <c r="Z55">
        <v>268.67</v>
      </c>
      <c r="AA55">
        <v>264.08</v>
      </c>
      <c r="AB55">
        <v>263.96</v>
      </c>
      <c r="AC55">
        <v>279.84</v>
      </c>
      <c r="AD55">
        <v>273.62</v>
      </c>
      <c r="AE55">
        <v>270.3</v>
      </c>
      <c r="AF55">
        <v>268.23</v>
      </c>
      <c r="AG55">
        <v>263.4</v>
      </c>
      <c r="AH55">
        <v>267.19</v>
      </c>
      <c r="AI55">
        <v>260.64</v>
      </c>
      <c r="AJ55">
        <v>264.52</v>
      </c>
      <c r="AK55">
        <v>259.05</v>
      </c>
      <c r="AL55">
        <v>258.09</v>
      </c>
    </row>
    <row r="56" spans="1:38" ht="12.75">
      <c r="A56">
        <f t="shared" si="0"/>
        <v>8960.89</v>
      </c>
      <c r="B56" t="s">
        <v>136</v>
      </c>
      <c r="C56">
        <v>260.82</v>
      </c>
      <c r="D56">
        <v>236</v>
      </c>
      <c r="E56">
        <v>252.2</v>
      </c>
      <c r="F56">
        <v>246.41</v>
      </c>
      <c r="G56">
        <v>255.08</v>
      </c>
      <c r="H56">
        <v>257.67</v>
      </c>
      <c r="I56">
        <v>245.54</v>
      </c>
      <c r="J56">
        <v>245.06</v>
      </c>
      <c r="K56">
        <v>250.45</v>
      </c>
      <c r="L56">
        <v>240.75</v>
      </c>
      <c r="M56">
        <v>226.93</v>
      </c>
      <c r="N56">
        <v>242.46</v>
      </c>
      <c r="O56">
        <v>273.48</v>
      </c>
      <c r="P56">
        <v>258.35</v>
      </c>
      <c r="Q56">
        <v>237.47</v>
      </c>
      <c r="R56">
        <v>249.45</v>
      </c>
      <c r="S56">
        <v>255.28</v>
      </c>
      <c r="T56">
        <v>256.39</v>
      </c>
      <c r="U56">
        <v>253.84</v>
      </c>
      <c r="V56">
        <v>254.2</v>
      </c>
      <c r="W56">
        <v>246.09</v>
      </c>
      <c r="X56">
        <v>241.54</v>
      </c>
      <c r="Y56">
        <v>238.83</v>
      </c>
      <c r="Z56">
        <v>248.45</v>
      </c>
      <c r="AA56">
        <v>255.59</v>
      </c>
      <c r="AB56">
        <v>239.91</v>
      </c>
      <c r="AC56">
        <v>259.07</v>
      </c>
      <c r="AD56">
        <v>249.09</v>
      </c>
      <c r="AE56">
        <v>262.26</v>
      </c>
      <c r="AF56">
        <v>252.4</v>
      </c>
      <c r="AG56">
        <v>248.41</v>
      </c>
      <c r="AH56">
        <v>254.64</v>
      </c>
      <c r="AI56">
        <v>248.17</v>
      </c>
      <c r="AJ56">
        <v>243.26</v>
      </c>
      <c r="AK56">
        <v>235.28</v>
      </c>
      <c r="AL56">
        <v>240.07</v>
      </c>
    </row>
    <row r="57" spans="1:38" ht="12.75">
      <c r="A57">
        <f t="shared" si="0"/>
        <v>8942.190000000002</v>
      </c>
      <c r="B57" t="s">
        <v>57</v>
      </c>
      <c r="C57">
        <v>260.48</v>
      </c>
      <c r="D57">
        <v>235.9</v>
      </c>
      <c r="E57">
        <v>251.62</v>
      </c>
      <c r="F57">
        <v>246.31</v>
      </c>
      <c r="G57">
        <v>254.66</v>
      </c>
      <c r="H57">
        <v>256.85</v>
      </c>
      <c r="I57">
        <v>245.16</v>
      </c>
      <c r="J57">
        <v>244.32</v>
      </c>
      <c r="K57">
        <v>250.11</v>
      </c>
      <c r="L57">
        <v>240.25</v>
      </c>
      <c r="M57">
        <v>226.71</v>
      </c>
      <c r="N57">
        <v>241.4</v>
      </c>
      <c r="O57">
        <v>272.5</v>
      </c>
      <c r="P57">
        <v>257.89</v>
      </c>
      <c r="Q57">
        <v>236.61</v>
      </c>
      <c r="R57">
        <v>248.55</v>
      </c>
      <c r="S57">
        <v>254.74</v>
      </c>
      <c r="T57">
        <v>256.13</v>
      </c>
      <c r="U57">
        <v>254.14</v>
      </c>
      <c r="V57">
        <v>253.54</v>
      </c>
      <c r="W57">
        <v>246.35</v>
      </c>
      <c r="X57">
        <v>240.45</v>
      </c>
      <c r="Y57">
        <v>238.37</v>
      </c>
      <c r="Z57">
        <v>247.31</v>
      </c>
      <c r="AA57">
        <v>254.74</v>
      </c>
      <c r="AB57">
        <v>239.73</v>
      </c>
      <c r="AC57">
        <v>258.17</v>
      </c>
      <c r="AD57">
        <v>249.27</v>
      </c>
      <c r="AE57">
        <v>262.56</v>
      </c>
      <c r="AF57">
        <v>252.06</v>
      </c>
      <c r="AG57">
        <v>248.23</v>
      </c>
      <c r="AH57">
        <v>254.06</v>
      </c>
      <c r="AI57">
        <v>247.47</v>
      </c>
      <c r="AJ57">
        <v>242.68</v>
      </c>
      <c r="AK57">
        <v>234.26</v>
      </c>
      <c r="AL57">
        <v>238.61</v>
      </c>
    </row>
    <row r="58" spans="1:38" ht="12.75">
      <c r="A58">
        <f t="shared" si="0"/>
        <v>8630.130000000001</v>
      </c>
      <c r="B58" t="s">
        <v>58</v>
      </c>
      <c r="C58">
        <v>255.17</v>
      </c>
      <c r="D58">
        <v>226.95</v>
      </c>
      <c r="E58">
        <v>240.8</v>
      </c>
      <c r="F58">
        <v>235.61</v>
      </c>
      <c r="G58">
        <v>247.07</v>
      </c>
      <c r="H58">
        <v>249.1</v>
      </c>
      <c r="I58">
        <v>237.53</v>
      </c>
      <c r="J58">
        <v>236.45</v>
      </c>
      <c r="K58">
        <v>240.64</v>
      </c>
      <c r="L58">
        <v>230.86</v>
      </c>
      <c r="M58">
        <v>217.01</v>
      </c>
      <c r="N58">
        <v>230.22</v>
      </c>
      <c r="O58">
        <v>266.86</v>
      </c>
      <c r="P58">
        <v>247.98</v>
      </c>
      <c r="Q58">
        <v>227.19</v>
      </c>
      <c r="R58">
        <v>237.84</v>
      </c>
      <c r="S58">
        <v>247.94</v>
      </c>
      <c r="T58">
        <v>247.66</v>
      </c>
      <c r="U58">
        <v>245.99</v>
      </c>
      <c r="V58">
        <v>245.07</v>
      </c>
      <c r="W58">
        <v>238.32</v>
      </c>
      <c r="X58">
        <v>232.5</v>
      </c>
      <c r="Y58">
        <v>228.9</v>
      </c>
      <c r="Z58">
        <v>235.97</v>
      </c>
      <c r="AA58">
        <v>248.82</v>
      </c>
      <c r="AB58">
        <v>229.58</v>
      </c>
      <c r="AC58">
        <v>248.38</v>
      </c>
      <c r="AD58">
        <v>238.64</v>
      </c>
      <c r="AE58">
        <v>257.16</v>
      </c>
      <c r="AF58">
        <v>244.59</v>
      </c>
      <c r="AG58">
        <v>239.76</v>
      </c>
      <c r="AH58">
        <v>246.35</v>
      </c>
      <c r="AI58">
        <v>240.16</v>
      </c>
      <c r="AJ58">
        <v>233.77</v>
      </c>
      <c r="AK58">
        <v>224.91</v>
      </c>
      <c r="AL58">
        <v>228.38</v>
      </c>
    </row>
    <row r="59" spans="1:38" ht="12.75">
      <c r="A59">
        <f t="shared" si="0"/>
        <v>0</v>
      </c>
      <c r="B59" t="s">
        <v>59</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row r="60" spans="1:38" ht="12.75">
      <c r="A60">
        <f t="shared" si="0"/>
        <v>275.74</v>
      </c>
      <c r="B60" t="s">
        <v>177</v>
      </c>
      <c r="C60">
        <v>7.07</v>
      </c>
      <c r="D60">
        <v>7.06</v>
      </c>
      <c r="E60">
        <v>7.77</v>
      </c>
      <c r="F60">
        <v>7.67</v>
      </c>
      <c r="G60">
        <v>7.2</v>
      </c>
      <c r="H60">
        <v>8.02</v>
      </c>
      <c r="I60">
        <v>7.7</v>
      </c>
      <c r="J60">
        <v>8.17</v>
      </c>
      <c r="K60">
        <v>7.04</v>
      </c>
      <c r="L60">
        <v>7.97</v>
      </c>
      <c r="M60">
        <v>7.54</v>
      </c>
      <c r="N60">
        <v>7.74</v>
      </c>
      <c r="O60">
        <v>7.51</v>
      </c>
      <c r="P60">
        <v>7.7</v>
      </c>
      <c r="Q60">
        <v>7.42</v>
      </c>
      <c r="R60">
        <v>7.24</v>
      </c>
      <c r="S60">
        <v>6.84</v>
      </c>
      <c r="T60">
        <v>8.48</v>
      </c>
      <c r="U60">
        <v>8.41</v>
      </c>
      <c r="V60">
        <v>8.02</v>
      </c>
      <c r="W60">
        <v>7.07</v>
      </c>
      <c r="X60">
        <v>8.07</v>
      </c>
      <c r="Y60">
        <v>8.02</v>
      </c>
      <c r="Z60">
        <v>7.89</v>
      </c>
      <c r="AA60">
        <v>7.07</v>
      </c>
      <c r="AB60">
        <v>7.51</v>
      </c>
      <c r="AC60">
        <v>8.41</v>
      </c>
      <c r="AD60">
        <v>7.57</v>
      </c>
      <c r="AE60">
        <v>6.87</v>
      </c>
      <c r="AF60">
        <v>7.97</v>
      </c>
      <c r="AG60">
        <v>8.12</v>
      </c>
      <c r="AH60">
        <v>8.22</v>
      </c>
      <c r="AI60">
        <v>6.99</v>
      </c>
      <c r="AJ60">
        <v>8.17</v>
      </c>
      <c r="AK60">
        <v>7.48</v>
      </c>
      <c r="AL60">
        <v>7.74</v>
      </c>
    </row>
    <row r="61" spans="1:38" ht="12.75">
      <c r="A61">
        <f t="shared" si="0"/>
        <v>246.64</v>
      </c>
      <c r="B61" t="s">
        <v>178</v>
      </c>
      <c r="C61">
        <v>6.41</v>
      </c>
      <c r="D61">
        <v>6.55</v>
      </c>
      <c r="E61">
        <v>7.18</v>
      </c>
      <c r="F61">
        <v>6.75</v>
      </c>
      <c r="G61">
        <v>6.22</v>
      </c>
      <c r="H61">
        <v>6.96</v>
      </c>
      <c r="I61">
        <v>7.27</v>
      </c>
      <c r="J61">
        <v>6.98</v>
      </c>
      <c r="K61">
        <v>6.27</v>
      </c>
      <c r="L61">
        <v>6.54</v>
      </c>
      <c r="M61">
        <v>6.66</v>
      </c>
      <c r="N61">
        <v>6.82</v>
      </c>
      <c r="O61">
        <v>6.68</v>
      </c>
      <c r="P61">
        <v>6.75</v>
      </c>
      <c r="Q61">
        <v>6.56</v>
      </c>
      <c r="R61">
        <v>6.38</v>
      </c>
      <c r="S61">
        <v>6.4</v>
      </c>
      <c r="T61">
        <v>7.51</v>
      </c>
      <c r="U61">
        <v>7.85</v>
      </c>
      <c r="V61">
        <v>7.48</v>
      </c>
      <c r="W61">
        <v>6.26</v>
      </c>
      <c r="X61">
        <v>7.18</v>
      </c>
      <c r="Y61">
        <v>7.27</v>
      </c>
      <c r="Z61">
        <v>7.2</v>
      </c>
      <c r="AA61">
        <v>6.48</v>
      </c>
      <c r="AB61">
        <v>6.68</v>
      </c>
      <c r="AC61">
        <v>7.13</v>
      </c>
      <c r="AD61">
        <v>6.7</v>
      </c>
      <c r="AE61">
        <v>6.41</v>
      </c>
      <c r="AF61">
        <v>6.89</v>
      </c>
      <c r="AG61">
        <v>7.51</v>
      </c>
      <c r="AH61">
        <v>7.57</v>
      </c>
      <c r="AI61">
        <v>6.48</v>
      </c>
      <c r="AJ61">
        <v>7.18</v>
      </c>
      <c r="AK61">
        <v>6.8</v>
      </c>
      <c r="AL61">
        <v>6.68</v>
      </c>
    </row>
    <row r="62" spans="1:38" ht="12.75">
      <c r="A62">
        <f t="shared" si="0"/>
        <v>0</v>
      </c>
      <c r="B62" t="s">
        <v>179</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row>
    <row r="63" spans="1:38" ht="12.75">
      <c r="A63">
        <f t="shared" si="0"/>
        <v>274.43</v>
      </c>
      <c r="B63" t="s">
        <v>180</v>
      </c>
      <c r="C63">
        <v>274.43</v>
      </c>
      <c r="D63" t="s">
        <v>139</v>
      </c>
      <c r="E63" t="s">
        <v>139</v>
      </c>
      <c r="F63" t="s">
        <v>139</v>
      </c>
      <c r="G63" t="s">
        <v>139</v>
      </c>
      <c r="H63" t="s">
        <v>139</v>
      </c>
      <c r="I63" t="s">
        <v>139</v>
      </c>
      <c r="J63" t="s">
        <v>139</v>
      </c>
      <c r="K63" t="s">
        <v>139</v>
      </c>
      <c r="L63" t="s">
        <v>139</v>
      </c>
      <c r="M63" t="s">
        <v>139</v>
      </c>
      <c r="N63" t="s">
        <v>139</v>
      </c>
      <c r="O63" t="s">
        <v>139</v>
      </c>
      <c r="P63" t="s">
        <v>139</v>
      </c>
      <c r="Q63" t="s">
        <v>139</v>
      </c>
      <c r="R63" t="s">
        <v>139</v>
      </c>
      <c r="S63" t="s">
        <v>139</v>
      </c>
      <c r="T63" t="s">
        <v>139</v>
      </c>
      <c r="U63" t="s">
        <v>139</v>
      </c>
      <c r="V63" t="s">
        <v>139</v>
      </c>
      <c r="W63" t="s">
        <v>139</v>
      </c>
      <c r="X63" t="s">
        <v>139</v>
      </c>
      <c r="Y63" t="s">
        <v>139</v>
      </c>
      <c r="Z63" t="s">
        <v>139</v>
      </c>
      <c r="AA63" t="s">
        <v>139</v>
      </c>
      <c r="AB63" t="s">
        <v>139</v>
      </c>
      <c r="AC63" t="s">
        <v>139</v>
      </c>
      <c r="AD63" t="s">
        <v>139</v>
      </c>
      <c r="AE63" t="s">
        <v>139</v>
      </c>
      <c r="AF63" t="s">
        <v>139</v>
      </c>
      <c r="AG63" t="s">
        <v>139</v>
      </c>
      <c r="AH63" t="s">
        <v>139</v>
      </c>
      <c r="AI63" t="s">
        <v>139</v>
      </c>
      <c r="AJ63" t="s">
        <v>139</v>
      </c>
      <c r="AK63" t="s">
        <v>139</v>
      </c>
      <c r="AL63" t="s">
        <v>139</v>
      </c>
    </row>
    <row r="64" spans="1:38" ht="12.75">
      <c r="A64">
        <f t="shared" si="0"/>
        <v>244.01</v>
      </c>
      <c r="B64" t="s">
        <v>181</v>
      </c>
      <c r="C64">
        <v>244.01</v>
      </c>
      <c r="D64" t="s">
        <v>139</v>
      </c>
      <c r="E64" t="s">
        <v>139</v>
      </c>
      <c r="F64" t="s">
        <v>139</v>
      </c>
      <c r="G64" t="s">
        <v>139</v>
      </c>
      <c r="H64" t="s">
        <v>139</v>
      </c>
      <c r="I64" t="s">
        <v>139</v>
      </c>
      <c r="J64" t="s">
        <v>139</v>
      </c>
      <c r="K64" t="s">
        <v>139</v>
      </c>
      <c r="L64" t="s">
        <v>139</v>
      </c>
      <c r="M64" t="s">
        <v>139</v>
      </c>
      <c r="N64" t="s">
        <v>139</v>
      </c>
      <c r="O64" t="s">
        <v>139</v>
      </c>
      <c r="P64" t="s">
        <v>139</v>
      </c>
      <c r="Q64" t="s">
        <v>139</v>
      </c>
      <c r="R64" t="s">
        <v>139</v>
      </c>
      <c r="S64" t="s">
        <v>139</v>
      </c>
      <c r="T64" t="s">
        <v>139</v>
      </c>
      <c r="U64" t="s">
        <v>139</v>
      </c>
      <c r="V64" t="s">
        <v>139</v>
      </c>
      <c r="W64" t="s">
        <v>139</v>
      </c>
      <c r="X64" t="s">
        <v>139</v>
      </c>
      <c r="Y64" t="s">
        <v>139</v>
      </c>
      <c r="Z64" t="s">
        <v>139</v>
      </c>
      <c r="AA64" t="s">
        <v>139</v>
      </c>
      <c r="AB64" t="s">
        <v>139</v>
      </c>
      <c r="AC64" t="s">
        <v>139</v>
      </c>
      <c r="AD64" t="s">
        <v>139</v>
      </c>
      <c r="AE64" t="s">
        <v>139</v>
      </c>
      <c r="AF64" t="s">
        <v>139</v>
      </c>
      <c r="AG64" t="s">
        <v>139</v>
      </c>
      <c r="AH64" t="s">
        <v>139</v>
      </c>
      <c r="AI64" t="s">
        <v>139</v>
      </c>
      <c r="AJ64" t="s">
        <v>139</v>
      </c>
      <c r="AK64" t="s">
        <v>139</v>
      </c>
      <c r="AL64" t="s">
        <v>139</v>
      </c>
    </row>
    <row r="65" spans="1:38" ht="12.75">
      <c r="A65">
        <f t="shared" si="0"/>
        <v>0</v>
      </c>
      <c r="B65" t="s">
        <v>182</v>
      </c>
      <c r="C65">
        <v>0</v>
      </c>
      <c r="D65" t="s">
        <v>139</v>
      </c>
      <c r="E65" t="s">
        <v>139</v>
      </c>
      <c r="F65" t="s">
        <v>139</v>
      </c>
      <c r="G65" t="s">
        <v>139</v>
      </c>
      <c r="H65" t="s">
        <v>139</v>
      </c>
      <c r="I65" t="s">
        <v>139</v>
      </c>
      <c r="J65" t="s">
        <v>139</v>
      </c>
      <c r="K65" t="s">
        <v>139</v>
      </c>
      <c r="L65" t="s">
        <v>139</v>
      </c>
      <c r="M65" t="s">
        <v>139</v>
      </c>
      <c r="N65" t="s">
        <v>139</v>
      </c>
      <c r="O65" t="s">
        <v>139</v>
      </c>
      <c r="P65" t="s">
        <v>139</v>
      </c>
      <c r="Q65" t="s">
        <v>139</v>
      </c>
      <c r="R65" t="s">
        <v>139</v>
      </c>
      <c r="S65" t="s">
        <v>139</v>
      </c>
      <c r="T65" t="s">
        <v>139</v>
      </c>
      <c r="U65" t="s">
        <v>139</v>
      </c>
      <c r="V65" t="s">
        <v>139</v>
      </c>
      <c r="W65" t="s">
        <v>139</v>
      </c>
      <c r="X65" t="s">
        <v>139</v>
      </c>
      <c r="Y65" t="s">
        <v>139</v>
      </c>
      <c r="Z65" t="s">
        <v>139</v>
      </c>
      <c r="AA65" t="s">
        <v>139</v>
      </c>
      <c r="AB65" t="s">
        <v>139</v>
      </c>
      <c r="AC65" t="s">
        <v>139</v>
      </c>
      <c r="AD65" t="s">
        <v>139</v>
      </c>
      <c r="AE65" t="s">
        <v>139</v>
      </c>
      <c r="AF65" t="s">
        <v>139</v>
      </c>
      <c r="AG65" t="s">
        <v>139</v>
      </c>
      <c r="AH65" t="s">
        <v>139</v>
      </c>
      <c r="AI65" t="s">
        <v>139</v>
      </c>
      <c r="AJ65" t="s">
        <v>139</v>
      </c>
      <c r="AK65" t="s">
        <v>139</v>
      </c>
      <c r="AL65" t="s">
        <v>139</v>
      </c>
    </row>
    <row r="76" spans="10:15" ht="12.75">
      <c r="J76" s="12"/>
      <c r="K76" s="12"/>
      <c r="L76" s="12"/>
      <c r="M76" s="12"/>
      <c r="N76" s="12"/>
      <c r="O76" s="12"/>
    </row>
    <row r="77" spans="4:17" ht="12.75">
      <c r="D77" t="s">
        <v>209</v>
      </c>
      <c r="E77" t="s">
        <v>210</v>
      </c>
      <c r="F77" t="s">
        <v>211</v>
      </c>
      <c r="G77" t="s">
        <v>212</v>
      </c>
      <c r="H77" t="s">
        <v>213</v>
      </c>
      <c r="I77" t="s">
        <v>214</v>
      </c>
      <c r="J77" s="12"/>
      <c r="K77" s="10"/>
      <c r="L77" s="10"/>
      <c r="M77" s="10" t="s">
        <v>215</v>
      </c>
      <c r="N77" s="10" t="s">
        <v>54</v>
      </c>
      <c r="O77" s="12" t="s">
        <v>212</v>
      </c>
      <c r="P77" t="s">
        <v>214</v>
      </c>
      <c r="Q77" t="s">
        <v>216</v>
      </c>
    </row>
    <row r="78" spans="3:17" ht="12.75">
      <c r="C78" t="s">
        <v>60</v>
      </c>
      <c r="D78">
        <v>281.47</v>
      </c>
      <c r="E78">
        <v>272.25</v>
      </c>
      <c r="F78">
        <v>270.82</v>
      </c>
      <c r="G78">
        <v>260.82</v>
      </c>
      <c r="H78">
        <v>260.48</v>
      </c>
      <c r="I78">
        <v>255.17</v>
      </c>
      <c r="J78" s="12"/>
      <c r="K78" s="10">
        <v>237.72</v>
      </c>
      <c r="L78" s="10"/>
      <c r="M78" s="10" t="s">
        <v>60</v>
      </c>
      <c r="N78" s="10">
        <f>100*E78/D78</f>
        <v>96.72434007176608</v>
      </c>
      <c r="O78" s="12">
        <f>100*G78/F78</f>
        <v>96.30751052359501</v>
      </c>
      <c r="P78">
        <f>100*I78/H78</f>
        <v>97.96145577395576</v>
      </c>
      <c r="Q78">
        <f>-0.5*1/(LN(I78/H78))</f>
        <v>24.27644880350564</v>
      </c>
    </row>
    <row r="79" spans="3:17" ht="12.75">
      <c r="C79" t="s">
        <v>61</v>
      </c>
      <c r="D79">
        <v>268.25</v>
      </c>
      <c r="E79">
        <v>259.44</v>
      </c>
      <c r="F79">
        <v>257.69</v>
      </c>
      <c r="G79">
        <v>236</v>
      </c>
      <c r="H79">
        <v>235.9</v>
      </c>
      <c r="I79">
        <v>226.95</v>
      </c>
      <c r="J79" s="12"/>
      <c r="K79" s="10">
        <v>236.94</v>
      </c>
      <c r="L79" s="10">
        <f>E79*E79*17.97</f>
        <v>1209544.771392</v>
      </c>
      <c r="M79" s="10">
        <f>F79*F79*11.39</f>
        <v>756343.1101790001</v>
      </c>
      <c r="N79" s="10">
        <f aca="true" t="shared" si="1" ref="N79:N113">100*E79/D79</f>
        <v>96.71575023299161</v>
      </c>
      <c r="O79" s="12">
        <f aca="true" t="shared" si="2" ref="O79:O113">100*G79/F79</f>
        <v>91.58290969769878</v>
      </c>
      <c r="P79">
        <f aca="true" t="shared" si="3" ref="P79:P113">100*I79/H79</f>
        <v>96.20601949978804</v>
      </c>
      <c r="Q79">
        <f aca="true" t="shared" si="4" ref="Q79:Q113">-0.5*1/(LN(I79/H79))</f>
        <v>12.927159395838878</v>
      </c>
    </row>
    <row r="80" spans="3:17" ht="12.75">
      <c r="C80" t="s">
        <v>62</v>
      </c>
      <c r="D80">
        <v>288.57</v>
      </c>
      <c r="E80">
        <v>279.04</v>
      </c>
      <c r="F80">
        <v>277.13</v>
      </c>
      <c r="G80">
        <v>252.2</v>
      </c>
      <c r="H80">
        <v>251.62</v>
      </c>
      <c r="I80">
        <v>240.8</v>
      </c>
      <c r="J80" s="12"/>
      <c r="K80" s="10">
        <v>237.84</v>
      </c>
      <c r="L80" s="10">
        <f aca="true" t="shared" si="5" ref="L80:L114">E80*E80*17.97</f>
        <v>1399203.8891520002</v>
      </c>
      <c r="M80" s="10">
        <f>F80*F80*11.39</f>
        <v>874763.810291</v>
      </c>
      <c r="N80" s="10">
        <f t="shared" si="1"/>
        <v>96.69750840350696</v>
      </c>
      <c r="O80" s="12">
        <f t="shared" si="2"/>
        <v>91.00422184534334</v>
      </c>
      <c r="P80">
        <f t="shared" si="3"/>
        <v>95.69986487560607</v>
      </c>
      <c r="Q80">
        <f t="shared" si="4"/>
        <v>11.375710261134817</v>
      </c>
    </row>
    <row r="81" spans="3:17" ht="12.75">
      <c r="C81" t="s">
        <v>63</v>
      </c>
      <c r="D81">
        <v>279.51</v>
      </c>
      <c r="E81">
        <v>270.22</v>
      </c>
      <c r="F81">
        <v>268.95</v>
      </c>
      <c r="G81">
        <v>246.41</v>
      </c>
      <c r="H81">
        <v>246.31</v>
      </c>
      <c r="I81">
        <v>235.61</v>
      </c>
      <c r="J81" s="12"/>
      <c r="K81" s="10">
        <v>236.57</v>
      </c>
      <c r="L81" s="10">
        <f t="shared" si="5"/>
        <v>1312148.7057480002</v>
      </c>
      <c r="M81" s="10">
        <f aca="true" t="shared" si="6" ref="M81:M114">F81*F81*11.39</f>
        <v>823885.4274749999</v>
      </c>
      <c r="N81" s="10">
        <f t="shared" si="1"/>
        <v>96.67632642839256</v>
      </c>
      <c r="O81" s="12">
        <f t="shared" si="2"/>
        <v>91.61926008551775</v>
      </c>
      <c r="P81">
        <f t="shared" si="3"/>
        <v>95.65588080061711</v>
      </c>
      <c r="Q81">
        <f t="shared" si="4"/>
        <v>11.257962602883962</v>
      </c>
    </row>
    <row r="82" spans="3:17" ht="12.75">
      <c r="C82" t="s">
        <v>64</v>
      </c>
      <c r="D82">
        <v>279.55</v>
      </c>
      <c r="E82">
        <v>269.3</v>
      </c>
      <c r="F82">
        <v>268.67</v>
      </c>
      <c r="G82">
        <v>255.08</v>
      </c>
      <c r="H82">
        <v>254.66</v>
      </c>
      <c r="I82">
        <v>247.07</v>
      </c>
      <c r="J82" s="12"/>
      <c r="K82" s="10">
        <v>237.56</v>
      </c>
      <c r="L82" s="10">
        <f t="shared" si="5"/>
        <v>1303229.1453</v>
      </c>
      <c r="M82" s="10">
        <f t="shared" si="6"/>
        <v>822170.8497710002</v>
      </c>
      <c r="N82" s="10">
        <f t="shared" si="1"/>
        <v>96.33339295296011</v>
      </c>
      <c r="O82" s="12">
        <f t="shared" si="2"/>
        <v>94.94175010235604</v>
      </c>
      <c r="P82">
        <f t="shared" si="3"/>
        <v>97.0195554857457</v>
      </c>
      <c r="Q82">
        <f t="shared" si="4"/>
        <v>16.524760365236613</v>
      </c>
    </row>
    <row r="83" spans="3:17" ht="12.75">
      <c r="C83" t="s">
        <v>65</v>
      </c>
      <c r="D83">
        <v>287.97</v>
      </c>
      <c r="E83">
        <v>277.52</v>
      </c>
      <c r="F83">
        <v>275.89</v>
      </c>
      <c r="G83">
        <v>257.67</v>
      </c>
      <c r="H83">
        <v>256.85</v>
      </c>
      <c r="I83">
        <v>249.1</v>
      </c>
      <c r="J83" s="12"/>
      <c r="K83" s="10">
        <v>236.76</v>
      </c>
      <c r="L83" s="10">
        <f t="shared" si="5"/>
        <v>1384001.7866879997</v>
      </c>
      <c r="M83" s="10">
        <f t="shared" si="6"/>
        <v>866953.1770189999</v>
      </c>
      <c r="N83" s="10">
        <f t="shared" si="1"/>
        <v>96.37114977254575</v>
      </c>
      <c r="O83" s="12">
        <f t="shared" si="2"/>
        <v>93.39591866323535</v>
      </c>
      <c r="P83">
        <f t="shared" si="3"/>
        <v>96.98267471286742</v>
      </c>
      <c r="Q83">
        <f t="shared" si="4"/>
        <v>16.319691185462986</v>
      </c>
    </row>
    <row r="84" spans="3:17" ht="12.75">
      <c r="C84" t="s">
        <v>66</v>
      </c>
      <c r="D84">
        <v>275.28</v>
      </c>
      <c r="E84">
        <v>262.87</v>
      </c>
      <c r="F84">
        <v>261.68</v>
      </c>
      <c r="G84">
        <v>245.54</v>
      </c>
      <c r="H84">
        <v>245.16</v>
      </c>
      <c r="I84">
        <v>237.53</v>
      </c>
      <c r="J84" s="12"/>
      <c r="K84" s="10">
        <v>237.29</v>
      </c>
      <c r="L84" s="10">
        <f t="shared" si="5"/>
        <v>1241738.4450929998</v>
      </c>
      <c r="M84" s="10">
        <f t="shared" si="6"/>
        <v>779946.4511360001</v>
      </c>
      <c r="N84" s="10">
        <f t="shared" si="1"/>
        <v>95.49186283057252</v>
      </c>
      <c r="O84" s="12">
        <f t="shared" si="2"/>
        <v>93.83216141852644</v>
      </c>
      <c r="P84">
        <f t="shared" si="3"/>
        <v>96.88774677761462</v>
      </c>
      <c r="Q84">
        <f t="shared" si="4"/>
        <v>15.81421344111832</v>
      </c>
    </row>
    <row r="85" spans="3:17" ht="12.75">
      <c r="C85" t="s">
        <v>67</v>
      </c>
      <c r="D85">
        <v>275.12</v>
      </c>
      <c r="E85">
        <v>263.07</v>
      </c>
      <c r="F85">
        <v>260.72</v>
      </c>
      <c r="G85">
        <v>245.06</v>
      </c>
      <c r="H85">
        <v>244.32</v>
      </c>
      <c r="I85">
        <v>236.45</v>
      </c>
      <c r="J85" s="12"/>
      <c r="K85" s="10">
        <v>237.35</v>
      </c>
      <c r="L85" s="10">
        <f t="shared" si="5"/>
        <v>1243628.6734529997</v>
      </c>
      <c r="M85" s="10">
        <f t="shared" si="6"/>
        <v>774234.3205760001</v>
      </c>
      <c r="N85" s="10">
        <f t="shared" si="1"/>
        <v>95.62009305030531</v>
      </c>
      <c r="O85" s="12">
        <f t="shared" si="2"/>
        <v>93.99355630561521</v>
      </c>
      <c r="P85">
        <f t="shared" si="3"/>
        <v>96.77881466928619</v>
      </c>
      <c r="Q85">
        <f t="shared" si="4"/>
        <v>15.270872111892846</v>
      </c>
    </row>
    <row r="86" spans="3:17" ht="12.75">
      <c r="C86" t="s">
        <v>68</v>
      </c>
      <c r="D86">
        <v>280.87</v>
      </c>
      <c r="E86">
        <v>268.42</v>
      </c>
      <c r="F86">
        <v>265.99</v>
      </c>
      <c r="G86">
        <v>250.45</v>
      </c>
      <c r="H86">
        <v>250.11</v>
      </c>
      <c r="I86">
        <v>240.64</v>
      </c>
      <c r="J86" s="12"/>
      <c r="K86" s="10">
        <v>237.65</v>
      </c>
      <c r="L86" s="10">
        <f t="shared" si="5"/>
        <v>1294725.856308</v>
      </c>
      <c r="M86" s="10">
        <f t="shared" si="6"/>
        <v>805850.2463390001</v>
      </c>
      <c r="N86" s="10">
        <f t="shared" si="1"/>
        <v>95.5673443229964</v>
      </c>
      <c r="O86" s="12">
        <f t="shared" si="2"/>
        <v>94.15767510056769</v>
      </c>
      <c r="P86">
        <f t="shared" si="3"/>
        <v>96.21366598696574</v>
      </c>
      <c r="Q86">
        <f t="shared" si="4"/>
        <v>12.953777185086564</v>
      </c>
    </row>
    <row r="87" spans="3:17" ht="12.75">
      <c r="C87" t="s">
        <v>69</v>
      </c>
      <c r="D87">
        <v>278.63</v>
      </c>
      <c r="E87">
        <v>268.98</v>
      </c>
      <c r="F87">
        <v>265.23</v>
      </c>
      <c r="G87">
        <v>240.75</v>
      </c>
      <c r="H87">
        <v>240.25</v>
      </c>
      <c r="I87">
        <v>230.86</v>
      </c>
      <c r="J87" s="12"/>
      <c r="K87" s="10">
        <v>236.12</v>
      </c>
      <c r="L87" s="10">
        <f t="shared" si="5"/>
        <v>1300133.8199880002</v>
      </c>
      <c r="M87" s="10">
        <f t="shared" si="6"/>
        <v>801251.793531</v>
      </c>
      <c r="N87" s="10">
        <f t="shared" si="1"/>
        <v>96.5366256325593</v>
      </c>
      <c r="O87" s="12">
        <f t="shared" si="2"/>
        <v>90.77027485578554</v>
      </c>
      <c r="P87">
        <f t="shared" si="3"/>
        <v>96.09157127991675</v>
      </c>
      <c r="Q87">
        <f t="shared" si="4"/>
        <v>12.541203602837266</v>
      </c>
    </row>
    <row r="88" spans="3:17" ht="12.75">
      <c r="C88" t="s">
        <v>70</v>
      </c>
      <c r="D88">
        <v>264.82</v>
      </c>
      <c r="E88">
        <v>254.25</v>
      </c>
      <c r="F88">
        <v>250.94</v>
      </c>
      <c r="G88">
        <v>226.93</v>
      </c>
      <c r="H88">
        <v>226.71</v>
      </c>
      <c r="I88">
        <v>217.01</v>
      </c>
      <c r="J88" s="12"/>
      <c r="K88" s="10">
        <v>237.27</v>
      </c>
      <c r="L88" s="10">
        <f t="shared" si="5"/>
        <v>1161635.833125</v>
      </c>
      <c r="M88" s="10">
        <f t="shared" si="6"/>
        <v>717238.3642040001</v>
      </c>
      <c r="N88" s="10">
        <f t="shared" si="1"/>
        <v>96.00860962162979</v>
      </c>
      <c r="O88" s="12">
        <f t="shared" si="2"/>
        <v>90.43197577110067</v>
      </c>
      <c r="P88">
        <f t="shared" si="3"/>
        <v>95.72140620175554</v>
      </c>
      <c r="Q88">
        <f t="shared" si="4"/>
        <v>11.434260522612302</v>
      </c>
    </row>
    <row r="89" spans="3:17" ht="12.75">
      <c r="C89" t="s">
        <v>71</v>
      </c>
      <c r="D89">
        <v>275.76</v>
      </c>
      <c r="E89">
        <v>266.94</v>
      </c>
      <c r="F89">
        <v>264.56</v>
      </c>
      <c r="G89">
        <v>242.46</v>
      </c>
      <c r="H89">
        <v>241.4</v>
      </c>
      <c r="I89">
        <v>230.22</v>
      </c>
      <c r="J89" s="12"/>
      <c r="K89" s="10">
        <v>236.34</v>
      </c>
      <c r="L89" s="10">
        <f t="shared" si="5"/>
        <v>1280487.635892</v>
      </c>
      <c r="M89" s="10">
        <f t="shared" si="6"/>
        <v>797208.807104</v>
      </c>
      <c r="N89" s="10">
        <f t="shared" si="1"/>
        <v>96.80156657963447</v>
      </c>
      <c r="O89" s="12">
        <f t="shared" si="2"/>
        <v>91.64650740852737</v>
      </c>
      <c r="P89">
        <f t="shared" si="3"/>
        <v>95.36868268434134</v>
      </c>
      <c r="Q89">
        <f t="shared" si="4"/>
        <v>10.544088644128449</v>
      </c>
    </row>
    <row r="90" spans="3:17" ht="12.75">
      <c r="C90" t="s">
        <v>72</v>
      </c>
      <c r="D90">
        <v>291.93</v>
      </c>
      <c r="E90">
        <v>283.47</v>
      </c>
      <c r="F90">
        <v>282.68</v>
      </c>
      <c r="G90">
        <v>273.48</v>
      </c>
      <c r="H90">
        <v>272.5</v>
      </c>
      <c r="I90">
        <v>266.86</v>
      </c>
      <c r="J90" s="12"/>
      <c r="K90" s="10">
        <v>236.55</v>
      </c>
      <c r="L90" s="10">
        <f t="shared" si="5"/>
        <v>1443983.6789730003</v>
      </c>
      <c r="M90" s="10">
        <f t="shared" si="6"/>
        <v>910151.9195360001</v>
      </c>
      <c r="N90" s="10">
        <f t="shared" si="1"/>
        <v>97.10204501079026</v>
      </c>
      <c r="O90" s="12">
        <f t="shared" si="2"/>
        <v>96.74543653601245</v>
      </c>
      <c r="P90">
        <f t="shared" si="3"/>
        <v>97.9302752293578</v>
      </c>
      <c r="Q90">
        <f t="shared" si="4"/>
        <v>23.90692998988475</v>
      </c>
    </row>
    <row r="91" spans="3:17" ht="12.75">
      <c r="C91" t="s">
        <v>73</v>
      </c>
      <c r="D91">
        <v>289.85</v>
      </c>
      <c r="E91">
        <v>280.16</v>
      </c>
      <c r="F91">
        <v>278.73</v>
      </c>
      <c r="G91">
        <v>258.35</v>
      </c>
      <c r="H91">
        <v>257.89</v>
      </c>
      <c r="I91">
        <v>247.98</v>
      </c>
      <c r="J91" s="12"/>
      <c r="K91" s="10">
        <v>236.34</v>
      </c>
      <c r="L91" s="10">
        <f t="shared" si="5"/>
        <v>1410458.5720320002</v>
      </c>
      <c r="M91" s="10">
        <f t="shared" si="6"/>
        <v>884893.8029310001</v>
      </c>
      <c r="N91" s="10">
        <f t="shared" si="1"/>
        <v>96.65689149560117</v>
      </c>
      <c r="O91" s="12">
        <f t="shared" si="2"/>
        <v>92.6882646288523</v>
      </c>
      <c r="P91">
        <f t="shared" si="3"/>
        <v>96.1572763581372</v>
      </c>
      <c r="Q91">
        <f t="shared" si="4"/>
        <v>12.759971771754946</v>
      </c>
    </row>
    <row r="92" spans="3:17" ht="12.75">
      <c r="C92" t="s">
        <v>74</v>
      </c>
      <c r="D92">
        <v>269.45</v>
      </c>
      <c r="E92">
        <v>259.64</v>
      </c>
      <c r="F92">
        <v>258.33</v>
      </c>
      <c r="G92">
        <v>237.47</v>
      </c>
      <c r="H92">
        <v>236.61</v>
      </c>
      <c r="I92">
        <v>227.19</v>
      </c>
      <c r="J92" s="12"/>
      <c r="K92" s="10">
        <v>233.75</v>
      </c>
      <c r="L92" s="10">
        <f t="shared" si="5"/>
        <v>1211410.3449119998</v>
      </c>
      <c r="M92" s="10">
        <f t="shared" si="6"/>
        <v>760104.6895709999</v>
      </c>
      <c r="N92" s="10">
        <f t="shared" si="1"/>
        <v>96.35925032473558</v>
      </c>
      <c r="O92" s="12">
        <f t="shared" si="2"/>
        <v>91.92505709751094</v>
      </c>
      <c r="P92">
        <f t="shared" si="3"/>
        <v>96.01876505642196</v>
      </c>
      <c r="Q92">
        <f t="shared" si="4"/>
        <v>12.307224471337673</v>
      </c>
    </row>
    <row r="93" spans="3:17" ht="12.75">
      <c r="C93" t="s">
        <v>75</v>
      </c>
      <c r="D93">
        <v>284.86</v>
      </c>
      <c r="E93">
        <v>273.45</v>
      </c>
      <c r="F93">
        <v>272.46</v>
      </c>
      <c r="G93">
        <v>249.45</v>
      </c>
      <c r="H93">
        <v>248.55</v>
      </c>
      <c r="I93">
        <v>237.84</v>
      </c>
      <c r="J93" s="12"/>
      <c r="K93" s="10">
        <v>232.9</v>
      </c>
      <c r="L93" s="10">
        <f t="shared" si="5"/>
        <v>1343704.9979249998</v>
      </c>
      <c r="M93" s="10">
        <f t="shared" si="6"/>
        <v>845530.4037239999</v>
      </c>
      <c r="N93" s="10">
        <f t="shared" si="1"/>
        <v>95.99452362564067</v>
      </c>
      <c r="O93" s="12">
        <f t="shared" si="2"/>
        <v>91.55472362915658</v>
      </c>
      <c r="P93">
        <f t="shared" si="3"/>
        <v>95.69100784550392</v>
      </c>
      <c r="Q93">
        <f t="shared" si="4"/>
        <v>11.351806272010117</v>
      </c>
    </row>
    <row r="94" spans="3:17" ht="12.75">
      <c r="C94" t="s">
        <v>76</v>
      </c>
      <c r="D94">
        <v>279.31</v>
      </c>
      <c r="E94">
        <v>268.38</v>
      </c>
      <c r="F94">
        <v>267.47</v>
      </c>
      <c r="G94">
        <v>255.28</v>
      </c>
      <c r="H94">
        <v>254.74</v>
      </c>
      <c r="I94">
        <v>247.94</v>
      </c>
      <c r="J94" s="12"/>
      <c r="K94" s="10">
        <v>232.38</v>
      </c>
      <c r="L94" s="10">
        <f t="shared" si="5"/>
        <v>1294340.0044679998</v>
      </c>
      <c r="M94" s="10">
        <f t="shared" si="6"/>
        <v>814842.8882510002</v>
      </c>
      <c r="N94" s="10">
        <f t="shared" si="1"/>
        <v>96.08678529232752</v>
      </c>
      <c r="O94" s="12">
        <f t="shared" si="2"/>
        <v>95.44247953041462</v>
      </c>
      <c r="P94">
        <f t="shared" si="3"/>
        <v>97.33061160398837</v>
      </c>
      <c r="Q94">
        <f t="shared" si="4"/>
        <v>18.479755006872832</v>
      </c>
    </row>
    <row r="95" spans="3:17" ht="12.75">
      <c r="C95" t="s">
        <v>77</v>
      </c>
      <c r="D95">
        <v>287.77</v>
      </c>
      <c r="E95">
        <v>276.44</v>
      </c>
      <c r="F95">
        <v>274.46</v>
      </c>
      <c r="G95">
        <v>256.39</v>
      </c>
      <c r="H95">
        <v>256.13</v>
      </c>
      <c r="I95">
        <v>247.66</v>
      </c>
      <c r="J95" s="12"/>
      <c r="K95" s="10">
        <v>231.59</v>
      </c>
      <c r="L95" s="10">
        <f t="shared" si="5"/>
        <v>1373250.752592</v>
      </c>
      <c r="M95" s="10">
        <f t="shared" si="6"/>
        <v>857989.2413239998</v>
      </c>
      <c r="N95" s="10">
        <f t="shared" si="1"/>
        <v>96.06282795287905</v>
      </c>
      <c r="O95" s="12">
        <f t="shared" si="2"/>
        <v>93.41616264665161</v>
      </c>
      <c r="P95">
        <f t="shared" si="3"/>
        <v>96.69308554249795</v>
      </c>
      <c r="Q95">
        <f t="shared" si="4"/>
        <v>14.868433558389594</v>
      </c>
    </row>
    <row r="96" spans="3:17" ht="12.75">
      <c r="C96" t="s">
        <v>78</v>
      </c>
      <c r="D96">
        <v>285.7</v>
      </c>
      <c r="E96">
        <v>272.41</v>
      </c>
      <c r="F96">
        <v>270.3</v>
      </c>
      <c r="G96">
        <v>253.84</v>
      </c>
      <c r="H96">
        <v>254.14</v>
      </c>
      <c r="I96">
        <v>245.99</v>
      </c>
      <c r="J96" s="12"/>
      <c r="K96" s="10">
        <v>231.21</v>
      </c>
      <c r="L96" s="10">
        <f t="shared" si="5"/>
        <v>1333503.5295570001</v>
      </c>
      <c r="M96" s="10">
        <f t="shared" si="6"/>
        <v>832177.2051000001</v>
      </c>
      <c r="N96" s="10">
        <f t="shared" si="1"/>
        <v>95.34826741337068</v>
      </c>
      <c r="O96" s="12">
        <f t="shared" si="2"/>
        <v>93.91046984831668</v>
      </c>
      <c r="P96">
        <f t="shared" si="3"/>
        <v>96.79310616195798</v>
      </c>
      <c r="Q96">
        <f t="shared" si="4"/>
        <v>15.3400529665092</v>
      </c>
    </row>
    <row r="97" spans="3:17" ht="12.75">
      <c r="C97" t="s">
        <v>79</v>
      </c>
      <c r="D97">
        <v>281.71</v>
      </c>
      <c r="E97">
        <v>269.7</v>
      </c>
      <c r="F97">
        <v>267.87</v>
      </c>
      <c r="G97">
        <v>254.2</v>
      </c>
      <c r="H97">
        <v>253.54</v>
      </c>
      <c r="I97">
        <v>245.07</v>
      </c>
      <c r="J97" s="12"/>
      <c r="K97" s="10">
        <v>230.74</v>
      </c>
      <c r="L97" s="10">
        <f t="shared" si="5"/>
        <v>1307103.4773</v>
      </c>
      <c r="M97" s="10">
        <f t="shared" si="6"/>
        <v>817281.8972910001</v>
      </c>
      <c r="N97" s="10">
        <f t="shared" si="1"/>
        <v>95.73675055908559</v>
      </c>
      <c r="O97" s="12">
        <f t="shared" si="2"/>
        <v>94.89677828797551</v>
      </c>
      <c r="P97">
        <f>100*I97/H97</f>
        <v>96.6593042517946</v>
      </c>
      <c r="Q97">
        <f t="shared" si="4"/>
        <v>14.715526437771693</v>
      </c>
    </row>
    <row r="98" spans="3:17" ht="12.75">
      <c r="C98" t="s">
        <v>80</v>
      </c>
      <c r="D98">
        <v>273.56</v>
      </c>
      <c r="E98">
        <v>261.24</v>
      </c>
      <c r="F98">
        <v>259.21</v>
      </c>
      <c r="G98">
        <v>246.09</v>
      </c>
      <c r="H98">
        <v>246.35</v>
      </c>
      <c r="I98">
        <v>238.32</v>
      </c>
      <c r="J98" s="12"/>
      <c r="K98" s="10">
        <v>230.14</v>
      </c>
      <c r="L98" s="10">
        <f t="shared" si="5"/>
        <v>1226386.686672</v>
      </c>
      <c r="M98" s="10">
        <f t="shared" si="6"/>
        <v>765292.0964989999</v>
      </c>
      <c r="N98" s="10">
        <f t="shared" si="1"/>
        <v>95.49641760491299</v>
      </c>
      <c r="O98" s="12">
        <f t="shared" si="2"/>
        <v>94.9384668801358</v>
      </c>
      <c r="P98">
        <f t="shared" si="3"/>
        <v>96.74040998579257</v>
      </c>
      <c r="Q98">
        <f t="shared" si="4"/>
        <v>15.087971662808064</v>
      </c>
    </row>
    <row r="99" spans="3:17" ht="12.75">
      <c r="C99" t="s">
        <v>81</v>
      </c>
      <c r="D99">
        <v>272.17</v>
      </c>
      <c r="E99">
        <v>264.03</v>
      </c>
      <c r="F99">
        <v>261.04</v>
      </c>
      <c r="G99">
        <v>241.54</v>
      </c>
      <c r="H99">
        <v>240.45</v>
      </c>
      <c r="I99">
        <v>232.5</v>
      </c>
      <c r="J99" s="12"/>
      <c r="K99" s="10">
        <v>229.84</v>
      </c>
      <c r="L99" s="10">
        <f t="shared" si="5"/>
        <v>1252721.7809729995</v>
      </c>
      <c r="M99" s="10">
        <f t="shared" si="6"/>
        <v>776136.0314240002</v>
      </c>
      <c r="N99" s="10">
        <f t="shared" si="1"/>
        <v>97.00922217731564</v>
      </c>
      <c r="O99" s="12">
        <f t="shared" si="2"/>
        <v>92.52988047808765</v>
      </c>
      <c r="P99">
        <f t="shared" si="3"/>
        <v>96.69369931378665</v>
      </c>
      <c r="Q99">
        <f t="shared" si="4"/>
        <v>14.871240621548294</v>
      </c>
    </row>
    <row r="100" spans="3:17" ht="12.75">
      <c r="C100" t="s">
        <v>82</v>
      </c>
      <c r="D100">
        <v>274.84</v>
      </c>
      <c r="E100">
        <v>265.19</v>
      </c>
      <c r="F100">
        <v>262.4</v>
      </c>
      <c r="G100">
        <v>238.83</v>
      </c>
      <c r="H100">
        <v>238.37</v>
      </c>
      <c r="I100">
        <v>228.9</v>
      </c>
      <c r="J100" s="12"/>
      <c r="K100" s="10">
        <v>229.32</v>
      </c>
      <c r="L100" s="10">
        <f t="shared" si="5"/>
        <v>1263753.4777169998</v>
      </c>
      <c r="M100" s="10">
        <f t="shared" si="6"/>
        <v>784244.3264</v>
      </c>
      <c r="N100" s="10">
        <f t="shared" si="1"/>
        <v>96.48886624945423</v>
      </c>
      <c r="O100" s="12">
        <f t="shared" si="2"/>
        <v>91.01753048780489</v>
      </c>
      <c r="P100">
        <f t="shared" si="3"/>
        <v>96.0271846289382</v>
      </c>
      <c r="Q100">
        <f t="shared" si="4"/>
        <v>12.333844189974245</v>
      </c>
    </row>
    <row r="101" spans="3:17" ht="12.75">
      <c r="C101" t="s">
        <v>83</v>
      </c>
      <c r="D101">
        <v>276.8</v>
      </c>
      <c r="E101">
        <v>269.94</v>
      </c>
      <c r="F101">
        <v>268.67</v>
      </c>
      <c r="G101">
        <v>248.45</v>
      </c>
      <c r="H101">
        <v>247.31</v>
      </c>
      <c r="I101">
        <v>235.97</v>
      </c>
      <c r="J101" s="12"/>
      <c r="K101" s="10">
        <v>229.49</v>
      </c>
      <c r="L101" s="10">
        <f t="shared" si="5"/>
        <v>1309430.836692</v>
      </c>
      <c r="M101" s="10">
        <f t="shared" si="6"/>
        <v>822170.8497710002</v>
      </c>
      <c r="N101" s="10">
        <f t="shared" si="1"/>
        <v>97.52167630057804</v>
      </c>
      <c r="O101" s="12">
        <f t="shared" si="2"/>
        <v>92.47403878363791</v>
      </c>
      <c r="P101">
        <f t="shared" si="3"/>
        <v>95.41466176054345</v>
      </c>
      <c r="Q101">
        <f t="shared" si="4"/>
        <v>10.652365312292726</v>
      </c>
    </row>
    <row r="102" spans="3:17" ht="12.75">
      <c r="C102" t="s">
        <v>84</v>
      </c>
      <c r="D102">
        <v>272.73</v>
      </c>
      <c r="E102">
        <v>264.79</v>
      </c>
      <c r="F102">
        <v>264.08</v>
      </c>
      <c r="G102">
        <v>255.59</v>
      </c>
      <c r="H102">
        <v>254.74</v>
      </c>
      <c r="I102">
        <v>248.82</v>
      </c>
      <c r="J102" s="12"/>
      <c r="K102" s="10">
        <v>227.31</v>
      </c>
      <c r="L102" s="10">
        <f t="shared" si="5"/>
        <v>1259943.981477</v>
      </c>
      <c r="M102" s="10">
        <f t="shared" si="6"/>
        <v>794318.6264959999</v>
      </c>
      <c r="N102" s="10">
        <f t="shared" si="1"/>
        <v>97.08869577970887</v>
      </c>
      <c r="O102" s="12">
        <f t="shared" si="2"/>
        <v>96.78506513177825</v>
      </c>
      <c r="P102">
        <f t="shared" si="3"/>
        <v>97.67606186700165</v>
      </c>
      <c r="Q102">
        <f t="shared" si="4"/>
        <v>21.264222975327524</v>
      </c>
    </row>
    <row r="103" spans="3:17" ht="12.75">
      <c r="C103" t="s">
        <v>85</v>
      </c>
      <c r="D103">
        <v>276.12</v>
      </c>
      <c r="E103">
        <v>266.19</v>
      </c>
      <c r="F103">
        <v>263.96</v>
      </c>
      <c r="G103">
        <v>239.91</v>
      </c>
      <c r="H103">
        <v>239.73</v>
      </c>
      <c r="I103">
        <v>229.58</v>
      </c>
      <c r="J103" s="12"/>
      <c r="K103" s="10">
        <v>223.22</v>
      </c>
      <c r="L103" s="10">
        <f t="shared" si="5"/>
        <v>1273302.376317</v>
      </c>
      <c r="M103" s="10">
        <f t="shared" si="6"/>
        <v>793596.9014239999</v>
      </c>
      <c r="N103" s="10">
        <f t="shared" si="1"/>
        <v>96.40373750543242</v>
      </c>
      <c r="O103" s="12">
        <f t="shared" si="2"/>
        <v>90.88877102591303</v>
      </c>
      <c r="P103">
        <f t="shared" si="3"/>
        <v>95.76607016226589</v>
      </c>
      <c r="Q103">
        <f t="shared" si="4"/>
        <v>11.557557089744051</v>
      </c>
    </row>
    <row r="104" spans="3:17" ht="12.75">
      <c r="C104" t="s">
        <v>86</v>
      </c>
      <c r="D104">
        <v>290.69</v>
      </c>
      <c r="E104">
        <v>281.27</v>
      </c>
      <c r="F104">
        <v>279.84</v>
      </c>
      <c r="G104">
        <v>259.07</v>
      </c>
      <c r="H104">
        <v>258.17</v>
      </c>
      <c r="I104">
        <v>248.38</v>
      </c>
      <c r="J104" s="12"/>
      <c r="K104" s="10">
        <v>218.24</v>
      </c>
      <c r="L104" s="10">
        <f t="shared" si="5"/>
        <v>1421657.2478129996</v>
      </c>
      <c r="M104" s="10">
        <f t="shared" si="6"/>
        <v>891955.7475839999</v>
      </c>
      <c r="N104" s="10">
        <f t="shared" si="1"/>
        <v>96.75943444906946</v>
      </c>
      <c r="O104" s="12">
        <f t="shared" si="2"/>
        <v>92.57790165809034</v>
      </c>
      <c r="P104">
        <f t="shared" si="3"/>
        <v>96.20792501065189</v>
      </c>
      <c r="Q104">
        <f t="shared" si="4"/>
        <v>12.933782529748857</v>
      </c>
    </row>
    <row r="105" spans="3:17" ht="12.75">
      <c r="C105" t="s">
        <v>87</v>
      </c>
      <c r="D105">
        <v>285.82</v>
      </c>
      <c r="E105">
        <v>275.13</v>
      </c>
      <c r="F105">
        <v>273.62</v>
      </c>
      <c r="G105">
        <v>249.09</v>
      </c>
      <c r="H105">
        <v>249.27</v>
      </c>
      <c r="I105">
        <v>238.64</v>
      </c>
      <c r="J105" s="12"/>
      <c r="K105" s="10">
        <v>217.45</v>
      </c>
      <c r="L105" s="10">
        <f t="shared" si="5"/>
        <v>1360266.408693</v>
      </c>
      <c r="M105" s="10">
        <f t="shared" si="6"/>
        <v>852745.431116</v>
      </c>
      <c r="N105" s="10">
        <f t="shared" si="1"/>
        <v>96.2598838429781</v>
      </c>
      <c r="O105" s="12">
        <f t="shared" si="2"/>
        <v>91.0350120605219</v>
      </c>
      <c r="P105">
        <f t="shared" si="3"/>
        <v>95.73554779957476</v>
      </c>
      <c r="Q105">
        <f t="shared" si="4"/>
        <v>11.473019574644455</v>
      </c>
    </row>
    <row r="106" spans="3:17" ht="12.75">
      <c r="C106" t="s">
        <v>88</v>
      </c>
      <c r="D106">
        <v>280.67</v>
      </c>
      <c r="E106">
        <v>271.49</v>
      </c>
      <c r="F106">
        <v>270.3</v>
      </c>
      <c r="G106">
        <v>262.26</v>
      </c>
      <c r="H106">
        <v>262.56</v>
      </c>
      <c r="I106">
        <v>257.16</v>
      </c>
      <c r="J106" s="12"/>
      <c r="K106" s="10">
        <v>212.34</v>
      </c>
      <c r="L106" s="10">
        <f t="shared" si="5"/>
        <v>1324511.5571970001</v>
      </c>
      <c r="M106" s="10">
        <f t="shared" si="6"/>
        <v>832177.2051000001</v>
      </c>
      <c r="N106" s="10">
        <f t="shared" si="1"/>
        <v>96.72925499697153</v>
      </c>
      <c r="O106" s="12">
        <f t="shared" si="2"/>
        <v>97.02552719200888</v>
      </c>
      <c r="P106">
        <f t="shared" si="3"/>
        <v>97.94332723948813</v>
      </c>
      <c r="Q106">
        <f t="shared" si="4"/>
        <v>24.060245235340528</v>
      </c>
    </row>
    <row r="107" spans="3:17" ht="12.75">
      <c r="C107" t="s">
        <v>89</v>
      </c>
      <c r="D107">
        <v>279.79</v>
      </c>
      <c r="E107">
        <v>270.54</v>
      </c>
      <c r="F107">
        <v>268.23</v>
      </c>
      <c r="G107">
        <v>252.4</v>
      </c>
      <c r="H107">
        <v>252.06</v>
      </c>
      <c r="I107">
        <v>244.59</v>
      </c>
      <c r="J107" s="12"/>
      <c r="K107" s="10">
        <v>211.96</v>
      </c>
      <c r="L107" s="10">
        <f t="shared" si="5"/>
        <v>1315258.2920520003</v>
      </c>
      <c r="M107" s="10">
        <f t="shared" si="6"/>
        <v>819480.1217310001</v>
      </c>
      <c r="N107" s="10">
        <f t="shared" si="1"/>
        <v>96.69394903320348</v>
      </c>
      <c r="O107" s="12">
        <f t="shared" si="2"/>
        <v>94.09834843231555</v>
      </c>
      <c r="P107">
        <f t="shared" si="3"/>
        <v>97.0364199000238</v>
      </c>
      <c r="Q107">
        <f t="shared" si="4"/>
        <v>16.62023247038787</v>
      </c>
    </row>
    <row r="108" spans="3:17" ht="12.75">
      <c r="C108" t="s">
        <v>90</v>
      </c>
      <c r="D108">
        <v>275.8</v>
      </c>
      <c r="E108">
        <v>265.23</v>
      </c>
      <c r="F108">
        <v>263.4</v>
      </c>
      <c r="G108">
        <v>248.41</v>
      </c>
      <c r="H108">
        <v>248.23</v>
      </c>
      <c r="I108">
        <v>239.76</v>
      </c>
      <c r="J108" s="12"/>
      <c r="K108" s="10">
        <v>210.26</v>
      </c>
      <c r="L108" s="10">
        <f t="shared" si="5"/>
        <v>1264134.743613</v>
      </c>
      <c r="M108" s="10">
        <f t="shared" si="6"/>
        <v>790233.1883999999</v>
      </c>
      <c r="N108" s="10">
        <f t="shared" si="1"/>
        <v>96.16751269035532</v>
      </c>
      <c r="O108" s="12">
        <f t="shared" si="2"/>
        <v>94.3090356871678</v>
      </c>
      <c r="P108">
        <f t="shared" si="3"/>
        <v>96.58784192079926</v>
      </c>
      <c r="Q108">
        <f t="shared" si="4"/>
        <v>14.402036355116612</v>
      </c>
    </row>
    <row r="109" spans="3:17" ht="12.75">
      <c r="C109" t="s">
        <v>91</v>
      </c>
      <c r="D109">
        <v>278.75</v>
      </c>
      <c r="E109">
        <v>268.46</v>
      </c>
      <c r="F109">
        <v>267.19</v>
      </c>
      <c r="G109">
        <v>254.64</v>
      </c>
      <c r="H109">
        <v>254.06</v>
      </c>
      <c r="I109">
        <v>246.35</v>
      </c>
      <c r="J109" s="12"/>
      <c r="K109" s="10">
        <v>0</v>
      </c>
      <c r="L109" s="10">
        <f t="shared" si="5"/>
        <v>1295111.7656519997</v>
      </c>
      <c r="M109" s="10">
        <f t="shared" si="6"/>
        <v>813137.7505790001</v>
      </c>
      <c r="N109" s="10">
        <f t="shared" si="1"/>
        <v>96.30852017937218</v>
      </c>
      <c r="O109" s="12">
        <f t="shared" si="2"/>
        <v>95.30296792544631</v>
      </c>
      <c r="P109">
        <f t="shared" si="3"/>
        <v>96.96528379123042</v>
      </c>
      <c r="Q109">
        <f t="shared" si="4"/>
        <v>16.224721159616063</v>
      </c>
    </row>
    <row r="110" spans="3:17" ht="12.75">
      <c r="C110" t="s">
        <v>92</v>
      </c>
      <c r="D110">
        <v>271.69</v>
      </c>
      <c r="E110">
        <v>262.03</v>
      </c>
      <c r="F110">
        <v>260.64</v>
      </c>
      <c r="G110">
        <v>248.17</v>
      </c>
      <c r="H110">
        <v>247.47</v>
      </c>
      <c r="I110">
        <v>240.16</v>
      </c>
      <c r="J110" s="12"/>
      <c r="K110" s="10">
        <v>4.14</v>
      </c>
      <c r="L110" s="10">
        <f t="shared" si="5"/>
        <v>1233815.1845729996</v>
      </c>
      <c r="M110" s="10">
        <f t="shared" si="6"/>
        <v>773759.2573439999</v>
      </c>
      <c r="N110" s="10">
        <f t="shared" si="1"/>
        <v>96.44447716147079</v>
      </c>
      <c r="O110" s="12">
        <f t="shared" si="2"/>
        <v>95.21562308164519</v>
      </c>
      <c r="P110">
        <f t="shared" si="3"/>
        <v>97.04610659877964</v>
      </c>
      <c r="Q110">
        <f t="shared" si="4"/>
        <v>16.675563271108253</v>
      </c>
    </row>
    <row r="111" spans="3:17" ht="12.75">
      <c r="C111" t="s">
        <v>93</v>
      </c>
      <c r="D111">
        <v>276.4</v>
      </c>
      <c r="E111">
        <v>267.38</v>
      </c>
      <c r="F111">
        <v>264.52</v>
      </c>
      <c r="G111">
        <v>243.26</v>
      </c>
      <c r="H111">
        <v>242.68</v>
      </c>
      <c r="I111">
        <v>233.77</v>
      </c>
      <c r="J111" s="12"/>
      <c r="K111" s="10">
        <v>3.88</v>
      </c>
      <c r="L111" s="10">
        <f t="shared" si="5"/>
        <v>1284712.397268</v>
      </c>
      <c r="M111" s="10">
        <f t="shared" si="6"/>
        <v>796967.758256</v>
      </c>
      <c r="N111" s="10">
        <f t="shared" si="1"/>
        <v>96.73661360347323</v>
      </c>
      <c r="O111" s="12">
        <f t="shared" si="2"/>
        <v>91.96280054438229</v>
      </c>
      <c r="P111">
        <f t="shared" si="3"/>
        <v>96.32849843415197</v>
      </c>
      <c r="Q111">
        <f t="shared" si="4"/>
        <v>13.366847739040212</v>
      </c>
    </row>
    <row r="112" spans="3:17" ht="12.75">
      <c r="C112" t="s">
        <v>94</v>
      </c>
      <c r="D112">
        <v>272.33</v>
      </c>
      <c r="E112">
        <v>262.39</v>
      </c>
      <c r="F112">
        <v>259.05</v>
      </c>
      <c r="G112">
        <v>235.28</v>
      </c>
      <c r="H112">
        <v>234.26</v>
      </c>
      <c r="I112">
        <v>224.91</v>
      </c>
      <c r="J112" s="12"/>
      <c r="K112" s="10">
        <v>0</v>
      </c>
      <c r="L112" s="10">
        <f t="shared" si="5"/>
        <v>1237207.7624369997</v>
      </c>
      <c r="M112" s="10">
        <f t="shared" si="6"/>
        <v>764347.6194750002</v>
      </c>
      <c r="N112" s="10">
        <f t="shared" si="1"/>
        <v>96.35001652407007</v>
      </c>
      <c r="O112" s="12">
        <f t="shared" si="2"/>
        <v>90.82416521906967</v>
      </c>
      <c r="P112">
        <f t="shared" si="3"/>
        <v>96.00870827285922</v>
      </c>
      <c r="Q112">
        <f t="shared" si="4"/>
        <v>12.275575637220355</v>
      </c>
    </row>
    <row r="113" spans="3:17" ht="12.75">
      <c r="C113" t="s">
        <v>95</v>
      </c>
      <c r="D113">
        <v>266.14</v>
      </c>
      <c r="E113">
        <v>259.12</v>
      </c>
      <c r="F113">
        <v>258.09</v>
      </c>
      <c r="G113">
        <v>240.07</v>
      </c>
      <c r="H113">
        <v>238.61</v>
      </c>
      <c r="I113">
        <v>228.38</v>
      </c>
      <c r="J113" s="12"/>
      <c r="K113" s="10" t="s">
        <v>139</v>
      </c>
      <c r="L113" s="10">
        <f t="shared" si="5"/>
        <v>1206562.843968</v>
      </c>
      <c r="M113" s="10">
        <f t="shared" si="6"/>
        <v>758693.0038589999</v>
      </c>
      <c r="N113" s="10">
        <f t="shared" si="1"/>
        <v>97.36229052378448</v>
      </c>
      <c r="O113" s="12">
        <f t="shared" si="2"/>
        <v>93.0179394784765</v>
      </c>
      <c r="P113">
        <f t="shared" si="3"/>
        <v>95.71266920916977</v>
      </c>
      <c r="Q113">
        <f t="shared" si="4"/>
        <v>11.410442085129214</v>
      </c>
    </row>
    <row r="114" spans="4:15" ht="12.75">
      <c r="D114" s="10" t="s">
        <v>139</v>
      </c>
      <c r="E114" s="10" t="s">
        <v>139</v>
      </c>
      <c r="F114" s="10" t="s">
        <v>139</v>
      </c>
      <c r="J114" s="12"/>
      <c r="K114" s="10" t="s">
        <v>139</v>
      </c>
      <c r="L114" s="10" t="e">
        <f t="shared" si="5"/>
        <v>#VALUE!</v>
      </c>
      <c r="M114" s="10" t="e">
        <f t="shared" si="6"/>
        <v>#VALUE!</v>
      </c>
      <c r="N114" s="10" t="e">
        <f>M114-L114</f>
        <v>#VALUE!</v>
      </c>
      <c r="O114" s="12"/>
    </row>
    <row r="115" spans="3:17" ht="12.75">
      <c r="C115" t="s">
        <v>217</v>
      </c>
      <c r="D115">
        <f aca="true" t="shared" si="7" ref="D115:I115">SUM(D78:D113)</f>
        <v>10030.679999999998</v>
      </c>
      <c r="E115">
        <f t="shared" si="7"/>
        <v>9670.369999999997</v>
      </c>
      <c r="F115">
        <f t="shared" si="7"/>
        <v>9604.81</v>
      </c>
      <c r="G115">
        <f t="shared" si="7"/>
        <v>8960.89</v>
      </c>
      <c r="H115">
        <f t="shared" si="7"/>
        <v>8942.190000000002</v>
      </c>
      <c r="I115">
        <f t="shared" si="7"/>
        <v>8630.130000000001</v>
      </c>
      <c r="J115" s="12"/>
      <c r="K115" s="12"/>
      <c r="L115" s="12"/>
      <c r="M115" s="12"/>
      <c r="N115" s="12">
        <f>100*E115/D115</f>
        <v>96.40792049990628</v>
      </c>
      <c r="O115" s="12">
        <f>100*G115/F115</f>
        <v>93.29585905395318</v>
      </c>
      <c r="P115">
        <f>100*I115/H115</f>
        <v>96.51025084459175</v>
      </c>
      <c r="Q115">
        <f>-0.5*1/(LN(I115/H115))</f>
        <v>14.076197360987827</v>
      </c>
    </row>
    <row r="116" spans="10:15" ht="12.75">
      <c r="J116" s="12"/>
      <c r="K116" s="12"/>
      <c r="L116" s="12"/>
      <c r="M116" s="12"/>
      <c r="N116" s="12"/>
      <c r="O116" s="12"/>
    </row>
    <row r="117" spans="10:15" ht="12.75">
      <c r="J117" s="12"/>
      <c r="K117" s="12"/>
      <c r="L117" s="12"/>
      <c r="M117" s="12"/>
      <c r="N117" s="12"/>
      <c r="O117" s="12"/>
    </row>
    <row r="118" spans="10:15" ht="12.75">
      <c r="J118" s="12"/>
      <c r="K118" s="12"/>
      <c r="L118" s="12"/>
      <c r="M118" s="12"/>
      <c r="N118" s="12"/>
      <c r="O118" s="12"/>
    </row>
    <row r="119" spans="10:15" ht="12.75">
      <c r="J119" s="12"/>
      <c r="K119" s="12"/>
      <c r="L119" s="12"/>
      <c r="M119" s="12"/>
      <c r="N119" s="12"/>
      <c r="O119" s="12"/>
    </row>
    <row r="120" spans="10:15" ht="12.75">
      <c r="J120" s="12"/>
      <c r="K120" s="12"/>
      <c r="L120" s="12"/>
      <c r="M120" s="12"/>
      <c r="N120" s="12"/>
      <c r="O120" s="12"/>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5"/>
  <dimension ref="A1:AS398"/>
  <sheetViews>
    <sheetView workbookViewId="0" topLeftCell="A1">
      <pane ySplit="1" topLeftCell="BM2" activePane="bottomLeft" state="frozen"/>
      <selection pane="topLeft" activeCell="A1" sqref="A1"/>
      <selection pane="bottomLeft" activeCell="L14" sqref="L14"/>
    </sheetView>
  </sheetViews>
  <sheetFormatPr defaultColWidth="9.140625" defaultRowHeight="12.75"/>
  <cols>
    <col min="2" max="2" width="14.8515625" style="0" bestFit="1" customWidth="1"/>
    <col min="3" max="11" width="5.00390625" style="0" customWidth="1"/>
    <col min="12" max="12" width="6.00390625" style="0" customWidth="1"/>
    <col min="13" max="21" width="5.00390625" style="0" customWidth="1"/>
    <col min="22" max="22" width="6.00390625" style="0" customWidth="1"/>
    <col min="23" max="38" width="5.00390625" style="0" customWidth="1"/>
  </cols>
  <sheetData>
    <row r="1" spans="1:38" ht="12.75">
      <c r="A1" s="2" t="s">
        <v>0</v>
      </c>
      <c r="B1" t="s">
        <v>223</v>
      </c>
      <c r="C1" t="s">
        <v>60</v>
      </c>
      <c r="D1" t="s">
        <v>61</v>
      </c>
      <c r="E1" t="s">
        <v>62</v>
      </c>
      <c r="F1" t="s">
        <v>63</v>
      </c>
      <c r="G1" t="s">
        <v>64</v>
      </c>
      <c r="H1" t="s">
        <v>65</v>
      </c>
      <c r="I1" t="s">
        <v>66</v>
      </c>
      <c r="J1" t="s">
        <v>67</v>
      </c>
      <c r="K1" t="s">
        <v>68</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90</v>
      </c>
      <c r="AH1" t="s">
        <v>91</v>
      </c>
      <c r="AI1" t="s">
        <v>92</v>
      </c>
      <c r="AJ1" t="s">
        <v>93</v>
      </c>
      <c r="AK1" t="s">
        <v>94</v>
      </c>
      <c r="AL1" t="s">
        <v>95</v>
      </c>
    </row>
    <row r="2" spans="1:38" ht="12.75">
      <c r="A2" s="1">
        <f>AVERAGE(C2:AL2)</f>
        <v>2.5731428571428574</v>
      </c>
      <c r="B2" t="s">
        <v>96</v>
      </c>
      <c r="C2">
        <v>7.09</v>
      </c>
      <c r="D2">
        <v>0.47</v>
      </c>
      <c r="E2">
        <v>0.78</v>
      </c>
      <c r="F2">
        <v>1.04</v>
      </c>
      <c r="G2">
        <v>3.47</v>
      </c>
      <c r="H2">
        <v>1.12</v>
      </c>
      <c r="I2">
        <v>2.8</v>
      </c>
      <c r="J2">
        <v>2.76</v>
      </c>
      <c r="K2">
        <v>0.14</v>
      </c>
      <c r="L2">
        <v>5.28</v>
      </c>
      <c r="M2">
        <v>1.05</v>
      </c>
      <c r="N2">
        <v>4.31</v>
      </c>
      <c r="O2">
        <v>3.93</v>
      </c>
      <c r="P2">
        <v>2.12</v>
      </c>
      <c r="Q2">
        <v>0.83</v>
      </c>
      <c r="R2">
        <v>3.45</v>
      </c>
      <c r="S2">
        <v>2.08</v>
      </c>
      <c r="T2">
        <v>7.02</v>
      </c>
      <c r="U2">
        <v>2.88</v>
      </c>
      <c r="V2">
        <v>11.39</v>
      </c>
      <c r="W2">
        <v>3.25</v>
      </c>
      <c r="X2">
        <v>2.9</v>
      </c>
      <c r="Y2">
        <v>2.27</v>
      </c>
      <c r="Z2">
        <v>0.3</v>
      </c>
      <c r="AA2">
        <v>2.16</v>
      </c>
      <c r="AB2">
        <v>0.68</v>
      </c>
      <c r="AC2">
        <v>0.29</v>
      </c>
      <c r="AD2">
        <v>0.28</v>
      </c>
      <c r="AE2">
        <v>2.21</v>
      </c>
      <c r="AF2">
        <v>0.31</v>
      </c>
      <c r="AG2" t="s">
        <v>139</v>
      </c>
      <c r="AH2">
        <v>2.04</v>
      </c>
      <c r="AI2">
        <v>2.45</v>
      </c>
      <c r="AJ2">
        <v>2.39</v>
      </c>
      <c r="AK2">
        <v>1.35</v>
      </c>
      <c r="AL2">
        <v>3.17</v>
      </c>
    </row>
    <row r="3" spans="1:38" ht="12.75">
      <c r="A3" s="1">
        <f>AVERAGE(C3:AL3)</f>
        <v>1.8118749999999995</v>
      </c>
      <c r="B3" t="s">
        <v>97</v>
      </c>
      <c r="C3" t="s">
        <v>139</v>
      </c>
      <c r="D3">
        <v>0.18</v>
      </c>
      <c r="E3">
        <v>0.39</v>
      </c>
      <c r="F3">
        <v>0.09</v>
      </c>
      <c r="G3">
        <v>0.16</v>
      </c>
      <c r="H3">
        <v>0.23</v>
      </c>
      <c r="I3">
        <v>0.11</v>
      </c>
      <c r="J3">
        <v>8.99</v>
      </c>
      <c r="K3">
        <v>0.19</v>
      </c>
      <c r="L3">
        <v>41.36</v>
      </c>
      <c r="M3">
        <v>1.22</v>
      </c>
      <c r="N3">
        <v>0.12</v>
      </c>
      <c r="O3">
        <v>0.25</v>
      </c>
      <c r="P3">
        <v>0.09</v>
      </c>
      <c r="Q3">
        <v>0.11</v>
      </c>
      <c r="R3">
        <v>0.19</v>
      </c>
      <c r="S3">
        <v>0.23</v>
      </c>
      <c r="T3">
        <v>0.15</v>
      </c>
      <c r="U3">
        <v>0.08</v>
      </c>
      <c r="V3">
        <v>0.12</v>
      </c>
      <c r="W3">
        <v>0</v>
      </c>
      <c r="X3">
        <v>0.07</v>
      </c>
      <c r="Y3">
        <v>0</v>
      </c>
      <c r="Z3">
        <v>0.58</v>
      </c>
      <c r="AA3">
        <v>1.26</v>
      </c>
      <c r="AB3">
        <v>0.12</v>
      </c>
      <c r="AC3">
        <v>0.2</v>
      </c>
      <c r="AD3">
        <v>0.11</v>
      </c>
      <c r="AE3">
        <v>0.16</v>
      </c>
      <c r="AF3" t="s">
        <v>139</v>
      </c>
      <c r="AG3" t="s">
        <v>139</v>
      </c>
      <c r="AH3">
        <v>0.14</v>
      </c>
      <c r="AI3">
        <v>0.14</v>
      </c>
      <c r="AJ3">
        <v>0.8</v>
      </c>
      <c r="AK3">
        <v>0.14</v>
      </c>
      <c r="AL3" t="s">
        <v>139</v>
      </c>
    </row>
    <row r="4" spans="1:38" ht="12.75">
      <c r="A4" s="1">
        <f>AVERAGE(C4:AL4)</f>
        <v>0.42147058823529415</v>
      </c>
      <c r="B4" t="s">
        <v>98</v>
      </c>
      <c r="C4">
        <v>0.11</v>
      </c>
      <c r="D4">
        <v>0.18</v>
      </c>
      <c r="E4" t="s">
        <v>139</v>
      </c>
      <c r="F4">
        <v>0.12</v>
      </c>
      <c r="G4">
        <v>0.3</v>
      </c>
      <c r="H4">
        <v>0.62</v>
      </c>
      <c r="I4">
        <v>0.27</v>
      </c>
      <c r="J4">
        <v>0.22</v>
      </c>
      <c r="K4">
        <v>0.18</v>
      </c>
      <c r="L4">
        <v>0.15</v>
      </c>
      <c r="M4">
        <v>0.16</v>
      </c>
      <c r="N4">
        <v>0.35</v>
      </c>
      <c r="O4">
        <v>0.11</v>
      </c>
      <c r="P4">
        <v>3.1</v>
      </c>
      <c r="Q4">
        <v>3.11</v>
      </c>
      <c r="R4">
        <v>0.49</v>
      </c>
      <c r="S4">
        <v>0.13</v>
      </c>
      <c r="T4">
        <v>0.35</v>
      </c>
      <c r="U4">
        <v>0.53</v>
      </c>
      <c r="V4">
        <v>0.05</v>
      </c>
      <c r="W4">
        <v>0</v>
      </c>
      <c r="X4">
        <v>0.42</v>
      </c>
      <c r="Y4" t="s">
        <v>139</v>
      </c>
      <c r="Z4">
        <v>0.18</v>
      </c>
      <c r="AA4">
        <v>0.32</v>
      </c>
      <c r="AB4">
        <v>0.03</v>
      </c>
      <c r="AC4">
        <v>0.17</v>
      </c>
      <c r="AD4">
        <v>0.19</v>
      </c>
      <c r="AE4">
        <v>0.05</v>
      </c>
      <c r="AF4">
        <v>0.19</v>
      </c>
      <c r="AG4">
        <v>0</v>
      </c>
      <c r="AH4">
        <v>0.97</v>
      </c>
      <c r="AI4">
        <v>0.08</v>
      </c>
      <c r="AJ4">
        <v>0.08</v>
      </c>
      <c r="AK4">
        <v>0.22</v>
      </c>
      <c r="AL4">
        <v>0.9</v>
      </c>
    </row>
    <row r="5" spans="1:38" ht="12.75">
      <c r="A5" s="1">
        <f>AVERAGE(C5:C5)</f>
        <v>1.26</v>
      </c>
      <c r="B5" t="s">
        <v>99</v>
      </c>
      <c r="C5">
        <v>1.26</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s="1">
        <f>AVERAGE(C6:D6)</f>
        <v>1.27</v>
      </c>
      <c r="B6" t="s">
        <v>100</v>
      </c>
      <c r="C6">
        <v>1.29</v>
      </c>
      <c r="D6">
        <v>1.25</v>
      </c>
      <c r="E6" t="s">
        <v>139</v>
      </c>
      <c r="F6" t="s">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s="1">
        <f>AVERAGE(C7:E7)</f>
        <v>1.2566666666666666</v>
      </c>
      <c r="B7" t="s">
        <v>101</v>
      </c>
      <c r="C7">
        <v>1.26</v>
      </c>
      <c r="D7">
        <v>1.26</v>
      </c>
      <c r="E7">
        <v>1.25</v>
      </c>
      <c r="F7" t="s">
        <v>139</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s="1">
        <f>AVERAGE(C8:F8)</f>
        <v>1.2725000000000002</v>
      </c>
      <c r="B8" t="s">
        <v>102</v>
      </c>
      <c r="C8">
        <v>1.28</v>
      </c>
      <c r="D8">
        <v>1.25</v>
      </c>
      <c r="E8">
        <v>1.28</v>
      </c>
      <c r="F8">
        <v>1.28</v>
      </c>
      <c r="G8" t="s">
        <v>139</v>
      </c>
      <c r="H8" t="s">
        <v>139</v>
      </c>
      <c r="I8" t="s">
        <v>139</v>
      </c>
      <c r="J8" t="s">
        <v>139</v>
      </c>
      <c r="K8" t="s">
        <v>139</v>
      </c>
      <c r="L8" t="s">
        <v>139</v>
      </c>
      <c r="M8" t="s">
        <v>139</v>
      </c>
      <c r="N8" t="s">
        <v>139</v>
      </c>
      <c r="O8" t="s">
        <v>139</v>
      </c>
      <c r="P8" t="s">
        <v>139</v>
      </c>
      <c r="Q8" t="s">
        <v>139</v>
      </c>
      <c r="R8" t="s">
        <v>139</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s="1">
        <f>AVERAGE(C9:G9)</f>
        <v>1.262</v>
      </c>
      <c r="B9" t="s">
        <v>103</v>
      </c>
      <c r="C9">
        <v>1.27</v>
      </c>
      <c r="D9">
        <v>1.25</v>
      </c>
      <c r="E9">
        <v>1.26</v>
      </c>
      <c r="F9">
        <v>1.28</v>
      </c>
      <c r="G9">
        <v>1.25</v>
      </c>
      <c r="H9" t="s">
        <v>139</v>
      </c>
      <c r="I9" t="s">
        <v>139</v>
      </c>
      <c r="J9" t="s">
        <v>139</v>
      </c>
      <c r="K9" t="s">
        <v>139</v>
      </c>
      <c r="L9" t="s">
        <v>139</v>
      </c>
      <c r="M9" t="s">
        <v>139</v>
      </c>
      <c r="N9" t="s">
        <v>139</v>
      </c>
      <c r="O9" t="s">
        <v>139</v>
      </c>
      <c r="P9" t="s">
        <v>139</v>
      </c>
      <c r="Q9" t="s">
        <v>139</v>
      </c>
      <c r="R9" t="s">
        <v>139</v>
      </c>
      <c r="S9" t="s">
        <v>139</v>
      </c>
      <c r="T9" t="s">
        <v>139</v>
      </c>
      <c r="U9" t="s">
        <v>139</v>
      </c>
      <c r="V9" t="s">
        <v>139</v>
      </c>
      <c r="W9" t="s">
        <v>139</v>
      </c>
      <c r="X9" t="s">
        <v>139</v>
      </c>
      <c r="Y9" t="s">
        <v>139</v>
      </c>
      <c r="Z9" t="s">
        <v>139</v>
      </c>
      <c r="AA9" t="s">
        <v>139</v>
      </c>
      <c r="AB9" t="s">
        <v>139</v>
      </c>
      <c r="AC9" t="s">
        <v>139</v>
      </c>
      <c r="AD9" t="s">
        <v>139</v>
      </c>
      <c r="AE9" t="s">
        <v>139</v>
      </c>
      <c r="AF9" t="s">
        <v>139</v>
      </c>
      <c r="AG9" t="s">
        <v>139</v>
      </c>
      <c r="AH9" t="s">
        <v>139</v>
      </c>
      <c r="AI9" t="s">
        <v>139</v>
      </c>
      <c r="AJ9" t="s">
        <v>139</v>
      </c>
      <c r="AK9" t="s">
        <v>139</v>
      </c>
      <c r="AL9" t="s">
        <v>139</v>
      </c>
    </row>
    <row r="10" spans="1:38" ht="12.75">
      <c r="A10" s="1">
        <f>AVERAGE(C10:H10)</f>
        <v>1.2616666666666667</v>
      </c>
      <c r="B10" t="s">
        <v>104</v>
      </c>
      <c r="C10">
        <v>1.27</v>
      </c>
      <c r="D10">
        <v>1.26</v>
      </c>
      <c r="E10">
        <v>1.26</v>
      </c>
      <c r="F10">
        <v>1.27</v>
      </c>
      <c r="G10">
        <v>1.27</v>
      </c>
      <c r="H10">
        <v>1.24</v>
      </c>
      <c r="I10" t="s">
        <v>139</v>
      </c>
      <c r="J10" t="s">
        <v>139</v>
      </c>
      <c r="K10" t="s">
        <v>139</v>
      </c>
      <c r="L10" t="s">
        <v>139</v>
      </c>
      <c r="M10" t="s">
        <v>139</v>
      </c>
      <c r="N10" t="s">
        <v>139</v>
      </c>
      <c r="O10" t="s">
        <v>139</v>
      </c>
      <c r="P10" t="s">
        <v>139</v>
      </c>
      <c r="Q10" t="s">
        <v>139</v>
      </c>
      <c r="R10" t="s">
        <v>139</v>
      </c>
      <c r="S10" t="s">
        <v>139</v>
      </c>
      <c r="T10" t="s">
        <v>139</v>
      </c>
      <c r="U10" t="s">
        <v>139</v>
      </c>
      <c r="V10" t="s">
        <v>139</v>
      </c>
      <c r="W10" t="s">
        <v>139</v>
      </c>
      <c r="X10" t="s">
        <v>139</v>
      </c>
      <c r="Y10" t="s">
        <v>139</v>
      </c>
      <c r="Z10" t="s">
        <v>139</v>
      </c>
      <c r="AA10" t="s">
        <v>139</v>
      </c>
      <c r="AB10" t="s">
        <v>139</v>
      </c>
      <c r="AC10" t="s">
        <v>139</v>
      </c>
      <c r="AD10" t="s">
        <v>139</v>
      </c>
      <c r="AE10" t="s">
        <v>139</v>
      </c>
      <c r="AF10" t="s">
        <v>139</v>
      </c>
      <c r="AG10" t="s">
        <v>139</v>
      </c>
      <c r="AH10" t="s">
        <v>139</v>
      </c>
      <c r="AI10" t="s">
        <v>139</v>
      </c>
      <c r="AJ10" t="s">
        <v>139</v>
      </c>
      <c r="AK10" t="s">
        <v>139</v>
      </c>
      <c r="AL10" t="s">
        <v>139</v>
      </c>
    </row>
    <row r="11" spans="1:38" ht="12.75">
      <c r="A11" s="1">
        <f>AVERAGE(C11:I11)</f>
        <v>1.2614285714285713</v>
      </c>
      <c r="B11" t="s">
        <v>105</v>
      </c>
      <c r="C11">
        <v>1.27</v>
      </c>
      <c r="D11">
        <v>1.26</v>
      </c>
      <c r="E11">
        <v>1.25</v>
      </c>
      <c r="F11">
        <v>1.28</v>
      </c>
      <c r="G11">
        <v>1.26</v>
      </c>
      <c r="H11">
        <v>1.25</v>
      </c>
      <c r="I11">
        <v>1.26</v>
      </c>
      <c r="J11" t="s">
        <v>139</v>
      </c>
      <c r="K11" t="s">
        <v>139</v>
      </c>
      <c r="L11" t="s">
        <v>139</v>
      </c>
      <c r="M11" t="s">
        <v>139</v>
      </c>
      <c r="N11" t="s">
        <v>139</v>
      </c>
      <c r="O11" t="s">
        <v>139</v>
      </c>
      <c r="P11" t="s">
        <v>139</v>
      </c>
      <c r="Q11" t="s">
        <v>139</v>
      </c>
      <c r="R11" t="s">
        <v>139</v>
      </c>
      <c r="S11" t="s">
        <v>139</v>
      </c>
      <c r="T11" t="s">
        <v>139</v>
      </c>
      <c r="U11" t="s">
        <v>139</v>
      </c>
      <c r="V11" t="s">
        <v>139</v>
      </c>
      <c r="W11" t="s">
        <v>139</v>
      </c>
      <c r="X11" t="s">
        <v>139</v>
      </c>
      <c r="Y11" t="s">
        <v>139</v>
      </c>
      <c r="Z11" t="s">
        <v>139</v>
      </c>
      <c r="AA11" t="s">
        <v>139</v>
      </c>
      <c r="AB11" t="s">
        <v>139</v>
      </c>
      <c r="AC11" t="s">
        <v>139</v>
      </c>
      <c r="AD11" t="s">
        <v>139</v>
      </c>
      <c r="AE11" t="s">
        <v>139</v>
      </c>
      <c r="AF11" t="s">
        <v>139</v>
      </c>
      <c r="AG11" t="s">
        <v>139</v>
      </c>
      <c r="AH11" t="s">
        <v>139</v>
      </c>
      <c r="AI11" t="s">
        <v>139</v>
      </c>
      <c r="AJ11" t="s">
        <v>139</v>
      </c>
      <c r="AK11" t="s">
        <v>139</v>
      </c>
      <c r="AL11" t="s">
        <v>139</v>
      </c>
    </row>
    <row r="12" spans="1:38" ht="12.75">
      <c r="A12" s="1">
        <f>AVERAGE(C12:J12)</f>
        <v>1.26875</v>
      </c>
      <c r="B12" t="s">
        <v>106</v>
      </c>
      <c r="C12">
        <v>1.27</v>
      </c>
      <c r="D12">
        <v>1.26</v>
      </c>
      <c r="E12">
        <v>1.27</v>
      </c>
      <c r="F12">
        <v>1.28</v>
      </c>
      <c r="G12">
        <v>1.28</v>
      </c>
      <c r="H12">
        <v>1.27</v>
      </c>
      <c r="I12">
        <v>1.27</v>
      </c>
      <c r="J12">
        <v>1.25</v>
      </c>
      <c r="K12" t="s">
        <v>139</v>
      </c>
      <c r="L12" t="s">
        <v>139</v>
      </c>
      <c r="M12" t="s">
        <v>139</v>
      </c>
      <c r="N12" t="s">
        <v>139</v>
      </c>
      <c r="O12" t="s">
        <v>139</v>
      </c>
      <c r="P12" t="s">
        <v>139</v>
      </c>
      <c r="Q12" t="s">
        <v>139</v>
      </c>
      <c r="R12" t="s">
        <v>139</v>
      </c>
      <c r="S12" t="s">
        <v>139</v>
      </c>
      <c r="T12" t="s">
        <v>139</v>
      </c>
      <c r="U12" t="s">
        <v>139</v>
      </c>
      <c r="V12" t="s">
        <v>139</v>
      </c>
      <c r="W12" t="s">
        <v>139</v>
      </c>
      <c r="X12" t="s">
        <v>139</v>
      </c>
      <c r="Y12" t="s">
        <v>139</v>
      </c>
      <c r="Z12" t="s">
        <v>139</v>
      </c>
      <c r="AA12" t="s">
        <v>139</v>
      </c>
      <c r="AB12" t="s">
        <v>139</v>
      </c>
      <c r="AC12" t="s">
        <v>139</v>
      </c>
      <c r="AD12" t="s">
        <v>139</v>
      </c>
      <c r="AE12" t="s">
        <v>139</v>
      </c>
      <c r="AF12" t="s">
        <v>139</v>
      </c>
      <c r="AG12" t="s">
        <v>139</v>
      </c>
      <c r="AH12" t="s">
        <v>139</v>
      </c>
      <c r="AI12" t="s">
        <v>139</v>
      </c>
      <c r="AJ12" t="s">
        <v>139</v>
      </c>
      <c r="AK12" t="s">
        <v>139</v>
      </c>
      <c r="AL12" t="s">
        <v>139</v>
      </c>
    </row>
    <row r="13" spans="1:38" ht="12.75">
      <c r="A13" s="1">
        <f>AVERAGE(C13:K13)</f>
        <v>1.2633333333333332</v>
      </c>
      <c r="B13" t="s">
        <v>107</v>
      </c>
      <c r="C13">
        <v>1.28</v>
      </c>
      <c r="D13">
        <v>1.25</v>
      </c>
      <c r="E13">
        <v>1.26</v>
      </c>
      <c r="F13">
        <v>1.28</v>
      </c>
      <c r="G13">
        <v>1.26</v>
      </c>
      <c r="H13">
        <v>1.26</v>
      </c>
      <c r="I13">
        <v>1.27</v>
      </c>
      <c r="J13">
        <v>1.26</v>
      </c>
      <c r="K13">
        <v>1.25</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c r="AF13" t="s">
        <v>139</v>
      </c>
      <c r="AG13" t="s">
        <v>139</v>
      </c>
      <c r="AH13" t="s">
        <v>139</v>
      </c>
      <c r="AI13" t="s">
        <v>139</v>
      </c>
      <c r="AJ13" t="s">
        <v>139</v>
      </c>
      <c r="AK13" t="s">
        <v>139</v>
      </c>
      <c r="AL13" t="s">
        <v>139</v>
      </c>
    </row>
    <row r="14" spans="1:38" ht="12.75">
      <c r="A14" s="1">
        <f>AVERAGE(C14:L14)</f>
        <v>1.255</v>
      </c>
      <c r="B14" t="s">
        <v>108</v>
      </c>
      <c r="C14">
        <v>1.26</v>
      </c>
      <c r="D14">
        <v>1.24</v>
      </c>
      <c r="E14">
        <v>1.25</v>
      </c>
      <c r="F14">
        <v>1.26</v>
      </c>
      <c r="G14">
        <v>1.25</v>
      </c>
      <c r="H14">
        <v>1.24</v>
      </c>
      <c r="I14">
        <v>1.27</v>
      </c>
      <c r="J14">
        <v>1.26</v>
      </c>
      <c r="K14">
        <v>1.27</v>
      </c>
      <c r="L14">
        <v>1.25</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row>
    <row r="15" spans="1:38" ht="12.75">
      <c r="A15" s="1">
        <f>AVERAGE(C15:M15)</f>
        <v>1.2690909090909088</v>
      </c>
      <c r="B15" t="s">
        <v>109</v>
      </c>
      <c r="C15">
        <v>1.28</v>
      </c>
      <c r="D15">
        <v>1.25</v>
      </c>
      <c r="E15">
        <v>1.26</v>
      </c>
      <c r="F15">
        <v>1.29</v>
      </c>
      <c r="G15">
        <v>1.27</v>
      </c>
      <c r="H15">
        <v>1.25</v>
      </c>
      <c r="I15">
        <v>1.27</v>
      </c>
      <c r="J15">
        <v>1.27</v>
      </c>
      <c r="K15">
        <v>1.27</v>
      </c>
      <c r="L15">
        <v>1.28</v>
      </c>
      <c r="M15">
        <v>1.27</v>
      </c>
      <c r="N15" t="s">
        <v>139</v>
      </c>
      <c r="O15" t="s">
        <v>139</v>
      </c>
      <c r="P15" t="s">
        <v>139</v>
      </c>
      <c r="Q15" t="s">
        <v>139</v>
      </c>
      <c r="R15" t="s">
        <v>139</v>
      </c>
      <c r="S15" t="s">
        <v>139</v>
      </c>
      <c r="T15" t="s">
        <v>139</v>
      </c>
      <c r="U15" t="s">
        <v>139</v>
      </c>
      <c r="V15" t="s">
        <v>139</v>
      </c>
      <c r="W15" t="s">
        <v>139</v>
      </c>
      <c r="X15" t="s">
        <v>139</v>
      </c>
      <c r="Y15" t="s">
        <v>139</v>
      </c>
      <c r="Z15" t="s">
        <v>139</v>
      </c>
      <c r="AA15" t="s">
        <v>139</v>
      </c>
      <c r="AB15" t="s">
        <v>139</v>
      </c>
      <c r="AC15" t="s">
        <v>139</v>
      </c>
      <c r="AD15" t="s">
        <v>139</v>
      </c>
      <c r="AE15" t="s">
        <v>139</v>
      </c>
      <c r="AF15" t="s">
        <v>139</v>
      </c>
      <c r="AG15" t="s">
        <v>139</v>
      </c>
      <c r="AH15" t="s">
        <v>139</v>
      </c>
      <c r="AI15" t="s">
        <v>139</v>
      </c>
      <c r="AJ15" t="s">
        <v>139</v>
      </c>
      <c r="AK15" t="s">
        <v>139</v>
      </c>
      <c r="AL15" t="s">
        <v>139</v>
      </c>
    </row>
    <row r="16" spans="1:38" ht="12.75">
      <c r="A16" s="1">
        <f>AVERAGE(C16:N16)</f>
        <v>1.2608333333333333</v>
      </c>
      <c r="B16" t="s">
        <v>110</v>
      </c>
      <c r="C16">
        <v>1.27</v>
      </c>
      <c r="D16">
        <v>1.26</v>
      </c>
      <c r="E16">
        <v>1.27</v>
      </c>
      <c r="F16">
        <v>1.27</v>
      </c>
      <c r="G16">
        <v>1.26</v>
      </c>
      <c r="H16">
        <v>1.26</v>
      </c>
      <c r="I16">
        <v>1.28</v>
      </c>
      <c r="J16">
        <v>1.26</v>
      </c>
      <c r="K16">
        <v>1.25</v>
      </c>
      <c r="L16">
        <v>1.25</v>
      </c>
      <c r="M16">
        <v>1.26</v>
      </c>
      <c r="N16">
        <v>1.24</v>
      </c>
      <c r="O16" t="s">
        <v>139</v>
      </c>
      <c r="P16" t="s">
        <v>139</v>
      </c>
      <c r="Q16" t="s">
        <v>139</v>
      </c>
      <c r="R16" t="s">
        <v>139</v>
      </c>
      <c r="S16" t="s">
        <v>139</v>
      </c>
      <c r="T16" t="s">
        <v>139</v>
      </c>
      <c r="U16" t="s">
        <v>139</v>
      </c>
      <c r="V16" t="s">
        <v>139</v>
      </c>
      <c r="W16" t="s">
        <v>139</v>
      </c>
      <c r="X16" t="s">
        <v>139</v>
      </c>
      <c r="Y16" t="s">
        <v>139</v>
      </c>
      <c r="Z16" t="s">
        <v>139</v>
      </c>
      <c r="AA16" t="s">
        <v>139</v>
      </c>
      <c r="AB16" t="s">
        <v>139</v>
      </c>
      <c r="AC16" t="s">
        <v>139</v>
      </c>
      <c r="AD16" t="s">
        <v>139</v>
      </c>
      <c r="AE16" t="s">
        <v>139</v>
      </c>
      <c r="AF16" t="s">
        <v>139</v>
      </c>
      <c r="AG16" t="s">
        <v>139</v>
      </c>
      <c r="AH16" t="s">
        <v>139</v>
      </c>
      <c r="AI16" t="s">
        <v>139</v>
      </c>
      <c r="AJ16" t="s">
        <v>139</v>
      </c>
      <c r="AK16" t="s">
        <v>139</v>
      </c>
      <c r="AL16" t="s">
        <v>139</v>
      </c>
    </row>
    <row r="17" spans="1:38" ht="12.75">
      <c r="A17" s="1">
        <f>AVERAGE(C17:O17)</f>
        <v>1.2707692307692304</v>
      </c>
      <c r="B17" t="s">
        <v>111</v>
      </c>
      <c r="C17">
        <v>1.28</v>
      </c>
      <c r="D17">
        <v>1.24</v>
      </c>
      <c r="E17">
        <v>1.27</v>
      </c>
      <c r="F17">
        <v>1.29</v>
      </c>
      <c r="G17">
        <v>1.27</v>
      </c>
      <c r="H17">
        <v>1.26</v>
      </c>
      <c r="I17">
        <v>1.28</v>
      </c>
      <c r="J17">
        <v>1.27</v>
      </c>
      <c r="K17">
        <v>1.27</v>
      </c>
      <c r="L17">
        <v>1.28</v>
      </c>
      <c r="M17">
        <v>1.27</v>
      </c>
      <c r="N17">
        <v>1.27</v>
      </c>
      <c r="O17">
        <v>1.27</v>
      </c>
      <c r="P17" t="s">
        <v>139</v>
      </c>
      <c r="Q17" t="s">
        <v>139</v>
      </c>
      <c r="R17" t="s">
        <v>139</v>
      </c>
      <c r="S17" t="s">
        <v>139</v>
      </c>
      <c r="T17" t="s">
        <v>139</v>
      </c>
      <c r="U17" t="s">
        <v>139</v>
      </c>
      <c r="V17" t="s">
        <v>139</v>
      </c>
      <c r="W17" t="s">
        <v>139</v>
      </c>
      <c r="X17" t="s">
        <v>139</v>
      </c>
      <c r="Y17" t="s">
        <v>139</v>
      </c>
      <c r="Z17" t="s">
        <v>139</v>
      </c>
      <c r="AA17" t="s">
        <v>139</v>
      </c>
      <c r="AB17" t="s">
        <v>139</v>
      </c>
      <c r="AC17" t="s">
        <v>139</v>
      </c>
      <c r="AD17" t="s">
        <v>139</v>
      </c>
      <c r="AE17" t="s">
        <v>139</v>
      </c>
      <c r="AF17" t="s">
        <v>139</v>
      </c>
      <c r="AG17" t="s">
        <v>139</v>
      </c>
      <c r="AH17" t="s">
        <v>139</v>
      </c>
      <c r="AI17" t="s">
        <v>139</v>
      </c>
      <c r="AJ17" t="s">
        <v>139</v>
      </c>
      <c r="AK17" t="s">
        <v>139</v>
      </c>
      <c r="AL17" t="s">
        <v>139</v>
      </c>
    </row>
    <row r="18" spans="1:38" ht="12.75">
      <c r="A18" s="1">
        <f>AVERAGE(C18:P18)</f>
        <v>1.262142857142857</v>
      </c>
      <c r="B18" t="s">
        <v>112</v>
      </c>
      <c r="C18">
        <v>1.27</v>
      </c>
      <c r="D18">
        <v>1.26</v>
      </c>
      <c r="E18">
        <v>1.25</v>
      </c>
      <c r="F18">
        <v>1.26</v>
      </c>
      <c r="G18">
        <v>1.28</v>
      </c>
      <c r="H18">
        <v>1.25</v>
      </c>
      <c r="I18">
        <v>1.28</v>
      </c>
      <c r="J18">
        <v>1.27</v>
      </c>
      <c r="K18">
        <v>1.27</v>
      </c>
      <c r="L18">
        <v>1.25</v>
      </c>
      <c r="M18">
        <v>1.26</v>
      </c>
      <c r="N18">
        <v>1.26</v>
      </c>
      <c r="O18">
        <v>1.26</v>
      </c>
      <c r="P18">
        <v>1.25</v>
      </c>
      <c r="Q18" t="s">
        <v>139</v>
      </c>
      <c r="R18" t="s">
        <v>139</v>
      </c>
      <c r="S18" t="s">
        <v>139</v>
      </c>
      <c r="T18" t="s">
        <v>139</v>
      </c>
      <c r="U18" t="s">
        <v>139</v>
      </c>
      <c r="V18" t="s">
        <v>139</v>
      </c>
      <c r="W18" t="s">
        <v>139</v>
      </c>
      <c r="X18" t="s">
        <v>139</v>
      </c>
      <c r="Y18" t="s">
        <v>139</v>
      </c>
      <c r="Z18" t="s">
        <v>139</v>
      </c>
      <c r="AA18" t="s">
        <v>139</v>
      </c>
      <c r="AB18" t="s">
        <v>139</v>
      </c>
      <c r="AC18" t="s">
        <v>139</v>
      </c>
      <c r="AD18" t="s">
        <v>139</v>
      </c>
      <c r="AE18" t="s">
        <v>139</v>
      </c>
      <c r="AF18" t="s">
        <v>139</v>
      </c>
      <c r="AG18" t="s">
        <v>139</v>
      </c>
      <c r="AH18" t="s">
        <v>139</v>
      </c>
      <c r="AI18" t="s">
        <v>139</v>
      </c>
      <c r="AJ18" t="s">
        <v>139</v>
      </c>
      <c r="AK18" t="s">
        <v>139</v>
      </c>
      <c r="AL18" t="s">
        <v>139</v>
      </c>
    </row>
    <row r="19" spans="1:38" ht="12.75">
      <c r="A19" s="1">
        <f>AVERAGE(C19:Q19)</f>
        <v>1.2626666666666668</v>
      </c>
      <c r="B19" t="s">
        <v>113</v>
      </c>
      <c r="C19">
        <v>1.29</v>
      </c>
      <c r="D19">
        <v>1.25</v>
      </c>
      <c r="E19">
        <v>1.25</v>
      </c>
      <c r="F19">
        <v>1.28</v>
      </c>
      <c r="G19">
        <v>1.27</v>
      </c>
      <c r="H19">
        <v>1.25</v>
      </c>
      <c r="I19">
        <v>1.27</v>
      </c>
      <c r="J19">
        <v>1.27</v>
      </c>
      <c r="K19">
        <v>1.24</v>
      </c>
      <c r="L19">
        <v>1.27</v>
      </c>
      <c r="M19">
        <v>1.27</v>
      </c>
      <c r="N19">
        <v>1.26</v>
      </c>
      <c r="O19">
        <v>1.26</v>
      </c>
      <c r="P19">
        <v>1.25</v>
      </c>
      <c r="Q19">
        <v>1.26</v>
      </c>
      <c r="R19" t="s">
        <v>139</v>
      </c>
      <c r="S19" t="s">
        <v>139</v>
      </c>
      <c r="T19" t="s">
        <v>139</v>
      </c>
      <c r="U19" t="s">
        <v>139</v>
      </c>
      <c r="V19" t="s">
        <v>139</v>
      </c>
      <c r="W19" t="s">
        <v>139</v>
      </c>
      <c r="X19" t="s">
        <v>139</v>
      </c>
      <c r="Y19" t="s">
        <v>139</v>
      </c>
      <c r="Z19" t="s">
        <v>139</v>
      </c>
      <c r="AA19" t="s">
        <v>139</v>
      </c>
      <c r="AB19" t="s">
        <v>139</v>
      </c>
      <c r="AC19" t="s">
        <v>139</v>
      </c>
      <c r="AD19" t="s">
        <v>139</v>
      </c>
      <c r="AE19" t="s">
        <v>139</v>
      </c>
      <c r="AF19" t="s">
        <v>139</v>
      </c>
      <c r="AG19" t="s">
        <v>139</v>
      </c>
      <c r="AH19" t="s">
        <v>139</v>
      </c>
      <c r="AI19" t="s">
        <v>139</v>
      </c>
      <c r="AJ19" t="s">
        <v>139</v>
      </c>
      <c r="AK19" t="s">
        <v>139</v>
      </c>
      <c r="AL19" t="s">
        <v>139</v>
      </c>
    </row>
    <row r="20" spans="1:38" ht="12.75">
      <c r="A20" s="1">
        <f>AVERAGE(C20:R20)</f>
        <v>1.2818749999999997</v>
      </c>
      <c r="B20" t="s">
        <v>114</v>
      </c>
      <c r="C20">
        <v>1.27</v>
      </c>
      <c r="D20">
        <v>1.28</v>
      </c>
      <c r="E20">
        <v>1.27</v>
      </c>
      <c r="F20">
        <v>1.29</v>
      </c>
      <c r="G20">
        <v>1.3</v>
      </c>
      <c r="H20">
        <v>1.27</v>
      </c>
      <c r="I20">
        <v>1.28</v>
      </c>
      <c r="J20">
        <v>1.27</v>
      </c>
      <c r="K20">
        <v>1.27</v>
      </c>
      <c r="L20">
        <v>1.29</v>
      </c>
      <c r="M20">
        <v>1.28</v>
      </c>
      <c r="N20">
        <v>1.28</v>
      </c>
      <c r="O20">
        <v>1.29</v>
      </c>
      <c r="P20">
        <v>1.29</v>
      </c>
      <c r="Q20">
        <v>1.29</v>
      </c>
      <c r="R20">
        <v>1.29</v>
      </c>
      <c r="S20" t="s">
        <v>139</v>
      </c>
      <c r="T20" t="s">
        <v>139</v>
      </c>
      <c r="U20" t="s">
        <v>139</v>
      </c>
      <c r="V20" t="s">
        <v>139</v>
      </c>
      <c r="W20" t="s">
        <v>139</v>
      </c>
      <c r="X20" t="s">
        <v>139</v>
      </c>
      <c r="Y20" t="s">
        <v>139</v>
      </c>
      <c r="Z20" t="s">
        <v>139</v>
      </c>
      <c r="AA20" t="s">
        <v>139</v>
      </c>
      <c r="AB20" t="s">
        <v>139</v>
      </c>
      <c r="AC20" t="s">
        <v>139</v>
      </c>
      <c r="AD20" t="s">
        <v>139</v>
      </c>
      <c r="AE20" t="s">
        <v>139</v>
      </c>
      <c r="AF20" t="s">
        <v>139</v>
      </c>
      <c r="AG20" t="s">
        <v>139</v>
      </c>
      <c r="AH20" t="s">
        <v>139</v>
      </c>
      <c r="AI20" t="s">
        <v>139</v>
      </c>
      <c r="AJ20" t="s">
        <v>139</v>
      </c>
      <c r="AK20" t="s">
        <v>139</v>
      </c>
      <c r="AL20" t="s">
        <v>139</v>
      </c>
    </row>
    <row r="21" spans="1:38" ht="12.75">
      <c r="A21" s="1">
        <f>AVERAGE(C21:S21)</f>
        <v>1.2676470588235293</v>
      </c>
      <c r="B21" t="s">
        <v>115</v>
      </c>
      <c r="C21">
        <v>1.28</v>
      </c>
      <c r="D21">
        <v>1.26</v>
      </c>
      <c r="E21">
        <v>1.25</v>
      </c>
      <c r="F21">
        <v>1.26</v>
      </c>
      <c r="G21">
        <v>1.26</v>
      </c>
      <c r="H21">
        <v>1.27</v>
      </c>
      <c r="I21">
        <v>1.28</v>
      </c>
      <c r="J21">
        <v>1.27</v>
      </c>
      <c r="K21">
        <v>1.25</v>
      </c>
      <c r="L21">
        <v>1.28</v>
      </c>
      <c r="M21">
        <v>1.27</v>
      </c>
      <c r="N21">
        <v>1.27</v>
      </c>
      <c r="O21">
        <v>1.26</v>
      </c>
      <c r="P21">
        <v>1.27</v>
      </c>
      <c r="Q21">
        <v>1.27</v>
      </c>
      <c r="R21">
        <v>1.29</v>
      </c>
      <c r="S21">
        <v>1.26</v>
      </c>
      <c r="T21" t="s">
        <v>139</v>
      </c>
      <c r="U21" t="s">
        <v>139</v>
      </c>
      <c r="V21" t="s">
        <v>139</v>
      </c>
      <c r="W21" t="s">
        <v>139</v>
      </c>
      <c r="X21" t="s">
        <v>139</v>
      </c>
      <c r="Y21" t="s">
        <v>139</v>
      </c>
      <c r="Z21" t="s">
        <v>139</v>
      </c>
      <c r="AA21" t="s">
        <v>139</v>
      </c>
      <c r="AB21" t="s">
        <v>139</v>
      </c>
      <c r="AC21" t="s">
        <v>139</v>
      </c>
      <c r="AD21" t="s">
        <v>139</v>
      </c>
      <c r="AE21" t="s">
        <v>139</v>
      </c>
      <c r="AF21" t="s">
        <v>139</v>
      </c>
      <c r="AG21" t="s">
        <v>139</v>
      </c>
      <c r="AH21" t="s">
        <v>139</v>
      </c>
      <c r="AI21" t="s">
        <v>139</v>
      </c>
      <c r="AJ21" t="s">
        <v>139</v>
      </c>
      <c r="AK21" t="s">
        <v>139</v>
      </c>
      <c r="AL21" t="s">
        <v>139</v>
      </c>
    </row>
    <row r="22" spans="1:38" ht="12.75">
      <c r="A22" s="1">
        <f>AVERAGE(C22:T22)</f>
        <v>1.2844444444444445</v>
      </c>
      <c r="B22" t="s">
        <v>116</v>
      </c>
      <c r="C22">
        <v>1.29</v>
      </c>
      <c r="D22">
        <v>1.28</v>
      </c>
      <c r="E22">
        <v>1.28</v>
      </c>
      <c r="F22">
        <v>1.28</v>
      </c>
      <c r="G22">
        <v>1.29</v>
      </c>
      <c r="H22">
        <v>1.29</v>
      </c>
      <c r="I22">
        <v>1.3</v>
      </c>
      <c r="J22">
        <v>1.29</v>
      </c>
      <c r="K22">
        <v>1.28</v>
      </c>
      <c r="L22">
        <v>1.29</v>
      </c>
      <c r="M22">
        <v>1.29</v>
      </c>
      <c r="N22">
        <v>1.28</v>
      </c>
      <c r="O22">
        <v>1.29</v>
      </c>
      <c r="P22">
        <v>1.29</v>
      </c>
      <c r="Q22">
        <v>1.27</v>
      </c>
      <c r="R22">
        <v>1.29</v>
      </c>
      <c r="S22">
        <v>1.28</v>
      </c>
      <c r="T22">
        <v>1.26</v>
      </c>
      <c r="U22" t="s">
        <v>139</v>
      </c>
      <c r="V22" t="s">
        <v>139</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row>
    <row r="23" spans="1:38" ht="12.75">
      <c r="A23" s="1">
        <f>AVERAGE(C23:U23)</f>
        <v>1.264736842105263</v>
      </c>
      <c r="B23" t="s">
        <v>117</v>
      </c>
      <c r="C23">
        <v>1.27</v>
      </c>
      <c r="D23">
        <v>1.26</v>
      </c>
      <c r="E23">
        <v>1.28</v>
      </c>
      <c r="F23">
        <v>1.28</v>
      </c>
      <c r="G23">
        <v>1.27</v>
      </c>
      <c r="H23">
        <v>1.27</v>
      </c>
      <c r="I23">
        <v>1.26</v>
      </c>
      <c r="J23">
        <v>1.25</v>
      </c>
      <c r="K23">
        <v>1.28</v>
      </c>
      <c r="L23">
        <v>1.26</v>
      </c>
      <c r="M23">
        <v>1.27</v>
      </c>
      <c r="N23">
        <v>1.26</v>
      </c>
      <c r="O23">
        <v>1.26</v>
      </c>
      <c r="P23">
        <v>1.27</v>
      </c>
      <c r="Q23">
        <v>1.26</v>
      </c>
      <c r="R23">
        <v>1.29</v>
      </c>
      <c r="S23">
        <v>1.25</v>
      </c>
      <c r="T23">
        <v>1.25</v>
      </c>
      <c r="U23">
        <v>1.24</v>
      </c>
      <c r="V23" t="s">
        <v>139</v>
      </c>
      <c r="W23" t="s">
        <v>139</v>
      </c>
      <c r="X23" t="s">
        <v>139</v>
      </c>
      <c r="Y23" t="s">
        <v>139</v>
      </c>
      <c r="Z23" t="s">
        <v>139</v>
      </c>
      <c r="AA23" t="s">
        <v>139</v>
      </c>
      <c r="AB23" t="s">
        <v>139</v>
      </c>
      <c r="AC23" t="s">
        <v>139</v>
      </c>
      <c r="AD23" t="s">
        <v>139</v>
      </c>
      <c r="AE23" t="s">
        <v>139</v>
      </c>
      <c r="AF23" t="s">
        <v>139</v>
      </c>
      <c r="AG23" t="s">
        <v>139</v>
      </c>
      <c r="AH23" t="s">
        <v>139</v>
      </c>
      <c r="AI23" t="s">
        <v>139</v>
      </c>
      <c r="AJ23" t="s">
        <v>139</v>
      </c>
      <c r="AK23" t="s">
        <v>139</v>
      </c>
      <c r="AL23" t="s">
        <v>139</v>
      </c>
    </row>
    <row r="24" spans="1:38" ht="12.75">
      <c r="A24" s="1">
        <f>AVERAGE(C24:V24)</f>
        <v>1.2769999999999997</v>
      </c>
      <c r="B24" t="s">
        <v>118</v>
      </c>
      <c r="C24">
        <v>1.32</v>
      </c>
      <c r="D24">
        <v>1.28</v>
      </c>
      <c r="E24">
        <v>1.3</v>
      </c>
      <c r="F24">
        <v>1.28</v>
      </c>
      <c r="G24">
        <v>1.29</v>
      </c>
      <c r="H24">
        <v>1.29</v>
      </c>
      <c r="I24">
        <v>1.29</v>
      </c>
      <c r="J24">
        <v>1.3</v>
      </c>
      <c r="K24">
        <v>1.29</v>
      </c>
      <c r="L24">
        <v>1.29</v>
      </c>
      <c r="M24">
        <v>1.28</v>
      </c>
      <c r="N24">
        <v>1.27</v>
      </c>
      <c r="O24">
        <v>1.26</v>
      </c>
      <c r="P24">
        <v>1.27</v>
      </c>
      <c r="Q24">
        <v>1.27</v>
      </c>
      <c r="R24">
        <v>1.28</v>
      </c>
      <c r="S24">
        <v>1.26</v>
      </c>
      <c r="T24">
        <v>1.24</v>
      </c>
      <c r="U24">
        <v>1.24</v>
      </c>
      <c r="V24">
        <v>1.24</v>
      </c>
      <c r="W24" t="s">
        <v>139</v>
      </c>
      <c r="X24" t="s">
        <v>139</v>
      </c>
      <c r="Y24" t="s">
        <v>139</v>
      </c>
      <c r="Z24" t="s">
        <v>139</v>
      </c>
      <c r="AA24" t="s">
        <v>139</v>
      </c>
      <c r="AB24" t="s">
        <v>139</v>
      </c>
      <c r="AC24" t="s">
        <v>139</v>
      </c>
      <c r="AD24" t="s">
        <v>139</v>
      </c>
      <c r="AE24" t="s">
        <v>139</v>
      </c>
      <c r="AF24" t="s">
        <v>139</v>
      </c>
      <c r="AG24" t="s">
        <v>139</v>
      </c>
      <c r="AH24" t="s">
        <v>139</v>
      </c>
      <c r="AI24" t="s">
        <v>139</v>
      </c>
      <c r="AJ24" t="s">
        <v>139</v>
      </c>
      <c r="AK24" t="s">
        <v>139</v>
      </c>
      <c r="AL24" t="s">
        <v>139</v>
      </c>
    </row>
    <row r="25" spans="1:38" ht="12.75">
      <c r="A25" s="1">
        <f>AVERAGE(C25:W25)</f>
        <v>1.266190476190476</v>
      </c>
      <c r="B25" t="s">
        <v>119</v>
      </c>
      <c r="C25">
        <v>1.29</v>
      </c>
      <c r="D25">
        <v>1.26</v>
      </c>
      <c r="E25">
        <v>1.26</v>
      </c>
      <c r="F25">
        <v>1.27</v>
      </c>
      <c r="G25">
        <v>1.27</v>
      </c>
      <c r="H25">
        <v>1.27</v>
      </c>
      <c r="I25">
        <v>1.28</v>
      </c>
      <c r="J25">
        <v>1.26</v>
      </c>
      <c r="K25">
        <v>1.26</v>
      </c>
      <c r="L25">
        <v>1.27</v>
      </c>
      <c r="M25">
        <v>1.28</v>
      </c>
      <c r="N25">
        <v>1.25</v>
      </c>
      <c r="O25">
        <v>1.28</v>
      </c>
      <c r="P25">
        <v>1.26</v>
      </c>
      <c r="Q25">
        <v>1.27</v>
      </c>
      <c r="R25">
        <v>1.29</v>
      </c>
      <c r="S25">
        <v>1.25</v>
      </c>
      <c r="T25">
        <v>1.26</v>
      </c>
      <c r="U25">
        <v>1.25</v>
      </c>
      <c r="V25">
        <v>1.25</v>
      </c>
      <c r="W25">
        <v>1.26</v>
      </c>
      <c r="X25" t="s">
        <v>139</v>
      </c>
      <c r="Y25" t="s">
        <v>139</v>
      </c>
      <c r="Z25" t="s">
        <v>139</v>
      </c>
      <c r="AA25" t="s">
        <v>139</v>
      </c>
      <c r="AB25" t="s">
        <v>139</v>
      </c>
      <c r="AC25" t="s">
        <v>139</v>
      </c>
      <c r="AD25" t="s">
        <v>139</v>
      </c>
      <c r="AE25" t="s">
        <v>139</v>
      </c>
      <c r="AF25" t="s">
        <v>139</v>
      </c>
      <c r="AG25" t="s">
        <v>139</v>
      </c>
      <c r="AH25" t="s">
        <v>139</v>
      </c>
      <c r="AI25" t="s">
        <v>139</v>
      </c>
      <c r="AJ25" t="s">
        <v>139</v>
      </c>
      <c r="AK25" t="s">
        <v>139</v>
      </c>
      <c r="AL25" t="s">
        <v>139</v>
      </c>
    </row>
    <row r="26" spans="1:38" ht="12.75">
      <c r="A26" s="1">
        <f>AVERAGE(C26:X26)</f>
        <v>1.266818181818182</v>
      </c>
      <c r="B26" t="s">
        <v>120</v>
      </c>
      <c r="C26">
        <v>1.28</v>
      </c>
      <c r="D26">
        <v>1.25</v>
      </c>
      <c r="E26">
        <v>1.27</v>
      </c>
      <c r="F26">
        <v>1.27</v>
      </c>
      <c r="G26">
        <v>1.28</v>
      </c>
      <c r="H26">
        <v>1.25</v>
      </c>
      <c r="I26">
        <v>1.27</v>
      </c>
      <c r="J26">
        <v>1.25</v>
      </c>
      <c r="K26">
        <v>1.26</v>
      </c>
      <c r="L26">
        <v>1.25</v>
      </c>
      <c r="M26">
        <v>1.25</v>
      </c>
      <c r="N26">
        <v>1.27</v>
      </c>
      <c r="O26">
        <v>1.27</v>
      </c>
      <c r="P26">
        <v>1.26</v>
      </c>
      <c r="Q26">
        <v>1.27</v>
      </c>
      <c r="R26">
        <v>1.29</v>
      </c>
      <c r="S26">
        <v>1.27</v>
      </c>
      <c r="T26">
        <v>1.28</v>
      </c>
      <c r="U26">
        <v>1.26</v>
      </c>
      <c r="V26">
        <v>1.27</v>
      </c>
      <c r="W26">
        <v>1.29</v>
      </c>
      <c r="X26">
        <v>1.26</v>
      </c>
      <c r="Y26" t="s">
        <v>139</v>
      </c>
      <c r="Z26" t="s">
        <v>139</v>
      </c>
      <c r="AA26" t="s">
        <v>139</v>
      </c>
      <c r="AB26" t="s">
        <v>139</v>
      </c>
      <c r="AC26" t="s">
        <v>139</v>
      </c>
      <c r="AD26" t="s">
        <v>139</v>
      </c>
      <c r="AE26" t="s">
        <v>139</v>
      </c>
      <c r="AF26" t="s">
        <v>139</v>
      </c>
      <c r="AG26" t="s">
        <v>139</v>
      </c>
      <c r="AH26" t="s">
        <v>139</v>
      </c>
      <c r="AI26" t="s">
        <v>139</v>
      </c>
      <c r="AJ26" t="s">
        <v>139</v>
      </c>
      <c r="AK26" t="s">
        <v>139</v>
      </c>
      <c r="AL26" t="s">
        <v>139</v>
      </c>
    </row>
    <row r="27" spans="1:38" ht="12.75">
      <c r="A27" s="1">
        <f>AVERAGE(C27:Y27)</f>
        <v>1.2686956521739132</v>
      </c>
      <c r="B27" t="s">
        <v>121</v>
      </c>
      <c r="C27">
        <v>1.27</v>
      </c>
      <c r="D27">
        <v>1.26</v>
      </c>
      <c r="E27">
        <v>1.28</v>
      </c>
      <c r="F27">
        <v>1.28</v>
      </c>
      <c r="G27">
        <v>1.28</v>
      </c>
      <c r="H27">
        <v>1.25</v>
      </c>
      <c r="I27">
        <v>1.26</v>
      </c>
      <c r="J27">
        <v>1.28</v>
      </c>
      <c r="K27">
        <v>1.28</v>
      </c>
      <c r="L27">
        <v>1.28</v>
      </c>
      <c r="M27">
        <v>1.27</v>
      </c>
      <c r="N27">
        <v>1.26</v>
      </c>
      <c r="O27">
        <v>1.28</v>
      </c>
      <c r="P27">
        <v>1.26</v>
      </c>
      <c r="Q27">
        <v>1.28</v>
      </c>
      <c r="R27">
        <v>1.29</v>
      </c>
      <c r="S27">
        <v>1.26</v>
      </c>
      <c r="T27">
        <v>1.27</v>
      </c>
      <c r="U27">
        <v>1.24</v>
      </c>
      <c r="V27">
        <v>1.26</v>
      </c>
      <c r="W27">
        <v>1.28</v>
      </c>
      <c r="X27">
        <v>1.25</v>
      </c>
      <c r="Y27">
        <v>1.26</v>
      </c>
      <c r="Z27" t="s">
        <v>139</v>
      </c>
      <c r="AA27" t="s">
        <v>139</v>
      </c>
      <c r="AB27" t="s">
        <v>139</v>
      </c>
      <c r="AC27" t="s">
        <v>139</v>
      </c>
      <c r="AD27" t="s">
        <v>139</v>
      </c>
      <c r="AE27" t="s">
        <v>139</v>
      </c>
      <c r="AF27" t="s">
        <v>139</v>
      </c>
      <c r="AG27" t="s">
        <v>139</v>
      </c>
      <c r="AH27" t="s">
        <v>139</v>
      </c>
      <c r="AI27" t="s">
        <v>139</v>
      </c>
      <c r="AJ27" t="s">
        <v>139</v>
      </c>
      <c r="AK27" t="s">
        <v>139</v>
      </c>
      <c r="AL27" t="s">
        <v>139</v>
      </c>
    </row>
    <row r="28" spans="1:38" ht="12.75">
      <c r="A28" s="1">
        <f>AVERAGE(C28:Z28)</f>
        <v>1.2683333333333333</v>
      </c>
      <c r="B28" t="s">
        <v>122</v>
      </c>
      <c r="C28">
        <v>1.28</v>
      </c>
      <c r="D28">
        <v>1.23</v>
      </c>
      <c r="E28">
        <v>1.26</v>
      </c>
      <c r="F28">
        <v>1.26</v>
      </c>
      <c r="G28">
        <v>1.26</v>
      </c>
      <c r="H28">
        <v>1.25</v>
      </c>
      <c r="I28">
        <v>1.25</v>
      </c>
      <c r="J28">
        <v>1.27</v>
      </c>
      <c r="K28">
        <v>1.26</v>
      </c>
      <c r="L28">
        <v>1.27</v>
      </c>
      <c r="M28">
        <v>1.27</v>
      </c>
      <c r="N28">
        <v>1.26</v>
      </c>
      <c r="O28">
        <v>1.29</v>
      </c>
      <c r="P28">
        <v>1.27</v>
      </c>
      <c r="Q28">
        <v>1.29</v>
      </c>
      <c r="R28">
        <v>1.29</v>
      </c>
      <c r="S28">
        <v>1.27</v>
      </c>
      <c r="T28">
        <v>1.28</v>
      </c>
      <c r="U28">
        <v>1.27</v>
      </c>
      <c r="V28">
        <v>1.26</v>
      </c>
      <c r="W28">
        <v>1.28</v>
      </c>
      <c r="X28">
        <v>1.27</v>
      </c>
      <c r="Y28">
        <v>1.28</v>
      </c>
      <c r="Z28">
        <v>1.27</v>
      </c>
      <c r="AA28" t="s">
        <v>139</v>
      </c>
      <c r="AB28" t="s">
        <v>139</v>
      </c>
      <c r="AC28" t="s">
        <v>139</v>
      </c>
      <c r="AD28" t="s">
        <v>139</v>
      </c>
      <c r="AE28" t="s">
        <v>139</v>
      </c>
      <c r="AF28" t="s">
        <v>139</v>
      </c>
      <c r="AG28" t="s">
        <v>139</v>
      </c>
      <c r="AH28" t="s">
        <v>139</v>
      </c>
      <c r="AI28" t="s">
        <v>139</v>
      </c>
      <c r="AJ28" t="s">
        <v>139</v>
      </c>
      <c r="AK28" t="s">
        <v>139</v>
      </c>
      <c r="AL28" t="s">
        <v>139</v>
      </c>
    </row>
    <row r="29" spans="1:38" ht="12.75">
      <c r="A29" s="1">
        <f>AVERAGE(C29:AA29)</f>
        <v>1.2640000000000002</v>
      </c>
      <c r="B29" t="s">
        <v>123</v>
      </c>
      <c r="C29">
        <v>1.28</v>
      </c>
      <c r="D29">
        <v>1.25</v>
      </c>
      <c r="E29">
        <v>1.27</v>
      </c>
      <c r="F29">
        <v>1.27</v>
      </c>
      <c r="G29">
        <v>1.27</v>
      </c>
      <c r="H29">
        <v>1.26</v>
      </c>
      <c r="I29">
        <v>1.27</v>
      </c>
      <c r="J29">
        <v>1.27</v>
      </c>
      <c r="K29">
        <v>1.27</v>
      </c>
      <c r="L29">
        <v>1.27</v>
      </c>
      <c r="M29">
        <v>1.28</v>
      </c>
      <c r="N29">
        <v>1.26</v>
      </c>
      <c r="O29">
        <v>1.26</v>
      </c>
      <c r="P29">
        <v>1.26</v>
      </c>
      <c r="Q29">
        <v>1.28</v>
      </c>
      <c r="R29">
        <v>1.27</v>
      </c>
      <c r="S29">
        <v>1.26</v>
      </c>
      <c r="T29">
        <v>1.26</v>
      </c>
      <c r="U29">
        <v>1.25</v>
      </c>
      <c r="V29">
        <v>1.26</v>
      </c>
      <c r="W29">
        <v>1.26</v>
      </c>
      <c r="X29">
        <v>1.26</v>
      </c>
      <c r="Y29">
        <v>1.25</v>
      </c>
      <c r="Z29">
        <v>1.26</v>
      </c>
      <c r="AA29">
        <v>1.25</v>
      </c>
      <c r="AB29" t="s">
        <v>139</v>
      </c>
      <c r="AC29" t="s">
        <v>139</v>
      </c>
      <c r="AD29" t="s">
        <v>139</v>
      </c>
      <c r="AE29" t="s">
        <v>139</v>
      </c>
      <c r="AF29" t="s">
        <v>139</v>
      </c>
      <c r="AG29" t="s">
        <v>139</v>
      </c>
      <c r="AH29" t="s">
        <v>139</v>
      </c>
      <c r="AI29" t="s">
        <v>139</v>
      </c>
      <c r="AJ29" t="s">
        <v>139</v>
      </c>
      <c r="AK29" t="s">
        <v>139</v>
      </c>
      <c r="AL29" t="s">
        <v>139</v>
      </c>
    </row>
    <row r="30" spans="1:38" ht="12.75">
      <c r="A30" s="1">
        <f>AVERAGE(C30:AB30)</f>
        <v>1.268076923076923</v>
      </c>
      <c r="B30" t="s">
        <v>124</v>
      </c>
      <c r="C30">
        <v>1.27</v>
      </c>
      <c r="D30">
        <v>1.24</v>
      </c>
      <c r="E30">
        <v>1.25</v>
      </c>
      <c r="F30">
        <v>1.26</v>
      </c>
      <c r="G30">
        <v>1.26</v>
      </c>
      <c r="H30">
        <v>1.26</v>
      </c>
      <c r="I30">
        <v>1.26</v>
      </c>
      <c r="J30">
        <v>1.27</v>
      </c>
      <c r="K30">
        <v>1.26</v>
      </c>
      <c r="L30">
        <v>1.27</v>
      </c>
      <c r="M30">
        <v>1.28</v>
      </c>
      <c r="N30">
        <v>1.26</v>
      </c>
      <c r="O30">
        <v>1.28</v>
      </c>
      <c r="P30">
        <v>1.28</v>
      </c>
      <c r="Q30">
        <v>1.29</v>
      </c>
      <c r="R30">
        <v>1.3</v>
      </c>
      <c r="S30">
        <v>1.27</v>
      </c>
      <c r="T30">
        <v>1.27</v>
      </c>
      <c r="U30">
        <v>1.27</v>
      </c>
      <c r="V30">
        <v>1.27</v>
      </c>
      <c r="W30">
        <v>1.28</v>
      </c>
      <c r="X30">
        <v>1.28</v>
      </c>
      <c r="Y30">
        <v>1.27</v>
      </c>
      <c r="Z30">
        <v>1.27</v>
      </c>
      <c r="AA30">
        <v>1.25</v>
      </c>
      <c r="AB30">
        <v>1.25</v>
      </c>
      <c r="AC30" t="s">
        <v>139</v>
      </c>
      <c r="AD30" t="s">
        <v>139</v>
      </c>
      <c r="AE30" t="s">
        <v>139</v>
      </c>
      <c r="AF30" t="s">
        <v>139</v>
      </c>
      <c r="AG30" t="s">
        <v>139</v>
      </c>
      <c r="AH30" t="s">
        <v>139</v>
      </c>
      <c r="AI30" t="s">
        <v>139</v>
      </c>
      <c r="AJ30" t="s">
        <v>139</v>
      </c>
      <c r="AK30" t="s">
        <v>139</v>
      </c>
      <c r="AL30" t="s">
        <v>139</v>
      </c>
    </row>
    <row r="31" spans="1:38" ht="12.75">
      <c r="A31" s="1">
        <f>AVERAGE(C31:AC31)</f>
        <v>1.2662962962962965</v>
      </c>
      <c r="B31" t="s">
        <v>125</v>
      </c>
      <c r="C31">
        <v>1.29</v>
      </c>
      <c r="D31">
        <v>1.25</v>
      </c>
      <c r="E31">
        <v>1.27</v>
      </c>
      <c r="F31">
        <v>1.27</v>
      </c>
      <c r="G31">
        <v>1.28</v>
      </c>
      <c r="H31">
        <v>1.27</v>
      </c>
      <c r="I31">
        <v>1.27</v>
      </c>
      <c r="J31">
        <v>1.27</v>
      </c>
      <c r="K31">
        <v>1.26</v>
      </c>
      <c r="L31">
        <v>1.27</v>
      </c>
      <c r="M31">
        <v>1.27</v>
      </c>
      <c r="N31">
        <v>1.25</v>
      </c>
      <c r="O31">
        <v>1.27</v>
      </c>
      <c r="P31">
        <v>1.28</v>
      </c>
      <c r="Q31">
        <v>1.29</v>
      </c>
      <c r="R31">
        <v>1.3</v>
      </c>
      <c r="S31">
        <v>1.26</v>
      </c>
      <c r="T31">
        <v>1.25</v>
      </c>
      <c r="U31">
        <v>1.25</v>
      </c>
      <c r="V31">
        <v>1.25</v>
      </c>
      <c r="W31">
        <v>1.28</v>
      </c>
      <c r="X31">
        <v>1.27</v>
      </c>
      <c r="Y31">
        <v>1.25</v>
      </c>
      <c r="Z31">
        <v>1.26</v>
      </c>
      <c r="AA31">
        <v>1.25</v>
      </c>
      <c r="AB31">
        <v>1.26</v>
      </c>
      <c r="AC31">
        <v>1.25</v>
      </c>
      <c r="AD31" t="s">
        <v>139</v>
      </c>
      <c r="AE31" t="s">
        <v>139</v>
      </c>
      <c r="AF31" t="s">
        <v>139</v>
      </c>
      <c r="AG31" t="s">
        <v>139</v>
      </c>
      <c r="AH31" t="s">
        <v>139</v>
      </c>
      <c r="AI31" t="s">
        <v>139</v>
      </c>
      <c r="AJ31" t="s">
        <v>139</v>
      </c>
      <c r="AK31" t="s">
        <v>139</v>
      </c>
      <c r="AL31" t="s">
        <v>139</v>
      </c>
    </row>
    <row r="32" spans="1:38" ht="12.75">
      <c r="A32" s="1">
        <f>AVERAGE(C32:AD32)</f>
        <v>1.2707142857142861</v>
      </c>
      <c r="B32" t="s">
        <v>126</v>
      </c>
      <c r="C32">
        <v>1.29</v>
      </c>
      <c r="D32">
        <v>1.28</v>
      </c>
      <c r="E32">
        <v>1.27</v>
      </c>
      <c r="F32">
        <v>1.29</v>
      </c>
      <c r="G32">
        <v>1.28</v>
      </c>
      <c r="H32">
        <v>1.29</v>
      </c>
      <c r="I32">
        <v>1.28</v>
      </c>
      <c r="J32">
        <v>1.27</v>
      </c>
      <c r="K32">
        <v>1.26</v>
      </c>
      <c r="L32">
        <v>1.3</v>
      </c>
      <c r="M32">
        <v>1.3</v>
      </c>
      <c r="N32">
        <v>1.29</v>
      </c>
      <c r="O32">
        <v>1.28</v>
      </c>
      <c r="P32">
        <v>1.28</v>
      </c>
      <c r="Q32">
        <v>1.28</v>
      </c>
      <c r="R32">
        <v>1.28</v>
      </c>
      <c r="S32">
        <v>1.27</v>
      </c>
      <c r="T32">
        <v>1.27</v>
      </c>
      <c r="U32">
        <v>1.26</v>
      </c>
      <c r="V32">
        <v>1.25</v>
      </c>
      <c r="W32">
        <v>1.26</v>
      </c>
      <c r="X32">
        <v>1.26</v>
      </c>
      <c r="Y32">
        <v>1.24</v>
      </c>
      <c r="Z32">
        <v>1.25</v>
      </c>
      <c r="AA32">
        <v>1.23</v>
      </c>
      <c r="AB32">
        <v>1.27</v>
      </c>
      <c r="AC32">
        <v>1.24</v>
      </c>
      <c r="AD32">
        <v>1.26</v>
      </c>
      <c r="AE32" t="s">
        <v>139</v>
      </c>
      <c r="AF32" t="s">
        <v>139</v>
      </c>
      <c r="AG32" t="s">
        <v>139</v>
      </c>
      <c r="AH32" t="s">
        <v>139</v>
      </c>
      <c r="AI32" t="s">
        <v>139</v>
      </c>
      <c r="AJ32" t="s">
        <v>139</v>
      </c>
      <c r="AK32" t="s">
        <v>139</v>
      </c>
      <c r="AL32" t="s">
        <v>139</v>
      </c>
    </row>
    <row r="33" spans="1:38" ht="12.75">
      <c r="A33" s="1">
        <f>AVERAGE(C33:AE33)</f>
        <v>1.2827586206896555</v>
      </c>
      <c r="B33" t="s">
        <v>127</v>
      </c>
      <c r="C33">
        <v>1.29</v>
      </c>
      <c r="D33">
        <v>1.27</v>
      </c>
      <c r="E33">
        <v>1.29</v>
      </c>
      <c r="F33">
        <v>1.3</v>
      </c>
      <c r="G33">
        <v>1.28</v>
      </c>
      <c r="H33">
        <v>1.27</v>
      </c>
      <c r="I33">
        <v>1.29</v>
      </c>
      <c r="J33">
        <v>1.29</v>
      </c>
      <c r="K33">
        <v>1.29</v>
      </c>
      <c r="L33">
        <v>1.3</v>
      </c>
      <c r="M33">
        <v>1.3</v>
      </c>
      <c r="N33">
        <v>1.28</v>
      </c>
      <c r="O33">
        <v>1.27</v>
      </c>
      <c r="P33">
        <v>1.29</v>
      </c>
      <c r="Q33">
        <v>1.28</v>
      </c>
      <c r="R33">
        <v>1.3</v>
      </c>
      <c r="S33">
        <v>1.28</v>
      </c>
      <c r="T33">
        <v>1.28</v>
      </c>
      <c r="U33">
        <v>1.27</v>
      </c>
      <c r="V33">
        <v>1.26</v>
      </c>
      <c r="W33">
        <v>1.28</v>
      </c>
      <c r="X33">
        <v>1.29</v>
      </c>
      <c r="Y33">
        <v>1.28</v>
      </c>
      <c r="Z33">
        <v>1.29</v>
      </c>
      <c r="AA33">
        <v>1.25</v>
      </c>
      <c r="AB33">
        <v>1.28</v>
      </c>
      <c r="AC33">
        <v>1.27</v>
      </c>
      <c r="AD33">
        <v>1.28</v>
      </c>
      <c r="AE33">
        <v>1.3</v>
      </c>
      <c r="AF33" t="s">
        <v>139</v>
      </c>
      <c r="AG33" t="s">
        <v>139</v>
      </c>
      <c r="AH33" t="s">
        <v>139</v>
      </c>
      <c r="AI33" t="s">
        <v>139</v>
      </c>
      <c r="AJ33" t="s">
        <v>139</v>
      </c>
      <c r="AK33" t="s">
        <v>139</v>
      </c>
      <c r="AL33" t="s">
        <v>139</v>
      </c>
    </row>
    <row r="34" spans="1:38" ht="12.75">
      <c r="A34" s="1">
        <f>AVERAGE(C34:AF34)</f>
        <v>1.27</v>
      </c>
      <c r="B34" t="s">
        <v>128</v>
      </c>
      <c r="C34">
        <v>1.29</v>
      </c>
      <c r="D34">
        <v>1.28</v>
      </c>
      <c r="E34">
        <v>1.29</v>
      </c>
      <c r="F34">
        <v>1.29</v>
      </c>
      <c r="G34">
        <v>1.29</v>
      </c>
      <c r="H34">
        <v>1.28</v>
      </c>
      <c r="I34">
        <v>1.29</v>
      </c>
      <c r="J34">
        <v>1.27</v>
      </c>
      <c r="K34">
        <v>1.26</v>
      </c>
      <c r="L34">
        <v>1.28</v>
      </c>
      <c r="M34">
        <v>1.28</v>
      </c>
      <c r="N34">
        <v>1.28</v>
      </c>
      <c r="O34">
        <v>1.27</v>
      </c>
      <c r="P34">
        <v>1.26</v>
      </c>
      <c r="Q34">
        <v>1.27</v>
      </c>
      <c r="R34">
        <v>1.26</v>
      </c>
      <c r="S34">
        <v>1.25</v>
      </c>
      <c r="T34">
        <v>1.25</v>
      </c>
      <c r="U34">
        <v>1.25</v>
      </c>
      <c r="V34">
        <v>1.25</v>
      </c>
      <c r="W34">
        <v>1.27</v>
      </c>
      <c r="X34">
        <v>1.25</v>
      </c>
      <c r="Y34">
        <v>1.26</v>
      </c>
      <c r="Z34">
        <v>1.28</v>
      </c>
      <c r="AA34">
        <v>1.24</v>
      </c>
      <c r="AB34">
        <v>1.25</v>
      </c>
      <c r="AC34">
        <v>1.26</v>
      </c>
      <c r="AD34">
        <v>1.26</v>
      </c>
      <c r="AE34">
        <v>1.31</v>
      </c>
      <c r="AF34">
        <v>1.28</v>
      </c>
      <c r="AG34" t="s">
        <v>139</v>
      </c>
      <c r="AH34" t="s">
        <v>139</v>
      </c>
      <c r="AI34" t="s">
        <v>139</v>
      </c>
      <c r="AJ34" t="s">
        <v>139</v>
      </c>
      <c r="AK34" t="s">
        <v>139</v>
      </c>
      <c r="AL34" t="s">
        <v>139</v>
      </c>
    </row>
    <row r="35" spans="1:38" ht="12.75">
      <c r="A35" s="1">
        <f>AVERAGE(C35:AG35)</f>
        <v>1.2680645161290325</v>
      </c>
      <c r="B35" t="s">
        <v>129</v>
      </c>
      <c r="C35">
        <v>1.29</v>
      </c>
      <c r="D35">
        <v>1.25</v>
      </c>
      <c r="E35">
        <v>1.27</v>
      </c>
      <c r="F35">
        <v>1.28</v>
      </c>
      <c r="G35">
        <v>1.28</v>
      </c>
      <c r="H35">
        <v>1.28</v>
      </c>
      <c r="I35">
        <v>1.27</v>
      </c>
      <c r="J35">
        <v>1.26</v>
      </c>
      <c r="K35">
        <v>1.27</v>
      </c>
      <c r="L35">
        <v>1.28</v>
      </c>
      <c r="M35">
        <v>1.28</v>
      </c>
      <c r="N35">
        <v>1.25</v>
      </c>
      <c r="O35">
        <v>1.28</v>
      </c>
      <c r="P35">
        <v>1.26</v>
      </c>
      <c r="Q35">
        <v>1.27</v>
      </c>
      <c r="R35">
        <v>1.25</v>
      </c>
      <c r="S35">
        <v>1.27</v>
      </c>
      <c r="T35">
        <v>1.25</v>
      </c>
      <c r="U35">
        <v>1.26</v>
      </c>
      <c r="V35">
        <v>1.26</v>
      </c>
      <c r="W35">
        <v>1.29</v>
      </c>
      <c r="X35">
        <v>1.27</v>
      </c>
      <c r="Y35">
        <v>1.26</v>
      </c>
      <c r="Z35">
        <v>1.28</v>
      </c>
      <c r="AA35">
        <v>1.25</v>
      </c>
      <c r="AB35">
        <v>1.25</v>
      </c>
      <c r="AC35">
        <v>1.25</v>
      </c>
      <c r="AD35">
        <v>1.27</v>
      </c>
      <c r="AE35">
        <v>1.3</v>
      </c>
      <c r="AF35">
        <v>1.27</v>
      </c>
      <c r="AG35">
        <v>1.26</v>
      </c>
      <c r="AH35" t="s">
        <v>139</v>
      </c>
      <c r="AI35" t="s">
        <v>139</v>
      </c>
      <c r="AJ35" t="s">
        <v>139</v>
      </c>
      <c r="AK35" t="s">
        <v>139</v>
      </c>
      <c r="AL35" t="s">
        <v>139</v>
      </c>
    </row>
    <row r="36" spans="1:38" ht="12.75">
      <c r="A36" s="1">
        <f>AVERAGE(C36:AH36)</f>
        <v>1.2600000000000005</v>
      </c>
      <c r="B36" t="s">
        <v>130</v>
      </c>
      <c r="C36">
        <v>1.25</v>
      </c>
      <c r="D36">
        <v>1.24</v>
      </c>
      <c r="E36">
        <v>1.25</v>
      </c>
      <c r="F36">
        <v>1.25</v>
      </c>
      <c r="G36">
        <v>1.25</v>
      </c>
      <c r="H36">
        <v>1.25</v>
      </c>
      <c r="I36">
        <v>1.26</v>
      </c>
      <c r="J36">
        <v>1.25</v>
      </c>
      <c r="K36">
        <v>1.27</v>
      </c>
      <c r="L36">
        <v>1.25</v>
      </c>
      <c r="M36">
        <v>1.27</v>
      </c>
      <c r="N36">
        <v>1.25</v>
      </c>
      <c r="O36">
        <v>1.28</v>
      </c>
      <c r="P36">
        <v>1.28</v>
      </c>
      <c r="Q36">
        <v>1.29</v>
      </c>
      <c r="R36">
        <v>1.29</v>
      </c>
      <c r="S36">
        <v>1.26</v>
      </c>
      <c r="T36">
        <v>1.26</v>
      </c>
      <c r="U36">
        <v>1.26</v>
      </c>
      <c r="V36">
        <v>1.25</v>
      </c>
      <c r="W36">
        <v>1.28</v>
      </c>
      <c r="X36">
        <v>1.26</v>
      </c>
      <c r="Y36">
        <v>1.26</v>
      </c>
      <c r="Z36">
        <v>1.27</v>
      </c>
      <c r="AA36">
        <v>1.25</v>
      </c>
      <c r="AB36">
        <v>1.25</v>
      </c>
      <c r="AC36">
        <v>1.24</v>
      </c>
      <c r="AD36">
        <v>1.25</v>
      </c>
      <c r="AE36">
        <v>1.28</v>
      </c>
      <c r="AF36">
        <v>1.27</v>
      </c>
      <c r="AG36">
        <v>1.25</v>
      </c>
      <c r="AH36">
        <v>1.25</v>
      </c>
      <c r="AI36" t="s">
        <v>139</v>
      </c>
      <c r="AJ36" t="s">
        <v>139</v>
      </c>
      <c r="AK36" t="s">
        <v>139</v>
      </c>
      <c r="AL36" t="s">
        <v>139</v>
      </c>
    </row>
    <row r="37" spans="1:38" ht="12.75">
      <c r="A37" s="1">
        <f>AVERAGE(C37:AI37)</f>
        <v>1.2733333333333332</v>
      </c>
      <c r="B37" t="s">
        <v>131</v>
      </c>
      <c r="C37">
        <v>1.29</v>
      </c>
      <c r="D37">
        <v>1.26</v>
      </c>
      <c r="E37">
        <v>1.27</v>
      </c>
      <c r="F37">
        <v>1.28</v>
      </c>
      <c r="G37">
        <v>1.28</v>
      </c>
      <c r="H37">
        <v>1.27</v>
      </c>
      <c r="I37">
        <v>1.27</v>
      </c>
      <c r="J37">
        <v>1.27</v>
      </c>
      <c r="K37">
        <v>1.28</v>
      </c>
      <c r="L37">
        <v>1.28</v>
      </c>
      <c r="M37">
        <v>1.28</v>
      </c>
      <c r="N37">
        <v>1.26</v>
      </c>
      <c r="O37">
        <v>1.27</v>
      </c>
      <c r="P37">
        <v>1.27</v>
      </c>
      <c r="Q37">
        <v>1.27</v>
      </c>
      <c r="R37">
        <v>1.29</v>
      </c>
      <c r="S37">
        <v>1.27</v>
      </c>
      <c r="T37">
        <v>1.27</v>
      </c>
      <c r="U37">
        <v>1.27</v>
      </c>
      <c r="V37">
        <v>1.26</v>
      </c>
      <c r="W37">
        <v>1.29</v>
      </c>
      <c r="X37">
        <v>1.27</v>
      </c>
      <c r="Y37">
        <v>1.27</v>
      </c>
      <c r="Z37">
        <v>1.26</v>
      </c>
      <c r="AA37">
        <v>1.26</v>
      </c>
      <c r="AB37">
        <v>1.28</v>
      </c>
      <c r="AC37">
        <v>1.27</v>
      </c>
      <c r="AD37">
        <v>1.26</v>
      </c>
      <c r="AE37">
        <v>1.3</v>
      </c>
      <c r="AF37">
        <v>1.28</v>
      </c>
      <c r="AG37">
        <v>1.26</v>
      </c>
      <c r="AH37">
        <v>1.28</v>
      </c>
      <c r="AI37">
        <v>1.28</v>
      </c>
      <c r="AJ37" t="s">
        <v>139</v>
      </c>
      <c r="AK37" t="s">
        <v>139</v>
      </c>
      <c r="AL37" t="s">
        <v>139</v>
      </c>
    </row>
    <row r="38" spans="1:38" ht="12.75">
      <c r="A38" s="1">
        <f>AVERAGE(C38:AJ38)</f>
        <v>1.262058823529412</v>
      </c>
      <c r="B38" t="s">
        <v>132</v>
      </c>
      <c r="C38">
        <v>1.28</v>
      </c>
      <c r="D38">
        <v>1.25</v>
      </c>
      <c r="E38">
        <v>1.26</v>
      </c>
      <c r="F38">
        <v>1.26</v>
      </c>
      <c r="G38">
        <v>1.27</v>
      </c>
      <c r="H38">
        <v>1.25</v>
      </c>
      <c r="I38">
        <v>1.27</v>
      </c>
      <c r="J38">
        <v>1.25</v>
      </c>
      <c r="K38">
        <v>1.25</v>
      </c>
      <c r="L38">
        <v>1.24</v>
      </c>
      <c r="M38">
        <v>1.25</v>
      </c>
      <c r="N38">
        <v>1.25</v>
      </c>
      <c r="O38">
        <v>1.26</v>
      </c>
      <c r="P38">
        <v>1.25</v>
      </c>
      <c r="Q38">
        <v>1.26</v>
      </c>
      <c r="R38">
        <v>1.27</v>
      </c>
      <c r="S38">
        <v>1.27</v>
      </c>
      <c r="T38">
        <v>1.26</v>
      </c>
      <c r="U38">
        <v>1.25</v>
      </c>
      <c r="V38">
        <v>1.25</v>
      </c>
      <c r="W38">
        <v>1.27</v>
      </c>
      <c r="X38">
        <v>1.26</v>
      </c>
      <c r="Y38">
        <v>1.26</v>
      </c>
      <c r="Z38">
        <v>1.28</v>
      </c>
      <c r="AA38">
        <v>1.26</v>
      </c>
      <c r="AB38">
        <v>1.25</v>
      </c>
      <c r="AC38">
        <v>1.26</v>
      </c>
      <c r="AD38">
        <v>1.27</v>
      </c>
      <c r="AE38">
        <v>1.29</v>
      </c>
      <c r="AF38">
        <v>1.29</v>
      </c>
      <c r="AG38">
        <v>1.26</v>
      </c>
      <c r="AH38">
        <v>1.26</v>
      </c>
      <c r="AI38">
        <v>1.28</v>
      </c>
      <c r="AJ38">
        <v>1.27</v>
      </c>
      <c r="AK38" t="s">
        <v>139</v>
      </c>
      <c r="AL38" t="s">
        <v>139</v>
      </c>
    </row>
    <row r="39" spans="1:38" ht="12.75">
      <c r="A39" s="1">
        <f>AVERAGE(C39:AK39)</f>
        <v>1.2817142857142858</v>
      </c>
      <c r="B39" t="s">
        <v>133</v>
      </c>
      <c r="C39">
        <v>1.32</v>
      </c>
      <c r="D39">
        <v>1.29</v>
      </c>
      <c r="E39">
        <v>1.29</v>
      </c>
      <c r="F39">
        <v>1.3</v>
      </c>
      <c r="G39">
        <v>1.27</v>
      </c>
      <c r="H39">
        <v>1.29</v>
      </c>
      <c r="I39">
        <v>1.27</v>
      </c>
      <c r="J39">
        <v>1.28</v>
      </c>
      <c r="K39">
        <v>1.29</v>
      </c>
      <c r="L39">
        <v>1.29</v>
      </c>
      <c r="M39">
        <v>1.27</v>
      </c>
      <c r="N39">
        <v>1.28</v>
      </c>
      <c r="O39">
        <v>1.27</v>
      </c>
      <c r="P39">
        <v>1.28</v>
      </c>
      <c r="Q39">
        <v>1.28</v>
      </c>
      <c r="R39">
        <v>1.31</v>
      </c>
      <c r="S39">
        <v>1.26</v>
      </c>
      <c r="T39">
        <v>1.27</v>
      </c>
      <c r="U39">
        <v>1.25</v>
      </c>
      <c r="V39">
        <v>1.26</v>
      </c>
      <c r="W39">
        <v>1.29</v>
      </c>
      <c r="X39">
        <v>1.26</v>
      </c>
      <c r="Y39">
        <v>1.29</v>
      </c>
      <c r="Z39">
        <v>1.29</v>
      </c>
      <c r="AA39">
        <v>1.26</v>
      </c>
      <c r="AB39">
        <v>1.26</v>
      </c>
      <c r="AC39">
        <v>1.27</v>
      </c>
      <c r="AD39">
        <v>1.29</v>
      </c>
      <c r="AE39">
        <v>1.3</v>
      </c>
      <c r="AF39">
        <v>1.31</v>
      </c>
      <c r="AG39">
        <v>1.29</v>
      </c>
      <c r="AH39">
        <v>1.28</v>
      </c>
      <c r="AI39">
        <v>1.29</v>
      </c>
      <c r="AJ39">
        <v>1.27</v>
      </c>
      <c r="AK39">
        <v>1.29</v>
      </c>
      <c r="AL39" t="s">
        <v>139</v>
      </c>
    </row>
    <row r="40" spans="1:38" ht="12.75">
      <c r="A40" s="1">
        <f aca="true" t="shared" si="0" ref="A40:A59">AVERAGE(C40:AL40)</f>
        <v>1.286666666666667</v>
      </c>
      <c r="B40" t="s">
        <v>134</v>
      </c>
      <c r="C40">
        <v>1.37</v>
      </c>
      <c r="D40">
        <v>1.32</v>
      </c>
      <c r="E40">
        <v>1.31</v>
      </c>
      <c r="F40">
        <v>1.31</v>
      </c>
      <c r="G40">
        <v>1.31</v>
      </c>
      <c r="H40">
        <v>1.28</v>
      </c>
      <c r="I40">
        <v>1.29</v>
      </c>
      <c r="J40">
        <v>1.29</v>
      </c>
      <c r="K40">
        <v>1.29</v>
      </c>
      <c r="L40">
        <v>1.29</v>
      </c>
      <c r="M40">
        <v>1.3</v>
      </c>
      <c r="N40">
        <v>1.29</v>
      </c>
      <c r="O40">
        <v>1.28</v>
      </c>
      <c r="P40">
        <v>1.29</v>
      </c>
      <c r="Q40">
        <v>1.3</v>
      </c>
      <c r="R40">
        <v>1.3</v>
      </c>
      <c r="S40">
        <v>1.28</v>
      </c>
      <c r="T40">
        <v>1.29</v>
      </c>
      <c r="U40">
        <v>1.26</v>
      </c>
      <c r="V40">
        <v>1.28</v>
      </c>
      <c r="W40">
        <v>1.29</v>
      </c>
      <c r="X40">
        <v>1.27</v>
      </c>
      <c r="Y40">
        <v>1.27</v>
      </c>
      <c r="Z40">
        <v>1.28</v>
      </c>
      <c r="AA40">
        <v>1.25</v>
      </c>
      <c r="AB40">
        <v>1.26</v>
      </c>
      <c r="AC40">
        <v>1.25</v>
      </c>
      <c r="AD40">
        <v>1.28</v>
      </c>
      <c r="AE40">
        <v>1.28</v>
      </c>
      <c r="AF40">
        <v>1.27</v>
      </c>
      <c r="AG40">
        <v>1.28</v>
      </c>
      <c r="AH40">
        <v>1.28</v>
      </c>
      <c r="AI40">
        <v>1.28</v>
      </c>
      <c r="AJ40">
        <v>1.28</v>
      </c>
      <c r="AK40">
        <v>1.28</v>
      </c>
      <c r="AL40">
        <v>1.29</v>
      </c>
    </row>
    <row r="41" spans="1:38" ht="12.75">
      <c r="A41" s="1">
        <f t="shared" si="0"/>
        <v>1.2775000000000003</v>
      </c>
      <c r="B41" t="s">
        <v>135</v>
      </c>
      <c r="C41">
        <v>1.35</v>
      </c>
      <c r="D41">
        <v>1.32</v>
      </c>
      <c r="E41">
        <v>1.28</v>
      </c>
      <c r="F41">
        <v>1.28</v>
      </c>
      <c r="G41">
        <v>1.28</v>
      </c>
      <c r="H41">
        <v>1.28</v>
      </c>
      <c r="I41">
        <v>1.29</v>
      </c>
      <c r="J41">
        <v>1.27</v>
      </c>
      <c r="K41">
        <v>1.27</v>
      </c>
      <c r="L41">
        <v>1.28</v>
      </c>
      <c r="M41">
        <v>1.27</v>
      </c>
      <c r="N41">
        <v>1.26</v>
      </c>
      <c r="O41">
        <v>1.29</v>
      </c>
      <c r="P41">
        <v>1.28</v>
      </c>
      <c r="Q41">
        <v>1.28</v>
      </c>
      <c r="R41">
        <v>1.29</v>
      </c>
      <c r="S41">
        <v>1.27</v>
      </c>
      <c r="T41">
        <v>1.28</v>
      </c>
      <c r="U41">
        <v>1.25</v>
      </c>
      <c r="V41">
        <v>1.26</v>
      </c>
      <c r="W41">
        <v>1.28</v>
      </c>
      <c r="X41">
        <v>1.27</v>
      </c>
      <c r="Y41">
        <v>1.26</v>
      </c>
      <c r="Z41">
        <v>1.27</v>
      </c>
      <c r="AA41">
        <v>1.25</v>
      </c>
      <c r="AB41">
        <v>1.26</v>
      </c>
      <c r="AC41">
        <v>1.26</v>
      </c>
      <c r="AD41">
        <v>1.27</v>
      </c>
      <c r="AE41">
        <v>1.28</v>
      </c>
      <c r="AF41">
        <v>1.29</v>
      </c>
      <c r="AG41">
        <v>1.27</v>
      </c>
      <c r="AH41">
        <v>1.25</v>
      </c>
      <c r="AI41">
        <v>1.28</v>
      </c>
      <c r="AJ41">
        <v>1.29</v>
      </c>
      <c r="AK41">
        <v>1.28</v>
      </c>
      <c r="AL41">
        <v>1.3</v>
      </c>
    </row>
    <row r="42" spans="1:38" ht="12.75">
      <c r="A42" s="1">
        <f t="shared" si="0"/>
        <v>1.2866666666666666</v>
      </c>
      <c r="B42" t="s">
        <v>42</v>
      </c>
      <c r="C42">
        <v>1.35</v>
      </c>
      <c r="D42">
        <v>1.34</v>
      </c>
      <c r="E42">
        <v>1.3</v>
      </c>
      <c r="F42">
        <v>1.29</v>
      </c>
      <c r="G42">
        <v>1.31</v>
      </c>
      <c r="H42">
        <v>1.28</v>
      </c>
      <c r="I42">
        <v>1.27</v>
      </c>
      <c r="J42">
        <v>1.27</v>
      </c>
      <c r="K42">
        <v>1.28</v>
      </c>
      <c r="L42">
        <v>1.29</v>
      </c>
      <c r="M42">
        <v>1.29</v>
      </c>
      <c r="N42">
        <v>1.28</v>
      </c>
      <c r="O42">
        <v>1.29</v>
      </c>
      <c r="P42">
        <v>1.29</v>
      </c>
      <c r="Q42">
        <v>1.29</v>
      </c>
      <c r="R42">
        <v>1.29</v>
      </c>
      <c r="S42">
        <v>1.27</v>
      </c>
      <c r="T42">
        <v>1.26</v>
      </c>
      <c r="U42">
        <v>1.26</v>
      </c>
      <c r="V42">
        <v>1.26</v>
      </c>
      <c r="W42">
        <v>1.3</v>
      </c>
      <c r="X42">
        <v>1.28</v>
      </c>
      <c r="Y42">
        <v>1.28</v>
      </c>
      <c r="Z42">
        <v>1.29</v>
      </c>
      <c r="AA42">
        <v>1.28</v>
      </c>
      <c r="AB42">
        <v>1.26</v>
      </c>
      <c r="AC42">
        <v>1.28</v>
      </c>
      <c r="AD42">
        <v>1.29</v>
      </c>
      <c r="AE42">
        <v>1.3</v>
      </c>
      <c r="AF42">
        <v>1.28</v>
      </c>
      <c r="AG42">
        <v>1.28</v>
      </c>
      <c r="AH42">
        <v>1.29</v>
      </c>
      <c r="AI42">
        <v>1.3</v>
      </c>
      <c r="AJ42">
        <v>1.29</v>
      </c>
      <c r="AK42">
        <v>1.28</v>
      </c>
      <c r="AL42">
        <v>1.28</v>
      </c>
    </row>
    <row r="43" spans="1:38" ht="12.75">
      <c r="A43" s="1">
        <f t="shared" si="0"/>
        <v>1.2858333333333336</v>
      </c>
      <c r="B43" t="s">
        <v>43</v>
      </c>
      <c r="C43">
        <v>1.37</v>
      </c>
      <c r="D43">
        <v>1.33</v>
      </c>
      <c r="E43">
        <v>1.31</v>
      </c>
      <c r="F43">
        <v>1.32</v>
      </c>
      <c r="G43">
        <v>1.31</v>
      </c>
      <c r="H43">
        <v>1.3</v>
      </c>
      <c r="I43">
        <v>1.31</v>
      </c>
      <c r="J43">
        <v>1.3</v>
      </c>
      <c r="K43">
        <v>1.3</v>
      </c>
      <c r="L43">
        <v>1.29</v>
      </c>
      <c r="M43">
        <v>1.28</v>
      </c>
      <c r="N43">
        <v>1.28</v>
      </c>
      <c r="O43">
        <v>1.29</v>
      </c>
      <c r="P43">
        <v>1.27</v>
      </c>
      <c r="Q43">
        <v>1.29</v>
      </c>
      <c r="R43">
        <v>1.29</v>
      </c>
      <c r="S43">
        <v>1.26</v>
      </c>
      <c r="T43">
        <v>1.26</v>
      </c>
      <c r="U43">
        <v>1.25</v>
      </c>
      <c r="V43">
        <v>1.27</v>
      </c>
      <c r="W43">
        <v>1.28</v>
      </c>
      <c r="X43">
        <v>1.26</v>
      </c>
      <c r="Y43">
        <v>1.24</v>
      </c>
      <c r="Z43">
        <v>1.26</v>
      </c>
      <c r="AA43">
        <v>1.25</v>
      </c>
      <c r="AB43">
        <v>1.26</v>
      </c>
      <c r="AC43">
        <v>1.27</v>
      </c>
      <c r="AD43">
        <v>1.27</v>
      </c>
      <c r="AE43">
        <v>1.31</v>
      </c>
      <c r="AF43">
        <v>1.29</v>
      </c>
      <c r="AG43">
        <v>1.28</v>
      </c>
      <c r="AH43">
        <v>1.27</v>
      </c>
      <c r="AI43">
        <v>1.29</v>
      </c>
      <c r="AJ43">
        <v>1.28</v>
      </c>
      <c r="AK43">
        <v>1.3</v>
      </c>
      <c r="AL43">
        <v>1.3</v>
      </c>
    </row>
    <row r="44" spans="1:38" ht="12.75">
      <c r="A44" s="1">
        <f t="shared" si="0"/>
        <v>1.2755555555555558</v>
      </c>
      <c r="B44" t="s">
        <v>44</v>
      </c>
      <c r="C44">
        <v>1.35</v>
      </c>
      <c r="D44">
        <v>1.33</v>
      </c>
      <c r="E44">
        <v>1.29</v>
      </c>
      <c r="F44">
        <v>1.3</v>
      </c>
      <c r="G44">
        <v>1.28</v>
      </c>
      <c r="H44">
        <v>1.27</v>
      </c>
      <c r="I44">
        <v>1.3</v>
      </c>
      <c r="J44">
        <v>1.28</v>
      </c>
      <c r="K44">
        <v>1.26</v>
      </c>
      <c r="L44">
        <v>1.27</v>
      </c>
      <c r="M44">
        <v>1.25</v>
      </c>
      <c r="N44">
        <v>1.26</v>
      </c>
      <c r="O44">
        <v>1.3</v>
      </c>
      <c r="P44">
        <v>1.29</v>
      </c>
      <c r="Q44">
        <v>1.26</v>
      </c>
      <c r="R44">
        <v>1.29</v>
      </c>
      <c r="S44">
        <v>1.25</v>
      </c>
      <c r="T44">
        <v>1.27</v>
      </c>
      <c r="U44">
        <v>1.24</v>
      </c>
      <c r="V44">
        <v>1.26</v>
      </c>
      <c r="W44">
        <v>1.27</v>
      </c>
      <c r="X44">
        <v>1.25</v>
      </c>
      <c r="Y44">
        <v>1.27</v>
      </c>
      <c r="Z44">
        <v>1.27</v>
      </c>
      <c r="AA44">
        <v>1.25</v>
      </c>
      <c r="AB44">
        <v>1.27</v>
      </c>
      <c r="AC44">
        <v>1.25</v>
      </c>
      <c r="AD44">
        <v>1.26</v>
      </c>
      <c r="AE44">
        <v>1.29</v>
      </c>
      <c r="AF44">
        <v>1.29</v>
      </c>
      <c r="AG44">
        <v>1.28</v>
      </c>
      <c r="AH44">
        <v>1.27</v>
      </c>
      <c r="AI44">
        <v>1.27</v>
      </c>
      <c r="AJ44">
        <v>1.28</v>
      </c>
      <c r="AK44">
        <v>1.27</v>
      </c>
      <c r="AL44">
        <v>1.28</v>
      </c>
    </row>
    <row r="45" spans="1:38" ht="12.75">
      <c r="A45" s="1">
        <f t="shared" si="0"/>
        <v>1.2675000000000005</v>
      </c>
      <c r="B45" t="s">
        <v>45</v>
      </c>
      <c r="C45">
        <v>1.33</v>
      </c>
      <c r="D45">
        <v>1.3</v>
      </c>
      <c r="E45">
        <v>1.27</v>
      </c>
      <c r="F45">
        <v>1.27</v>
      </c>
      <c r="G45">
        <v>1.28</v>
      </c>
      <c r="H45">
        <v>1.26</v>
      </c>
      <c r="I45">
        <v>1.25</v>
      </c>
      <c r="J45">
        <v>1.28</v>
      </c>
      <c r="K45">
        <v>1.25</v>
      </c>
      <c r="L45">
        <v>1.25</v>
      </c>
      <c r="M45">
        <v>1.26</v>
      </c>
      <c r="N45">
        <v>1.25</v>
      </c>
      <c r="O45">
        <v>1.26</v>
      </c>
      <c r="P45">
        <v>1.27</v>
      </c>
      <c r="Q45">
        <v>1.28</v>
      </c>
      <c r="R45">
        <v>1.28</v>
      </c>
      <c r="S45">
        <v>1.24</v>
      </c>
      <c r="T45">
        <v>1.25</v>
      </c>
      <c r="U45">
        <v>1.23</v>
      </c>
      <c r="V45">
        <v>1.25</v>
      </c>
      <c r="W45">
        <v>1.27</v>
      </c>
      <c r="X45">
        <v>1.24</v>
      </c>
      <c r="Y45">
        <v>1.26</v>
      </c>
      <c r="Z45">
        <v>1.26</v>
      </c>
      <c r="AA45">
        <v>1.26</v>
      </c>
      <c r="AB45">
        <v>1.27</v>
      </c>
      <c r="AC45">
        <v>1.27</v>
      </c>
      <c r="AD45">
        <v>1.28</v>
      </c>
      <c r="AE45">
        <v>1.28</v>
      </c>
      <c r="AF45">
        <v>1.3</v>
      </c>
      <c r="AG45">
        <v>1.27</v>
      </c>
      <c r="AH45">
        <v>1.27</v>
      </c>
      <c r="AI45">
        <v>1.27</v>
      </c>
      <c r="AJ45">
        <v>1.28</v>
      </c>
      <c r="AK45">
        <v>1.28</v>
      </c>
      <c r="AL45">
        <v>1.26</v>
      </c>
    </row>
    <row r="46" spans="1:38" ht="12.75">
      <c r="A46" s="1">
        <f t="shared" si="0"/>
        <v>0</v>
      </c>
      <c r="B46" t="s">
        <v>46</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row>
    <row r="47" spans="1:38" ht="12.75">
      <c r="A47" s="1">
        <f t="shared" si="0"/>
        <v>1.2730555555555556</v>
      </c>
      <c r="B47" t="s">
        <v>47</v>
      </c>
      <c r="C47">
        <v>1.35</v>
      </c>
      <c r="D47">
        <v>1.31</v>
      </c>
      <c r="E47">
        <v>1.29</v>
      </c>
      <c r="F47">
        <v>1.3</v>
      </c>
      <c r="G47">
        <v>1.28</v>
      </c>
      <c r="H47">
        <v>1.27</v>
      </c>
      <c r="I47">
        <v>1.26</v>
      </c>
      <c r="J47">
        <v>1.26</v>
      </c>
      <c r="K47">
        <v>1.27</v>
      </c>
      <c r="L47">
        <v>1.26</v>
      </c>
      <c r="M47">
        <v>1.26</v>
      </c>
      <c r="N47">
        <v>1.27</v>
      </c>
      <c r="O47">
        <v>1.29</v>
      </c>
      <c r="P47">
        <v>1.28</v>
      </c>
      <c r="Q47">
        <v>1.28</v>
      </c>
      <c r="R47">
        <v>1.3</v>
      </c>
      <c r="S47">
        <v>1.26</v>
      </c>
      <c r="T47">
        <v>1.27</v>
      </c>
      <c r="U47">
        <v>1.24</v>
      </c>
      <c r="V47">
        <v>1.27</v>
      </c>
      <c r="W47">
        <v>1.27</v>
      </c>
      <c r="X47">
        <v>1.26</v>
      </c>
      <c r="Y47">
        <v>1.25</v>
      </c>
      <c r="Z47">
        <v>1.27</v>
      </c>
      <c r="AA47">
        <v>1.26</v>
      </c>
      <c r="AB47">
        <v>1.27</v>
      </c>
      <c r="AC47">
        <v>1.28</v>
      </c>
      <c r="AD47">
        <v>1.27</v>
      </c>
      <c r="AE47">
        <v>1.3</v>
      </c>
      <c r="AF47">
        <v>1.27</v>
      </c>
      <c r="AG47">
        <v>1.26</v>
      </c>
      <c r="AH47">
        <v>1.26</v>
      </c>
      <c r="AI47">
        <v>1.25</v>
      </c>
      <c r="AJ47">
        <v>1.26</v>
      </c>
      <c r="AK47">
        <v>1.25</v>
      </c>
      <c r="AL47">
        <v>1.28</v>
      </c>
    </row>
    <row r="48" spans="1:38" ht="12.75">
      <c r="A48" s="1">
        <f t="shared" si="0"/>
        <v>1.2669444444444447</v>
      </c>
      <c r="B48" t="s">
        <v>48</v>
      </c>
      <c r="C48">
        <v>1.34</v>
      </c>
      <c r="D48">
        <v>1.3</v>
      </c>
      <c r="E48">
        <v>1.28</v>
      </c>
      <c r="F48">
        <v>1.29</v>
      </c>
      <c r="G48">
        <v>1.28</v>
      </c>
      <c r="H48">
        <v>1.26</v>
      </c>
      <c r="I48">
        <v>1.28</v>
      </c>
      <c r="J48">
        <v>1.26</v>
      </c>
      <c r="K48">
        <v>1.27</v>
      </c>
      <c r="L48">
        <v>1.27</v>
      </c>
      <c r="M48">
        <v>1.27</v>
      </c>
      <c r="N48">
        <v>1.26</v>
      </c>
      <c r="O48">
        <v>1.28</v>
      </c>
      <c r="P48">
        <v>1.27</v>
      </c>
      <c r="Q48">
        <v>1.27</v>
      </c>
      <c r="R48">
        <v>1.28</v>
      </c>
      <c r="S48">
        <v>1.26</v>
      </c>
      <c r="T48">
        <v>1.26</v>
      </c>
      <c r="U48">
        <v>1.25</v>
      </c>
      <c r="V48">
        <v>1.26</v>
      </c>
      <c r="W48">
        <v>1.26</v>
      </c>
      <c r="X48">
        <v>1.26</v>
      </c>
      <c r="Y48">
        <v>1.25</v>
      </c>
      <c r="Z48">
        <v>1.26</v>
      </c>
      <c r="AA48">
        <v>1.25</v>
      </c>
      <c r="AB48">
        <v>1.26</v>
      </c>
      <c r="AC48">
        <v>1.27</v>
      </c>
      <c r="AD48">
        <v>1.25</v>
      </c>
      <c r="AE48">
        <v>1.26</v>
      </c>
      <c r="AF48">
        <v>1.27</v>
      </c>
      <c r="AG48">
        <v>1.25</v>
      </c>
      <c r="AH48">
        <v>1.24</v>
      </c>
      <c r="AI48">
        <v>1.26</v>
      </c>
      <c r="AJ48">
        <v>1.26</v>
      </c>
      <c r="AK48">
        <v>1.26</v>
      </c>
      <c r="AL48">
        <v>1.26</v>
      </c>
    </row>
    <row r="49" spans="1:38" ht="12.75">
      <c r="A49" s="1">
        <f t="shared" si="0"/>
        <v>1.2672222222222222</v>
      </c>
      <c r="B49" t="s">
        <v>49</v>
      </c>
      <c r="C49">
        <v>1.36</v>
      </c>
      <c r="D49">
        <v>1.3</v>
      </c>
      <c r="E49">
        <v>1.26</v>
      </c>
      <c r="F49">
        <v>1.27</v>
      </c>
      <c r="G49">
        <v>1.26</v>
      </c>
      <c r="H49">
        <v>1.25</v>
      </c>
      <c r="I49">
        <v>1.25</v>
      </c>
      <c r="J49">
        <v>1.24</v>
      </c>
      <c r="K49">
        <v>1.24</v>
      </c>
      <c r="L49">
        <v>1.24</v>
      </c>
      <c r="M49">
        <v>1.25</v>
      </c>
      <c r="N49">
        <v>1.25</v>
      </c>
      <c r="O49">
        <v>1.27</v>
      </c>
      <c r="P49">
        <v>1.26</v>
      </c>
      <c r="Q49">
        <v>1.27</v>
      </c>
      <c r="R49">
        <v>1.28</v>
      </c>
      <c r="S49">
        <v>1.25</v>
      </c>
      <c r="T49">
        <v>1.24</v>
      </c>
      <c r="U49">
        <v>1.24</v>
      </c>
      <c r="V49">
        <v>1.26</v>
      </c>
      <c r="W49">
        <v>1.24</v>
      </c>
      <c r="X49">
        <v>1.26</v>
      </c>
      <c r="Y49">
        <v>1.25</v>
      </c>
      <c r="Z49">
        <v>1.27</v>
      </c>
      <c r="AA49">
        <v>1.3</v>
      </c>
      <c r="AB49">
        <v>1.32</v>
      </c>
      <c r="AC49">
        <v>1.3</v>
      </c>
      <c r="AD49">
        <v>1.29</v>
      </c>
      <c r="AE49">
        <v>1.29</v>
      </c>
      <c r="AF49">
        <v>1.28</v>
      </c>
      <c r="AG49">
        <v>1.27</v>
      </c>
      <c r="AH49">
        <v>1.25</v>
      </c>
      <c r="AI49">
        <v>1.27</v>
      </c>
      <c r="AJ49">
        <v>1.26</v>
      </c>
      <c r="AK49">
        <v>1.26</v>
      </c>
      <c r="AL49">
        <v>1.27</v>
      </c>
    </row>
    <row r="50" spans="1:38" ht="12.75">
      <c r="A50" s="1">
        <f t="shared" si="0"/>
        <v>1.2855555555555556</v>
      </c>
      <c r="B50" t="s">
        <v>50</v>
      </c>
      <c r="C50">
        <v>1.36</v>
      </c>
      <c r="D50">
        <v>1.31</v>
      </c>
      <c r="E50">
        <v>1.29</v>
      </c>
      <c r="F50">
        <v>1.31</v>
      </c>
      <c r="G50">
        <v>1.28</v>
      </c>
      <c r="H50">
        <v>1.28</v>
      </c>
      <c r="I50">
        <v>1.27</v>
      </c>
      <c r="J50">
        <v>1.27</v>
      </c>
      <c r="K50">
        <v>1.27</v>
      </c>
      <c r="L50">
        <v>1.26</v>
      </c>
      <c r="M50">
        <v>1.28</v>
      </c>
      <c r="N50">
        <v>1.28</v>
      </c>
      <c r="O50">
        <v>1.3</v>
      </c>
      <c r="P50">
        <v>1.29</v>
      </c>
      <c r="Q50">
        <v>1.28</v>
      </c>
      <c r="R50">
        <v>1.3</v>
      </c>
      <c r="S50">
        <v>1.29</v>
      </c>
      <c r="T50">
        <v>1.27</v>
      </c>
      <c r="U50">
        <v>1.26</v>
      </c>
      <c r="V50">
        <v>1.27</v>
      </c>
      <c r="W50">
        <v>1.27</v>
      </c>
      <c r="X50">
        <v>1.26</v>
      </c>
      <c r="Y50">
        <v>1.28</v>
      </c>
      <c r="Z50">
        <v>1.27</v>
      </c>
      <c r="AA50">
        <v>1.34</v>
      </c>
      <c r="AB50">
        <v>1.33</v>
      </c>
      <c r="AC50">
        <v>1.3</v>
      </c>
      <c r="AD50">
        <v>1.3</v>
      </c>
      <c r="AE50">
        <v>1.3</v>
      </c>
      <c r="AF50">
        <v>1.28</v>
      </c>
      <c r="AG50">
        <v>1.27</v>
      </c>
      <c r="AH50">
        <v>1.26</v>
      </c>
      <c r="AI50">
        <v>1.28</v>
      </c>
      <c r="AJ50">
        <v>1.27</v>
      </c>
      <c r="AK50">
        <v>1.28</v>
      </c>
      <c r="AL50">
        <v>1.27</v>
      </c>
    </row>
    <row r="51" spans="1:38" ht="12.75">
      <c r="A51" s="1">
        <f t="shared" si="0"/>
        <v>1.2527777777777775</v>
      </c>
      <c r="B51" t="s">
        <v>51</v>
      </c>
      <c r="C51">
        <v>1.35</v>
      </c>
      <c r="D51">
        <v>1.3</v>
      </c>
      <c r="E51">
        <v>1.28</v>
      </c>
      <c r="F51">
        <v>1.27</v>
      </c>
      <c r="G51">
        <v>1.27</v>
      </c>
      <c r="H51">
        <v>1.25</v>
      </c>
      <c r="I51">
        <v>1.24</v>
      </c>
      <c r="J51">
        <v>1.26</v>
      </c>
      <c r="K51">
        <v>1.25</v>
      </c>
      <c r="L51">
        <v>1.26</v>
      </c>
      <c r="M51">
        <v>1.24</v>
      </c>
      <c r="N51">
        <v>1.25</v>
      </c>
      <c r="O51">
        <v>1.26</v>
      </c>
      <c r="P51">
        <v>1.26</v>
      </c>
      <c r="Q51">
        <v>1.26</v>
      </c>
      <c r="R51">
        <v>1.27</v>
      </c>
      <c r="S51">
        <v>1.23</v>
      </c>
      <c r="T51">
        <v>1.24</v>
      </c>
      <c r="U51">
        <v>1.22</v>
      </c>
      <c r="V51">
        <v>1.22</v>
      </c>
      <c r="W51">
        <v>1.23</v>
      </c>
      <c r="X51">
        <v>1.22</v>
      </c>
      <c r="Y51">
        <v>1.22</v>
      </c>
      <c r="Z51">
        <v>1.22</v>
      </c>
      <c r="AA51">
        <v>1.27</v>
      </c>
      <c r="AB51">
        <v>1.29</v>
      </c>
      <c r="AC51">
        <v>1.24</v>
      </c>
      <c r="AD51">
        <v>1.25</v>
      </c>
      <c r="AE51">
        <v>1.26</v>
      </c>
      <c r="AF51">
        <v>1.25</v>
      </c>
      <c r="AG51">
        <v>1.24</v>
      </c>
      <c r="AH51">
        <v>1.22</v>
      </c>
      <c r="AI51">
        <v>1.25</v>
      </c>
      <c r="AJ51">
        <v>1.26</v>
      </c>
      <c r="AK51">
        <v>1.26</v>
      </c>
      <c r="AL51">
        <v>1.24</v>
      </c>
    </row>
    <row r="52" spans="1:38" ht="12.75">
      <c r="A52" s="1">
        <f t="shared" si="0"/>
        <v>1.044722222222222</v>
      </c>
      <c r="B52" t="s">
        <v>52</v>
      </c>
      <c r="C52">
        <v>1.11</v>
      </c>
      <c r="D52">
        <v>1.06</v>
      </c>
      <c r="E52">
        <v>1.05</v>
      </c>
      <c r="F52">
        <v>1.05</v>
      </c>
      <c r="G52">
        <v>1.04</v>
      </c>
      <c r="H52">
        <v>1.05</v>
      </c>
      <c r="I52">
        <v>1.03</v>
      </c>
      <c r="J52">
        <v>1.04</v>
      </c>
      <c r="K52">
        <v>1.05</v>
      </c>
      <c r="L52">
        <v>1.03</v>
      </c>
      <c r="M52">
        <v>1.03</v>
      </c>
      <c r="N52">
        <v>1.03</v>
      </c>
      <c r="O52">
        <v>1.05</v>
      </c>
      <c r="P52">
        <v>1.04</v>
      </c>
      <c r="Q52">
        <v>1.04</v>
      </c>
      <c r="R52">
        <v>1.05</v>
      </c>
      <c r="S52">
        <v>1.05</v>
      </c>
      <c r="T52">
        <v>1.03</v>
      </c>
      <c r="U52">
        <v>1.02</v>
      </c>
      <c r="V52">
        <v>1.03</v>
      </c>
      <c r="W52">
        <v>1.04</v>
      </c>
      <c r="X52">
        <v>1.04</v>
      </c>
      <c r="Y52">
        <v>1.02</v>
      </c>
      <c r="Z52">
        <v>1.04</v>
      </c>
      <c r="AA52">
        <v>1.09</v>
      </c>
      <c r="AB52">
        <v>1.08</v>
      </c>
      <c r="AC52">
        <v>1.06</v>
      </c>
      <c r="AD52">
        <v>1.04</v>
      </c>
      <c r="AE52">
        <v>1.06</v>
      </c>
      <c r="AF52">
        <v>1.04</v>
      </c>
      <c r="AG52">
        <v>1.04</v>
      </c>
      <c r="AH52">
        <v>1.03</v>
      </c>
      <c r="AI52">
        <v>1.04</v>
      </c>
      <c r="AJ52">
        <v>1.04</v>
      </c>
      <c r="AK52">
        <v>1.03</v>
      </c>
      <c r="AL52">
        <v>1.04</v>
      </c>
    </row>
    <row r="53" spans="1:38" ht="12.75">
      <c r="A53" s="1">
        <f t="shared" si="0"/>
        <v>0.49416666666666664</v>
      </c>
      <c r="B53" t="s">
        <v>53</v>
      </c>
      <c r="C53">
        <v>0.52</v>
      </c>
      <c r="D53">
        <v>0.51</v>
      </c>
      <c r="E53">
        <v>0.5</v>
      </c>
      <c r="F53">
        <v>0.5</v>
      </c>
      <c r="G53">
        <v>0.5</v>
      </c>
      <c r="H53">
        <v>0.49</v>
      </c>
      <c r="I53">
        <v>0.49</v>
      </c>
      <c r="J53">
        <v>0.49</v>
      </c>
      <c r="K53">
        <v>0.49</v>
      </c>
      <c r="L53">
        <v>0.49</v>
      </c>
      <c r="M53">
        <v>0.49</v>
      </c>
      <c r="N53">
        <v>0.48</v>
      </c>
      <c r="O53">
        <v>0.5</v>
      </c>
      <c r="P53">
        <v>0.49</v>
      </c>
      <c r="Q53">
        <v>0.49</v>
      </c>
      <c r="R53">
        <v>0.5</v>
      </c>
      <c r="S53">
        <v>0.49</v>
      </c>
      <c r="T53">
        <v>0.5</v>
      </c>
      <c r="U53">
        <v>0.48</v>
      </c>
      <c r="V53">
        <v>0.49</v>
      </c>
      <c r="W53">
        <v>0.49</v>
      </c>
      <c r="X53">
        <v>0.48</v>
      </c>
      <c r="Y53">
        <v>0.49</v>
      </c>
      <c r="Z53">
        <v>0.49</v>
      </c>
      <c r="AA53">
        <v>0.51</v>
      </c>
      <c r="AB53">
        <v>0.52</v>
      </c>
      <c r="AC53">
        <v>0.5</v>
      </c>
      <c r="AD53">
        <v>0.5</v>
      </c>
      <c r="AE53">
        <v>0.49</v>
      </c>
      <c r="AF53">
        <v>0.49</v>
      </c>
      <c r="AG53">
        <v>0.48</v>
      </c>
      <c r="AH53">
        <v>0.5</v>
      </c>
      <c r="AI53">
        <v>0.49</v>
      </c>
      <c r="AJ53">
        <v>0.49</v>
      </c>
      <c r="AK53">
        <v>0.49</v>
      </c>
      <c r="AL53">
        <v>0.49</v>
      </c>
    </row>
    <row r="54" spans="1:38" ht="12.75">
      <c r="A54" s="1">
        <f t="shared" si="0"/>
        <v>0.4805555555555558</v>
      </c>
      <c r="B54" t="s">
        <v>54</v>
      </c>
      <c r="C54">
        <v>0.51</v>
      </c>
      <c r="D54">
        <v>0.49</v>
      </c>
      <c r="E54">
        <v>0.48</v>
      </c>
      <c r="F54">
        <v>0.49</v>
      </c>
      <c r="G54">
        <v>0.48</v>
      </c>
      <c r="H54">
        <v>0.48</v>
      </c>
      <c r="I54">
        <v>0.47</v>
      </c>
      <c r="J54">
        <v>0.47</v>
      </c>
      <c r="K54">
        <v>0.47</v>
      </c>
      <c r="L54">
        <v>0.48</v>
      </c>
      <c r="M54">
        <v>0.47</v>
      </c>
      <c r="N54">
        <v>0.47</v>
      </c>
      <c r="O54">
        <v>0.48</v>
      </c>
      <c r="P54">
        <v>0.48</v>
      </c>
      <c r="Q54">
        <v>0.48</v>
      </c>
      <c r="R54">
        <v>0.49</v>
      </c>
      <c r="S54">
        <v>0.47</v>
      </c>
      <c r="T54">
        <v>0.48</v>
      </c>
      <c r="U54">
        <v>0.47</v>
      </c>
      <c r="V54">
        <v>0.47</v>
      </c>
      <c r="W54">
        <v>0.47</v>
      </c>
      <c r="X54">
        <v>0.48</v>
      </c>
      <c r="Y54">
        <v>0.48</v>
      </c>
      <c r="Z54">
        <v>0.48</v>
      </c>
      <c r="AA54">
        <v>0.5</v>
      </c>
      <c r="AB54">
        <v>0.5</v>
      </c>
      <c r="AC54">
        <v>0.48</v>
      </c>
      <c r="AD54">
        <v>0.49</v>
      </c>
      <c r="AE54">
        <v>0.49</v>
      </c>
      <c r="AF54">
        <v>0.48</v>
      </c>
      <c r="AG54">
        <v>0.48</v>
      </c>
      <c r="AH54">
        <v>0.48</v>
      </c>
      <c r="AI54">
        <v>0.48</v>
      </c>
      <c r="AJ54">
        <v>0.47</v>
      </c>
      <c r="AK54">
        <v>0.48</v>
      </c>
      <c r="AL54">
        <v>0.48</v>
      </c>
    </row>
    <row r="55" spans="1:38" ht="12.75">
      <c r="A55" s="1">
        <f t="shared" si="0"/>
        <v>0.4580555555555556</v>
      </c>
      <c r="B55" t="s">
        <v>55</v>
      </c>
      <c r="C55">
        <v>0.48</v>
      </c>
      <c r="D55">
        <v>0.48</v>
      </c>
      <c r="E55">
        <v>0.47</v>
      </c>
      <c r="F55">
        <v>0.47</v>
      </c>
      <c r="G55">
        <v>0.46</v>
      </c>
      <c r="H55">
        <v>0.46</v>
      </c>
      <c r="I55">
        <v>0.46</v>
      </c>
      <c r="J55">
        <v>0.45</v>
      </c>
      <c r="K55">
        <v>0.45</v>
      </c>
      <c r="L55">
        <v>0.46</v>
      </c>
      <c r="M55">
        <v>0.45</v>
      </c>
      <c r="N55">
        <v>0.45</v>
      </c>
      <c r="O55">
        <v>0.46</v>
      </c>
      <c r="P55">
        <v>0.46</v>
      </c>
      <c r="Q55">
        <v>0.46</v>
      </c>
      <c r="R55">
        <v>0.46</v>
      </c>
      <c r="S55">
        <v>0.45</v>
      </c>
      <c r="T55">
        <v>0.46</v>
      </c>
      <c r="U55">
        <v>0.45</v>
      </c>
      <c r="V55">
        <v>0.45</v>
      </c>
      <c r="W55">
        <v>0.45</v>
      </c>
      <c r="X55">
        <v>0.45</v>
      </c>
      <c r="Y55">
        <v>0.45</v>
      </c>
      <c r="Z55">
        <v>0.45</v>
      </c>
      <c r="AA55">
        <v>0.46</v>
      </c>
      <c r="AB55">
        <v>0.47</v>
      </c>
      <c r="AC55">
        <v>0.46</v>
      </c>
      <c r="AD55">
        <v>0.46</v>
      </c>
      <c r="AE55">
        <v>0.45</v>
      </c>
      <c r="AF55">
        <v>0.46</v>
      </c>
      <c r="AG55">
        <v>0.46</v>
      </c>
      <c r="AH55">
        <v>0.45</v>
      </c>
      <c r="AI55">
        <v>0.45</v>
      </c>
      <c r="AJ55">
        <v>0.46</v>
      </c>
      <c r="AK55">
        <v>0.46</v>
      </c>
      <c r="AL55">
        <v>0.46</v>
      </c>
    </row>
    <row r="56" spans="1:38" ht="12.75">
      <c r="A56" s="1">
        <f t="shared" si="0"/>
        <v>0.45111111111111096</v>
      </c>
      <c r="B56" t="s">
        <v>136</v>
      </c>
      <c r="C56">
        <v>0.48</v>
      </c>
      <c r="D56">
        <v>0.46</v>
      </c>
      <c r="E56">
        <v>0.45</v>
      </c>
      <c r="F56">
        <v>0.45</v>
      </c>
      <c r="G56">
        <v>0.44</v>
      </c>
      <c r="H56">
        <v>0.45</v>
      </c>
      <c r="I56">
        <v>0.45</v>
      </c>
      <c r="J56">
        <v>0.44</v>
      </c>
      <c r="K56">
        <v>0.44</v>
      </c>
      <c r="L56">
        <v>0.44</v>
      </c>
      <c r="M56">
        <v>0.45</v>
      </c>
      <c r="N56">
        <v>0.45</v>
      </c>
      <c r="O56">
        <v>0.46</v>
      </c>
      <c r="P56">
        <v>0.46</v>
      </c>
      <c r="Q56">
        <v>0.45</v>
      </c>
      <c r="R56">
        <v>0.45</v>
      </c>
      <c r="S56">
        <v>0.44</v>
      </c>
      <c r="T56">
        <v>0.45</v>
      </c>
      <c r="U56">
        <v>0.45</v>
      </c>
      <c r="V56">
        <v>0.45</v>
      </c>
      <c r="W56">
        <v>0.45</v>
      </c>
      <c r="X56">
        <v>0.45</v>
      </c>
      <c r="Y56">
        <v>0.45</v>
      </c>
      <c r="Z56">
        <v>0.45</v>
      </c>
      <c r="AA56">
        <v>0.46</v>
      </c>
      <c r="AB56">
        <v>0.46</v>
      </c>
      <c r="AC56">
        <v>0.46</v>
      </c>
      <c r="AD56">
        <v>0.46</v>
      </c>
      <c r="AE56">
        <v>0.45</v>
      </c>
      <c r="AF56">
        <v>0.45</v>
      </c>
      <c r="AG56">
        <v>0.45</v>
      </c>
      <c r="AH56">
        <v>0.45</v>
      </c>
      <c r="AI56">
        <v>0.44</v>
      </c>
      <c r="AJ56">
        <v>0.45</v>
      </c>
      <c r="AK56">
        <v>0.45</v>
      </c>
      <c r="AL56">
        <v>0.45</v>
      </c>
    </row>
    <row r="57" spans="1:38" ht="12.75">
      <c r="A57" s="1">
        <f t="shared" si="0"/>
        <v>0.5558333333333335</v>
      </c>
      <c r="B57" t="s">
        <v>57</v>
      </c>
      <c r="C57">
        <v>0.56</v>
      </c>
      <c r="D57">
        <v>0.58</v>
      </c>
      <c r="E57">
        <v>0.57</v>
      </c>
      <c r="F57">
        <v>0.56</v>
      </c>
      <c r="G57">
        <v>0.56</v>
      </c>
      <c r="H57">
        <v>0.56</v>
      </c>
      <c r="I57">
        <v>0.55</v>
      </c>
      <c r="J57">
        <v>0.54</v>
      </c>
      <c r="K57">
        <v>0.55</v>
      </c>
      <c r="L57">
        <v>0.54</v>
      </c>
      <c r="M57">
        <v>0.55</v>
      </c>
      <c r="N57">
        <v>0.55</v>
      </c>
      <c r="O57">
        <v>0.55</v>
      </c>
      <c r="P57">
        <v>0.57</v>
      </c>
      <c r="Q57">
        <v>0.56</v>
      </c>
      <c r="R57">
        <v>0.56</v>
      </c>
      <c r="S57">
        <v>0.55</v>
      </c>
      <c r="T57">
        <v>0.55</v>
      </c>
      <c r="U57">
        <v>0.55</v>
      </c>
      <c r="V57">
        <v>0.55</v>
      </c>
      <c r="W57">
        <v>0.55</v>
      </c>
      <c r="X57">
        <v>0.55</v>
      </c>
      <c r="Y57">
        <v>0.55</v>
      </c>
      <c r="Z57">
        <v>0.55</v>
      </c>
      <c r="AA57">
        <v>0.56</v>
      </c>
      <c r="AB57">
        <v>0.58</v>
      </c>
      <c r="AC57">
        <v>0.56</v>
      </c>
      <c r="AD57">
        <v>0.56</v>
      </c>
      <c r="AE57">
        <v>0.56</v>
      </c>
      <c r="AF57">
        <v>0.56</v>
      </c>
      <c r="AG57">
        <v>0.55</v>
      </c>
      <c r="AH57">
        <v>0.56</v>
      </c>
      <c r="AI57">
        <v>0.55</v>
      </c>
      <c r="AJ57">
        <v>0.55</v>
      </c>
      <c r="AK57">
        <v>0.56</v>
      </c>
      <c r="AL57">
        <v>0.55</v>
      </c>
    </row>
    <row r="58" spans="1:38" ht="12.75">
      <c r="A58" s="1">
        <f t="shared" si="0"/>
        <v>0.5630555555555555</v>
      </c>
      <c r="B58" t="s">
        <v>58</v>
      </c>
      <c r="C58">
        <v>0.56</v>
      </c>
      <c r="D58">
        <v>0.59</v>
      </c>
      <c r="E58">
        <v>0.57</v>
      </c>
      <c r="F58">
        <v>0.56</v>
      </c>
      <c r="G58">
        <v>0.56</v>
      </c>
      <c r="H58">
        <v>0.56</v>
      </c>
      <c r="I58">
        <v>0.57</v>
      </c>
      <c r="J58">
        <v>0.56</v>
      </c>
      <c r="K58">
        <v>0.55</v>
      </c>
      <c r="L58">
        <v>0.56</v>
      </c>
      <c r="M58">
        <v>0.56</v>
      </c>
      <c r="N58">
        <v>0.55</v>
      </c>
      <c r="O58">
        <v>0.55</v>
      </c>
      <c r="P58">
        <v>0.59</v>
      </c>
      <c r="Q58">
        <v>0.57</v>
      </c>
      <c r="R58">
        <v>0.55</v>
      </c>
      <c r="S58">
        <v>0.56</v>
      </c>
      <c r="T58">
        <v>0.57</v>
      </c>
      <c r="U58">
        <v>0.56</v>
      </c>
      <c r="V58">
        <v>0.56</v>
      </c>
      <c r="W58">
        <v>0.56</v>
      </c>
      <c r="X58">
        <v>0.56</v>
      </c>
      <c r="Y58">
        <v>0.56</v>
      </c>
      <c r="Z58">
        <v>0.55</v>
      </c>
      <c r="AA58">
        <v>0.56</v>
      </c>
      <c r="AB58">
        <v>0.59</v>
      </c>
      <c r="AC58">
        <v>0.57</v>
      </c>
      <c r="AD58">
        <v>0.57</v>
      </c>
      <c r="AE58">
        <v>0.56</v>
      </c>
      <c r="AF58">
        <v>0.57</v>
      </c>
      <c r="AG58">
        <v>0.57</v>
      </c>
      <c r="AH58">
        <v>0.56</v>
      </c>
      <c r="AI58">
        <v>0.56</v>
      </c>
      <c r="AJ58">
        <v>0.56</v>
      </c>
      <c r="AK58">
        <v>0.56</v>
      </c>
      <c r="AL58">
        <v>0.55</v>
      </c>
    </row>
    <row r="59" spans="1:38" ht="12.75">
      <c r="A59" s="1">
        <f t="shared" si="0"/>
        <v>0</v>
      </c>
      <c r="B59" t="s">
        <v>59</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row r="64" spans="2:38" ht="12.75">
      <c r="B64" t="s">
        <v>187</v>
      </c>
      <c r="C64" t="str">
        <f>C1</f>
        <v>P1</v>
      </c>
      <c r="D64" t="str">
        <f aca="true" t="shared" si="1" ref="D64:AL64">D1</f>
        <v>P2</v>
      </c>
      <c r="E64" t="str">
        <f t="shared" si="1"/>
        <v>P3</v>
      </c>
      <c r="F64" t="str">
        <f t="shared" si="1"/>
        <v>P4</v>
      </c>
      <c r="G64" t="str">
        <f t="shared" si="1"/>
        <v>P5</v>
      </c>
      <c r="H64" t="str">
        <f t="shared" si="1"/>
        <v>P6</v>
      </c>
      <c r="I64" t="str">
        <f t="shared" si="1"/>
        <v>P7</v>
      </c>
      <c r="J64" t="str">
        <f t="shared" si="1"/>
        <v>P8</v>
      </c>
      <c r="K64" t="str">
        <f t="shared" si="1"/>
        <v>P9</v>
      </c>
      <c r="L64" t="str">
        <f t="shared" si="1"/>
        <v>P10</v>
      </c>
      <c r="M64" t="str">
        <f t="shared" si="1"/>
        <v>P11</v>
      </c>
      <c r="N64" t="str">
        <f t="shared" si="1"/>
        <v>P12</v>
      </c>
      <c r="O64" t="str">
        <f t="shared" si="1"/>
        <v>P13</v>
      </c>
      <c r="P64" t="str">
        <f t="shared" si="1"/>
        <v>P14</v>
      </c>
      <c r="Q64" t="str">
        <f t="shared" si="1"/>
        <v>P15</v>
      </c>
      <c r="R64" t="str">
        <f t="shared" si="1"/>
        <v>P16</v>
      </c>
      <c r="S64" t="str">
        <f t="shared" si="1"/>
        <v>P17</v>
      </c>
      <c r="T64" t="str">
        <f t="shared" si="1"/>
        <v>P18</v>
      </c>
      <c r="U64" t="str">
        <f t="shared" si="1"/>
        <v>P19</v>
      </c>
      <c r="V64" t="str">
        <f t="shared" si="1"/>
        <v>P20</v>
      </c>
      <c r="W64" t="str">
        <f t="shared" si="1"/>
        <v>P21</v>
      </c>
      <c r="X64" t="str">
        <f t="shared" si="1"/>
        <v>P22</v>
      </c>
      <c r="Y64" t="str">
        <f t="shared" si="1"/>
        <v>P23</v>
      </c>
      <c r="Z64" t="str">
        <f t="shared" si="1"/>
        <v>P24</v>
      </c>
      <c r="AA64" t="str">
        <f t="shared" si="1"/>
        <v>P25</v>
      </c>
      <c r="AB64" t="str">
        <f t="shared" si="1"/>
        <v>P26</v>
      </c>
      <c r="AC64" t="str">
        <f t="shared" si="1"/>
        <v>P27</v>
      </c>
      <c r="AD64" t="str">
        <f t="shared" si="1"/>
        <v>P28</v>
      </c>
      <c r="AE64" t="str">
        <f t="shared" si="1"/>
        <v>P29</v>
      </c>
      <c r="AF64" t="str">
        <f t="shared" si="1"/>
        <v>P30</v>
      </c>
      <c r="AG64" t="str">
        <f t="shared" si="1"/>
        <v>P31</v>
      </c>
      <c r="AH64" t="str">
        <f t="shared" si="1"/>
        <v>P32</v>
      </c>
      <c r="AI64" t="str">
        <f t="shared" si="1"/>
        <v>P33</v>
      </c>
      <c r="AJ64" t="str">
        <f t="shared" si="1"/>
        <v>P34</v>
      </c>
      <c r="AK64" t="str">
        <f t="shared" si="1"/>
        <v>P35</v>
      </c>
      <c r="AL64" t="str">
        <f t="shared" si="1"/>
        <v>P36</v>
      </c>
    </row>
    <row r="65" spans="1:45" ht="12.75">
      <c r="A65" s="8">
        <f>AVERAGE(C65:C65)</f>
        <v>15.876000000000001</v>
      </c>
      <c r="B65" s="8" t="str">
        <f aca="true" t="shared" si="2" ref="B65:B119">B5</f>
        <v>Inject P1</v>
      </c>
      <c r="C65" s="9">
        <f aca="true" t="shared" si="3" ref="C65:C111">C5*C5*10</f>
        <v>15.876000000000001</v>
      </c>
      <c r="D65" s="9" t="e">
        <f aca="true" t="shared" si="4" ref="D65:AL72">D5*D5*10</f>
        <v>#VALUE!</v>
      </c>
      <c r="E65" s="9" t="e">
        <f t="shared" si="4"/>
        <v>#VALUE!</v>
      </c>
      <c r="F65" s="9" t="e">
        <f t="shared" si="4"/>
        <v>#VALUE!</v>
      </c>
      <c r="G65" s="9" t="e">
        <f t="shared" si="4"/>
        <v>#VALUE!</v>
      </c>
      <c r="H65" s="9" t="e">
        <f t="shared" si="4"/>
        <v>#VALUE!</v>
      </c>
      <c r="I65" s="9" t="e">
        <f t="shared" si="4"/>
        <v>#VALUE!</v>
      </c>
      <c r="J65" s="9" t="e">
        <f t="shared" si="4"/>
        <v>#VALUE!</v>
      </c>
      <c r="K65" s="9" t="e">
        <f t="shared" si="4"/>
        <v>#VALUE!</v>
      </c>
      <c r="L65" s="9" t="e">
        <f t="shared" si="4"/>
        <v>#VALUE!</v>
      </c>
      <c r="M65" s="9" t="e">
        <f t="shared" si="4"/>
        <v>#VALUE!</v>
      </c>
      <c r="N65" s="9" t="e">
        <f t="shared" si="4"/>
        <v>#VALUE!</v>
      </c>
      <c r="O65" s="9" t="e">
        <f t="shared" si="4"/>
        <v>#VALUE!</v>
      </c>
      <c r="P65" s="9" t="e">
        <f t="shared" si="4"/>
        <v>#VALUE!</v>
      </c>
      <c r="Q65" s="9" t="e">
        <f t="shared" si="4"/>
        <v>#VALUE!</v>
      </c>
      <c r="R65" s="9" t="e">
        <f t="shared" si="4"/>
        <v>#VALUE!</v>
      </c>
      <c r="S65" s="9" t="e">
        <f t="shared" si="4"/>
        <v>#VALUE!</v>
      </c>
      <c r="T65" s="9" t="e">
        <f t="shared" si="4"/>
        <v>#VALUE!</v>
      </c>
      <c r="U65" s="9" t="e">
        <f t="shared" si="4"/>
        <v>#VALUE!</v>
      </c>
      <c r="V65" s="9" t="e">
        <f t="shared" si="4"/>
        <v>#VALUE!</v>
      </c>
      <c r="W65" s="9" t="e">
        <f t="shared" si="4"/>
        <v>#VALUE!</v>
      </c>
      <c r="X65" s="9" t="e">
        <f t="shared" si="4"/>
        <v>#VALUE!</v>
      </c>
      <c r="Y65" s="9" t="e">
        <f t="shared" si="4"/>
        <v>#VALUE!</v>
      </c>
      <c r="Z65" s="9" t="e">
        <f t="shared" si="4"/>
        <v>#VALUE!</v>
      </c>
      <c r="AA65" s="9" t="e">
        <f t="shared" si="4"/>
        <v>#VALUE!</v>
      </c>
      <c r="AB65" s="9" t="e">
        <f t="shared" si="4"/>
        <v>#VALUE!</v>
      </c>
      <c r="AC65" s="9" t="e">
        <f t="shared" si="4"/>
        <v>#VALUE!</v>
      </c>
      <c r="AD65" s="9" t="e">
        <f t="shared" si="4"/>
        <v>#VALUE!</v>
      </c>
      <c r="AE65" s="9" t="e">
        <f t="shared" si="4"/>
        <v>#VALUE!</v>
      </c>
      <c r="AF65" s="9" t="e">
        <f t="shared" si="4"/>
        <v>#VALUE!</v>
      </c>
      <c r="AG65" s="9" t="e">
        <f t="shared" si="4"/>
        <v>#VALUE!</v>
      </c>
      <c r="AH65" s="9" t="e">
        <f t="shared" si="4"/>
        <v>#VALUE!</v>
      </c>
      <c r="AI65" s="9" t="e">
        <f t="shared" si="4"/>
        <v>#VALUE!</v>
      </c>
      <c r="AJ65" s="9" t="e">
        <f t="shared" si="4"/>
        <v>#VALUE!</v>
      </c>
      <c r="AK65" s="9" t="e">
        <f t="shared" si="4"/>
        <v>#VALUE!</v>
      </c>
      <c r="AL65" s="9" t="e">
        <f t="shared" si="4"/>
        <v>#VALUE!</v>
      </c>
      <c r="AM65" s="9"/>
      <c r="AN65" s="9"/>
      <c r="AO65" s="9"/>
      <c r="AP65" s="9"/>
      <c r="AQ65" s="9"/>
      <c r="AR65" s="9"/>
      <c r="AS65" s="9"/>
    </row>
    <row r="66" spans="1:45" ht="12.75">
      <c r="A66" s="8">
        <f>AVERAGE(C66:D66)</f>
        <v>16.133000000000003</v>
      </c>
      <c r="B66" s="8" t="str">
        <f t="shared" si="2"/>
        <v>Inject P2</v>
      </c>
      <c r="C66" s="9">
        <f t="shared" si="3"/>
        <v>16.641000000000002</v>
      </c>
      <c r="D66" s="9">
        <f aca="true" t="shared" si="5" ref="D66:R66">D6*D6*10</f>
        <v>15.625</v>
      </c>
      <c r="E66" s="9" t="e">
        <f t="shared" si="5"/>
        <v>#VALUE!</v>
      </c>
      <c r="F66" s="9" t="e">
        <f t="shared" si="5"/>
        <v>#VALUE!</v>
      </c>
      <c r="G66" s="9" t="e">
        <f t="shared" si="5"/>
        <v>#VALUE!</v>
      </c>
      <c r="H66" s="9" t="e">
        <f t="shared" si="5"/>
        <v>#VALUE!</v>
      </c>
      <c r="I66" s="9" t="e">
        <f t="shared" si="5"/>
        <v>#VALUE!</v>
      </c>
      <c r="J66" s="9" t="e">
        <f t="shared" si="5"/>
        <v>#VALUE!</v>
      </c>
      <c r="K66" s="9" t="e">
        <f t="shared" si="5"/>
        <v>#VALUE!</v>
      </c>
      <c r="L66" s="9" t="e">
        <f t="shared" si="5"/>
        <v>#VALUE!</v>
      </c>
      <c r="M66" s="9" t="e">
        <f t="shared" si="5"/>
        <v>#VALUE!</v>
      </c>
      <c r="N66" s="9" t="e">
        <f t="shared" si="5"/>
        <v>#VALUE!</v>
      </c>
      <c r="O66" s="9" t="e">
        <f t="shared" si="5"/>
        <v>#VALUE!</v>
      </c>
      <c r="P66" s="9" t="e">
        <f t="shared" si="5"/>
        <v>#VALUE!</v>
      </c>
      <c r="Q66" s="9" t="e">
        <f t="shared" si="5"/>
        <v>#VALUE!</v>
      </c>
      <c r="R66" s="9" t="e">
        <f t="shared" si="5"/>
        <v>#VALUE!</v>
      </c>
      <c r="S66" s="9" t="e">
        <f t="shared" si="4"/>
        <v>#VALUE!</v>
      </c>
      <c r="T66" s="9" t="e">
        <f t="shared" si="4"/>
        <v>#VALUE!</v>
      </c>
      <c r="U66" s="9" t="e">
        <f t="shared" si="4"/>
        <v>#VALUE!</v>
      </c>
      <c r="V66" s="9" t="e">
        <f t="shared" si="4"/>
        <v>#VALUE!</v>
      </c>
      <c r="W66" s="9" t="e">
        <f t="shared" si="4"/>
        <v>#VALUE!</v>
      </c>
      <c r="X66" s="9" t="e">
        <f t="shared" si="4"/>
        <v>#VALUE!</v>
      </c>
      <c r="Y66" s="9" t="e">
        <f t="shared" si="4"/>
        <v>#VALUE!</v>
      </c>
      <c r="Z66" s="9" t="e">
        <f t="shared" si="4"/>
        <v>#VALUE!</v>
      </c>
      <c r="AA66" s="9" t="e">
        <f t="shared" si="4"/>
        <v>#VALUE!</v>
      </c>
      <c r="AB66" s="9" t="e">
        <f t="shared" si="4"/>
        <v>#VALUE!</v>
      </c>
      <c r="AC66" s="9" t="e">
        <f t="shared" si="4"/>
        <v>#VALUE!</v>
      </c>
      <c r="AD66" s="9" t="e">
        <f t="shared" si="4"/>
        <v>#VALUE!</v>
      </c>
      <c r="AE66" s="9" t="e">
        <f t="shared" si="4"/>
        <v>#VALUE!</v>
      </c>
      <c r="AF66" s="9" t="e">
        <f t="shared" si="4"/>
        <v>#VALUE!</v>
      </c>
      <c r="AG66" s="9" t="e">
        <f t="shared" si="4"/>
        <v>#VALUE!</v>
      </c>
      <c r="AH66" s="9" t="e">
        <f t="shared" si="4"/>
        <v>#VALUE!</v>
      </c>
      <c r="AI66" s="9" t="e">
        <f t="shared" si="4"/>
        <v>#VALUE!</v>
      </c>
      <c r="AJ66" s="9" t="e">
        <f t="shared" si="4"/>
        <v>#VALUE!</v>
      </c>
      <c r="AK66" s="9" t="e">
        <f t="shared" si="4"/>
        <v>#VALUE!</v>
      </c>
      <c r="AL66" s="9" t="e">
        <f t="shared" si="4"/>
        <v>#VALUE!</v>
      </c>
      <c r="AM66" s="9"/>
      <c r="AN66" s="9"/>
      <c r="AO66" s="9"/>
      <c r="AP66" s="9"/>
      <c r="AQ66" s="9"/>
      <c r="AR66" s="9"/>
      <c r="AS66" s="9"/>
    </row>
    <row r="67" spans="1:45" ht="12.75">
      <c r="A67" s="8">
        <f>AVERAGE(C67:E67)</f>
        <v>15.792333333333334</v>
      </c>
      <c r="B67" s="8" t="str">
        <f t="shared" si="2"/>
        <v>Inject P3</v>
      </c>
      <c r="C67" s="9">
        <f t="shared" si="3"/>
        <v>15.876000000000001</v>
      </c>
      <c r="D67" s="9">
        <f t="shared" si="4"/>
        <v>15.876000000000001</v>
      </c>
      <c r="E67" s="9">
        <f t="shared" si="4"/>
        <v>15.625</v>
      </c>
      <c r="F67" s="9" t="e">
        <f t="shared" si="4"/>
        <v>#VALUE!</v>
      </c>
      <c r="G67" s="9" t="e">
        <f t="shared" si="4"/>
        <v>#VALUE!</v>
      </c>
      <c r="H67" s="9" t="e">
        <f t="shared" si="4"/>
        <v>#VALUE!</v>
      </c>
      <c r="I67" s="9" t="e">
        <f t="shared" si="4"/>
        <v>#VALUE!</v>
      </c>
      <c r="J67" s="9" t="e">
        <f t="shared" si="4"/>
        <v>#VALUE!</v>
      </c>
      <c r="K67" s="9" t="e">
        <f t="shared" si="4"/>
        <v>#VALUE!</v>
      </c>
      <c r="L67" s="9" t="e">
        <f t="shared" si="4"/>
        <v>#VALUE!</v>
      </c>
      <c r="M67" s="9" t="e">
        <f t="shared" si="4"/>
        <v>#VALUE!</v>
      </c>
      <c r="N67" s="9" t="e">
        <f t="shared" si="4"/>
        <v>#VALUE!</v>
      </c>
      <c r="O67" s="9" t="e">
        <f t="shared" si="4"/>
        <v>#VALUE!</v>
      </c>
      <c r="P67" s="9" t="e">
        <f t="shared" si="4"/>
        <v>#VALUE!</v>
      </c>
      <c r="Q67" s="9" t="e">
        <f t="shared" si="4"/>
        <v>#VALUE!</v>
      </c>
      <c r="R67" s="9" t="e">
        <f t="shared" si="4"/>
        <v>#VALUE!</v>
      </c>
      <c r="S67" s="9" t="e">
        <f t="shared" si="4"/>
        <v>#VALUE!</v>
      </c>
      <c r="T67" s="9" t="e">
        <f t="shared" si="4"/>
        <v>#VALUE!</v>
      </c>
      <c r="U67" s="9" t="e">
        <f t="shared" si="4"/>
        <v>#VALUE!</v>
      </c>
      <c r="V67" s="9" t="e">
        <f t="shared" si="4"/>
        <v>#VALUE!</v>
      </c>
      <c r="W67" s="9" t="e">
        <f t="shared" si="4"/>
        <v>#VALUE!</v>
      </c>
      <c r="X67" s="9" t="e">
        <f t="shared" si="4"/>
        <v>#VALUE!</v>
      </c>
      <c r="Y67" s="9" t="e">
        <f t="shared" si="4"/>
        <v>#VALUE!</v>
      </c>
      <c r="Z67" s="9" t="e">
        <f t="shared" si="4"/>
        <v>#VALUE!</v>
      </c>
      <c r="AA67" s="9" t="e">
        <f t="shared" si="4"/>
        <v>#VALUE!</v>
      </c>
      <c r="AB67" s="9" t="e">
        <f t="shared" si="4"/>
        <v>#VALUE!</v>
      </c>
      <c r="AC67" s="9" t="e">
        <f t="shared" si="4"/>
        <v>#VALUE!</v>
      </c>
      <c r="AD67" s="9" t="e">
        <f t="shared" si="4"/>
        <v>#VALUE!</v>
      </c>
      <c r="AE67" s="9" t="e">
        <f t="shared" si="4"/>
        <v>#VALUE!</v>
      </c>
      <c r="AF67" s="9" t="e">
        <f t="shared" si="4"/>
        <v>#VALUE!</v>
      </c>
      <c r="AG67" s="9" t="e">
        <f t="shared" si="4"/>
        <v>#VALUE!</v>
      </c>
      <c r="AH67" s="9" t="e">
        <f t="shared" si="4"/>
        <v>#VALUE!</v>
      </c>
      <c r="AI67" s="9" t="e">
        <f t="shared" si="4"/>
        <v>#VALUE!</v>
      </c>
      <c r="AJ67" s="9" t="e">
        <f t="shared" si="4"/>
        <v>#VALUE!</v>
      </c>
      <c r="AK67" s="9" t="e">
        <f t="shared" si="4"/>
        <v>#VALUE!</v>
      </c>
      <c r="AL67" s="9" t="e">
        <f t="shared" si="4"/>
        <v>#VALUE!</v>
      </c>
      <c r="AM67" s="9"/>
      <c r="AN67" s="9"/>
      <c r="AO67" s="9"/>
      <c r="AP67" s="9"/>
      <c r="AQ67" s="9"/>
      <c r="AR67" s="9"/>
      <c r="AS67" s="9"/>
    </row>
    <row r="68" spans="1:45" ht="12.75">
      <c r="A68" s="8">
        <f>AVERAGE(C68:F68)</f>
        <v>16.19425</v>
      </c>
      <c r="B68" s="8" t="str">
        <f t="shared" si="2"/>
        <v>Inject P4</v>
      </c>
      <c r="C68" s="9">
        <f t="shared" si="3"/>
        <v>16.384</v>
      </c>
      <c r="D68" s="9">
        <f t="shared" si="4"/>
        <v>15.625</v>
      </c>
      <c r="E68" s="9">
        <f t="shared" si="4"/>
        <v>16.384</v>
      </c>
      <c r="F68" s="9">
        <f t="shared" si="4"/>
        <v>16.384</v>
      </c>
      <c r="G68" s="9" t="e">
        <f t="shared" si="4"/>
        <v>#VALUE!</v>
      </c>
      <c r="H68" s="9" t="e">
        <f t="shared" si="4"/>
        <v>#VALUE!</v>
      </c>
      <c r="I68" s="9" t="e">
        <f t="shared" si="4"/>
        <v>#VALUE!</v>
      </c>
      <c r="J68" s="9" t="e">
        <f t="shared" si="4"/>
        <v>#VALUE!</v>
      </c>
      <c r="K68" s="9" t="e">
        <f t="shared" si="4"/>
        <v>#VALUE!</v>
      </c>
      <c r="L68" s="9" t="e">
        <f t="shared" si="4"/>
        <v>#VALUE!</v>
      </c>
      <c r="M68" s="9" t="e">
        <f t="shared" si="4"/>
        <v>#VALUE!</v>
      </c>
      <c r="N68" s="9" t="e">
        <f t="shared" si="4"/>
        <v>#VALUE!</v>
      </c>
      <c r="O68" s="9" t="e">
        <f t="shared" si="4"/>
        <v>#VALUE!</v>
      </c>
      <c r="P68" s="9" t="e">
        <f t="shared" si="4"/>
        <v>#VALUE!</v>
      </c>
      <c r="Q68" s="9" t="e">
        <f t="shared" si="4"/>
        <v>#VALUE!</v>
      </c>
      <c r="R68" s="9" t="e">
        <f t="shared" si="4"/>
        <v>#VALUE!</v>
      </c>
      <c r="S68" s="9" t="e">
        <f t="shared" si="4"/>
        <v>#VALUE!</v>
      </c>
      <c r="T68" s="9" t="e">
        <f t="shared" si="4"/>
        <v>#VALUE!</v>
      </c>
      <c r="U68" s="9" t="e">
        <f t="shared" si="4"/>
        <v>#VALUE!</v>
      </c>
      <c r="V68" s="9" t="e">
        <f t="shared" si="4"/>
        <v>#VALUE!</v>
      </c>
      <c r="W68" s="9" t="e">
        <f t="shared" si="4"/>
        <v>#VALUE!</v>
      </c>
      <c r="X68" s="9" t="e">
        <f t="shared" si="4"/>
        <v>#VALUE!</v>
      </c>
      <c r="Y68" s="9" t="e">
        <f t="shared" si="4"/>
        <v>#VALUE!</v>
      </c>
      <c r="Z68" s="9" t="e">
        <f t="shared" si="4"/>
        <v>#VALUE!</v>
      </c>
      <c r="AA68" s="9" t="e">
        <f t="shared" si="4"/>
        <v>#VALUE!</v>
      </c>
      <c r="AB68" s="9" t="e">
        <f t="shared" si="4"/>
        <v>#VALUE!</v>
      </c>
      <c r="AC68" s="9" t="e">
        <f t="shared" si="4"/>
        <v>#VALUE!</v>
      </c>
      <c r="AD68" s="9" t="e">
        <f t="shared" si="4"/>
        <v>#VALUE!</v>
      </c>
      <c r="AE68" s="9" t="e">
        <f t="shared" si="4"/>
        <v>#VALUE!</v>
      </c>
      <c r="AF68" s="9" t="e">
        <f t="shared" si="4"/>
        <v>#VALUE!</v>
      </c>
      <c r="AG68" s="9" t="e">
        <f t="shared" si="4"/>
        <v>#VALUE!</v>
      </c>
      <c r="AH68" s="9" t="e">
        <f t="shared" si="4"/>
        <v>#VALUE!</v>
      </c>
      <c r="AI68" s="9" t="e">
        <f t="shared" si="4"/>
        <v>#VALUE!</v>
      </c>
      <c r="AJ68" s="9" t="e">
        <f t="shared" si="4"/>
        <v>#VALUE!</v>
      </c>
      <c r="AK68" s="9" t="e">
        <f t="shared" si="4"/>
        <v>#VALUE!</v>
      </c>
      <c r="AL68" s="9" t="e">
        <f t="shared" si="4"/>
        <v>#VALUE!</v>
      </c>
      <c r="AM68" s="9"/>
      <c r="AN68" s="9"/>
      <c r="AO68" s="9"/>
      <c r="AP68" s="9"/>
      <c r="AQ68" s="9"/>
      <c r="AR68" s="9"/>
      <c r="AS68" s="9"/>
    </row>
    <row r="69" spans="1:45" ht="12.75">
      <c r="A69" s="8">
        <f>AVERAGE(C69:G69)</f>
        <v>15.927800000000001</v>
      </c>
      <c r="B69" s="8" t="str">
        <f t="shared" si="2"/>
        <v>Inject P5</v>
      </c>
      <c r="C69" s="9">
        <f t="shared" si="3"/>
        <v>16.129</v>
      </c>
      <c r="D69" s="9">
        <f t="shared" si="4"/>
        <v>15.625</v>
      </c>
      <c r="E69" s="9">
        <f t="shared" si="4"/>
        <v>15.876000000000001</v>
      </c>
      <c r="F69" s="9">
        <f t="shared" si="4"/>
        <v>16.384</v>
      </c>
      <c r="G69" s="9">
        <f t="shared" si="4"/>
        <v>15.625</v>
      </c>
      <c r="H69" s="9" t="e">
        <f t="shared" si="4"/>
        <v>#VALUE!</v>
      </c>
      <c r="I69" s="9" t="e">
        <f t="shared" si="4"/>
        <v>#VALUE!</v>
      </c>
      <c r="J69" s="9" t="e">
        <f t="shared" si="4"/>
        <v>#VALUE!</v>
      </c>
      <c r="K69" s="9" t="e">
        <f t="shared" si="4"/>
        <v>#VALUE!</v>
      </c>
      <c r="L69" s="9" t="e">
        <f t="shared" si="4"/>
        <v>#VALUE!</v>
      </c>
      <c r="M69" s="9" t="e">
        <f t="shared" si="4"/>
        <v>#VALUE!</v>
      </c>
      <c r="N69" s="9" t="e">
        <f t="shared" si="4"/>
        <v>#VALUE!</v>
      </c>
      <c r="O69" s="9" t="e">
        <f t="shared" si="4"/>
        <v>#VALUE!</v>
      </c>
      <c r="P69" s="9" t="e">
        <f t="shared" si="4"/>
        <v>#VALUE!</v>
      </c>
      <c r="Q69" s="9" t="e">
        <f t="shared" si="4"/>
        <v>#VALUE!</v>
      </c>
      <c r="R69" s="9" t="e">
        <f t="shared" si="4"/>
        <v>#VALUE!</v>
      </c>
      <c r="S69" s="9" t="e">
        <f t="shared" si="4"/>
        <v>#VALUE!</v>
      </c>
      <c r="T69" s="9" t="e">
        <f t="shared" si="4"/>
        <v>#VALUE!</v>
      </c>
      <c r="U69" s="9" t="e">
        <f t="shared" si="4"/>
        <v>#VALUE!</v>
      </c>
      <c r="V69" s="9" t="e">
        <f t="shared" si="4"/>
        <v>#VALUE!</v>
      </c>
      <c r="W69" s="9" t="e">
        <f t="shared" si="4"/>
        <v>#VALUE!</v>
      </c>
      <c r="X69" s="9" t="e">
        <f t="shared" si="4"/>
        <v>#VALUE!</v>
      </c>
      <c r="Y69" s="9" t="e">
        <f t="shared" si="4"/>
        <v>#VALUE!</v>
      </c>
      <c r="Z69" s="9" t="e">
        <f t="shared" si="4"/>
        <v>#VALUE!</v>
      </c>
      <c r="AA69" s="9" t="e">
        <f t="shared" si="4"/>
        <v>#VALUE!</v>
      </c>
      <c r="AB69" s="9" t="e">
        <f t="shared" si="4"/>
        <v>#VALUE!</v>
      </c>
      <c r="AC69" s="9" t="e">
        <f t="shared" si="4"/>
        <v>#VALUE!</v>
      </c>
      <c r="AD69" s="9" t="e">
        <f t="shared" si="4"/>
        <v>#VALUE!</v>
      </c>
      <c r="AE69" s="9" t="e">
        <f t="shared" si="4"/>
        <v>#VALUE!</v>
      </c>
      <c r="AF69" s="9" t="e">
        <f t="shared" si="4"/>
        <v>#VALUE!</v>
      </c>
      <c r="AG69" s="9" t="e">
        <f t="shared" si="4"/>
        <v>#VALUE!</v>
      </c>
      <c r="AH69" s="9" t="e">
        <f t="shared" si="4"/>
        <v>#VALUE!</v>
      </c>
      <c r="AI69" s="9" t="e">
        <f t="shared" si="4"/>
        <v>#VALUE!</v>
      </c>
      <c r="AJ69" s="9" t="e">
        <f t="shared" si="4"/>
        <v>#VALUE!</v>
      </c>
      <c r="AK69" s="9" t="e">
        <f t="shared" si="4"/>
        <v>#VALUE!</v>
      </c>
      <c r="AL69" s="9" t="e">
        <f t="shared" si="4"/>
        <v>#VALUE!</v>
      </c>
      <c r="AM69" s="9"/>
      <c r="AN69" s="9"/>
      <c r="AO69" s="9"/>
      <c r="AP69" s="9"/>
      <c r="AQ69" s="9"/>
      <c r="AR69" s="9"/>
      <c r="AS69" s="9"/>
    </row>
    <row r="70" spans="1:45" ht="12.75">
      <c r="A70" s="8">
        <f>AVERAGE(C70:H70)</f>
        <v>15.91916666666667</v>
      </c>
      <c r="B70" s="8" t="str">
        <f t="shared" si="2"/>
        <v>Inject P6</v>
      </c>
      <c r="C70" s="9">
        <f t="shared" si="3"/>
        <v>16.129</v>
      </c>
      <c r="D70" s="9">
        <f t="shared" si="4"/>
        <v>15.876000000000001</v>
      </c>
      <c r="E70" s="9">
        <f t="shared" si="4"/>
        <v>15.876000000000001</v>
      </c>
      <c r="F70" s="9">
        <f t="shared" si="4"/>
        <v>16.129</v>
      </c>
      <c r="G70" s="9">
        <f t="shared" si="4"/>
        <v>16.129</v>
      </c>
      <c r="H70" s="9">
        <f t="shared" si="4"/>
        <v>15.376000000000001</v>
      </c>
      <c r="I70" s="9" t="e">
        <f t="shared" si="4"/>
        <v>#VALUE!</v>
      </c>
      <c r="J70" s="9" t="e">
        <f t="shared" si="4"/>
        <v>#VALUE!</v>
      </c>
      <c r="K70" s="9" t="e">
        <f t="shared" si="4"/>
        <v>#VALUE!</v>
      </c>
      <c r="L70" s="9" t="e">
        <f t="shared" si="4"/>
        <v>#VALUE!</v>
      </c>
      <c r="M70" s="9" t="e">
        <f t="shared" si="4"/>
        <v>#VALUE!</v>
      </c>
      <c r="N70" s="9" t="e">
        <f t="shared" si="4"/>
        <v>#VALUE!</v>
      </c>
      <c r="O70" s="9" t="e">
        <f t="shared" si="4"/>
        <v>#VALUE!</v>
      </c>
      <c r="P70" s="9" t="e">
        <f t="shared" si="4"/>
        <v>#VALUE!</v>
      </c>
      <c r="Q70" s="9" t="e">
        <f t="shared" si="4"/>
        <v>#VALUE!</v>
      </c>
      <c r="R70" s="9" t="e">
        <f t="shared" si="4"/>
        <v>#VALUE!</v>
      </c>
      <c r="S70" s="9" t="e">
        <f t="shared" si="4"/>
        <v>#VALUE!</v>
      </c>
      <c r="T70" s="9" t="e">
        <f t="shared" si="4"/>
        <v>#VALUE!</v>
      </c>
      <c r="U70" s="9" t="e">
        <f t="shared" si="4"/>
        <v>#VALUE!</v>
      </c>
      <c r="V70" s="9" t="e">
        <f t="shared" si="4"/>
        <v>#VALUE!</v>
      </c>
      <c r="W70" s="9" t="e">
        <f t="shared" si="4"/>
        <v>#VALUE!</v>
      </c>
      <c r="X70" s="9" t="e">
        <f t="shared" si="4"/>
        <v>#VALUE!</v>
      </c>
      <c r="Y70" s="9" t="e">
        <f t="shared" si="4"/>
        <v>#VALUE!</v>
      </c>
      <c r="Z70" s="9" t="e">
        <f t="shared" si="4"/>
        <v>#VALUE!</v>
      </c>
      <c r="AA70" s="9" t="e">
        <f t="shared" si="4"/>
        <v>#VALUE!</v>
      </c>
      <c r="AB70" s="9" t="e">
        <f t="shared" si="4"/>
        <v>#VALUE!</v>
      </c>
      <c r="AC70" s="9" t="e">
        <f t="shared" si="4"/>
        <v>#VALUE!</v>
      </c>
      <c r="AD70" s="9" t="e">
        <f t="shared" si="4"/>
        <v>#VALUE!</v>
      </c>
      <c r="AE70" s="9" t="e">
        <f t="shared" si="4"/>
        <v>#VALUE!</v>
      </c>
      <c r="AF70" s="9" t="e">
        <f t="shared" si="4"/>
        <v>#VALUE!</v>
      </c>
      <c r="AG70" s="9" t="e">
        <f t="shared" si="4"/>
        <v>#VALUE!</v>
      </c>
      <c r="AH70" s="9" t="e">
        <f t="shared" si="4"/>
        <v>#VALUE!</v>
      </c>
      <c r="AI70" s="9" t="e">
        <f t="shared" si="4"/>
        <v>#VALUE!</v>
      </c>
      <c r="AJ70" s="9" t="e">
        <f t="shared" si="4"/>
        <v>#VALUE!</v>
      </c>
      <c r="AK70" s="9" t="e">
        <f t="shared" si="4"/>
        <v>#VALUE!</v>
      </c>
      <c r="AL70" s="9" t="e">
        <f t="shared" si="4"/>
        <v>#VALUE!</v>
      </c>
      <c r="AM70" s="9"/>
      <c r="AN70" s="9"/>
      <c r="AO70" s="9"/>
      <c r="AP70" s="9"/>
      <c r="AQ70" s="9"/>
      <c r="AR70" s="9"/>
      <c r="AS70" s="9"/>
    </row>
    <row r="71" spans="1:45" ht="12.75">
      <c r="A71" s="8">
        <f>AVERAGE(C71:I71)</f>
        <v>15.913000000000002</v>
      </c>
      <c r="B71" s="8" t="str">
        <f t="shared" si="2"/>
        <v>Inject P7</v>
      </c>
      <c r="C71" s="9">
        <f t="shared" si="3"/>
        <v>16.129</v>
      </c>
      <c r="D71" s="9">
        <f t="shared" si="4"/>
        <v>15.876000000000001</v>
      </c>
      <c r="E71" s="9">
        <f t="shared" si="4"/>
        <v>15.625</v>
      </c>
      <c r="F71" s="9">
        <f t="shared" si="4"/>
        <v>16.384</v>
      </c>
      <c r="G71" s="9">
        <f t="shared" si="4"/>
        <v>15.876000000000001</v>
      </c>
      <c r="H71" s="9">
        <f t="shared" si="4"/>
        <v>15.625</v>
      </c>
      <c r="I71" s="9">
        <f t="shared" si="4"/>
        <v>15.876000000000001</v>
      </c>
      <c r="J71" s="9" t="e">
        <f t="shared" si="4"/>
        <v>#VALUE!</v>
      </c>
      <c r="K71" s="9" t="e">
        <f t="shared" si="4"/>
        <v>#VALUE!</v>
      </c>
      <c r="L71" s="9" t="e">
        <f t="shared" si="4"/>
        <v>#VALUE!</v>
      </c>
      <c r="M71" s="9" t="e">
        <f t="shared" si="4"/>
        <v>#VALUE!</v>
      </c>
      <c r="N71" s="9" t="e">
        <f t="shared" si="4"/>
        <v>#VALUE!</v>
      </c>
      <c r="O71" s="9" t="e">
        <f t="shared" si="4"/>
        <v>#VALUE!</v>
      </c>
      <c r="P71" s="9" t="e">
        <f t="shared" si="4"/>
        <v>#VALUE!</v>
      </c>
      <c r="Q71" s="9" t="e">
        <f t="shared" si="4"/>
        <v>#VALUE!</v>
      </c>
      <c r="R71" s="9" t="e">
        <f t="shared" si="4"/>
        <v>#VALUE!</v>
      </c>
      <c r="S71" s="9" t="e">
        <f t="shared" si="4"/>
        <v>#VALUE!</v>
      </c>
      <c r="T71" s="9" t="e">
        <f t="shared" si="4"/>
        <v>#VALUE!</v>
      </c>
      <c r="U71" s="9" t="e">
        <f t="shared" si="4"/>
        <v>#VALUE!</v>
      </c>
      <c r="V71" s="9" t="e">
        <f t="shared" si="4"/>
        <v>#VALUE!</v>
      </c>
      <c r="W71" s="9" t="e">
        <f t="shared" si="4"/>
        <v>#VALUE!</v>
      </c>
      <c r="X71" s="9" t="e">
        <f t="shared" si="4"/>
        <v>#VALUE!</v>
      </c>
      <c r="Y71" s="9" t="e">
        <f t="shared" si="4"/>
        <v>#VALUE!</v>
      </c>
      <c r="Z71" s="9" t="e">
        <f t="shared" si="4"/>
        <v>#VALUE!</v>
      </c>
      <c r="AA71" s="9" t="e">
        <f t="shared" si="4"/>
        <v>#VALUE!</v>
      </c>
      <c r="AB71" s="9" t="e">
        <f t="shared" si="4"/>
        <v>#VALUE!</v>
      </c>
      <c r="AC71" s="9" t="e">
        <f t="shared" si="4"/>
        <v>#VALUE!</v>
      </c>
      <c r="AD71" s="9" t="e">
        <f t="shared" si="4"/>
        <v>#VALUE!</v>
      </c>
      <c r="AE71" s="9" t="e">
        <f t="shared" si="4"/>
        <v>#VALUE!</v>
      </c>
      <c r="AF71" s="9" t="e">
        <f t="shared" si="4"/>
        <v>#VALUE!</v>
      </c>
      <c r="AG71" s="9" t="e">
        <f t="shared" si="4"/>
        <v>#VALUE!</v>
      </c>
      <c r="AH71" s="9" t="e">
        <f t="shared" si="4"/>
        <v>#VALUE!</v>
      </c>
      <c r="AI71" s="9" t="e">
        <f t="shared" si="4"/>
        <v>#VALUE!</v>
      </c>
      <c r="AJ71" s="9" t="e">
        <f t="shared" si="4"/>
        <v>#VALUE!</v>
      </c>
      <c r="AK71" s="9" t="e">
        <f t="shared" si="4"/>
        <v>#VALUE!</v>
      </c>
      <c r="AL71" s="9" t="e">
        <f t="shared" si="4"/>
        <v>#VALUE!</v>
      </c>
      <c r="AM71" s="9"/>
      <c r="AN71" s="9"/>
      <c r="AO71" s="9"/>
      <c r="AP71" s="9"/>
      <c r="AQ71" s="9"/>
      <c r="AR71" s="9"/>
      <c r="AS71" s="9"/>
    </row>
    <row r="72" spans="1:45" ht="12.75">
      <c r="A72" s="8">
        <f>AVERAGE(C72:J72)</f>
        <v>16.098125000000003</v>
      </c>
      <c r="B72" s="8" t="str">
        <f t="shared" si="2"/>
        <v>Inject P8</v>
      </c>
      <c r="C72" s="9">
        <f t="shared" si="3"/>
        <v>16.129</v>
      </c>
      <c r="D72" s="9">
        <f t="shared" si="4"/>
        <v>15.876000000000001</v>
      </c>
      <c r="E72" s="9">
        <f t="shared" si="4"/>
        <v>16.129</v>
      </c>
      <c r="F72" s="9">
        <f t="shared" si="4"/>
        <v>16.384</v>
      </c>
      <c r="G72" s="9">
        <f t="shared" si="4"/>
        <v>16.384</v>
      </c>
      <c r="H72" s="9">
        <f t="shared" si="4"/>
        <v>16.129</v>
      </c>
      <c r="I72" s="9">
        <f t="shared" si="4"/>
        <v>16.129</v>
      </c>
      <c r="J72" s="9">
        <f t="shared" si="4"/>
        <v>15.625</v>
      </c>
      <c r="K72" s="9" t="e">
        <f t="shared" si="4"/>
        <v>#VALUE!</v>
      </c>
      <c r="L72" s="9" t="e">
        <f t="shared" si="4"/>
        <v>#VALUE!</v>
      </c>
      <c r="M72" s="9" t="e">
        <f t="shared" si="4"/>
        <v>#VALUE!</v>
      </c>
      <c r="N72" s="9" t="e">
        <f t="shared" si="4"/>
        <v>#VALUE!</v>
      </c>
      <c r="O72" s="9" t="e">
        <f t="shared" si="4"/>
        <v>#VALUE!</v>
      </c>
      <c r="P72" s="9" t="e">
        <f t="shared" si="4"/>
        <v>#VALUE!</v>
      </c>
      <c r="Q72" s="9" t="e">
        <f t="shared" si="4"/>
        <v>#VALUE!</v>
      </c>
      <c r="R72" s="9" t="e">
        <f t="shared" si="4"/>
        <v>#VALUE!</v>
      </c>
      <c r="S72" s="9" t="e">
        <f t="shared" si="4"/>
        <v>#VALUE!</v>
      </c>
      <c r="T72" s="9" t="e">
        <f t="shared" si="4"/>
        <v>#VALUE!</v>
      </c>
      <c r="U72" s="9" t="e">
        <f t="shared" si="4"/>
        <v>#VALUE!</v>
      </c>
      <c r="V72" s="9" t="e">
        <f t="shared" si="4"/>
        <v>#VALUE!</v>
      </c>
      <c r="W72" s="9" t="e">
        <f t="shared" si="4"/>
        <v>#VALUE!</v>
      </c>
      <c r="X72" s="9" t="e">
        <f t="shared" si="4"/>
        <v>#VALUE!</v>
      </c>
      <c r="Y72" s="9" t="e">
        <f t="shared" si="4"/>
        <v>#VALUE!</v>
      </c>
      <c r="Z72" s="9" t="e">
        <f t="shared" si="4"/>
        <v>#VALUE!</v>
      </c>
      <c r="AA72" s="9" t="e">
        <f t="shared" si="4"/>
        <v>#VALUE!</v>
      </c>
      <c r="AB72" s="9" t="e">
        <f t="shared" si="4"/>
        <v>#VALUE!</v>
      </c>
      <c r="AC72" s="9" t="e">
        <f aca="true" t="shared" si="6" ref="D72:AL79">AC12*AC12*10</f>
        <v>#VALUE!</v>
      </c>
      <c r="AD72" s="9" t="e">
        <f t="shared" si="6"/>
        <v>#VALUE!</v>
      </c>
      <c r="AE72" s="9" t="e">
        <f t="shared" si="6"/>
        <v>#VALUE!</v>
      </c>
      <c r="AF72" s="9" t="e">
        <f t="shared" si="6"/>
        <v>#VALUE!</v>
      </c>
      <c r="AG72" s="9" t="e">
        <f t="shared" si="6"/>
        <v>#VALUE!</v>
      </c>
      <c r="AH72" s="9" t="e">
        <f t="shared" si="6"/>
        <v>#VALUE!</v>
      </c>
      <c r="AI72" s="9" t="e">
        <f t="shared" si="6"/>
        <v>#VALUE!</v>
      </c>
      <c r="AJ72" s="9" t="e">
        <f t="shared" si="6"/>
        <v>#VALUE!</v>
      </c>
      <c r="AK72" s="9" t="e">
        <f t="shared" si="6"/>
        <v>#VALUE!</v>
      </c>
      <c r="AL72" s="9" t="e">
        <f t="shared" si="6"/>
        <v>#VALUE!</v>
      </c>
      <c r="AM72" s="9"/>
      <c r="AN72" s="9"/>
      <c r="AO72" s="9"/>
      <c r="AP72" s="9"/>
      <c r="AQ72" s="9"/>
      <c r="AR72" s="9"/>
      <c r="AS72" s="9"/>
    </row>
    <row r="73" spans="1:45" ht="12.75">
      <c r="A73" s="8">
        <f>AVERAGE(C73:K73)</f>
        <v>15.961222222222224</v>
      </c>
      <c r="B73" s="8" t="str">
        <f t="shared" si="2"/>
        <v>Inject P9</v>
      </c>
      <c r="C73" s="9">
        <f t="shared" si="3"/>
        <v>16.384</v>
      </c>
      <c r="D73" s="9">
        <f t="shared" si="6"/>
        <v>15.625</v>
      </c>
      <c r="E73" s="9">
        <f t="shared" si="6"/>
        <v>15.876000000000001</v>
      </c>
      <c r="F73" s="9">
        <f t="shared" si="6"/>
        <v>16.384</v>
      </c>
      <c r="G73" s="9">
        <f t="shared" si="6"/>
        <v>15.876000000000001</v>
      </c>
      <c r="H73" s="9">
        <f t="shared" si="6"/>
        <v>15.876000000000001</v>
      </c>
      <c r="I73" s="9">
        <f t="shared" si="6"/>
        <v>16.129</v>
      </c>
      <c r="J73" s="9">
        <f t="shared" si="6"/>
        <v>15.876000000000001</v>
      </c>
      <c r="K73" s="9">
        <f t="shared" si="6"/>
        <v>15.625</v>
      </c>
      <c r="L73" s="9" t="e">
        <f t="shared" si="6"/>
        <v>#VALUE!</v>
      </c>
      <c r="M73" s="9" t="e">
        <f t="shared" si="6"/>
        <v>#VALUE!</v>
      </c>
      <c r="N73" s="9" t="e">
        <f t="shared" si="6"/>
        <v>#VALUE!</v>
      </c>
      <c r="O73" s="9" t="e">
        <f t="shared" si="6"/>
        <v>#VALUE!</v>
      </c>
      <c r="P73" s="9" t="e">
        <f t="shared" si="6"/>
        <v>#VALUE!</v>
      </c>
      <c r="Q73" s="9" t="e">
        <f t="shared" si="6"/>
        <v>#VALUE!</v>
      </c>
      <c r="R73" s="9" t="e">
        <f t="shared" si="6"/>
        <v>#VALUE!</v>
      </c>
      <c r="S73" s="9" t="e">
        <f t="shared" si="6"/>
        <v>#VALUE!</v>
      </c>
      <c r="T73" s="9" t="e">
        <f t="shared" si="6"/>
        <v>#VALUE!</v>
      </c>
      <c r="U73" s="9" t="e">
        <f t="shared" si="6"/>
        <v>#VALUE!</v>
      </c>
      <c r="V73" s="9" t="e">
        <f t="shared" si="6"/>
        <v>#VALUE!</v>
      </c>
      <c r="W73" s="9" t="e">
        <f t="shared" si="6"/>
        <v>#VALUE!</v>
      </c>
      <c r="X73" s="9" t="e">
        <f t="shared" si="6"/>
        <v>#VALUE!</v>
      </c>
      <c r="Y73" s="9" t="e">
        <f t="shared" si="6"/>
        <v>#VALUE!</v>
      </c>
      <c r="Z73" s="9" t="e">
        <f t="shared" si="6"/>
        <v>#VALUE!</v>
      </c>
      <c r="AA73" s="9" t="e">
        <f t="shared" si="6"/>
        <v>#VALUE!</v>
      </c>
      <c r="AB73" s="9" t="e">
        <f t="shared" si="6"/>
        <v>#VALUE!</v>
      </c>
      <c r="AC73" s="9" t="e">
        <f t="shared" si="6"/>
        <v>#VALUE!</v>
      </c>
      <c r="AD73" s="9" t="e">
        <f t="shared" si="6"/>
        <v>#VALUE!</v>
      </c>
      <c r="AE73" s="9" t="e">
        <f t="shared" si="6"/>
        <v>#VALUE!</v>
      </c>
      <c r="AF73" s="9" t="e">
        <f t="shared" si="6"/>
        <v>#VALUE!</v>
      </c>
      <c r="AG73" s="9" t="e">
        <f t="shared" si="6"/>
        <v>#VALUE!</v>
      </c>
      <c r="AH73" s="9" t="e">
        <f t="shared" si="6"/>
        <v>#VALUE!</v>
      </c>
      <c r="AI73" s="9" t="e">
        <f t="shared" si="6"/>
        <v>#VALUE!</v>
      </c>
      <c r="AJ73" s="9" t="e">
        <f t="shared" si="6"/>
        <v>#VALUE!</v>
      </c>
      <c r="AK73" s="9" t="e">
        <f t="shared" si="6"/>
        <v>#VALUE!</v>
      </c>
      <c r="AL73" s="9" t="e">
        <f t="shared" si="6"/>
        <v>#VALUE!</v>
      </c>
      <c r="AM73" s="9"/>
      <c r="AN73" s="9"/>
      <c r="AO73" s="9"/>
      <c r="AP73" s="9"/>
      <c r="AQ73" s="9"/>
      <c r="AR73" s="9"/>
      <c r="AS73" s="9"/>
    </row>
    <row r="74" spans="1:45" ht="12.75">
      <c r="A74" s="8">
        <f>AVERAGE(C74:L74)</f>
        <v>15.7513</v>
      </c>
      <c r="B74" s="8" t="str">
        <f t="shared" si="2"/>
        <v>Inject P10</v>
      </c>
      <c r="C74" s="9">
        <f t="shared" si="3"/>
        <v>15.876000000000001</v>
      </c>
      <c r="D74" s="9">
        <f t="shared" si="6"/>
        <v>15.376000000000001</v>
      </c>
      <c r="E74" s="9">
        <f t="shared" si="6"/>
        <v>15.625</v>
      </c>
      <c r="F74" s="9">
        <f t="shared" si="6"/>
        <v>15.876000000000001</v>
      </c>
      <c r="G74" s="9">
        <f t="shared" si="6"/>
        <v>15.625</v>
      </c>
      <c r="H74" s="9">
        <f t="shared" si="6"/>
        <v>15.376000000000001</v>
      </c>
      <c r="I74" s="9">
        <f t="shared" si="6"/>
        <v>16.129</v>
      </c>
      <c r="J74" s="9">
        <f t="shared" si="6"/>
        <v>15.876000000000001</v>
      </c>
      <c r="K74" s="9">
        <f t="shared" si="6"/>
        <v>16.129</v>
      </c>
      <c r="L74" s="9">
        <f t="shared" si="6"/>
        <v>15.625</v>
      </c>
      <c r="M74" s="9" t="e">
        <f t="shared" si="6"/>
        <v>#VALUE!</v>
      </c>
      <c r="N74" s="9" t="e">
        <f t="shared" si="6"/>
        <v>#VALUE!</v>
      </c>
      <c r="O74" s="9" t="e">
        <f t="shared" si="6"/>
        <v>#VALUE!</v>
      </c>
      <c r="P74" s="9" t="e">
        <f t="shared" si="6"/>
        <v>#VALUE!</v>
      </c>
      <c r="Q74" s="9" t="e">
        <f t="shared" si="6"/>
        <v>#VALUE!</v>
      </c>
      <c r="R74" s="9" t="e">
        <f t="shared" si="6"/>
        <v>#VALUE!</v>
      </c>
      <c r="S74" s="9" t="e">
        <f t="shared" si="6"/>
        <v>#VALUE!</v>
      </c>
      <c r="T74" s="9" t="e">
        <f t="shared" si="6"/>
        <v>#VALUE!</v>
      </c>
      <c r="U74" s="9" t="e">
        <f t="shared" si="6"/>
        <v>#VALUE!</v>
      </c>
      <c r="V74" s="9" t="e">
        <f t="shared" si="6"/>
        <v>#VALUE!</v>
      </c>
      <c r="W74" s="9" t="e">
        <f t="shared" si="6"/>
        <v>#VALUE!</v>
      </c>
      <c r="X74" s="9" t="e">
        <f t="shared" si="6"/>
        <v>#VALUE!</v>
      </c>
      <c r="Y74" s="9" t="e">
        <f t="shared" si="6"/>
        <v>#VALUE!</v>
      </c>
      <c r="Z74" s="9" t="e">
        <f t="shared" si="6"/>
        <v>#VALUE!</v>
      </c>
      <c r="AA74" s="9" t="e">
        <f t="shared" si="6"/>
        <v>#VALUE!</v>
      </c>
      <c r="AB74" s="9" t="e">
        <f t="shared" si="6"/>
        <v>#VALUE!</v>
      </c>
      <c r="AC74" s="9" t="e">
        <f t="shared" si="6"/>
        <v>#VALUE!</v>
      </c>
      <c r="AD74" s="9" t="e">
        <f t="shared" si="6"/>
        <v>#VALUE!</v>
      </c>
      <c r="AE74" s="9" t="e">
        <f t="shared" si="6"/>
        <v>#VALUE!</v>
      </c>
      <c r="AF74" s="9" t="e">
        <f t="shared" si="6"/>
        <v>#VALUE!</v>
      </c>
      <c r="AG74" s="9" t="e">
        <f t="shared" si="6"/>
        <v>#VALUE!</v>
      </c>
      <c r="AH74" s="9" t="e">
        <f t="shared" si="6"/>
        <v>#VALUE!</v>
      </c>
      <c r="AI74" s="9" t="e">
        <f t="shared" si="6"/>
        <v>#VALUE!</v>
      </c>
      <c r="AJ74" s="9" t="e">
        <f t="shared" si="6"/>
        <v>#VALUE!</v>
      </c>
      <c r="AK74" s="9" t="e">
        <f t="shared" si="6"/>
        <v>#VALUE!</v>
      </c>
      <c r="AL74" s="9" t="e">
        <f t="shared" si="6"/>
        <v>#VALUE!</v>
      </c>
      <c r="AM74" s="9"/>
      <c r="AN74" s="9"/>
      <c r="AO74" s="9"/>
      <c r="AP74" s="9"/>
      <c r="AQ74" s="9"/>
      <c r="AR74" s="9"/>
      <c r="AS74" s="9"/>
    </row>
    <row r="75" spans="1:45" ht="12.75">
      <c r="A75" s="8">
        <f>AVERAGE(C75:M75)</f>
        <v>16.107272727272726</v>
      </c>
      <c r="B75" s="8" t="str">
        <f t="shared" si="2"/>
        <v>Inject P11</v>
      </c>
      <c r="C75" s="9">
        <f t="shared" si="3"/>
        <v>16.384</v>
      </c>
      <c r="D75" s="9">
        <f t="shared" si="6"/>
        <v>15.625</v>
      </c>
      <c r="E75" s="9">
        <f t="shared" si="6"/>
        <v>15.876000000000001</v>
      </c>
      <c r="F75" s="9">
        <f t="shared" si="6"/>
        <v>16.641000000000002</v>
      </c>
      <c r="G75" s="9">
        <f t="shared" si="6"/>
        <v>16.129</v>
      </c>
      <c r="H75" s="9">
        <f t="shared" si="6"/>
        <v>15.625</v>
      </c>
      <c r="I75" s="9">
        <f t="shared" si="6"/>
        <v>16.129</v>
      </c>
      <c r="J75" s="9">
        <f t="shared" si="6"/>
        <v>16.129</v>
      </c>
      <c r="K75" s="9">
        <f t="shared" si="6"/>
        <v>16.129</v>
      </c>
      <c r="L75" s="9">
        <f t="shared" si="6"/>
        <v>16.384</v>
      </c>
      <c r="M75" s="9">
        <f t="shared" si="6"/>
        <v>16.129</v>
      </c>
      <c r="N75" s="9" t="e">
        <f t="shared" si="6"/>
        <v>#VALUE!</v>
      </c>
      <c r="O75" s="9" t="e">
        <f t="shared" si="6"/>
        <v>#VALUE!</v>
      </c>
      <c r="P75" s="9" t="e">
        <f t="shared" si="6"/>
        <v>#VALUE!</v>
      </c>
      <c r="Q75" s="9" t="e">
        <f t="shared" si="6"/>
        <v>#VALUE!</v>
      </c>
      <c r="R75" s="9" t="e">
        <f t="shared" si="6"/>
        <v>#VALUE!</v>
      </c>
      <c r="S75" s="9" t="e">
        <f t="shared" si="6"/>
        <v>#VALUE!</v>
      </c>
      <c r="T75" s="9" t="e">
        <f t="shared" si="6"/>
        <v>#VALUE!</v>
      </c>
      <c r="U75" s="9" t="e">
        <f t="shared" si="6"/>
        <v>#VALUE!</v>
      </c>
      <c r="V75" s="9" t="e">
        <f t="shared" si="6"/>
        <v>#VALUE!</v>
      </c>
      <c r="W75" s="9" t="e">
        <f t="shared" si="6"/>
        <v>#VALUE!</v>
      </c>
      <c r="X75" s="9" t="e">
        <f t="shared" si="6"/>
        <v>#VALUE!</v>
      </c>
      <c r="Y75" s="9" t="e">
        <f t="shared" si="6"/>
        <v>#VALUE!</v>
      </c>
      <c r="Z75" s="9" t="e">
        <f t="shared" si="6"/>
        <v>#VALUE!</v>
      </c>
      <c r="AA75" s="9" t="e">
        <f t="shared" si="6"/>
        <v>#VALUE!</v>
      </c>
      <c r="AB75" s="9" t="e">
        <f t="shared" si="6"/>
        <v>#VALUE!</v>
      </c>
      <c r="AC75" s="9" t="e">
        <f t="shared" si="6"/>
        <v>#VALUE!</v>
      </c>
      <c r="AD75" s="9" t="e">
        <f t="shared" si="6"/>
        <v>#VALUE!</v>
      </c>
      <c r="AE75" s="9" t="e">
        <f t="shared" si="6"/>
        <v>#VALUE!</v>
      </c>
      <c r="AF75" s="9" t="e">
        <f t="shared" si="6"/>
        <v>#VALUE!</v>
      </c>
      <c r="AG75" s="9" t="e">
        <f t="shared" si="6"/>
        <v>#VALUE!</v>
      </c>
      <c r="AH75" s="9" t="e">
        <f t="shared" si="6"/>
        <v>#VALUE!</v>
      </c>
      <c r="AI75" s="9" t="e">
        <f t="shared" si="6"/>
        <v>#VALUE!</v>
      </c>
      <c r="AJ75" s="9" t="e">
        <f t="shared" si="6"/>
        <v>#VALUE!</v>
      </c>
      <c r="AK75" s="9" t="e">
        <f t="shared" si="6"/>
        <v>#VALUE!</v>
      </c>
      <c r="AL75" s="9" t="e">
        <f t="shared" si="6"/>
        <v>#VALUE!</v>
      </c>
      <c r="AM75" s="9"/>
      <c r="AN75" s="9"/>
      <c r="AO75" s="9"/>
      <c r="AP75" s="9"/>
      <c r="AQ75" s="9"/>
      <c r="AR75" s="9"/>
      <c r="AS75" s="9"/>
    </row>
    <row r="76" spans="1:45" ht="12.75">
      <c r="A76" s="8">
        <f>AVERAGE(C76:N76)</f>
        <v>15.898083333333334</v>
      </c>
      <c r="B76" s="8" t="str">
        <f t="shared" si="2"/>
        <v>Inject P12</v>
      </c>
      <c r="C76" s="9">
        <f t="shared" si="3"/>
        <v>16.129</v>
      </c>
      <c r="D76" s="9">
        <f t="shared" si="6"/>
        <v>15.876000000000001</v>
      </c>
      <c r="E76" s="9">
        <f t="shared" si="6"/>
        <v>16.129</v>
      </c>
      <c r="F76" s="9">
        <f t="shared" si="6"/>
        <v>16.129</v>
      </c>
      <c r="G76" s="9">
        <f t="shared" si="6"/>
        <v>15.876000000000001</v>
      </c>
      <c r="H76" s="9">
        <f t="shared" si="6"/>
        <v>15.876000000000001</v>
      </c>
      <c r="I76" s="9">
        <f t="shared" si="6"/>
        <v>16.384</v>
      </c>
      <c r="J76" s="9">
        <f t="shared" si="6"/>
        <v>15.876000000000001</v>
      </c>
      <c r="K76" s="9">
        <f t="shared" si="6"/>
        <v>15.625</v>
      </c>
      <c r="L76" s="9">
        <f t="shared" si="6"/>
        <v>15.625</v>
      </c>
      <c r="M76" s="9">
        <f t="shared" si="6"/>
        <v>15.876000000000001</v>
      </c>
      <c r="N76" s="9">
        <f t="shared" si="6"/>
        <v>15.376000000000001</v>
      </c>
      <c r="O76" s="9" t="e">
        <f t="shared" si="6"/>
        <v>#VALUE!</v>
      </c>
      <c r="P76" s="9" t="e">
        <f t="shared" si="6"/>
        <v>#VALUE!</v>
      </c>
      <c r="Q76" s="9" t="e">
        <f t="shared" si="6"/>
        <v>#VALUE!</v>
      </c>
      <c r="R76" s="9" t="e">
        <f t="shared" si="6"/>
        <v>#VALUE!</v>
      </c>
      <c r="S76" s="9" t="e">
        <f t="shared" si="6"/>
        <v>#VALUE!</v>
      </c>
      <c r="T76" s="9" t="e">
        <f t="shared" si="6"/>
        <v>#VALUE!</v>
      </c>
      <c r="U76" s="9" t="e">
        <f t="shared" si="6"/>
        <v>#VALUE!</v>
      </c>
      <c r="V76" s="9" t="e">
        <f t="shared" si="6"/>
        <v>#VALUE!</v>
      </c>
      <c r="W76" s="9" t="e">
        <f t="shared" si="6"/>
        <v>#VALUE!</v>
      </c>
      <c r="X76" s="9" t="e">
        <f t="shared" si="6"/>
        <v>#VALUE!</v>
      </c>
      <c r="Y76" s="9" t="e">
        <f t="shared" si="6"/>
        <v>#VALUE!</v>
      </c>
      <c r="Z76" s="9" t="e">
        <f t="shared" si="6"/>
        <v>#VALUE!</v>
      </c>
      <c r="AA76" s="9" t="e">
        <f t="shared" si="6"/>
        <v>#VALUE!</v>
      </c>
      <c r="AB76" s="9" t="e">
        <f t="shared" si="6"/>
        <v>#VALUE!</v>
      </c>
      <c r="AC76" s="9" t="e">
        <f t="shared" si="6"/>
        <v>#VALUE!</v>
      </c>
      <c r="AD76" s="9" t="e">
        <f t="shared" si="6"/>
        <v>#VALUE!</v>
      </c>
      <c r="AE76" s="9" t="e">
        <f t="shared" si="6"/>
        <v>#VALUE!</v>
      </c>
      <c r="AF76" s="9" t="e">
        <f t="shared" si="6"/>
        <v>#VALUE!</v>
      </c>
      <c r="AG76" s="9" t="e">
        <f t="shared" si="6"/>
        <v>#VALUE!</v>
      </c>
      <c r="AH76" s="9" t="e">
        <f t="shared" si="6"/>
        <v>#VALUE!</v>
      </c>
      <c r="AI76" s="9" t="e">
        <f t="shared" si="6"/>
        <v>#VALUE!</v>
      </c>
      <c r="AJ76" s="9" t="e">
        <f t="shared" si="6"/>
        <v>#VALUE!</v>
      </c>
      <c r="AK76" s="9" t="e">
        <f t="shared" si="6"/>
        <v>#VALUE!</v>
      </c>
      <c r="AL76" s="9" t="e">
        <f t="shared" si="6"/>
        <v>#VALUE!</v>
      </c>
      <c r="AM76" s="9"/>
      <c r="AN76" s="9"/>
      <c r="AO76" s="9"/>
      <c r="AP76" s="9"/>
      <c r="AQ76" s="9"/>
      <c r="AR76" s="9"/>
      <c r="AS76" s="9"/>
    </row>
    <row r="77" spans="1:45" ht="12.75">
      <c r="A77" s="8">
        <f>AVERAGE(C77:O77)</f>
        <v>16.14984615384615</v>
      </c>
      <c r="B77" s="8" t="str">
        <f t="shared" si="2"/>
        <v>Inject P13</v>
      </c>
      <c r="C77" s="9">
        <f t="shared" si="3"/>
        <v>16.384</v>
      </c>
      <c r="D77" s="9">
        <f t="shared" si="6"/>
        <v>15.376000000000001</v>
      </c>
      <c r="E77" s="9">
        <f t="shared" si="6"/>
        <v>16.129</v>
      </c>
      <c r="F77" s="9">
        <f t="shared" si="6"/>
        <v>16.641000000000002</v>
      </c>
      <c r="G77" s="9">
        <f t="shared" si="6"/>
        <v>16.129</v>
      </c>
      <c r="H77" s="9">
        <f t="shared" si="6"/>
        <v>15.876000000000001</v>
      </c>
      <c r="I77" s="9">
        <f t="shared" si="6"/>
        <v>16.384</v>
      </c>
      <c r="J77" s="9">
        <f t="shared" si="6"/>
        <v>16.129</v>
      </c>
      <c r="K77" s="9">
        <f t="shared" si="6"/>
        <v>16.129</v>
      </c>
      <c r="L77" s="9">
        <f t="shared" si="6"/>
        <v>16.384</v>
      </c>
      <c r="M77" s="9">
        <f t="shared" si="6"/>
        <v>16.129</v>
      </c>
      <c r="N77" s="9">
        <f t="shared" si="6"/>
        <v>16.129</v>
      </c>
      <c r="O77" s="9">
        <f t="shared" si="6"/>
        <v>16.129</v>
      </c>
      <c r="P77" s="9" t="e">
        <f t="shared" si="6"/>
        <v>#VALUE!</v>
      </c>
      <c r="Q77" s="9" t="e">
        <f t="shared" si="6"/>
        <v>#VALUE!</v>
      </c>
      <c r="R77" s="9" t="e">
        <f t="shared" si="6"/>
        <v>#VALUE!</v>
      </c>
      <c r="S77" s="9" t="e">
        <f t="shared" si="6"/>
        <v>#VALUE!</v>
      </c>
      <c r="T77" s="9" t="e">
        <f t="shared" si="6"/>
        <v>#VALUE!</v>
      </c>
      <c r="U77" s="9" t="e">
        <f t="shared" si="6"/>
        <v>#VALUE!</v>
      </c>
      <c r="V77" s="9" t="e">
        <f t="shared" si="6"/>
        <v>#VALUE!</v>
      </c>
      <c r="W77" s="9" t="e">
        <f t="shared" si="6"/>
        <v>#VALUE!</v>
      </c>
      <c r="X77" s="9" t="e">
        <f t="shared" si="6"/>
        <v>#VALUE!</v>
      </c>
      <c r="Y77" s="9" t="e">
        <f t="shared" si="6"/>
        <v>#VALUE!</v>
      </c>
      <c r="Z77" s="9" t="e">
        <f t="shared" si="6"/>
        <v>#VALUE!</v>
      </c>
      <c r="AA77" s="9" t="e">
        <f t="shared" si="6"/>
        <v>#VALUE!</v>
      </c>
      <c r="AB77" s="9" t="e">
        <f t="shared" si="6"/>
        <v>#VALUE!</v>
      </c>
      <c r="AC77" s="9" t="e">
        <f t="shared" si="6"/>
        <v>#VALUE!</v>
      </c>
      <c r="AD77" s="9" t="e">
        <f t="shared" si="6"/>
        <v>#VALUE!</v>
      </c>
      <c r="AE77" s="9" t="e">
        <f t="shared" si="6"/>
        <v>#VALUE!</v>
      </c>
      <c r="AF77" s="9" t="e">
        <f t="shared" si="6"/>
        <v>#VALUE!</v>
      </c>
      <c r="AG77" s="9" t="e">
        <f t="shared" si="6"/>
        <v>#VALUE!</v>
      </c>
      <c r="AH77" s="9" t="e">
        <f t="shared" si="6"/>
        <v>#VALUE!</v>
      </c>
      <c r="AI77" s="9" t="e">
        <f t="shared" si="6"/>
        <v>#VALUE!</v>
      </c>
      <c r="AJ77" s="9" t="e">
        <f t="shared" si="6"/>
        <v>#VALUE!</v>
      </c>
      <c r="AK77" s="9" t="e">
        <f t="shared" si="6"/>
        <v>#VALUE!</v>
      </c>
      <c r="AL77" s="9" t="e">
        <f t="shared" si="6"/>
        <v>#VALUE!</v>
      </c>
      <c r="AM77" s="9"/>
      <c r="AN77" s="9"/>
      <c r="AO77" s="9"/>
      <c r="AP77" s="9"/>
      <c r="AQ77" s="9"/>
      <c r="AR77" s="9"/>
      <c r="AS77" s="9"/>
    </row>
    <row r="78" spans="1:45" ht="12.75">
      <c r="A78" s="8">
        <f>AVERAGE(C78:P78)</f>
        <v>15.931071428571428</v>
      </c>
      <c r="B78" s="8" t="str">
        <f t="shared" si="2"/>
        <v>Inject P14</v>
      </c>
      <c r="C78" s="9">
        <f t="shared" si="3"/>
        <v>16.129</v>
      </c>
      <c r="D78" s="9">
        <f t="shared" si="6"/>
        <v>15.876000000000001</v>
      </c>
      <c r="E78" s="9">
        <f t="shared" si="6"/>
        <v>15.625</v>
      </c>
      <c r="F78" s="9">
        <f t="shared" si="6"/>
        <v>15.876000000000001</v>
      </c>
      <c r="G78" s="9">
        <f t="shared" si="6"/>
        <v>16.384</v>
      </c>
      <c r="H78" s="9">
        <f t="shared" si="6"/>
        <v>15.625</v>
      </c>
      <c r="I78" s="9">
        <f t="shared" si="6"/>
        <v>16.384</v>
      </c>
      <c r="J78" s="9">
        <f t="shared" si="6"/>
        <v>16.129</v>
      </c>
      <c r="K78" s="9">
        <f t="shared" si="6"/>
        <v>16.129</v>
      </c>
      <c r="L78" s="9">
        <f t="shared" si="6"/>
        <v>15.625</v>
      </c>
      <c r="M78" s="9">
        <f t="shared" si="6"/>
        <v>15.876000000000001</v>
      </c>
      <c r="N78" s="9">
        <f t="shared" si="6"/>
        <v>15.876000000000001</v>
      </c>
      <c r="O78" s="9">
        <f t="shared" si="6"/>
        <v>15.876000000000001</v>
      </c>
      <c r="P78" s="9">
        <f t="shared" si="6"/>
        <v>15.625</v>
      </c>
      <c r="Q78" s="9" t="e">
        <f t="shared" si="6"/>
        <v>#VALUE!</v>
      </c>
      <c r="R78" s="9" t="e">
        <f t="shared" si="6"/>
        <v>#VALUE!</v>
      </c>
      <c r="S78" s="9" t="e">
        <f t="shared" si="6"/>
        <v>#VALUE!</v>
      </c>
      <c r="T78" s="9" t="e">
        <f t="shared" si="6"/>
        <v>#VALUE!</v>
      </c>
      <c r="U78" s="9" t="e">
        <f t="shared" si="6"/>
        <v>#VALUE!</v>
      </c>
      <c r="V78" s="9" t="e">
        <f t="shared" si="6"/>
        <v>#VALUE!</v>
      </c>
      <c r="W78" s="9" t="e">
        <f t="shared" si="6"/>
        <v>#VALUE!</v>
      </c>
      <c r="X78" s="9" t="e">
        <f t="shared" si="6"/>
        <v>#VALUE!</v>
      </c>
      <c r="Y78" s="9" t="e">
        <f t="shared" si="6"/>
        <v>#VALUE!</v>
      </c>
      <c r="Z78" s="9" t="e">
        <f t="shared" si="6"/>
        <v>#VALUE!</v>
      </c>
      <c r="AA78" s="9" t="e">
        <f t="shared" si="6"/>
        <v>#VALUE!</v>
      </c>
      <c r="AB78" s="9" t="e">
        <f t="shared" si="6"/>
        <v>#VALUE!</v>
      </c>
      <c r="AC78" s="9" t="e">
        <f t="shared" si="6"/>
        <v>#VALUE!</v>
      </c>
      <c r="AD78" s="9" t="e">
        <f t="shared" si="6"/>
        <v>#VALUE!</v>
      </c>
      <c r="AE78" s="9" t="e">
        <f t="shared" si="6"/>
        <v>#VALUE!</v>
      </c>
      <c r="AF78" s="9" t="e">
        <f t="shared" si="6"/>
        <v>#VALUE!</v>
      </c>
      <c r="AG78" s="9" t="e">
        <f t="shared" si="6"/>
        <v>#VALUE!</v>
      </c>
      <c r="AH78" s="9" t="e">
        <f t="shared" si="6"/>
        <v>#VALUE!</v>
      </c>
      <c r="AI78" s="9" t="e">
        <f t="shared" si="6"/>
        <v>#VALUE!</v>
      </c>
      <c r="AJ78" s="9" t="e">
        <f t="shared" si="6"/>
        <v>#VALUE!</v>
      </c>
      <c r="AK78" s="9" t="e">
        <f t="shared" si="6"/>
        <v>#VALUE!</v>
      </c>
      <c r="AL78" s="9" t="e">
        <f t="shared" si="6"/>
        <v>#VALUE!</v>
      </c>
      <c r="AM78" s="9"/>
      <c r="AN78" s="9"/>
      <c r="AO78" s="9"/>
      <c r="AP78" s="9"/>
      <c r="AQ78" s="9"/>
      <c r="AR78" s="9"/>
      <c r="AS78" s="9"/>
    </row>
    <row r="79" spans="1:45" ht="12.75">
      <c r="A79" s="8">
        <f>AVERAGE(C79:Q79)</f>
        <v>15.944933333333333</v>
      </c>
      <c r="B79" s="8" t="str">
        <f t="shared" si="2"/>
        <v>Inject P15</v>
      </c>
      <c r="C79" s="9">
        <f t="shared" si="3"/>
        <v>16.641000000000002</v>
      </c>
      <c r="D79" s="9">
        <f t="shared" si="6"/>
        <v>15.625</v>
      </c>
      <c r="E79" s="9">
        <f t="shared" si="6"/>
        <v>15.625</v>
      </c>
      <c r="F79" s="9">
        <f t="shared" si="6"/>
        <v>16.384</v>
      </c>
      <c r="G79" s="9">
        <f t="shared" si="6"/>
        <v>16.129</v>
      </c>
      <c r="H79" s="9">
        <f t="shared" si="6"/>
        <v>15.625</v>
      </c>
      <c r="I79" s="9">
        <f t="shared" si="6"/>
        <v>16.129</v>
      </c>
      <c r="J79" s="9">
        <f t="shared" si="6"/>
        <v>16.129</v>
      </c>
      <c r="K79" s="9">
        <f t="shared" si="6"/>
        <v>15.376000000000001</v>
      </c>
      <c r="L79" s="9">
        <f t="shared" si="6"/>
        <v>16.129</v>
      </c>
      <c r="M79" s="9">
        <f t="shared" si="6"/>
        <v>16.129</v>
      </c>
      <c r="N79" s="9">
        <f t="shared" si="6"/>
        <v>15.876000000000001</v>
      </c>
      <c r="O79" s="9">
        <f t="shared" si="6"/>
        <v>15.876000000000001</v>
      </c>
      <c r="P79" s="9">
        <f t="shared" si="6"/>
        <v>15.625</v>
      </c>
      <c r="Q79" s="9">
        <f t="shared" si="6"/>
        <v>15.876000000000001</v>
      </c>
      <c r="R79" s="9" t="e">
        <f t="shared" si="6"/>
        <v>#VALUE!</v>
      </c>
      <c r="S79" s="9" t="e">
        <f t="shared" si="6"/>
        <v>#VALUE!</v>
      </c>
      <c r="T79" s="9" t="e">
        <f t="shared" si="6"/>
        <v>#VALUE!</v>
      </c>
      <c r="U79" s="9" t="e">
        <f t="shared" si="6"/>
        <v>#VALUE!</v>
      </c>
      <c r="V79" s="9" t="e">
        <f t="shared" si="6"/>
        <v>#VALUE!</v>
      </c>
      <c r="W79" s="9" t="e">
        <f t="shared" si="6"/>
        <v>#VALUE!</v>
      </c>
      <c r="X79" s="9" t="e">
        <f t="shared" si="6"/>
        <v>#VALUE!</v>
      </c>
      <c r="Y79" s="9" t="e">
        <f t="shared" si="6"/>
        <v>#VALUE!</v>
      </c>
      <c r="Z79" s="9" t="e">
        <f t="shared" si="6"/>
        <v>#VALUE!</v>
      </c>
      <c r="AA79" s="9" t="e">
        <f t="shared" si="6"/>
        <v>#VALUE!</v>
      </c>
      <c r="AB79" s="9" t="e">
        <f t="shared" si="6"/>
        <v>#VALUE!</v>
      </c>
      <c r="AC79" s="9" t="e">
        <f t="shared" si="6"/>
        <v>#VALUE!</v>
      </c>
      <c r="AD79" s="9" t="e">
        <f t="shared" si="6"/>
        <v>#VALUE!</v>
      </c>
      <c r="AE79" s="9" t="e">
        <f t="shared" si="6"/>
        <v>#VALUE!</v>
      </c>
      <c r="AF79" s="9" t="e">
        <f t="shared" si="6"/>
        <v>#VALUE!</v>
      </c>
      <c r="AG79" s="9" t="e">
        <f t="shared" si="6"/>
        <v>#VALUE!</v>
      </c>
      <c r="AH79" s="9" t="e">
        <f t="shared" si="6"/>
        <v>#VALUE!</v>
      </c>
      <c r="AI79" s="9" t="e">
        <f t="shared" si="6"/>
        <v>#VALUE!</v>
      </c>
      <c r="AJ79" s="9" t="e">
        <f t="shared" si="6"/>
        <v>#VALUE!</v>
      </c>
      <c r="AK79" s="9" t="e">
        <f t="shared" si="6"/>
        <v>#VALUE!</v>
      </c>
      <c r="AL79" s="9" t="e">
        <f t="shared" si="6"/>
        <v>#VALUE!</v>
      </c>
      <c r="AM79" s="9"/>
      <c r="AN79" s="9"/>
      <c r="AO79" s="9"/>
      <c r="AP79" s="9"/>
      <c r="AQ79" s="9"/>
      <c r="AR79" s="9"/>
      <c r="AS79" s="9"/>
    </row>
    <row r="80" spans="1:45" ht="12.75">
      <c r="A80" s="8">
        <f>AVERAGE(C80:R80)</f>
        <v>16.432937499999998</v>
      </c>
      <c r="B80" s="8" t="str">
        <f t="shared" si="2"/>
        <v>Inject P16</v>
      </c>
      <c r="C80" s="9">
        <f t="shared" si="3"/>
        <v>16.129</v>
      </c>
      <c r="D80" s="9">
        <f aca="true" t="shared" si="7" ref="D80:AL87">D20*D20*10</f>
        <v>16.384</v>
      </c>
      <c r="E80" s="9">
        <f t="shared" si="7"/>
        <v>16.129</v>
      </c>
      <c r="F80" s="9">
        <f t="shared" si="7"/>
        <v>16.641000000000002</v>
      </c>
      <c r="G80" s="9">
        <f t="shared" si="7"/>
        <v>16.900000000000002</v>
      </c>
      <c r="H80" s="9">
        <f t="shared" si="7"/>
        <v>16.129</v>
      </c>
      <c r="I80" s="9">
        <f t="shared" si="7"/>
        <v>16.384</v>
      </c>
      <c r="J80" s="9">
        <f t="shared" si="7"/>
        <v>16.129</v>
      </c>
      <c r="K80" s="9">
        <f t="shared" si="7"/>
        <v>16.129</v>
      </c>
      <c r="L80" s="9">
        <f t="shared" si="7"/>
        <v>16.641000000000002</v>
      </c>
      <c r="M80" s="9">
        <f t="shared" si="7"/>
        <v>16.384</v>
      </c>
      <c r="N80" s="9">
        <f t="shared" si="7"/>
        <v>16.384</v>
      </c>
      <c r="O80" s="9">
        <f t="shared" si="7"/>
        <v>16.641000000000002</v>
      </c>
      <c r="P80" s="9">
        <f t="shared" si="7"/>
        <v>16.641000000000002</v>
      </c>
      <c r="Q80" s="9">
        <f t="shared" si="7"/>
        <v>16.641000000000002</v>
      </c>
      <c r="R80" s="9">
        <f t="shared" si="7"/>
        <v>16.641000000000002</v>
      </c>
      <c r="S80" s="9" t="e">
        <f t="shared" si="7"/>
        <v>#VALUE!</v>
      </c>
      <c r="T80" s="9" t="e">
        <f t="shared" si="7"/>
        <v>#VALUE!</v>
      </c>
      <c r="U80" s="9" t="e">
        <f t="shared" si="7"/>
        <v>#VALUE!</v>
      </c>
      <c r="V80" s="9" t="e">
        <f t="shared" si="7"/>
        <v>#VALUE!</v>
      </c>
      <c r="W80" s="9" t="e">
        <f t="shared" si="7"/>
        <v>#VALUE!</v>
      </c>
      <c r="X80" s="9" t="e">
        <f t="shared" si="7"/>
        <v>#VALUE!</v>
      </c>
      <c r="Y80" s="9" t="e">
        <f t="shared" si="7"/>
        <v>#VALUE!</v>
      </c>
      <c r="Z80" s="9" t="e">
        <f t="shared" si="7"/>
        <v>#VALUE!</v>
      </c>
      <c r="AA80" s="9" t="e">
        <f t="shared" si="7"/>
        <v>#VALUE!</v>
      </c>
      <c r="AB80" s="9" t="e">
        <f t="shared" si="7"/>
        <v>#VALUE!</v>
      </c>
      <c r="AC80" s="9" t="e">
        <f t="shared" si="7"/>
        <v>#VALUE!</v>
      </c>
      <c r="AD80" s="9" t="e">
        <f t="shared" si="7"/>
        <v>#VALUE!</v>
      </c>
      <c r="AE80" s="9" t="e">
        <f t="shared" si="7"/>
        <v>#VALUE!</v>
      </c>
      <c r="AF80" s="9" t="e">
        <f t="shared" si="7"/>
        <v>#VALUE!</v>
      </c>
      <c r="AG80" s="9" t="e">
        <f t="shared" si="7"/>
        <v>#VALUE!</v>
      </c>
      <c r="AH80" s="9" t="e">
        <f t="shared" si="7"/>
        <v>#VALUE!</v>
      </c>
      <c r="AI80" s="9" t="e">
        <f t="shared" si="7"/>
        <v>#VALUE!</v>
      </c>
      <c r="AJ80" s="9" t="e">
        <f t="shared" si="7"/>
        <v>#VALUE!</v>
      </c>
      <c r="AK80" s="9" t="e">
        <f t="shared" si="7"/>
        <v>#VALUE!</v>
      </c>
      <c r="AL80" s="9" t="e">
        <f t="shared" si="7"/>
        <v>#VALUE!</v>
      </c>
      <c r="AM80" s="9"/>
      <c r="AN80" s="9"/>
      <c r="AO80" s="9"/>
      <c r="AP80" s="9"/>
      <c r="AQ80" s="9"/>
      <c r="AR80" s="9"/>
      <c r="AS80" s="9"/>
    </row>
    <row r="81" spans="1:45" ht="12.75">
      <c r="A81" s="8">
        <f>AVERAGE(C81:S81)</f>
        <v>16.07041176470588</v>
      </c>
      <c r="B81" s="8" t="str">
        <f t="shared" si="2"/>
        <v>Inject P17</v>
      </c>
      <c r="C81" s="9">
        <f t="shared" si="3"/>
        <v>16.384</v>
      </c>
      <c r="D81" s="9">
        <f t="shared" si="7"/>
        <v>15.876000000000001</v>
      </c>
      <c r="E81" s="9">
        <f t="shared" si="7"/>
        <v>15.625</v>
      </c>
      <c r="F81" s="9">
        <f t="shared" si="7"/>
        <v>15.876000000000001</v>
      </c>
      <c r="G81" s="9">
        <f t="shared" si="7"/>
        <v>15.876000000000001</v>
      </c>
      <c r="H81" s="9">
        <f t="shared" si="7"/>
        <v>16.129</v>
      </c>
      <c r="I81" s="9">
        <f t="shared" si="7"/>
        <v>16.384</v>
      </c>
      <c r="J81" s="9">
        <f t="shared" si="7"/>
        <v>16.129</v>
      </c>
      <c r="K81" s="9">
        <f t="shared" si="7"/>
        <v>15.625</v>
      </c>
      <c r="L81" s="9">
        <f t="shared" si="7"/>
        <v>16.384</v>
      </c>
      <c r="M81" s="9">
        <f t="shared" si="7"/>
        <v>16.129</v>
      </c>
      <c r="N81" s="9">
        <f t="shared" si="7"/>
        <v>16.129</v>
      </c>
      <c r="O81" s="9">
        <f t="shared" si="7"/>
        <v>15.876000000000001</v>
      </c>
      <c r="P81" s="9">
        <f t="shared" si="7"/>
        <v>16.129</v>
      </c>
      <c r="Q81" s="9">
        <f t="shared" si="7"/>
        <v>16.129</v>
      </c>
      <c r="R81" s="9">
        <f t="shared" si="7"/>
        <v>16.641000000000002</v>
      </c>
      <c r="S81" s="9">
        <f t="shared" si="7"/>
        <v>15.876000000000001</v>
      </c>
      <c r="T81" s="9" t="e">
        <f t="shared" si="7"/>
        <v>#VALUE!</v>
      </c>
      <c r="U81" s="9" t="e">
        <f t="shared" si="7"/>
        <v>#VALUE!</v>
      </c>
      <c r="V81" s="9" t="e">
        <f t="shared" si="7"/>
        <v>#VALUE!</v>
      </c>
      <c r="W81" s="9" t="e">
        <f t="shared" si="7"/>
        <v>#VALUE!</v>
      </c>
      <c r="X81" s="9" t="e">
        <f t="shared" si="7"/>
        <v>#VALUE!</v>
      </c>
      <c r="Y81" s="9" t="e">
        <f t="shared" si="7"/>
        <v>#VALUE!</v>
      </c>
      <c r="Z81" s="9" t="e">
        <f t="shared" si="7"/>
        <v>#VALUE!</v>
      </c>
      <c r="AA81" s="9" t="e">
        <f t="shared" si="7"/>
        <v>#VALUE!</v>
      </c>
      <c r="AB81" s="9" t="e">
        <f t="shared" si="7"/>
        <v>#VALUE!</v>
      </c>
      <c r="AC81" s="9" t="e">
        <f t="shared" si="7"/>
        <v>#VALUE!</v>
      </c>
      <c r="AD81" s="9" t="e">
        <f t="shared" si="7"/>
        <v>#VALUE!</v>
      </c>
      <c r="AE81" s="9" t="e">
        <f t="shared" si="7"/>
        <v>#VALUE!</v>
      </c>
      <c r="AF81" s="9" t="e">
        <f t="shared" si="7"/>
        <v>#VALUE!</v>
      </c>
      <c r="AG81" s="9" t="e">
        <f t="shared" si="7"/>
        <v>#VALUE!</v>
      </c>
      <c r="AH81" s="9" t="e">
        <f t="shared" si="7"/>
        <v>#VALUE!</v>
      </c>
      <c r="AI81" s="9" t="e">
        <f t="shared" si="7"/>
        <v>#VALUE!</v>
      </c>
      <c r="AJ81" s="9" t="e">
        <f t="shared" si="7"/>
        <v>#VALUE!</v>
      </c>
      <c r="AK81" s="9" t="e">
        <f t="shared" si="7"/>
        <v>#VALUE!</v>
      </c>
      <c r="AL81" s="9" t="e">
        <f t="shared" si="7"/>
        <v>#VALUE!</v>
      </c>
      <c r="AM81" s="9"/>
      <c r="AN81" s="9"/>
      <c r="AO81" s="9"/>
      <c r="AP81" s="9"/>
      <c r="AQ81" s="9"/>
      <c r="AR81" s="9"/>
      <c r="AS81" s="9"/>
    </row>
    <row r="82" spans="1:45" ht="12.75">
      <c r="A82" s="8">
        <f>AVERAGE(C82:T82)</f>
        <v>16.498777777777775</v>
      </c>
      <c r="B82" s="8" t="str">
        <f t="shared" si="2"/>
        <v>Inject P18</v>
      </c>
      <c r="C82" s="9">
        <f t="shared" si="3"/>
        <v>16.641000000000002</v>
      </c>
      <c r="D82" s="9">
        <f t="shared" si="7"/>
        <v>16.384</v>
      </c>
      <c r="E82" s="9">
        <f t="shared" si="7"/>
        <v>16.384</v>
      </c>
      <c r="F82" s="9">
        <f t="shared" si="7"/>
        <v>16.384</v>
      </c>
      <c r="G82" s="9">
        <f t="shared" si="7"/>
        <v>16.641000000000002</v>
      </c>
      <c r="H82" s="9">
        <f t="shared" si="7"/>
        <v>16.641000000000002</v>
      </c>
      <c r="I82" s="9">
        <f t="shared" si="7"/>
        <v>16.900000000000002</v>
      </c>
      <c r="J82" s="9">
        <f t="shared" si="7"/>
        <v>16.641000000000002</v>
      </c>
      <c r="K82" s="9">
        <f t="shared" si="7"/>
        <v>16.384</v>
      </c>
      <c r="L82" s="9">
        <f t="shared" si="7"/>
        <v>16.641000000000002</v>
      </c>
      <c r="M82" s="9">
        <f t="shared" si="7"/>
        <v>16.641000000000002</v>
      </c>
      <c r="N82" s="9">
        <f t="shared" si="7"/>
        <v>16.384</v>
      </c>
      <c r="O82" s="9">
        <f t="shared" si="7"/>
        <v>16.641000000000002</v>
      </c>
      <c r="P82" s="9">
        <f t="shared" si="7"/>
        <v>16.641000000000002</v>
      </c>
      <c r="Q82" s="9">
        <f t="shared" si="7"/>
        <v>16.129</v>
      </c>
      <c r="R82" s="9">
        <f t="shared" si="7"/>
        <v>16.641000000000002</v>
      </c>
      <c r="S82" s="9">
        <f t="shared" si="7"/>
        <v>16.384</v>
      </c>
      <c r="T82" s="9">
        <f t="shared" si="7"/>
        <v>15.876000000000001</v>
      </c>
      <c r="U82" s="9" t="e">
        <f t="shared" si="7"/>
        <v>#VALUE!</v>
      </c>
      <c r="V82" s="9" t="e">
        <f t="shared" si="7"/>
        <v>#VALUE!</v>
      </c>
      <c r="W82" s="9" t="e">
        <f t="shared" si="7"/>
        <v>#VALUE!</v>
      </c>
      <c r="X82" s="9" t="e">
        <f t="shared" si="7"/>
        <v>#VALUE!</v>
      </c>
      <c r="Y82" s="9" t="e">
        <f t="shared" si="7"/>
        <v>#VALUE!</v>
      </c>
      <c r="Z82" s="9" t="e">
        <f t="shared" si="7"/>
        <v>#VALUE!</v>
      </c>
      <c r="AA82" s="9" t="e">
        <f t="shared" si="7"/>
        <v>#VALUE!</v>
      </c>
      <c r="AB82" s="9" t="e">
        <f t="shared" si="7"/>
        <v>#VALUE!</v>
      </c>
      <c r="AC82" s="9" t="e">
        <f t="shared" si="7"/>
        <v>#VALUE!</v>
      </c>
      <c r="AD82" s="9" t="e">
        <f t="shared" si="7"/>
        <v>#VALUE!</v>
      </c>
      <c r="AE82" s="9" t="e">
        <f t="shared" si="7"/>
        <v>#VALUE!</v>
      </c>
      <c r="AF82" s="9" t="e">
        <f t="shared" si="7"/>
        <v>#VALUE!</v>
      </c>
      <c r="AG82" s="9" t="e">
        <f t="shared" si="7"/>
        <v>#VALUE!</v>
      </c>
      <c r="AH82" s="9" t="e">
        <f t="shared" si="7"/>
        <v>#VALUE!</v>
      </c>
      <c r="AI82" s="9" t="e">
        <f t="shared" si="7"/>
        <v>#VALUE!</v>
      </c>
      <c r="AJ82" s="9" t="e">
        <f t="shared" si="7"/>
        <v>#VALUE!</v>
      </c>
      <c r="AK82" s="9" t="e">
        <f t="shared" si="7"/>
        <v>#VALUE!</v>
      </c>
      <c r="AL82" s="9" t="e">
        <f t="shared" si="7"/>
        <v>#VALUE!</v>
      </c>
      <c r="AM82" s="9"/>
      <c r="AN82" s="9"/>
      <c r="AO82" s="9"/>
      <c r="AP82" s="9"/>
      <c r="AQ82" s="9"/>
      <c r="AR82" s="9"/>
      <c r="AS82" s="9"/>
    </row>
    <row r="83" spans="1:45" ht="12.75">
      <c r="A83" s="8">
        <f>AVERAGE(C83:U83)</f>
        <v>15.997105263157895</v>
      </c>
      <c r="B83" s="8" t="str">
        <f t="shared" si="2"/>
        <v>Inject P19</v>
      </c>
      <c r="C83" s="9">
        <f t="shared" si="3"/>
        <v>16.129</v>
      </c>
      <c r="D83" s="9">
        <f t="shared" si="7"/>
        <v>15.876000000000001</v>
      </c>
      <c r="E83" s="9">
        <f t="shared" si="7"/>
        <v>16.384</v>
      </c>
      <c r="F83" s="9">
        <f t="shared" si="7"/>
        <v>16.384</v>
      </c>
      <c r="G83" s="9">
        <f t="shared" si="7"/>
        <v>16.129</v>
      </c>
      <c r="H83" s="9">
        <f t="shared" si="7"/>
        <v>16.129</v>
      </c>
      <c r="I83" s="9">
        <f t="shared" si="7"/>
        <v>15.876000000000001</v>
      </c>
      <c r="J83" s="9">
        <f t="shared" si="7"/>
        <v>15.625</v>
      </c>
      <c r="K83" s="9">
        <f t="shared" si="7"/>
        <v>16.384</v>
      </c>
      <c r="L83" s="9">
        <f t="shared" si="7"/>
        <v>15.876000000000001</v>
      </c>
      <c r="M83" s="9">
        <f t="shared" si="7"/>
        <v>16.129</v>
      </c>
      <c r="N83" s="9">
        <f t="shared" si="7"/>
        <v>15.876000000000001</v>
      </c>
      <c r="O83" s="9">
        <f t="shared" si="7"/>
        <v>15.876000000000001</v>
      </c>
      <c r="P83" s="9">
        <f t="shared" si="7"/>
        <v>16.129</v>
      </c>
      <c r="Q83" s="9">
        <f t="shared" si="7"/>
        <v>15.876000000000001</v>
      </c>
      <c r="R83" s="9">
        <f t="shared" si="7"/>
        <v>16.641000000000002</v>
      </c>
      <c r="S83" s="9">
        <f t="shared" si="7"/>
        <v>15.625</v>
      </c>
      <c r="T83" s="9">
        <f t="shared" si="7"/>
        <v>15.625</v>
      </c>
      <c r="U83" s="9">
        <f t="shared" si="7"/>
        <v>15.376000000000001</v>
      </c>
      <c r="V83" s="9" t="e">
        <f t="shared" si="7"/>
        <v>#VALUE!</v>
      </c>
      <c r="W83" s="9" t="e">
        <f t="shared" si="7"/>
        <v>#VALUE!</v>
      </c>
      <c r="X83" s="9" t="e">
        <f t="shared" si="7"/>
        <v>#VALUE!</v>
      </c>
      <c r="Y83" s="9" t="e">
        <f t="shared" si="7"/>
        <v>#VALUE!</v>
      </c>
      <c r="Z83" s="9" t="e">
        <f t="shared" si="7"/>
        <v>#VALUE!</v>
      </c>
      <c r="AA83" s="9" t="e">
        <f t="shared" si="7"/>
        <v>#VALUE!</v>
      </c>
      <c r="AB83" s="9" t="e">
        <f t="shared" si="7"/>
        <v>#VALUE!</v>
      </c>
      <c r="AC83" s="9" t="e">
        <f t="shared" si="7"/>
        <v>#VALUE!</v>
      </c>
      <c r="AD83" s="9" t="e">
        <f t="shared" si="7"/>
        <v>#VALUE!</v>
      </c>
      <c r="AE83" s="9" t="e">
        <f t="shared" si="7"/>
        <v>#VALUE!</v>
      </c>
      <c r="AF83" s="9" t="e">
        <f t="shared" si="7"/>
        <v>#VALUE!</v>
      </c>
      <c r="AG83" s="9" t="e">
        <f t="shared" si="7"/>
        <v>#VALUE!</v>
      </c>
      <c r="AH83" s="9" t="e">
        <f t="shared" si="7"/>
        <v>#VALUE!</v>
      </c>
      <c r="AI83" s="9" t="e">
        <f t="shared" si="7"/>
        <v>#VALUE!</v>
      </c>
      <c r="AJ83" s="9" t="e">
        <f t="shared" si="7"/>
        <v>#VALUE!</v>
      </c>
      <c r="AK83" s="9" t="e">
        <f t="shared" si="7"/>
        <v>#VALUE!</v>
      </c>
      <c r="AL83" s="9" t="e">
        <f t="shared" si="7"/>
        <v>#VALUE!</v>
      </c>
      <c r="AM83" s="9"/>
      <c r="AN83" s="9"/>
      <c r="AO83" s="9"/>
      <c r="AP83" s="9"/>
      <c r="AQ83" s="9"/>
      <c r="AR83" s="9"/>
      <c r="AS83" s="9"/>
    </row>
    <row r="84" spans="1:45" ht="12.75">
      <c r="A84" s="8">
        <f>AVERAGE(C84:V84)</f>
        <v>16.311599999999995</v>
      </c>
      <c r="B84" s="8" t="str">
        <f t="shared" si="2"/>
        <v>Inject P20</v>
      </c>
      <c r="C84" s="9">
        <f t="shared" si="3"/>
        <v>17.424000000000003</v>
      </c>
      <c r="D84" s="9">
        <f t="shared" si="7"/>
        <v>16.384</v>
      </c>
      <c r="E84" s="9">
        <f t="shared" si="7"/>
        <v>16.900000000000002</v>
      </c>
      <c r="F84" s="9">
        <f t="shared" si="7"/>
        <v>16.384</v>
      </c>
      <c r="G84" s="9">
        <f t="shared" si="7"/>
        <v>16.641000000000002</v>
      </c>
      <c r="H84" s="9">
        <f t="shared" si="7"/>
        <v>16.641000000000002</v>
      </c>
      <c r="I84" s="9">
        <f t="shared" si="7"/>
        <v>16.641000000000002</v>
      </c>
      <c r="J84" s="9">
        <f t="shared" si="7"/>
        <v>16.900000000000002</v>
      </c>
      <c r="K84" s="9">
        <f t="shared" si="7"/>
        <v>16.641000000000002</v>
      </c>
      <c r="L84" s="9">
        <f t="shared" si="7"/>
        <v>16.641000000000002</v>
      </c>
      <c r="M84" s="9">
        <f t="shared" si="7"/>
        <v>16.384</v>
      </c>
      <c r="N84" s="9">
        <f t="shared" si="7"/>
        <v>16.129</v>
      </c>
      <c r="O84" s="9">
        <f t="shared" si="7"/>
        <v>15.876000000000001</v>
      </c>
      <c r="P84" s="9">
        <f t="shared" si="7"/>
        <v>16.129</v>
      </c>
      <c r="Q84" s="9">
        <f t="shared" si="7"/>
        <v>16.129</v>
      </c>
      <c r="R84" s="9">
        <f t="shared" si="7"/>
        <v>16.384</v>
      </c>
      <c r="S84" s="9">
        <f t="shared" si="7"/>
        <v>15.876000000000001</v>
      </c>
      <c r="T84" s="9">
        <f t="shared" si="7"/>
        <v>15.376000000000001</v>
      </c>
      <c r="U84" s="9">
        <f t="shared" si="7"/>
        <v>15.376000000000001</v>
      </c>
      <c r="V84" s="9">
        <f t="shared" si="7"/>
        <v>15.376000000000001</v>
      </c>
      <c r="W84" s="9" t="e">
        <f t="shared" si="7"/>
        <v>#VALUE!</v>
      </c>
      <c r="X84" s="9" t="e">
        <f t="shared" si="7"/>
        <v>#VALUE!</v>
      </c>
      <c r="Y84" s="9" t="e">
        <f t="shared" si="7"/>
        <v>#VALUE!</v>
      </c>
      <c r="Z84" s="9" t="e">
        <f t="shared" si="7"/>
        <v>#VALUE!</v>
      </c>
      <c r="AA84" s="9" t="e">
        <f t="shared" si="7"/>
        <v>#VALUE!</v>
      </c>
      <c r="AB84" s="9" t="e">
        <f t="shared" si="7"/>
        <v>#VALUE!</v>
      </c>
      <c r="AC84" s="9" t="e">
        <f t="shared" si="7"/>
        <v>#VALUE!</v>
      </c>
      <c r="AD84" s="9" t="e">
        <f t="shared" si="7"/>
        <v>#VALUE!</v>
      </c>
      <c r="AE84" s="9" t="e">
        <f t="shared" si="7"/>
        <v>#VALUE!</v>
      </c>
      <c r="AF84" s="9" t="e">
        <f t="shared" si="7"/>
        <v>#VALUE!</v>
      </c>
      <c r="AG84" s="9" t="e">
        <f t="shared" si="7"/>
        <v>#VALUE!</v>
      </c>
      <c r="AH84" s="9" t="e">
        <f t="shared" si="7"/>
        <v>#VALUE!</v>
      </c>
      <c r="AI84" s="9" t="e">
        <f t="shared" si="7"/>
        <v>#VALUE!</v>
      </c>
      <c r="AJ84" s="9" t="e">
        <f t="shared" si="7"/>
        <v>#VALUE!</v>
      </c>
      <c r="AK84" s="9" t="e">
        <f t="shared" si="7"/>
        <v>#VALUE!</v>
      </c>
      <c r="AL84" s="9" t="e">
        <f t="shared" si="7"/>
        <v>#VALUE!</v>
      </c>
      <c r="AM84" s="9"/>
      <c r="AN84" s="9"/>
      <c r="AO84" s="9"/>
      <c r="AP84" s="9"/>
      <c r="AQ84" s="9"/>
      <c r="AR84" s="9"/>
      <c r="AS84" s="9"/>
    </row>
    <row r="85" spans="1:45" ht="12.75">
      <c r="A85" s="8">
        <f>AVERAGE(C85:W85)</f>
        <v>16.033857142857144</v>
      </c>
      <c r="B85" s="8" t="str">
        <f t="shared" si="2"/>
        <v>Inject P21</v>
      </c>
      <c r="C85" s="9">
        <f t="shared" si="3"/>
        <v>16.641000000000002</v>
      </c>
      <c r="D85" s="9">
        <f t="shared" si="7"/>
        <v>15.876000000000001</v>
      </c>
      <c r="E85" s="9">
        <f t="shared" si="7"/>
        <v>15.876000000000001</v>
      </c>
      <c r="F85" s="9">
        <f t="shared" si="7"/>
        <v>16.129</v>
      </c>
      <c r="G85" s="9">
        <f t="shared" si="7"/>
        <v>16.129</v>
      </c>
      <c r="H85" s="9">
        <f t="shared" si="7"/>
        <v>16.129</v>
      </c>
      <c r="I85" s="9">
        <f t="shared" si="7"/>
        <v>16.384</v>
      </c>
      <c r="J85" s="9">
        <f t="shared" si="7"/>
        <v>15.876000000000001</v>
      </c>
      <c r="K85" s="9">
        <f t="shared" si="7"/>
        <v>15.876000000000001</v>
      </c>
      <c r="L85" s="9">
        <f t="shared" si="7"/>
        <v>16.129</v>
      </c>
      <c r="M85" s="9">
        <f t="shared" si="7"/>
        <v>16.384</v>
      </c>
      <c r="N85" s="9">
        <f t="shared" si="7"/>
        <v>15.625</v>
      </c>
      <c r="O85" s="9">
        <f t="shared" si="7"/>
        <v>16.384</v>
      </c>
      <c r="P85" s="9">
        <f t="shared" si="7"/>
        <v>15.876000000000001</v>
      </c>
      <c r="Q85" s="9">
        <f t="shared" si="7"/>
        <v>16.129</v>
      </c>
      <c r="R85" s="9">
        <f t="shared" si="7"/>
        <v>16.641000000000002</v>
      </c>
      <c r="S85" s="9">
        <f t="shared" si="7"/>
        <v>15.625</v>
      </c>
      <c r="T85" s="9">
        <f t="shared" si="7"/>
        <v>15.876000000000001</v>
      </c>
      <c r="U85" s="9">
        <f t="shared" si="7"/>
        <v>15.625</v>
      </c>
      <c r="V85" s="9">
        <f t="shared" si="7"/>
        <v>15.625</v>
      </c>
      <c r="W85" s="9">
        <f t="shared" si="7"/>
        <v>15.876000000000001</v>
      </c>
      <c r="X85" s="9" t="e">
        <f t="shared" si="7"/>
        <v>#VALUE!</v>
      </c>
      <c r="Y85" s="9" t="e">
        <f t="shared" si="7"/>
        <v>#VALUE!</v>
      </c>
      <c r="Z85" s="9" t="e">
        <f t="shared" si="7"/>
        <v>#VALUE!</v>
      </c>
      <c r="AA85" s="9" t="e">
        <f t="shared" si="7"/>
        <v>#VALUE!</v>
      </c>
      <c r="AB85" s="9" t="e">
        <f t="shared" si="7"/>
        <v>#VALUE!</v>
      </c>
      <c r="AC85" s="9" t="e">
        <f t="shared" si="7"/>
        <v>#VALUE!</v>
      </c>
      <c r="AD85" s="9" t="e">
        <f t="shared" si="7"/>
        <v>#VALUE!</v>
      </c>
      <c r="AE85" s="9" t="e">
        <f t="shared" si="7"/>
        <v>#VALUE!</v>
      </c>
      <c r="AF85" s="9" t="e">
        <f t="shared" si="7"/>
        <v>#VALUE!</v>
      </c>
      <c r="AG85" s="9" t="e">
        <f t="shared" si="7"/>
        <v>#VALUE!</v>
      </c>
      <c r="AH85" s="9" t="e">
        <f t="shared" si="7"/>
        <v>#VALUE!</v>
      </c>
      <c r="AI85" s="9" t="e">
        <f t="shared" si="7"/>
        <v>#VALUE!</v>
      </c>
      <c r="AJ85" s="9" t="e">
        <f t="shared" si="7"/>
        <v>#VALUE!</v>
      </c>
      <c r="AK85" s="9" t="e">
        <f t="shared" si="7"/>
        <v>#VALUE!</v>
      </c>
      <c r="AL85" s="9" t="e">
        <f t="shared" si="7"/>
        <v>#VALUE!</v>
      </c>
      <c r="AM85" s="9"/>
      <c r="AN85" s="9"/>
      <c r="AO85" s="9"/>
      <c r="AP85" s="9"/>
      <c r="AQ85" s="9"/>
      <c r="AR85" s="9"/>
      <c r="AS85" s="9"/>
    </row>
    <row r="86" spans="1:45" ht="12.75">
      <c r="A86" s="8">
        <f>AVERAGE(C86:X86)</f>
        <v>16.049772727272728</v>
      </c>
      <c r="B86" s="8" t="str">
        <f t="shared" si="2"/>
        <v>Inject P22</v>
      </c>
      <c r="C86" s="9">
        <f t="shared" si="3"/>
        <v>16.384</v>
      </c>
      <c r="D86" s="9">
        <f t="shared" si="7"/>
        <v>15.625</v>
      </c>
      <c r="E86" s="9">
        <f t="shared" si="7"/>
        <v>16.129</v>
      </c>
      <c r="F86" s="9">
        <f t="shared" si="7"/>
        <v>16.129</v>
      </c>
      <c r="G86" s="9">
        <f t="shared" si="7"/>
        <v>16.384</v>
      </c>
      <c r="H86" s="9">
        <f t="shared" si="7"/>
        <v>15.625</v>
      </c>
      <c r="I86" s="9">
        <f t="shared" si="7"/>
        <v>16.129</v>
      </c>
      <c r="J86" s="9">
        <f t="shared" si="7"/>
        <v>15.625</v>
      </c>
      <c r="K86" s="9">
        <f t="shared" si="7"/>
        <v>15.876000000000001</v>
      </c>
      <c r="L86" s="9">
        <f t="shared" si="7"/>
        <v>15.625</v>
      </c>
      <c r="M86" s="9">
        <f t="shared" si="7"/>
        <v>15.625</v>
      </c>
      <c r="N86" s="9">
        <f t="shared" si="7"/>
        <v>16.129</v>
      </c>
      <c r="O86" s="9">
        <f t="shared" si="7"/>
        <v>16.129</v>
      </c>
      <c r="P86" s="9">
        <f t="shared" si="7"/>
        <v>15.876000000000001</v>
      </c>
      <c r="Q86" s="9">
        <f t="shared" si="7"/>
        <v>16.129</v>
      </c>
      <c r="R86" s="9">
        <f t="shared" si="7"/>
        <v>16.641000000000002</v>
      </c>
      <c r="S86" s="9">
        <f t="shared" si="7"/>
        <v>16.129</v>
      </c>
      <c r="T86" s="9">
        <f t="shared" si="7"/>
        <v>16.384</v>
      </c>
      <c r="U86" s="9">
        <f t="shared" si="7"/>
        <v>15.876000000000001</v>
      </c>
      <c r="V86" s="9">
        <f t="shared" si="7"/>
        <v>16.129</v>
      </c>
      <c r="W86" s="9">
        <f t="shared" si="7"/>
        <v>16.641000000000002</v>
      </c>
      <c r="X86" s="9">
        <f t="shared" si="7"/>
        <v>15.876000000000001</v>
      </c>
      <c r="Y86" s="9" t="e">
        <f t="shared" si="7"/>
        <v>#VALUE!</v>
      </c>
      <c r="Z86" s="9" t="e">
        <f t="shared" si="7"/>
        <v>#VALUE!</v>
      </c>
      <c r="AA86" s="9" t="e">
        <f t="shared" si="7"/>
        <v>#VALUE!</v>
      </c>
      <c r="AB86" s="9" t="e">
        <f t="shared" si="7"/>
        <v>#VALUE!</v>
      </c>
      <c r="AC86" s="9" t="e">
        <f t="shared" si="7"/>
        <v>#VALUE!</v>
      </c>
      <c r="AD86" s="9" t="e">
        <f t="shared" si="7"/>
        <v>#VALUE!</v>
      </c>
      <c r="AE86" s="9" t="e">
        <f t="shared" si="7"/>
        <v>#VALUE!</v>
      </c>
      <c r="AF86" s="9" t="e">
        <f t="shared" si="7"/>
        <v>#VALUE!</v>
      </c>
      <c r="AG86" s="9" t="e">
        <f t="shared" si="7"/>
        <v>#VALUE!</v>
      </c>
      <c r="AH86" s="9" t="e">
        <f t="shared" si="7"/>
        <v>#VALUE!</v>
      </c>
      <c r="AI86" s="9" t="e">
        <f t="shared" si="7"/>
        <v>#VALUE!</v>
      </c>
      <c r="AJ86" s="9" t="e">
        <f t="shared" si="7"/>
        <v>#VALUE!</v>
      </c>
      <c r="AK86" s="9" t="e">
        <f t="shared" si="7"/>
        <v>#VALUE!</v>
      </c>
      <c r="AL86" s="9" t="e">
        <f t="shared" si="7"/>
        <v>#VALUE!</v>
      </c>
      <c r="AM86" s="9"/>
      <c r="AN86" s="9"/>
      <c r="AO86" s="9"/>
      <c r="AP86" s="9"/>
      <c r="AQ86" s="9"/>
      <c r="AR86" s="9"/>
      <c r="AS86" s="9"/>
    </row>
    <row r="87" spans="1:45" ht="12.75">
      <c r="A87" s="8">
        <f>AVERAGE(C87:Y87)</f>
        <v>16.097478260869565</v>
      </c>
      <c r="B87" s="8" t="str">
        <f t="shared" si="2"/>
        <v>Inject P23</v>
      </c>
      <c r="C87" s="9">
        <f t="shared" si="3"/>
        <v>16.129</v>
      </c>
      <c r="D87" s="9">
        <f t="shared" si="7"/>
        <v>15.876000000000001</v>
      </c>
      <c r="E87" s="9">
        <f t="shared" si="7"/>
        <v>16.384</v>
      </c>
      <c r="F87" s="9">
        <f t="shared" si="7"/>
        <v>16.384</v>
      </c>
      <c r="G87" s="9">
        <f t="shared" si="7"/>
        <v>16.384</v>
      </c>
      <c r="H87" s="9">
        <f t="shared" si="7"/>
        <v>15.625</v>
      </c>
      <c r="I87" s="9">
        <f t="shared" si="7"/>
        <v>15.876000000000001</v>
      </c>
      <c r="J87" s="9">
        <f t="shared" si="7"/>
        <v>16.384</v>
      </c>
      <c r="K87" s="9">
        <f t="shared" si="7"/>
        <v>16.384</v>
      </c>
      <c r="L87" s="9">
        <f t="shared" si="7"/>
        <v>16.384</v>
      </c>
      <c r="M87" s="9">
        <f t="shared" si="7"/>
        <v>16.129</v>
      </c>
      <c r="N87" s="9">
        <f aca="true" t="shared" si="8" ref="D87:AL94">N27*N27*10</f>
        <v>15.876000000000001</v>
      </c>
      <c r="O87" s="9">
        <f t="shared" si="8"/>
        <v>16.384</v>
      </c>
      <c r="P87" s="9">
        <f t="shared" si="8"/>
        <v>15.876000000000001</v>
      </c>
      <c r="Q87" s="9">
        <f t="shared" si="8"/>
        <v>16.384</v>
      </c>
      <c r="R87" s="9">
        <f t="shared" si="8"/>
        <v>16.641000000000002</v>
      </c>
      <c r="S87" s="9">
        <f t="shared" si="8"/>
        <v>15.876000000000001</v>
      </c>
      <c r="T87" s="9">
        <f t="shared" si="8"/>
        <v>16.129</v>
      </c>
      <c r="U87" s="9">
        <f t="shared" si="8"/>
        <v>15.376000000000001</v>
      </c>
      <c r="V87" s="9">
        <f t="shared" si="8"/>
        <v>15.876000000000001</v>
      </c>
      <c r="W87" s="9">
        <f t="shared" si="8"/>
        <v>16.384</v>
      </c>
      <c r="X87" s="9">
        <f t="shared" si="8"/>
        <v>15.625</v>
      </c>
      <c r="Y87" s="9">
        <f t="shared" si="8"/>
        <v>15.876000000000001</v>
      </c>
      <c r="Z87" s="9" t="e">
        <f t="shared" si="8"/>
        <v>#VALUE!</v>
      </c>
      <c r="AA87" s="9" t="e">
        <f t="shared" si="8"/>
        <v>#VALUE!</v>
      </c>
      <c r="AB87" s="9" t="e">
        <f t="shared" si="8"/>
        <v>#VALUE!</v>
      </c>
      <c r="AC87" s="9" t="e">
        <f t="shared" si="8"/>
        <v>#VALUE!</v>
      </c>
      <c r="AD87" s="9" t="e">
        <f t="shared" si="8"/>
        <v>#VALUE!</v>
      </c>
      <c r="AE87" s="9" t="e">
        <f t="shared" si="8"/>
        <v>#VALUE!</v>
      </c>
      <c r="AF87" s="9" t="e">
        <f t="shared" si="8"/>
        <v>#VALUE!</v>
      </c>
      <c r="AG87" s="9" t="e">
        <f t="shared" si="8"/>
        <v>#VALUE!</v>
      </c>
      <c r="AH87" s="9" t="e">
        <f t="shared" si="8"/>
        <v>#VALUE!</v>
      </c>
      <c r="AI87" s="9" t="e">
        <f t="shared" si="8"/>
        <v>#VALUE!</v>
      </c>
      <c r="AJ87" s="9" t="e">
        <f t="shared" si="8"/>
        <v>#VALUE!</v>
      </c>
      <c r="AK87" s="9" t="e">
        <f t="shared" si="8"/>
        <v>#VALUE!</v>
      </c>
      <c r="AL87" s="9" t="e">
        <f t="shared" si="8"/>
        <v>#VALUE!</v>
      </c>
      <c r="AM87" s="9"/>
      <c r="AN87" s="9"/>
      <c r="AO87" s="9"/>
      <c r="AP87" s="9"/>
      <c r="AQ87" s="9"/>
      <c r="AR87" s="9"/>
      <c r="AS87" s="9"/>
    </row>
    <row r="88" spans="1:45" ht="12.75">
      <c r="A88" s="8">
        <f>AVERAGE(C88:Z88)</f>
        <v>16.088583333333336</v>
      </c>
      <c r="B88" s="8" t="str">
        <f t="shared" si="2"/>
        <v>Inject P24</v>
      </c>
      <c r="C88" s="9">
        <f t="shared" si="3"/>
        <v>16.384</v>
      </c>
      <c r="D88" s="9">
        <f t="shared" si="8"/>
        <v>15.129</v>
      </c>
      <c r="E88" s="9">
        <f t="shared" si="8"/>
        <v>15.876000000000001</v>
      </c>
      <c r="F88" s="9">
        <f t="shared" si="8"/>
        <v>15.876000000000001</v>
      </c>
      <c r="G88" s="9">
        <f t="shared" si="8"/>
        <v>15.876000000000001</v>
      </c>
      <c r="H88" s="9">
        <f t="shared" si="8"/>
        <v>15.625</v>
      </c>
      <c r="I88" s="9">
        <f t="shared" si="8"/>
        <v>15.625</v>
      </c>
      <c r="J88" s="9">
        <f t="shared" si="8"/>
        <v>16.129</v>
      </c>
      <c r="K88" s="9">
        <f t="shared" si="8"/>
        <v>15.876000000000001</v>
      </c>
      <c r="L88" s="9">
        <f t="shared" si="8"/>
        <v>16.129</v>
      </c>
      <c r="M88" s="9">
        <f t="shared" si="8"/>
        <v>16.129</v>
      </c>
      <c r="N88" s="9">
        <f t="shared" si="8"/>
        <v>15.876000000000001</v>
      </c>
      <c r="O88" s="9">
        <f t="shared" si="8"/>
        <v>16.641000000000002</v>
      </c>
      <c r="P88" s="9">
        <f t="shared" si="8"/>
        <v>16.129</v>
      </c>
      <c r="Q88" s="9">
        <f t="shared" si="8"/>
        <v>16.641000000000002</v>
      </c>
      <c r="R88" s="9">
        <f t="shared" si="8"/>
        <v>16.641000000000002</v>
      </c>
      <c r="S88" s="9">
        <f t="shared" si="8"/>
        <v>16.129</v>
      </c>
      <c r="T88" s="9">
        <f t="shared" si="8"/>
        <v>16.384</v>
      </c>
      <c r="U88" s="9">
        <f t="shared" si="8"/>
        <v>16.129</v>
      </c>
      <c r="V88" s="9">
        <f t="shared" si="8"/>
        <v>15.876000000000001</v>
      </c>
      <c r="W88" s="9">
        <f t="shared" si="8"/>
        <v>16.384</v>
      </c>
      <c r="X88" s="9">
        <f t="shared" si="8"/>
        <v>16.129</v>
      </c>
      <c r="Y88" s="9">
        <f t="shared" si="8"/>
        <v>16.384</v>
      </c>
      <c r="Z88" s="9">
        <f t="shared" si="8"/>
        <v>16.129</v>
      </c>
      <c r="AA88" s="9" t="e">
        <f t="shared" si="8"/>
        <v>#VALUE!</v>
      </c>
      <c r="AB88" s="9" t="e">
        <f t="shared" si="8"/>
        <v>#VALUE!</v>
      </c>
      <c r="AC88" s="9" t="e">
        <f t="shared" si="8"/>
        <v>#VALUE!</v>
      </c>
      <c r="AD88" s="9" t="e">
        <f t="shared" si="8"/>
        <v>#VALUE!</v>
      </c>
      <c r="AE88" s="9" t="e">
        <f t="shared" si="8"/>
        <v>#VALUE!</v>
      </c>
      <c r="AF88" s="9" t="e">
        <f t="shared" si="8"/>
        <v>#VALUE!</v>
      </c>
      <c r="AG88" s="9" t="e">
        <f t="shared" si="8"/>
        <v>#VALUE!</v>
      </c>
      <c r="AH88" s="9" t="e">
        <f t="shared" si="8"/>
        <v>#VALUE!</v>
      </c>
      <c r="AI88" s="9" t="e">
        <f t="shared" si="8"/>
        <v>#VALUE!</v>
      </c>
      <c r="AJ88" s="9" t="e">
        <f t="shared" si="8"/>
        <v>#VALUE!</v>
      </c>
      <c r="AK88" s="9" t="e">
        <f t="shared" si="8"/>
        <v>#VALUE!</v>
      </c>
      <c r="AL88" s="9" t="e">
        <f t="shared" si="8"/>
        <v>#VALUE!</v>
      </c>
      <c r="AM88" s="9"/>
      <c r="AN88" s="9"/>
      <c r="AO88" s="9"/>
      <c r="AP88" s="9"/>
      <c r="AQ88" s="9"/>
      <c r="AR88" s="9"/>
      <c r="AS88" s="9"/>
    </row>
    <row r="89" spans="1:45" ht="12.75">
      <c r="A89" s="8">
        <f>AVERAGE(C89:AA89)</f>
        <v>15.977759999999996</v>
      </c>
      <c r="B89" s="8" t="str">
        <f t="shared" si="2"/>
        <v>Inject P25</v>
      </c>
      <c r="C89" s="9">
        <f t="shared" si="3"/>
        <v>16.384</v>
      </c>
      <c r="D89" s="9">
        <f t="shared" si="8"/>
        <v>15.625</v>
      </c>
      <c r="E89" s="9">
        <f t="shared" si="8"/>
        <v>16.129</v>
      </c>
      <c r="F89" s="9">
        <f t="shared" si="8"/>
        <v>16.129</v>
      </c>
      <c r="G89" s="9">
        <f t="shared" si="8"/>
        <v>16.129</v>
      </c>
      <c r="H89" s="9">
        <f t="shared" si="8"/>
        <v>15.876000000000001</v>
      </c>
      <c r="I89" s="9">
        <f t="shared" si="8"/>
        <v>16.129</v>
      </c>
      <c r="J89" s="9">
        <f t="shared" si="8"/>
        <v>16.129</v>
      </c>
      <c r="K89" s="9">
        <f t="shared" si="8"/>
        <v>16.129</v>
      </c>
      <c r="L89" s="9">
        <f t="shared" si="8"/>
        <v>16.129</v>
      </c>
      <c r="M89" s="9">
        <f t="shared" si="8"/>
        <v>16.384</v>
      </c>
      <c r="N89" s="9">
        <f t="shared" si="8"/>
        <v>15.876000000000001</v>
      </c>
      <c r="O89" s="9">
        <f t="shared" si="8"/>
        <v>15.876000000000001</v>
      </c>
      <c r="P89" s="9">
        <f t="shared" si="8"/>
        <v>15.876000000000001</v>
      </c>
      <c r="Q89" s="9">
        <f t="shared" si="8"/>
        <v>16.384</v>
      </c>
      <c r="R89" s="9">
        <f t="shared" si="8"/>
        <v>16.129</v>
      </c>
      <c r="S89" s="9">
        <f t="shared" si="8"/>
        <v>15.876000000000001</v>
      </c>
      <c r="T89" s="9">
        <f t="shared" si="8"/>
        <v>15.876000000000001</v>
      </c>
      <c r="U89" s="9">
        <f t="shared" si="8"/>
        <v>15.625</v>
      </c>
      <c r="V89" s="9">
        <f t="shared" si="8"/>
        <v>15.876000000000001</v>
      </c>
      <c r="W89" s="9">
        <f t="shared" si="8"/>
        <v>15.876000000000001</v>
      </c>
      <c r="X89" s="9">
        <f t="shared" si="8"/>
        <v>15.876000000000001</v>
      </c>
      <c r="Y89" s="9">
        <f t="shared" si="8"/>
        <v>15.625</v>
      </c>
      <c r="Z89" s="9">
        <f t="shared" si="8"/>
        <v>15.876000000000001</v>
      </c>
      <c r="AA89" s="9">
        <f t="shared" si="8"/>
        <v>15.625</v>
      </c>
      <c r="AB89" s="9" t="e">
        <f t="shared" si="8"/>
        <v>#VALUE!</v>
      </c>
      <c r="AC89" s="9" t="e">
        <f t="shared" si="8"/>
        <v>#VALUE!</v>
      </c>
      <c r="AD89" s="9" t="e">
        <f t="shared" si="8"/>
        <v>#VALUE!</v>
      </c>
      <c r="AE89" s="9" t="e">
        <f t="shared" si="8"/>
        <v>#VALUE!</v>
      </c>
      <c r="AF89" s="9" t="e">
        <f t="shared" si="8"/>
        <v>#VALUE!</v>
      </c>
      <c r="AG89" s="9" t="e">
        <f t="shared" si="8"/>
        <v>#VALUE!</v>
      </c>
      <c r="AH89" s="9" t="e">
        <f t="shared" si="8"/>
        <v>#VALUE!</v>
      </c>
      <c r="AI89" s="9" t="e">
        <f t="shared" si="8"/>
        <v>#VALUE!</v>
      </c>
      <c r="AJ89" s="9" t="e">
        <f t="shared" si="8"/>
        <v>#VALUE!</v>
      </c>
      <c r="AK89" s="9" t="e">
        <f t="shared" si="8"/>
        <v>#VALUE!</v>
      </c>
      <c r="AL89" s="9" t="e">
        <f t="shared" si="8"/>
        <v>#VALUE!</v>
      </c>
      <c r="AM89" s="9"/>
      <c r="AN89" s="9"/>
      <c r="AO89" s="9"/>
      <c r="AP89" s="9"/>
      <c r="AQ89" s="9"/>
      <c r="AR89" s="9"/>
      <c r="AS89" s="9"/>
    </row>
    <row r="90" spans="1:45" ht="12.75">
      <c r="A90" s="8">
        <f>AVERAGE(C90:AB90)</f>
        <v>16.08188461538462</v>
      </c>
      <c r="B90" s="8" t="str">
        <f t="shared" si="2"/>
        <v>Inject P26</v>
      </c>
      <c r="C90" s="9">
        <f t="shared" si="3"/>
        <v>16.129</v>
      </c>
      <c r="D90" s="9">
        <f t="shared" si="8"/>
        <v>15.376000000000001</v>
      </c>
      <c r="E90" s="9">
        <f t="shared" si="8"/>
        <v>15.625</v>
      </c>
      <c r="F90" s="9">
        <f t="shared" si="8"/>
        <v>15.876000000000001</v>
      </c>
      <c r="G90" s="9">
        <f t="shared" si="8"/>
        <v>15.876000000000001</v>
      </c>
      <c r="H90" s="9">
        <f t="shared" si="8"/>
        <v>15.876000000000001</v>
      </c>
      <c r="I90" s="9">
        <f t="shared" si="8"/>
        <v>15.876000000000001</v>
      </c>
      <c r="J90" s="9">
        <f t="shared" si="8"/>
        <v>16.129</v>
      </c>
      <c r="K90" s="9">
        <f t="shared" si="8"/>
        <v>15.876000000000001</v>
      </c>
      <c r="L90" s="9">
        <f t="shared" si="8"/>
        <v>16.129</v>
      </c>
      <c r="M90" s="9">
        <f t="shared" si="8"/>
        <v>16.384</v>
      </c>
      <c r="N90" s="9">
        <f t="shared" si="8"/>
        <v>15.876000000000001</v>
      </c>
      <c r="O90" s="9">
        <f t="shared" si="8"/>
        <v>16.384</v>
      </c>
      <c r="P90" s="9">
        <f t="shared" si="8"/>
        <v>16.384</v>
      </c>
      <c r="Q90" s="9">
        <f t="shared" si="8"/>
        <v>16.641000000000002</v>
      </c>
      <c r="R90" s="9">
        <f t="shared" si="8"/>
        <v>16.900000000000002</v>
      </c>
      <c r="S90" s="9">
        <f t="shared" si="8"/>
        <v>16.129</v>
      </c>
      <c r="T90" s="9">
        <f t="shared" si="8"/>
        <v>16.129</v>
      </c>
      <c r="U90" s="9">
        <f t="shared" si="8"/>
        <v>16.129</v>
      </c>
      <c r="V90" s="9">
        <f t="shared" si="8"/>
        <v>16.129</v>
      </c>
      <c r="W90" s="9">
        <f t="shared" si="8"/>
        <v>16.384</v>
      </c>
      <c r="X90" s="9">
        <f t="shared" si="8"/>
        <v>16.384</v>
      </c>
      <c r="Y90" s="9">
        <f t="shared" si="8"/>
        <v>16.129</v>
      </c>
      <c r="Z90" s="9">
        <f t="shared" si="8"/>
        <v>16.129</v>
      </c>
      <c r="AA90" s="9">
        <f t="shared" si="8"/>
        <v>15.625</v>
      </c>
      <c r="AB90" s="9">
        <f t="shared" si="8"/>
        <v>15.625</v>
      </c>
      <c r="AC90" s="9" t="e">
        <f t="shared" si="8"/>
        <v>#VALUE!</v>
      </c>
      <c r="AD90" s="9" t="e">
        <f t="shared" si="8"/>
        <v>#VALUE!</v>
      </c>
      <c r="AE90" s="9" t="e">
        <f t="shared" si="8"/>
        <v>#VALUE!</v>
      </c>
      <c r="AF90" s="9" t="e">
        <f t="shared" si="8"/>
        <v>#VALUE!</v>
      </c>
      <c r="AG90" s="9" t="e">
        <f t="shared" si="8"/>
        <v>#VALUE!</v>
      </c>
      <c r="AH90" s="9" t="e">
        <f t="shared" si="8"/>
        <v>#VALUE!</v>
      </c>
      <c r="AI90" s="9" t="e">
        <f t="shared" si="8"/>
        <v>#VALUE!</v>
      </c>
      <c r="AJ90" s="9" t="e">
        <f t="shared" si="8"/>
        <v>#VALUE!</v>
      </c>
      <c r="AK90" s="9" t="e">
        <f t="shared" si="8"/>
        <v>#VALUE!</v>
      </c>
      <c r="AL90" s="9" t="e">
        <f t="shared" si="8"/>
        <v>#VALUE!</v>
      </c>
      <c r="AM90" s="9"/>
      <c r="AN90" s="9"/>
      <c r="AO90" s="9"/>
      <c r="AP90" s="9"/>
      <c r="AQ90" s="9"/>
      <c r="AR90" s="9"/>
      <c r="AS90" s="9"/>
    </row>
    <row r="91" spans="1:45" ht="12.75">
      <c r="A91" s="8">
        <f>AVERAGE(C91:AC91)</f>
        <v>16.037</v>
      </c>
      <c r="B91" s="8" t="str">
        <f t="shared" si="2"/>
        <v>Inject P27</v>
      </c>
      <c r="C91" s="9">
        <f t="shared" si="3"/>
        <v>16.641000000000002</v>
      </c>
      <c r="D91" s="9">
        <f t="shared" si="8"/>
        <v>15.625</v>
      </c>
      <c r="E91" s="9">
        <f t="shared" si="8"/>
        <v>16.129</v>
      </c>
      <c r="F91" s="9">
        <f t="shared" si="8"/>
        <v>16.129</v>
      </c>
      <c r="G91" s="9">
        <f t="shared" si="8"/>
        <v>16.384</v>
      </c>
      <c r="H91" s="9">
        <f t="shared" si="8"/>
        <v>16.129</v>
      </c>
      <c r="I91" s="9">
        <f t="shared" si="8"/>
        <v>16.129</v>
      </c>
      <c r="J91" s="9">
        <f t="shared" si="8"/>
        <v>16.129</v>
      </c>
      <c r="K91" s="9">
        <f t="shared" si="8"/>
        <v>15.876000000000001</v>
      </c>
      <c r="L91" s="9">
        <f t="shared" si="8"/>
        <v>16.129</v>
      </c>
      <c r="M91" s="9">
        <f t="shared" si="8"/>
        <v>16.129</v>
      </c>
      <c r="N91" s="9">
        <f t="shared" si="8"/>
        <v>15.625</v>
      </c>
      <c r="O91" s="9">
        <f t="shared" si="8"/>
        <v>16.129</v>
      </c>
      <c r="P91" s="9">
        <f t="shared" si="8"/>
        <v>16.384</v>
      </c>
      <c r="Q91" s="9">
        <f t="shared" si="8"/>
        <v>16.641000000000002</v>
      </c>
      <c r="R91" s="9">
        <f t="shared" si="8"/>
        <v>16.900000000000002</v>
      </c>
      <c r="S91" s="9">
        <f t="shared" si="8"/>
        <v>15.876000000000001</v>
      </c>
      <c r="T91" s="9">
        <f t="shared" si="8"/>
        <v>15.625</v>
      </c>
      <c r="U91" s="9">
        <f t="shared" si="8"/>
        <v>15.625</v>
      </c>
      <c r="V91" s="9">
        <f t="shared" si="8"/>
        <v>15.625</v>
      </c>
      <c r="W91" s="9">
        <f t="shared" si="8"/>
        <v>16.384</v>
      </c>
      <c r="X91" s="9">
        <f t="shared" si="8"/>
        <v>16.129</v>
      </c>
      <c r="Y91" s="9">
        <f t="shared" si="8"/>
        <v>15.625</v>
      </c>
      <c r="Z91" s="9">
        <f t="shared" si="8"/>
        <v>15.876000000000001</v>
      </c>
      <c r="AA91" s="9">
        <f t="shared" si="8"/>
        <v>15.625</v>
      </c>
      <c r="AB91" s="9">
        <f t="shared" si="8"/>
        <v>15.876000000000001</v>
      </c>
      <c r="AC91" s="9">
        <f t="shared" si="8"/>
        <v>15.625</v>
      </c>
      <c r="AD91" s="9" t="e">
        <f t="shared" si="8"/>
        <v>#VALUE!</v>
      </c>
      <c r="AE91" s="9" t="e">
        <f t="shared" si="8"/>
        <v>#VALUE!</v>
      </c>
      <c r="AF91" s="9" t="e">
        <f t="shared" si="8"/>
        <v>#VALUE!</v>
      </c>
      <c r="AG91" s="9" t="e">
        <f t="shared" si="8"/>
        <v>#VALUE!</v>
      </c>
      <c r="AH91" s="9" t="e">
        <f t="shared" si="8"/>
        <v>#VALUE!</v>
      </c>
      <c r="AI91" s="9" t="e">
        <f t="shared" si="8"/>
        <v>#VALUE!</v>
      </c>
      <c r="AJ91" s="9" t="e">
        <f t="shared" si="8"/>
        <v>#VALUE!</v>
      </c>
      <c r="AK91" s="9" t="e">
        <f t="shared" si="8"/>
        <v>#VALUE!</v>
      </c>
      <c r="AL91" s="9" t="e">
        <f t="shared" si="8"/>
        <v>#VALUE!</v>
      </c>
      <c r="AM91" s="9"/>
      <c r="AN91" s="9"/>
      <c r="AO91" s="9"/>
      <c r="AP91" s="9"/>
      <c r="AQ91" s="9"/>
      <c r="AR91" s="9"/>
      <c r="AS91" s="9"/>
    </row>
    <row r="92" spans="1:45" ht="12.75">
      <c r="A92" s="8">
        <f>AVERAGE(C92:AD92)</f>
        <v>16.150285714285715</v>
      </c>
      <c r="B92" s="8" t="str">
        <f t="shared" si="2"/>
        <v>Inject P28</v>
      </c>
      <c r="C92" s="9">
        <f t="shared" si="3"/>
        <v>16.641000000000002</v>
      </c>
      <c r="D92" s="9">
        <f t="shared" si="8"/>
        <v>16.384</v>
      </c>
      <c r="E92" s="9">
        <f t="shared" si="8"/>
        <v>16.129</v>
      </c>
      <c r="F92" s="9">
        <f t="shared" si="8"/>
        <v>16.641000000000002</v>
      </c>
      <c r="G92" s="9">
        <f t="shared" si="8"/>
        <v>16.384</v>
      </c>
      <c r="H92" s="9">
        <f t="shared" si="8"/>
        <v>16.641000000000002</v>
      </c>
      <c r="I92" s="9">
        <f t="shared" si="8"/>
        <v>16.384</v>
      </c>
      <c r="J92" s="9">
        <f t="shared" si="8"/>
        <v>16.129</v>
      </c>
      <c r="K92" s="9">
        <f t="shared" si="8"/>
        <v>15.876000000000001</v>
      </c>
      <c r="L92" s="9">
        <f t="shared" si="8"/>
        <v>16.900000000000002</v>
      </c>
      <c r="M92" s="9">
        <f t="shared" si="8"/>
        <v>16.900000000000002</v>
      </c>
      <c r="N92" s="9">
        <f t="shared" si="8"/>
        <v>16.641000000000002</v>
      </c>
      <c r="O92" s="9">
        <f t="shared" si="8"/>
        <v>16.384</v>
      </c>
      <c r="P92" s="9">
        <f t="shared" si="8"/>
        <v>16.384</v>
      </c>
      <c r="Q92" s="9">
        <f t="shared" si="8"/>
        <v>16.384</v>
      </c>
      <c r="R92" s="9">
        <f t="shared" si="8"/>
        <v>16.384</v>
      </c>
      <c r="S92" s="9">
        <f t="shared" si="8"/>
        <v>16.129</v>
      </c>
      <c r="T92" s="9">
        <f t="shared" si="8"/>
        <v>16.129</v>
      </c>
      <c r="U92" s="9">
        <f t="shared" si="8"/>
        <v>15.876000000000001</v>
      </c>
      <c r="V92" s="9">
        <f t="shared" si="8"/>
        <v>15.625</v>
      </c>
      <c r="W92" s="9">
        <f t="shared" si="8"/>
        <v>15.876000000000001</v>
      </c>
      <c r="X92" s="9">
        <f t="shared" si="8"/>
        <v>15.876000000000001</v>
      </c>
      <c r="Y92" s="9">
        <f t="shared" si="8"/>
        <v>15.376000000000001</v>
      </c>
      <c r="Z92" s="9">
        <f t="shared" si="8"/>
        <v>15.625</v>
      </c>
      <c r="AA92" s="9">
        <f t="shared" si="8"/>
        <v>15.129</v>
      </c>
      <c r="AB92" s="9">
        <f t="shared" si="8"/>
        <v>16.129</v>
      </c>
      <c r="AC92" s="9">
        <f t="shared" si="8"/>
        <v>15.376000000000001</v>
      </c>
      <c r="AD92" s="9">
        <f t="shared" si="8"/>
        <v>15.876000000000001</v>
      </c>
      <c r="AE92" s="9" t="e">
        <f t="shared" si="8"/>
        <v>#VALUE!</v>
      </c>
      <c r="AF92" s="9" t="e">
        <f t="shared" si="8"/>
        <v>#VALUE!</v>
      </c>
      <c r="AG92" s="9" t="e">
        <f t="shared" si="8"/>
        <v>#VALUE!</v>
      </c>
      <c r="AH92" s="9" t="e">
        <f t="shared" si="8"/>
        <v>#VALUE!</v>
      </c>
      <c r="AI92" s="9" t="e">
        <f t="shared" si="8"/>
        <v>#VALUE!</v>
      </c>
      <c r="AJ92" s="9" t="e">
        <f t="shared" si="8"/>
        <v>#VALUE!</v>
      </c>
      <c r="AK92" s="9" t="e">
        <f t="shared" si="8"/>
        <v>#VALUE!</v>
      </c>
      <c r="AL92" s="9" t="e">
        <f t="shared" si="8"/>
        <v>#VALUE!</v>
      </c>
      <c r="AM92" s="9"/>
      <c r="AN92" s="9"/>
      <c r="AO92" s="9"/>
      <c r="AP92" s="9"/>
      <c r="AQ92" s="9"/>
      <c r="AR92" s="9"/>
      <c r="AS92" s="9"/>
    </row>
    <row r="93" spans="1:45" ht="12.75">
      <c r="A93" s="8">
        <f>AVERAGE(C93:AE93)</f>
        <v>16.456206896551727</v>
      </c>
      <c r="B93" s="8" t="str">
        <f t="shared" si="2"/>
        <v>Inject P29</v>
      </c>
      <c r="C93" s="9">
        <f t="shared" si="3"/>
        <v>16.641000000000002</v>
      </c>
      <c r="D93" s="9">
        <f t="shared" si="8"/>
        <v>16.129</v>
      </c>
      <c r="E93" s="9">
        <f t="shared" si="8"/>
        <v>16.641000000000002</v>
      </c>
      <c r="F93" s="9">
        <f t="shared" si="8"/>
        <v>16.900000000000002</v>
      </c>
      <c r="G93" s="9">
        <f t="shared" si="8"/>
        <v>16.384</v>
      </c>
      <c r="H93" s="9">
        <f t="shared" si="8"/>
        <v>16.129</v>
      </c>
      <c r="I93" s="9">
        <f t="shared" si="8"/>
        <v>16.641000000000002</v>
      </c>
      <c r="J93" s="9">
        <f t="shared" si="8"/>
        <v>16.641000000000002</v>
      </c>
      <c r="K93" s="9">
        <f t="shared" si="8"/>
        <v>16.641000000000002</v>
      </c>
      <c r="L93" s="9">
        <f t="shared" si="8"/>
        <v>16.900000000000002</v>
      </c>
      <c r="M93" s="9">
        <f t="shared" si="8"/>
        <v>16.900000000000002</v>
      </c>
      <c r="N93" s="9">
        <f t="shared" si="8"/>
        <v>16.384</v>
      </c>
      <c r="O93" s="9">
        <f t="shared" si="8"/>
        <v>16.129</v>
      </c>
      <c r="P93" s="9">
        <f t="shared" si="8"/>
        <v>16.641000000000002</v>
      </c>
      <c r="Q93" s="9">
        <f t="shared" si="8"/>
        <v>16.384</v>
      </c>
      <c r="R93" s="9">
        <f t="shared" si="8"/>
        <v>16.900000000000002</v>
      </c>
      <c r="S93" s="9">
        <f t="shared" si="8"/>
        <v>16.384</v>
      </c>
      <c r="T93" s="9">
        <f t="shared" si="8"/>
        <v>16.384</v>
      </c>
      <c r="U93" s="9">
        <f t="shared" si="8"/>
        <v>16.129</v>
      </c>
      <c r="V93" s="9">
        <f t="shared" si="8"/>
        <v>15.876000000000001</v>
      </c>
      <c r="W93" s="9">
        <f t="shared" si="8"/>
        <v>16.384</v>
      </c>
      <c r="X93" s="9">
        <f t="shared" si="8"/>
        <v>16.641000000000002</v>
      </c>
      <c r="Y93" s="9">
        <f t="shared" si="8"/>
        <v>16.384</v>
      </c>
      <c r="Z93" s="9">
        <f t="shared" si="8"/>
        <v>16.641000000000002</v>
      </c>
      <c r="AA93" s="9">
        <f t="shared" si="8"/>
        <v>15.625</v>
      </c>
      <c r="AB93" s="9">
        <f t="shared" si="8"/>
        <v>16.384</v>
      </c>
      <c r="AC93" s="9">
        <f t="shared" si="8"/>
        <v>16.129</v>
      </c>
      <c r="AD93" s="9">
        <f t="shared" si="8"/>
        <v>16.384</v>
      </c>
      <c r="AE93" s="9">
        <f t="shared" si="8"/>
        <v>16.900000000000002</v>
      </c>
      <c r="AF93" s="9" t="e">
        <f t="shared" si="8"/>
        <v>#VALUE!</v>
      </c>
      <c r="AG93" s="9" t="e">
        <f t="shared" si="8"/>
        <v>#VALUE!</v>
      </c>
      <c r="AH93" s="9" t="e">
        <f t="shared" si="8"/>
        <v>#VALUE!</v>
      </c>
      <c r="AI93" s="9" t="e">
        <f t="shared" si="8"/>
        <v>#VALUE!</v>
      </c>
      <c r="AJ93" s="9" t="e">
        <f t="shared" si="8"/>
        <v>#VALUE!</v>
      </c>
      <c r="AK93" s="9" t="e">
        <f t="shared" si="8"/>
        <v>#VALUE!</v>
      </c>
      <c r="AL93" s="9" t="e">
        <f t="shared" si="8"/>
        <v>#VALUE!</v>
      </c>
      <c r="AM93" s="9"/>
      <c r="AN93" s="9"/>
      <c r="AO93" s="9"/>
      <c r="AP93" s="9"/>
      <c r="AQ93" s="9"/>
      <c r="AR93" s="9"/>
      <c r="AS93" s="9"/>
    </row>
    <row r="94" spans="1:45" ht="12.75">
      <c r="A94" s="8">
        <f>AVERAGE(C94:AF94)</f>
        <v>16.131733333333333</v>
      </c>
      <c r="B94" s="8" t="str">
        <f t="shared" si="2"/>
        <v>Inject P30</v>
      </c>
      <c r="C94" s="9">
        <f t="shared" si="3"/>
        <v>16.641000000000002</v>
      </c>
      <c r="D94" s="9">
        <f t="shared" si="8"/>
        <v>16.384</v>
      </c>
      <c r="E94" s="9">
        <f t="shared" si="8"/>
        <v>16.641000000000002</v>
      </c>
      <c r="F94" s="9">
        <f t="shared" si="8"/>
        <v>16.641000000000002</v>
      </c>
      <c r="G94" s="9">
        <f t="shared" si="8"/>
        <v>16.641000000000002</v>
      </c>
      <c r="H94" s="9">
        <f t="shared" si="8"/>
        <v>16.384</v>
      </c>
      <c r="I94" s="9">
        <f t="shared" si="8"/>
        <v>16.641000000000002</v>
      </c>
      <c r="J94" s="9">
        <f t="shared" si="8"/>
        <v>16.129</v>
      </c>
      <c r="K94" s="9">
        <f t="shared" si="8"/>
        <v>15.876000000000001</v>
      </c>
      <c r="L94" s="9">
        <f t="shared" si="8"/>
        <v>16.384</v>
      </c>
      <c r="M94" s="9">
        <f t="shared" si="8"/>
        <v>16.384</v>
      </c>
      <c r="N94" s="9">
        <f t="shared" si="8"/>
        <v>16.384</v>
      </c>
      <c r="O94" s="9">
        <f t="shared" si="8"/>
        <v>16.129</v>
      </c>
      <c r="P94" s="9">
        <f t="shared" si="8"/>
        <v>15.876000000000001</v>
      </c>
      <c r="Q94" s="9">
        <f t="shared" si="8"/>
        <v>16.129</v>
      </c>
      <c r="R94" s="9">
        <f t="shared" si="8"/>
        <v>15.876000000000001</v>
      </c>
      <c r="S94" s="9">
        <f t="shared" si="8"/>
        <v>15.625</v>
      </c>
      <c r="T94" s="9">
        <f t="shared" si="8"/>
        <v>15.625</v>
      </c>
      <c r="U94" s="9">
        <f t="shared" si="8"/>
        <v>15.625</v>
      </c>
      <c r="V94" s="9">
        <f t="shared" si="8"/>
        <v>15.625</v>
      </c>
      <c r="W94" s="9">
        <f t="shared" si="8"/>
        <v>16.129</v>
      </c>
      <c r="X94" s="9">
        <f aca="true" t="shared" si="9" ref="D94:AL101">X34*X34*10</f>
        <v>15.625</v>
      </c>
      <c r="Y94" s="9">
        <f t="shared" si="9"/>
        <v>15.876000000000001</v>
      </c>
      <c r="Z94" s="9">
        <f t="shared" si="9"/>
        <v>16.384</v>
      </c>
      <c r="AA94" s="9">
        <f t="shared" si="9"/>
        <v>15.376000000000001</v>
      </c>
      <c r="AB94" s="9">
        <f t="shared" si="9"/>
        <v>15.625</v>
      </c>
      <c r="AC94" s="9">
        <f t="shared" si="9"/>
        <v>15.876000000000001</v>
      </c>
      <c r="AD94" s="9">
        <f t="shared" si="9"/>
        <v>15.876000000000001</v>
      </c>
      <c r="AE94" s="9">
        <f t="shared" si="9"/>
        <v>17.161</v>
      </c>
      <c r="AF94" s="9">
        <f t="shared" si="9"/>
        <v>16.384</v>
      </c>
      <c r="AG94" s="9" t="e">
        <f t="shared" si="9"/>
        <v>#VALUE!</v>
      </c>
      <c r="AH94" s="9" t="e">
        <f t="shared" si="9"/>
        <v>#VALUE!</v>
      </c>
      <c r="AI94" s="9" t="e">
        <f t="shared" si="9"/>
        <v>#VALUE!</v>
      </c>
      <c r="AJ94" s="9" t="e">
        <f t="shared" si="9"/>
        <v>#VALUE!</v>
      </c>
      <c r="AK94" s="9" t="e">
        <f t="shared" si="9"/>
        <v>#VALUE!</v>
      </c>
      <c r="AL94" s="9" t="e">
        <f t="shared" si="9"/>
        <v>#VALUE!</v>
      </c>
      <c r="AM94" s="9"/>
      <c r="AN94" s="9"/>
      <c r="AO94" s="9"/>
      <c r="AP94" s="9"/>
      <c r="AQ94" s="9"/>
      <c r="AR94" s="9"/>
      <c r="AS94" s="9"/>
    </row>
    <row r="95" spans="1:45" ht="12.75">
      <c r="A95" s="8">
        <f>AVERAGE(C95:AG95)</f>
        <v>16.081709677419354</v>
      </c>
      <c r="B95" s="8" t="str">
        <f t="shared" si="2"/>
        <v>Inject P31</v>
      </c>
      <c r="C95" s="9">
        <f t="shared" si="3"/>
        <v>16.641000000000002</v>
      </c>
      <c r="D95" s="9">
        <f t="shared" si="9"/>
        <v>15.625</v>
      </c>
      <c r="E95" s="9">
        <f t="shared" si="9"/>
        <v>16.129</v>
      </c>
      <c r="F95" s="9">
        <f t="shared" si="9"/>
        <v>16.384</v>
      </c>
      <c r="G95" s="9">
        <f t="shared" si="9"/>
        <v>16.384</v>
      </c>
      <c r="H95" s="9">
        <f t="shared" si="9"/>
        <v>16.384</v>
      </c>
      <c r="I95" s="9">
        <f t="shared" si="9"/>
        <v>16.129</v>
      </c>
      <c r="J95" s="9">
        <f t="shared" si="9"/>
        <v>15.876000000000001</v>
      </c>
      <c r="K95" s="9">
        <f t="shared" si="9"/>
        <v>16.129</v>
      </c>
      <c r="L95" s="9">
        <f t="shared" si="9"/>
        <v>16.384</v>
      </c>
      <c r="M95" s="9">
        <f t="shared" si="9"/>
        <v>16.384</v>
      </c>
      <c r="N95" s="9">
        <f t="shared" si="9"/>
        <v>15.625</v>
      </c>
      <c r="O95" s="9">
        <f t="shared" si="9"/>
        <v>16.384</v>
      </c>
      <c r="P95" s="9">
        <f t="shared" si="9"/>
        <v>15.876000000000001</v>
      </c>
      <c r="Q95" s="9">
        <f t="shared" si="9"/>
        <v>16.129</v>
      </c>
      <c r="R95" s="9">
        <f t="shared" si="9"/>
        <v>15.625</v>
      </c>
      <c r="S95" s="9">
        <f t="shared" si="9"/>
        <v>16.129</v>
      </c>
      <c r="T95" s="9">
        <f t="shared" si="9"/>
        <v>15.625</v>
      </c>
      <c r="U95" s="9">
        <f t="shared" si="9"/>
        <v>15.876000000000001</v>
      </c>
      <c r="V95" s="9">
        <f t="shared" si="9"/>
        <v>15.876000000000001</v>
      </c>
      <c r="W95" s="9">
        <f t="shared" si="9"/>
        <v>16.641000000000002</v>
      </c>
      <c r="X95" s="9">
        <f t="shared" si="9"/>
        <v>16.129</v>
      </c>
      <c r="Y95" s="9">
        <f t="shared" si="9"/>
        <v>15.876000000000001</v>
      </c>
      <c r="Z95" s="9">
        <f t="shared" si="9"/>
        <v>16.384</v>
      </c>
      <c r="AA95" s="9">
        <f t="shared" si="9"/>
        <v>15.625</v>
      </c>
      <c r="AB95" s="9">
        <f t="shared" si="9"/>
        <v>15.625</v>
      </c>
      <c r="AC95" s="9">
        <f t="shared" si="9"/>
        <v>15.625</v>
      </c>
      <c r="AD95" s="9">
        <f t="shared" si="9"/>
        <v>16.129</v>
      </c>
      <c r="AE95" s="9">
        <f t="shared" si="9"/>
        <v>16.900000000000002</v>
      </c>
      <c r="AF95" s="9">
        <f t="shared" si="9"/>
        <v>16.129</v>
      </c>
      <c r="AG95" s="9">
        <f t="shared" si="9"/>
        <v>15.876000000000001</v>
      </c>
      <c r="AH95" s="9" t="e">
        <f t="shared" si="9"/>
        <v>#VALUE!</v>
      </c>
      <c r="AI95" s="9" t="e">
        <f t="shared" si="9"/>
        <v>#VALUE!</v>
      </c>
      <c r="AJ95" s="9" t="e">
        <f t="shared" si="9"/>
        <v>#VALUE!</v>
      </c>
      <c r="AK95" s="9" t="e">
        <f t="shared" si="9"/>
        <v>#VALUE!</v>
      </c>
      <c r="AL95" s="9" t="e">
        <f t="shared" si="9"/>
        <v>#VALUE!</v>
      </c>
      <c r="AM95" s="9"/>
      <c r="AN95" s="9"/>
      <c r="AO95" s="9"/>
      <c r="AP95" s="9"/>
      <c r="AQ95" s="9"/>
      <c r="AR95" s="9"/>
      <c r="AS95" s="9"/>
    </row>
    <row r="96" spans="1:45" ht="12.75">
      <c r="A96" s="8">
        <f>AVERAGE(C96:AH96)</f>
        <v>15.877874999999998</v>
      </c>
      <c r="B96" s="8" t="str">
        <f t="shared" si="2"/>
        <v>Inject P32</v>
      </c>
      <c r="C96" s="9">
        <f t="shared" si="3"/>
        <v>15.625</v>
      </c>
      <c r="D96" s="9">
        <f t="shared" si="9"/>
        <v>15.376000000000001</v>
      </c>
      <c r="E96" s="9">
        <f t="shared" si="9"/>
        <v>15.625</v>
      </c>
      <c r="F96" s="9">
        <f t="shared" si="9"/>
        <v>15.625</v>
      </c>
      <c r="G96" s="9">
        <f t="shared" si="9"/>
        <v>15.625</v>
      </c>
      <c r="H96" s="9">
        <f t="shared" si="9"/>
        <v>15.625</v>
      </c>
      <c r="I96" s="9">
        <f t="shared" si="9"/>
        <v>15.876000000000001</v>
      </c>
      <c r="J96" s="9">
        <f t="shared" si="9"/>
        <v>15.625</v>
      </c>
      <c r="K96" s="9">
        <f t="shared" si="9"/>
        <v>16.129</v>
      </c>
      <c r="L96" s="9">
        <f t="shared" si="9"/>
        <v>15.625</v>
      </c>
      <c r="M96" s="9">
        <f t="shared" si="9"/>
        <v>16.129</v>
      </c>
      <c r="N96" s="9">
        <f t="shared" si="9"/>
        <v>15.625</v>
      </c>
      <c r="O96" s="9">
        <f t="shared" si="9"/>
        <v>16.384</v>
      </c>
      <c r="P96" s="9">
        <f t="shared" si="9"/>
        <v>16.384</v>
      </c>
      <c r="Q96" s="9">
        <f t="shared" si="9"/>
        <v>16.641000000000002</v>
      </c>
      <c r="R96" s="9">
        <f t="shared" si="9"/>
        <v>16.641000000000002</v>
      </c>
      <c r="S96" s="9">
        <f t="shared" si="9"/>
        <v>15.876000000000001</v>
      </c>
      <c r="T96" s="9">
        <f t="shared" si="9"/>
        <v>15.876000000000001</v>
      </c>
      <c r="U96" s="9">
        <f t="shared" si="9"/>
        <v>15.876000000000001</v>
      </c>
      <c r="V96" s="9">
        <f t="shared" si="9"/>
        <v>15.625</v>
      </c>
      <c r="W96" s="9">
        <f t="shared" si="9"/>
        <v>16.384</v>
      </c>
      <c r="X96" s="9">
        <f t="shared" si="9"/>
        <v>15.876000000000001</v>
      </c>
      <c r="Y96" s="9">
        <f t="shared" si="9"/>
        <v>15.876000000000001</v>
      </c>
      <c r="Z96" s="9">
        <f t="shared" si="9"/>
        <v>16.129</v>
      </c>
      <c r="AA96" s="9">
        <f t="shared" si="9"/>
        <v>15.625</v>
      </c>
      <c r="AB96" s="9">
        <f t="shared" si="9"/>
        <v>15.625</v>
      </c>
      <c r="AC96" s="9">
        <f t="shared" si="9"/>
        <v>15.376000000000001</v>
      </c>
      <c r="AD96" s="9">
        <f t="shared" si="9"/>
        <v>15.625</v>
      </c>
      <c r="AE96" s="9">
        <f t="shared" si="9"/>
        <v>16.384</v>
      </c>
      <c r="AF96" s="9">
        <f t="shared" si="9"/>
        <v>16.129</v>
      </c>
      <c r="AG96" s="9">
        <f t="shared" si="9"/>
        <v>15.625</v>
      </c>
      <c r="AH96" s="9">
        <f t="shared" si="9"/>
        <v>15.625</v>
      </c>
      <c r="AI96" s="9" t="e">
        <f t="shared" si="9"/>
        <v>#VALUE!</v>
      </c>
      <c r="AJ96" s="9" t="e">
        <f t="shared" si="9"/>
        <v>#VALUE!</v>
      </c>
      <c r="AK96" s="9" t="e">
        <f t="shared" si="9"/>
        <v>#VALUE!</v>
      </c>
      <c r="AL96" s="9" t="e">
        <f t="shared" si="9"/>
        <v>#VALUE!</v>
      </c>
      <c r="AM96" s="9"/>
      <c r="AN96" s="9"/>
      <c r="AO96" s="9"/>
      <c r="AP96" s="9"/>
      <c r="AQ96" s="9"/>
      <c r="AR96" s="9"/>
      <c r="AS96" s="9"/>
    </row>
    <row r="97" spans="1:45" ht="12.75">
      <c r="A97" s="8">
        <f>AVERAGE(C97:AI97)</f>
        <v>16.21478787878788</v>
      </c>
      <c r="B97" s="8" t="str">
        <f t="shared" si="2"/>
        <v>Inject P33</v>
      </c>
      <c r="C97" s="9">
        <f t="shared" si="3"/>
        <v>16.641000000000002</v>
      </c>
      <c r="D97" s="9">
        <f t="shared" si="9"/>
        <v>15.876000000000001</v>
      </c>
      <c r="E97" s="9">
        <f t="shared" si="9"/>
        <v>16.129</v>
      </c>
      <c r="F97" s="9">
        <f t="shared" si="9"/>
        <v>16.384</v>
      </c>
      <c r="G97" s="9">
        <f t="shared" si="9"/>
        <v>16.384</v>
      </c>
      <c r="H97" s="9">
        <f t="shared" si="9"/>
        <v>16.129</v>
      </c>
      <c r="I97" s="9">
        <f t="shared" si="9"/>
        <v>16.129</v>
      </c>
      <c r="J97" s="9">
        <f t="shared" si="9"/>
        <v>16.129</v>
      </c>
      <c r="K97" s="9">
        <f t="shared" si="9"/>
        <v>16.384</v>
      </c>
      <c r="L97" s="9">
        <f t="shared" si="9"/>
        <v>16.384</v>
      </c>
      <c r="M97" s="9">
        <f t="shared" si="9"/>
        <v>16.384</v>
      </c>
      <c r="N97" s="9">
        <f t="shared" si="9"/>
        <v>15.876000000000001</v>
      </c>
      <c r="O97" s="9">
        <f t="shared" si="9"/>
        <v>16.129</v>
      </c>
      <c r="P97" s="9">
        <f t="shared" si="9"/>
        <v>16.129</v>
      </c>
      <c r="Q97" s="9">
        <f t="shared" si="9"/>
        <v>16.129</v>
      </c>
      <c r="R97" s="9">
        <f t="shared" si="9"/>
        <v>16.641000000000002</v>
      </c>
      <c r="S97" s="9">
        <f t="shared" si="9"/>
        <v>16.129</v>
      </c>
      <c r="T97" s="9">
        <f t="shared" si="9"/>
        <v>16.129</v>
      </c>
      <c r="U97" s="9">
        <f t="shared" si="9"/>
        <v>16.129</v>
      </c>
      <c r="V97" s="9">
        <f t="shared" si="9"/>
        <v>15.876000000000001</v>
      </c>
      <c r="W97" s="9">
        <f t="shared" si="9"/>
        <v>16.641000000000002</v>
      </c>
      <c r="X97" s="9">
        <f t="shared" si="9"/>
        <v>16.129</v>
      </c>
      <c r="Y97" s="9">
        <f t="shared" si="9"/>
        <v>16.129</v>
      </c>
      <c r="Z97" s="9">
        <f t="shared" si="9"/>
        <v>15.876000000000001</v>
      </c>
      <c r="AA97" s="9">
        <f t="shared" si="9"/>
        <v>15.876000000000001</v>
      </c>
      <c r="AB97" s="9">
        <f t="shared" si="9"/>
        <v>16.384</v>
      </c>
      <c r="AC97" s="9">
        <f t="shared" si="9"/>
        <v>16.129</v>
      </c>
      <c r="AD97" s="9">
        <f t="shared" si="9"/>
        <v>15.876000000000001</v>
      </c>
      <c r="AE97" s="9">
        <f t="shared" si="9"/>
        <v>16.900000000000002</v>
      </c>
      <c r="AF97" s="9">
        <f t="shared" si="9"/>
        <v>16.384</v>
      </c>
      <c r="AG97" s="9">
        <f t="shared" si="9"/>
        <v>15.876000000000001</v>
      </c>
      <c r="AH97" s="9">
        <f t="shared" si="9"/>
        <v>16.384</v>
      </c>
      <c r="AI97" s="9">
        <f t="shared" si="9"/>
        <v>16.384</v>
      </c>
      <c r="AJ97" s="9" t="e">
        <f t="shared" si="9"/>
        <v>#VALUE!</v>
      </c>
      <c r="AK97" s="9" t="e">
        <f t="shared" si="9"/>
        <v>#VALUE!</v>
      </c>
      <c r="AL97" s="9" t="e">
        <f t="shared" si="9"/>
        <v>#VALUE!</v>
      </c>
      <c r="AM97" s="9"/>
      <c r="AN97" s="9"/>
      <c r="AO97" s="9"/>
      <c r="AP97" s="9"/>
      <c r="AQ97" s="9"/>
      <c r="AR97" s="9"/>
      <c r="AS97" s="9"/>
    </row>
    <row r="98" spans="1:45" ht="12.75">
      <c r="A98" s="8">
        <f>AVERAGE(C98:AJ98)</f>
        <v>15.929382352941175</v>
      </c>
      <c r="B98" s="8" t="str">
        <f t="shared" si="2"/>
        <v>Inject P34</v>
      </c>
      <c r="C98" s="9">
        <f t="shared" si="3"/>
        <v>16.384</v>
      </c>
      <c r="D98" s="9">
        <f t="shared" si="9"/>
        <v>15.625</v>
      </c>
      <c r="E98" s="9">
        <f t="shared" si="9"/>
        <v>15.876000000000001</v>
      </c>
      <c r="F98" s="9">
        <f t="shared" si="9"/>
        <v>15.876000000000001</v>
      </c>
      <c r="G98" s="9">
        <f t="shared" si="9"/>
        <v>16.129</v>
      </c>
      <c r="H98" s="9">
        <f t="shared" si="9"/>
        <v>15.625</v>
      </c>
      <c r="I98" s="9">
        <f t="shared" si="9"/>
        <v>16.129</v>
      </c>
      <c r="J98" s="9">
        <f t="shared" si="9"/>
        <v>15.625</v>
      </c>
      <c r="K98" s="9">
        <f t="shared" si="9"/>
        <v>15.625</v>
      </c>
      <c r="L98" s="9">
        <f t="shared" si="9"/>
        <v>15.376000000000001</v>
      </c>
      <c r="M98" s="9">
        <f t="shared" si="9"/>
        <v>15.625</v>
      </c>
      <c r="N98" s="9">
        <f t="shared" si="9"/>
        <v>15.625</v>
      </c>
      <c r="O98" s="9">
        <f t="shared" si="9"/>
        <v>15.876000000000001</v>
      </c>
      <c r="P98" s="9">
        <f t="shared" si="9"/>
        <v>15.625</v>
      </c>
      <c r="Q98" s="9">
        <f t="shared" si="9"/>
        <v>15.876000000000001</v>
      </c>
      <c r="R98" s="9">
        <f t="shared" si="9"/>
        <v>16.129</v>
      </c>
      <c r="S98" s="9">
        <f t="shared" si="9"/>
        <v>16.129</v>
      </c>
      <c r="T98" s="9">
        <f t="shared" si="9"/>
        <v>15.876000000000001</v>
      </c>
      <c r="U98" s="9">
        <f t="shared" si="9"/>
        <v>15.625</v>
      </c>
      <c r="V98" s="9">
        <f t="shared" si="9"/>
        <v>15.625</v>
      </c>
      <c r="W98" s="9">
        <f t="shared" si="9"/>
        <v>16.129</v>
      </c>
      <c r="X98" s="9">
        <f t="shared" si="9"/>
        <v>15.876000000000001</v>
      </c>
      <c r="Y98" s="9">
        <f t="shared" si="9"/>
        <v>15.876000000000001</v>
      </c>
      <c r="Z98" s="9">
        <f t="shared" si="9"/>
        <v>16.384</v>
      </c>
      <c r="AA98" s="9">
        <f t="shared" si="9"/>
        <v>15.876000000000001</v>
      </c>
      <c r="AB98" s="9">
        <f t="shared" si="9"/>
        <v>15.625</v>
      </c>
      <c r="AC98" s="9">
        <f t="shared" si="9"/>
        <v>15.876000000000001</v>
      </c>
      <c r="AD98" s="9">
        <f t="shared" si="9"/>
        <v>16.129</v>
      </c>
      <c r="AE98" s="9">
        <f t="shared" si="9"/>
        <v>16.641000000000002</v>
      </c>
      <c r="AF98" s="9">
        <f t="shared" si="9"/>
        <v>16.641000000000002</v>
      </c>
      <c r="AG98" s="9">
        <f t="shared" si="9"/>
        <v>15.876000000000001</v>
      </c>
      <c r="AH98" s="9">
        <f t="shared" si="9"/>
        <v>15.876000000000001</v>
      </c>
      <c r="AI98" s="9">
        <f t="shared" si="9"/>
        <v>16.384</v>
      </c>
      <c r="AJ98" s="9">
        <f t="shared" si="9"/>
        <v>16.129</v>
      </c>
      <c r="AK98" s="9" t="e">
        <f t="shared" si="9"/>
        <v>#VALUE!</v>
      </c>
      <c r="AL98" s="9" t="e">
        <f t="shared" si="9"/>
        <v>#VALUE!</v>
      </c>
      <c r="AM98" s="9"/>
      <c r="AN98" s="9"/>
      <c r="AO98" s="9"/>
      <c r="AP98" s="9"/>
      <c r="AQ98" s="9"/>
      <c r="AR98" s="9"/>
      <c r="AS98" s="9"/>
    </row>
    <row r="99" spans="1:45" ht="12.75">
      <c r="A99" s="8">
        <f>AVERAGE(C99:AK99)</f>
        <v>16.43045714285714</v>
      </c>
      <c r="B99" s="8" t="str">
        <f t="shared" si="2"/>
        <v>Inject P35</v>
      </c>
      <c r="C99" s="9">
        <f t="shared" si="3"/>
        <v>17.424000000000003</v>
      </c>
      <c r="D99" s="9">
        <f t="shared" si="9"/>
        <v>16.641000000000002</v>
      </c>
      <c r="E99" s="9">
        <f t="shared" si="9"/>
        <v>16.641000000000002</v>
      </c>
      <c r="F99" s="9">
        <f t="shared" si="9"/>
        <v>16.900000000000002</v>
      </c>
      <c r="G99" s="9">
        <f t="shared" si="9"/>
        <v>16.129</v>
      </c>
      <c r="H99" s="9">
        <f t="shared" si="9"/>
        <v>16.641000000000002</v>
      </c>
      <c r="I99" s="9">
        <f t="shared" si="9"/>
        <v>16.129</v>
      </c>
      <c r="J99" s="9">
        <f t="shared" si="9"/>
        <v>16.384</v>
      </c>
      <c r="K99" s="9">
        <f t="shared" si="9"/>
        <v>16.641000000000002</v>
      </c>
      <c r="L99" s="9">
        <f t="shared" si="9"/>
        <v>16.641000000000002</v>
      </c>
      <c r="M99" s="9">
        <f t="shared" si="9"/>
        <v>16.129</v>
      </c>
      <c r="N99" s="9">
        <f t="shared" si="9"/>
        <v>16.384</v>
      </c>
      <c r="O99" s="9">
        <f t="shared" si="9"/>
        <v>16.129</v>
      </c>
      <c r="P99" s="9">
        <f t="shared" si="9"/>
        <v>16.384</v>
      </c>
      <c r="Q99" s="9">
        <f t="shared" si="9"/>
        <v>16.384</v>
      </c>
      <c r="R99" s="9">
        <f t="shared" si="9"/>
        <v>17.161</v>
      </c>
      <c r="S99" s="9">
        <f t="shared" si="9"/>
        <v>15.876000000000001</v>
      </c>
      <c r="T99" s="9">
        <f t="shared" si="9"/>
        <v>16.129</v>
      </c>
      <c r="U99" s="9">
        <f t="shared" si="9"/>
        <v>15.625</v>
      </c>
      <c r="V99" s="9">
        <f t="shared" si="9"/>
        <v>15.876000000000001</v>
      </c>
      <c r="W99" s="9">
        <f t="shared" si="9"/>
        <v>16.641000000000002</v>
      </c>
      <c r="X99" s="9">
        <f t="shared" si="9"/>
        <v>15.876000000000001</v>
      </c>
      <c r="Y99" s="9">
        <f t="shared" si="9"/>
        <v>16.641000000000002</v>
      </c>
      <c r="Z99" s="9">
        <f t="shared" si="9"/>
        <v>16.641000000000002</v>
      </c>
      <c r="AA99" s="9">
        <f t="shared" si="9"/>
        <v>15.876000000000001</v>
      </c>
      <c r="AB99" s="9">
        <f t="shared" si="9"/>
        <v>15.876000000000001</v>
      </c>
      <c r="AC99" s="9">
        <f t="shared" si="9"/>
        <v>16.129</v>
      </c>
      <c r="AD99" s="9">
        <f t="shared" si="9"/>
        <v>16.641000000000002</v>
      </c>
      <c r="AE99" s="9">
        <f t="shared" si="9"/>
        <v>16.900000000000002</v>
      </c>
      <c r="AF99" s="9">
        <f t="shared" si="9"/>
        <v>17.161</v>
      </c>
      <c r="AG99" s="9">
        <f t="shared" si="9"/>
        <v>16.641000000000002</v>
      </c>
      <c r="AH99" s="9">
        <f t="shared" si="9"/>
        <v>16.384</v>
      </c>
      <c r="AI99" s="9">
        <f t="shared" si="9"/>
        <v>16.641000000000002</v>
      </c>
      <c r="AJ99" s="9">
        <f t="shared" si="9"/>
        <v>16.129</v>
      </c>
      <c r="AK99" s="9">
        <f t="shared" si="9"/>
        <v>16.641000000000002</v>
      </c>
      <c r="AL99" s="9" t="e">
        <f t="shared" si="9"/>
        <v>#VALUE!</v>
      </c>
      <c r="AM99" s="9"/>
      <c r="AN99" s="9"/>
      <c r="AO99" s="9"/>
      <c r="AP99" s="9"/>
      <c r="AQ99" s="9"/>
      <c r="AR99" s="9"/>
      <c r="AS99" s="9"/>
    </row>
    <row r="100" spans="1:45" ht="12.75">
      <c r="A100" s="8">
        <f aca="true" t="shared" si="10" ref="A100:A111">AVERAGE(C100:AL100)</f>
        <v>16.5595</v>
      </c>
      <c r="B100" s="8" t="str">
        <f t="shared" si="2"/>
        <v>Inject P36</v>
      </c>
      <c r="C100" s="9">
        <f t="shared" si="3"/>
        <v>18.769000000000002</v>
      </c>
      <c r="D100" s="9">
        <f t="shared" si="9"/>
        <v>17.424000000000003</v>
      </c>
      <c r="E100" s="9">
        <f t="shared" si="9"/>
        <v>17.161</v>
      </c>
      <c r="F100" s="9">
        <f t="shared" si="9"/>
        <v>17.161</v>
      </c>
      <c r="G100" s="9">
        <f t="shared" si="9"/>
        <v>17.161</v>
      </c>
      <c r="H100" s="9">
        <f t="shared" si="9"/>
        <v>16.384</v>
      </c>
      <c r="I100" s="9">
        <f t="shared" si="9"/>
        <v>16.641000000000002</v>
      </c>
      <c r="J100" s="9">
        <f t="shared" si="9"/>
        <v>16.641000000000002</v>
      </c>
      <c r="K100" s="9">
        <f t="shared" si="9"/>
        <v>16.641000000000002</v>
      </c>
      <c r="L100" s="9">
        <f t="shared" si="9"/>
        <v>16.641000000000002</v>
      </c>
      <c r="M100" s="9">
        <f t="shared" si="9"/>
        <v>16.900000000000002</v>
      </c>
      <c r="N100" s="9">
        <f t="shared" si="9"/>
        <v>16.641000000000002</v>
      </c>
      <c r="O100" s="9">
        <f t="shared" si="9"/>
        <v>16.384</v>
      </c>
      <c r="P100" s="9">
        <f t="shared" si="9"/>
        <v>16.641000000000002</v>
      </c>
      <c r="Q100" s="9">
        <f t="shared" si="9"/>
        <v>16.900000000000002</v>
      </c>
      <c r="R100" s="9">
        <f t="shared" si="9"/>
        <v>16.900000000000002</v>
      </c>
      <c r="S100" s="9">
        <f t="shared" si="9"/>
        <v>16.384</v>
      </c>
      <c r="T100" s="9">
        <f t="shared" si="9"/>
        <v>16.641000000000002</v>
      </c>
      <c r="U100" s="9">
        <f t="shared" si="9"/>
        <v>15.876000000000001</v>
      </c>
      <c r="V100" s="9">
        <f t="shared" si="9"/>
        <v>16.384</v>
      </c>
      <c r="W100" s="9">
        <f t="shared" si="9"/>
        <v>16.641000000000002</v>
      </c>
      <c r="X100" s="9">
        <f t="shared" si="9"/>
        <v>16.129</v>
      </c>
      <c r="Y100" s="9">
        <f t="shared" si="9"/>
        <v>16.129</v>
      </c>
      <c r="Z100" s="9">
        <f t="shared" si="9"/>
        <v>16.384</v>
      </c>
      <c r="AA100" s="9">
        <f t="shared" si="9"/>
        <v>15.625</v>
      </c>
      <c r="AB100" s="9">
        <f t="shared" si="9"/>
        <v>15.876000000000001</v>
      </c>
      <c r="AC100" s="9">
        <f t="shared" si="9"/>
        <v>15.625</v>
      </c>
      <c r="AD100" s="9">
        <f t="shared" si="9"/>
        <v>16.384</v>
      </c>
      <c r="AE100" s="9">
        <f t="shared" si="9"/>
        <v>16.384</v>
      </c>
      <c r="AF100" s="9">
        <f t="shared" si="9"/>
        <v>16.129</v>
      </c>
      <c r="AG100" s="9">
        <f t="shared" si="9"/>
        <v>16.384</v>
      </c>
      <c r="AH100" s="9">
        <f t="shared" si="9"/>
        <v>16.384</v>
      </c>
      <c r="AI100" s="9">
        <f t="shared" si="9"/>
        <v>16.384</v>
      </c>
      <c r="AJ100" s="9">
        <f t="shared" si="9"/>
        <v>16.384</v>
      </c>
      <c r="AK100" s="9">
        <f t="shared" si="9"/>
        <v>16.384</v>
      </c>
      <c r="AL100" s="9">
        <f t="shared" si="9"/>
        <v>16.641000000000002</v>
      </c>
      <c r="AM100" s="9"/>
      <c r="AN100" s="9"/>
      <c r="AO100" s="9"/>
      <c r="AP100" s="9"/>
      <c r="AQ100" s="9"/>
      <c r="AR100" s="9"/>
      <c r="AS100" s="9"/>
    </row>
    <row r="101" spans="1:45" ht="12.75">
      <c r="A101" s="8">
        <f t="shared" si="10"/>
        <v>16.323583333333335</v>
      </c>
      <c r="B101" s="8" t="str">
        <f t="shared" si="2"/>
        <v>Pbar Porch</v>
      </c>
      <c r="C101" s="9">
        <f t="shared" si="3"/>
        <v>18.225</v>
      </c>
      <c r="D101" s="9">
        <f t="shared" si="9"/>
        <v>17.424000000000003</v>
      </c>
      <c r="E101" s="9">
        <f t="shared" si="9"/>
        <v>16.384</v>
      </c>
      <c r="F101" s="9">
        <f t="shared" si="9"/>
        <v>16.384</v>
      </c>
      <c r="G101" s="9">
        <f t="shared" si="9"/>
        <v>16.384</v>
      </c>
      <c r="H101" s="9">
        <f t="shared" si="9"/>
        <v>16.384</v>
      </c>
      <c r="I101" s="9">
        <f t="shared" si="9"/>
        <v>16.641000000000002</v>
      </c>
      <c r="J101" s="9">
        <f t="shared" si="9"/>
        <v>16.129</v>
      </c>
      <c r="K101" s="9">
        <f t="shared" si="9"/>
        <v>16.129</v>
      </c>
      <c r="L101" s="9">
        <f t="shared" si="9"/>
        <v>16.384</v>
      </c>
      <c r="M101" s="9">
        <f t="shared" si="9"/>
        <v>16.129</v>
      </c>
      <c r="N101" s="9">
        <f t="shared" si="9"/>
        <v>15.876000000000001</v>
      </c>
      <c r="O101" s="9">
        <f t="shared" si="9"/>
        <v>16.641000000000002</v>
      </c>
      <c r="P101" s="9">
        <f t="shared" si="9"/>
        <v>16.384</v>
      </c>
      <c r="Q101" s="9">
        <f t="shared" si="9"/>
        <v>16.384</v>
      </c>
      <c r="R101" s="9">
        <f t="shared" si="9"/>
        <v>16.641000000000002</v>
      </c>
      <c r="S101" s="9">
        <f t="shared" si="9"/>
        <v>16.129</v>
      </c>
      <c r="T101" s="9">
        <f t="shared" si="9"/>
        <v>16.384</v>
      </c>
      <c r="U101" s="9">
        <f t="shared" si="9"/>
        <v>15.625</v>
      </c>
      <c r="V101" s="9">
        <f t="shared" si="9"/>
        <v>15.876000000000001</v>
      </c>
      <c r="W101" s="9">
        <f t="shared" si="9"/>
        <v>16.384</v>
      </c>
      <c r="X101" s="9">
        <f t="shared" si="9"/>
        <v>16.129</v>
      </c>
      <c r="Y101" s="9">
        <f t="shared" si="9"/>
        <v>15.876000000000001</v>
      </c>
      <c r="Z101" s="9">
        <f t="shared" si="9"/>
        <v>16.129</v>
      </c>
      <c r="AA101" s="9">
        <f t="shared" si="9"/>
        <v>15.625</v>
      </c>
      <c r="AB101" s="9">
        <f t="shared" si="9"/>
        <v>15.876000000000001</v>
      </c>
      <c r="AC101" s="9">
        <f t="shared" si="9"/>
        <v>15.876000000000001</v>
      </c>
      <c r="AD101" s="9">
        <f t="shared" si="9"/>
        <v>16.129</v>
      </c>
      <c r="AE101" s="9">
        <f t="shared" si="9"/>
        <v>16.384</v>
      </c>
      <c r="AF101" s="9">
        <f t="shared" si="9"/>
        <v>16.641000000000002</v>
      </c>
      <c r="AG101" s="9">
        <f t="shared" si="9"/>
        <v>16.129</v>
      </c>
      <c r="AH101" s="9">
        <f aca="true" t="shared" si="11" ref="D101:AL109">AH41*AH41*10</f>
        <v>15.625</v>
      </c>
      <c r="AI101" s="9">
        <f t="shared" si="11"/>
        <v>16.384</v>
      </c>
      <c r="AJ101" s="9">
        <f t="shared" si="11"/>
        <v>16.641000000000002</v>
      </c>
      <c r="AK101" s="9">
        <f t="shared" si="11"/>
        <v>16.384</v>
      </c>
      <c r="AL101" s="9">
        <f t="shared" si="11"/>
        <v>16.900000000000002</v>
      </c>
      <c r="AM101" s="9"/>
      <c r="AN101" s="9"/>
      <c r="AO101" s="9"/>
      <c r="AP101" s="9"/>
      <c r="AQ101" s="9"/>
      <c r="AR101" s="9"/>
      <c r="AS101" s="9"/>
    </row>
    <row r="102" spans="1:45" ht="12.75">
      <c r="A102" s="8">
        <f t="shared" si="10"/>
        <v>16.55855555555555</v>
      </c>
      <c r="B102" s="8" t="str">
        <f t="shared" si="2"/>
        <v>Inject A1</v>
      </c>
      <c r="C102" s="9">
        <f t="shared" si="3"/>
        <v>18.225</v>
      </c>
      <c r="D102" s="9">
        <f t="shared" si="11"/>
        <v>17.956000000000003</v>
      </c>
      <c r="E102" s="9">
        <f t="shared" si="11"/>
        <v>16.900000000000002</v>
      </c>
      <c r="F102" s="9">
        <f t="shared" si="11"/>
        <v>16.641000000000002</v>
      </c>
      <c r="G102" s="9">
        <f t="shared" si="11"/>
        <v>17.161</v>
      </c>
      <c r="H102" s="9">
        <f t="shared" si="11"/>
        <v>16.384</v>
      </c>
      <c r="I102" s="9">
        <f t="shared" si="11"/>
        <v>16.129</v>
      </c>
      <c r="J102" s="9">
        <f t="shared" si="11"/>
        <v>16.129</v>
      </c>
      <c r="K102" s="9">
        <f t="shared" si="11"/>
        <v>16.384</v>
      </c>
      <c r="L102" s="9">
        <f t="shared" si="11"/>
        <v>16.641000000000002</v>
      </c>
      <c r="M102" s="9">
        <f t="shared" si="11"/>
        <v>16.641000000000002</v>
      </c>
      <c r="N102" s="9">
        <f t="shared" si="11"/>
        <v>16.384</v>
      </c>
      <c r="O102" s="9">
        <f t="shared" si="11"/>
        <v>16.641000000000002</v>
      </c>
      <c r="P102" s="9">
        <f t="shared" si="11"/>
        <v>16.641000000000002</v>
      </c>
      <c r="Q102" s="9">
        <f t="shared" si="11"/>
        <v>16.641000000000002</v>
      </c>
      <c r="R102" s="9">
        <f t="shared" si="11"/>
        <v>16.641000000000002</v>
      </c>
      <c r="S102" s="9">
        <f t="shared" si="11"/>
        <v>16.129</v>
      </c>
      <c r="T102" s="9">
        <f t="shared" si="11"/>
        <v>15.876000000000001</v>
      </c>
      <c r="U102" s="9">
        <f t="shared" si="11"/>
        <v>15.876000000000001</v>
      </c>
      <c r="V102" s="9">
        <f t="shared" si="11"/>
        <v>15.876000000000001</v>
      </c>
      <c r="W102" s="9">
        <f t="shared" si="11"/>
        <v>16.900000000000002</v>
      </c>
      <c r="X102" s="9">
        <f t="shared" si="11"/>
        <v>16.384</v>
      </c>
      <c r="Y102" s="9">
        <f t="shared" si="11"/>
        <v>16.384</v>
      </c>
      <c r="Z102" s="9">
        <f t="shared" si="11"/>
        <v>16.641000000000002</v>
      </c>
      <c r="AA102" s="9">
        <f t="shared" si="11"/>
        <v>16.384</v>
      </c>
      <c r="AB102" s="9">
        <f t="shared" si="11"/>
        <v>15.876000000000001</v>
      </c>
      <c r="AC102" s="9">
        <f t="shared" si="11"/>
        <v>16.384</v>
      </c>
      <c r="AD102" s="9">
        <f t="shared" si="11"/>
        <v>16.641000000000002</v>
      </c>
      <c r="AE102" s="9">
        <f t="shared" si="11"/>
        <v>16.900000000000002</v>
      </c>
      <c r="AF102" s="9">
        <f t="shared" si="11"/>
        <v>16.384</v>
      </c>
      <c r="AG102" s="9">
        <f t="shared" si="11"/>
        <v>16.384</v>
      </c>
      <c r="AH102" s="9">
        <f t="shared" si="11"/>
        <v>16.641000000000002</v>
      </c>
      <c r="AI102" s="9">
        <f t="shared" si="11"/>
        <v>16.900000000000002</v>
      </c>
      <c r="AJ102" s="9">
        <f t="shared" si="11"/>
        <v>16.641000000000002</v>
      </c>
      <c r="AK102" s="9">
        <f t="shared" si="11"/>
        <v>16.384</v>
      </c>
      <c r="AL102" s="9">
        <f t="shared" si="11"/>
        <v>16.384</v>
      </c>
      <c r="AM102" s="9"/>
      <c r="AN102" s="9"/>
      <c r="AO102" s="9"/>
      <c r="AP102" s="9"/>
      <c r="AQ102" s="9"/>
      <c r="AR102" s="9"/>
      <c r="AS102" s="9"/>
    </row>
    <row r="103" spans="1:45" ht="12.75">
      <c r="A103" s="8">
        <f t="shared" si="10"/>
        <v>16.540083333333328</v>
      </c>
      <c r="B103" s="8" t="str">
        <f t="shared" si="2"/>
        <v>Inject A2</v>
      </c>
      <c r="C103" s="9">
        <f t="shared" si="3"/>
        <v>18.769000000000002</v>
      </c>
      <c r="D103" s="9">
        <f t="shared" si="11"/>
        <v>17.689</v>
      </c>
      <c r="E103" s="9">
        <f t="shared" si="11"/>
        <v>17.161</v>
      </c>
      <c r="F103" s="9">
        <f t="shared" si="11"/>
        <v>17.424000000000003</v>
      </c>
      <c r="G103" s="9">
        <f t="shared" si="11"/>
        <v>17.161</v>
      </c>
      <c r="H103" s="9">
        <f t="shared" si="11"/>
        <v>16.900000000000002</v>
      </c>
      <c r="I103" s="9">
        <f t="shared" si="11"/>
        <v>17.161</v>
      </c>
      <c r="J103" s="9">
        <f t="shared" si="11"/>
        <v>16.900000000000002</v>
      </c>
      <c r="K103" s="9">
        <f t="shared" si="11"/>
        <v>16.900000000000002</v>
      </c>
      <c r="L103" s="9">
        <f t="shared" si="11"/>
        <v>16.641000000000002</v>
      </c>
      <c r="M103" s="9">
        <f t="shared" si="11"/>
        <v>16.384</v>
      </c>
      <c r="N103" s="9">
        <f t="shared" si="11"/>
        <v>16.384</v>
      </c>
      <c r="O103" s="9">
        <f t="shared" si="11"/>
        <v>16.641000000000002</v>
      </c>
      <c r="P103" s="9">
        <f t="shared" si="11"/>
        <v>16.129</v>
      </c>
      <c r="Q103" s="9">
        <f t="shared" si="11"/>
        <v>16.641000000000002</v>
      </c>
      <c r="R103" s="9">
        <f t="shared" si="11"/>
        <v>16.641000000000002</v>
      </c>
      <c r="S103" s="9">
        <f t="shared" si="11"/>
        <v>15.876000000000001</v>
      </c>
      <c r="T103" s="9">
        <f t="shared" si="11"/>
        <v>15.876000000000001</v>
      </c>
      <c r="U103" s="9">
        <f t="shared" si="11"/>
        <v>15.625</v>
      </c>
      <c r="V103" s="9">
        <f t="shared" si="11"/>
        <v>16.129</v>
      </c>
      <c r="W103" s="9">
        <f t="shared" si="11"/>
        <v>16.384</v>
      </c>
      <c r="X103" s="9">
        <f t="shared" si="11"/>
        <v>15.876000000000001</v>
      </c>
      <c r="Y103" s="9">
        <f t="shared" si="11"/>
        <v>15.376000000000001</v>
      </c>
      <c r="Z103" s="9">
        <f t="shared" si="11"/>
        <v>15.876000000000001</v>
      </c>
      <c r="AA103" s="9">
        <f t="shared" si="11"/>
        <v>15.625</v>
      </c>
      <c r="AB103" s="9">
        <f t="shared" si="11"/>
        <v>15.876000000000001</v>
      </c>
      <c r="AC103" s="9">
        <f t="shared" si="11"/>
        <v>16.129</v>
      </c>
      <c r="AD103" s="9">
        <f t="shared" si="11"/>
        <v>16.129</v>
      </c>
      <c r="AE103" s="9">
        <f t="shared" si="11"/>
        <v>17.161</v>
      </c>
      <c r="AF103" s="9">
        <f t="shared" si="11"/>
        <v>16.641000000000002</v>
      </c>
      <c r="AG103" s="9">
        <f t="shared" si="11"/>
        <v>16.384</v>
      </c>
      <c r="AH103" s="9">
        <f t="shared" si="11"/>
        <v>16.129</v>
      </c>
      <c r="AI103" s="9">
        <f t="shared" si="11"/>
        <v>16.641000000000002</v>
      </c>
      <c r="AJ103" s="9">
        <f t="shared" si="11"/>
        <v>16.384</v>
      </c>
      <c r="AK103" s="9">
        <f t="shared" si="11"/>
        <v>16.900000000000002</v>
      </c>
      <c r="AL103" s="9">
        <f t="shared" si="11"/>
        <v>16.900000000000002</v>
      </c>
      <c r="AM103" s="9"/>
      <c r="AN103" s="9"/>
      <c r="AO103" s="9"/>
      <c r="AP103" s="9"/>
      <c r="AQ103" s="9"/>
      <c r="AR103" s="9"/>
      <c r="AS103" s="9"/>
    </row>
    <row r="104" spans="1:45" ht="12.75">
      <c r="A104" s="8">
        <f t="shared" si="10"/>
        <v>16.275277777777784</v>
      </c>
      <c r="B104" s="8" t="str">
        <f t="shared" si="2"/>
        <v>Inject A3</v>
      </c>
      <c r="C104" s="9">
        <f t="shared" si="3"/>
        <v>18.225</v>
      </c>
      <c r="D104" s="9">
        <f t="shared" si="11"/>
        <v>17.689</v>
      </c>
      <c r="E104" s="9">
        <f t="shared" si="11"/>
        <v>16.641000000000002</v>
      </c>
      <c r="F104" s="9">
        <f t="shared" si="11"/>
        <v>16.900000000000002</v>
      </c>
      <c r="G104" s="9">
        <f t="shared" si="11"/>
        <v>16.384</v>
      </c>
      <c r="H104" s="9">
        <f t="shared" si="11"/>
        <v>16.129</v>
      </c>
      <c r="I104" s="9">
        <f t="shared" si="11"/>
        <v>16.900000000000002</v>
      </c>
      <c r="J104" s="9">
        <f t="shared" si="11"/>
        <v>16.384</v>
      </c>
      <c r="K104" s="9">
        <f t="shared" si="11"/>
        <v>15.876000000000001</v>
      </c>
      <c r="L104" s="9">
        <f t="shared" si="11"/>
        <v>16.129</v>
      </c>
      <c r="M104" s="9">
        <f t="shared" si="11"/>
        <v>15.625</v>
      </c>
      <c r="N104" s="9">
        <f t="shared" si="11"/>
        <v>15.876000000000001</v>
      </c>
      <c r="O104" s="9">
        <f t="shared" si="11"/>
        <v>16.900000000000002</v>
      </c>
      <c r="P104" s="9">
        <f t="shared" si="11"/>
        <v>16.641000000000002</v>
      </c>
      <c r="Q104" s="9">
        <f t="shared" si="11"/>
        <v>15.876000000000001</v>
      </c>
      <c r="R104" s="9">
        <f t="shared" si="11"/>
        <v>16.641000000000002</v>
      </c>
      <c r="S104" s="9">
        <f t="shared" si="11"/>
        <v>15.625</v>
      </c>
      <c r="T104" s="9">
        <f t="shared" si="11"/>
        <v>16.129</v>
      </c>
      <c r="U104" s="9">
        <f t="shared" si="11"/>
        <v>15.376000000000001</v>
      </c>
      <c r="V104" s="9">
        <f t="shared" si="11"/>
        <v>15.876000000000001</v>
      </c>
      <c r="W104" s="9">
        <f t="shared" si="11"/>
        <v>16.129</v>
      </c>
      <c r="X104" s="9">
        <f t="shared" si="11"/>
        <v>15.625</v>
      </c>
      <c r="Y104" s="9">
        <f t="shared" si="11"/>
        <v>16.129</v>
      </c>
      <c r="Z104" s="9">
        <f t="shared" si="11"/>
        <v>16.129</v>
      </c>
      <c r="AA104" s="9">
        <f t="shared" si="11"/>
        <v>15.625</v>
      </c>
      <c r="AB104" s="9">
        <f t="shared" si="11"/>
        <v>16.129</v>
      </c>
      <c r="AC104" s="9">
        <f t="shared" si="11"/>
        <v>15.625</v>
      </c>
      <c r="AD104" s="9">
        <f t="shared" si="11"/>
        <v>15.876000000000001</v>
      </c>
      <c r="AE104" s="9">
        <f t="shared" si="11"/>
        <v>16.641000000000002</v>
      </c>
      <c r="AF104" s="9">
        <f t="shared" si="11"/>
        <v>16.641000000000002</v>
      </c>
      <c r="AG104" s="9">
        <f t="shared" si="11"/>
        <v>16.384</v>
      </c>
      <c r="AH104" s="9">
        <f t="shared" si="11"/>
        <v>16.129</v>
      </c>
      <c r="AI104" s="9">
        <f t="shared" si="11"/>
        <v>16.129</v>
      </c>
      <c r="AJ104" s="9">
        <f t="shared" si="11"/>
        <v>16.384</v>
      </c>
      <c r="AK104" s="9">
        <f t="shared" si="11"/>
        <v>16.129</v>
      </c>
      <c r="AL104" s="9">
        <f t="shared" si="11"/>
        <v>16.384</v>
      </c>
      <c r="AM104" s="9"/>
      <c r="AN104" s="9"/>
      <c r="AO104" s="9"/>
      <c r="AP104" s="9"/>
      <c r="AQ104" s="9"/>
      <c r="AR104" s="9"/>
      <c r="AS104" s="9"/>
    </row>
    <row r="105" spans="1:45" ht="12.75">
      <c r="A105" s="8">
        <f t="shared" si="10"/>
        <v>16.069027777777777</v>
      </c>
      <c r="B105" s="8" t="str">
        <f t="shared" si="2"/>
        <v>Inject A4</v>
      </c>
      <c r="C105" s="9">
        <f t="shared" si="3"/>
        <v>17.689</v>
      </c>
      <c r="D105" s="9">
        <f t="shared" si="11"/>
        <v>16.900000000000002</v>
      </c>
      <c r="E105" s="9">
        <f t="shared" si="11"/>
        <v>16.129</v>
      </c>
      <c r="F105" s="9">
        <f t="shared" si="11"/>
        <v>16.129</v>
      </c>
      <c r="G105" s="9">
        <f t="shared" si="11"/>
        <v>16.384</v>
      </c>
      <c r="H105" s="9">
        <f t="shared" si="11"/>
        <v>15.876000000000001</v>
      </c>
      <c r="I105" s="9">
        <f t="shared" si="11"/>
        <v>15.625</v>
      </c>
      <c r="J105" s="9">
        <f t="shared" si="11"/>
        <v>16.384</v>
      </c>
      <c r="K105" s="9">
        <f t="shared" si="11"/>
        <v>15.625</v>
      </c>
      <c r="L105" s="9">
        <f t="shared" si="11"/>
        <v>15.625</v>
      </c>
      <c r="M105" s="9">
        <f t="shared" si="11"/>
        <v>15.876000000000001</v>
      </c>
      <c r="N105" s="9">
        <f t="shared" si="11"/>
        <v>15.625</v>
      </c>
      <c r="O105" s="9">
        <f t="shared" si="11"/>
        <v>15.876000000000001</v>
      </c>
      <c r="P105" s="9">
        <f t="shared" si="11"/>
        <v>16.129</v>
      </c>
      <c r="Q105" s="9">
        <f t="shared" si="11"/>
        <v>16.384</v>
      </c>
      <c r="R105" s="9">
        <f t="shared" si="11"/>
        <v>16.384</v>
      </c>
      <c r="S105" s="9">
        <f t="shared" si="11"/>
        <v>15.376000000000001</v>
      </c>
      <c r="T105" s="9">
        <f t="shared" si="11"/>
        <v>15.625</v>
      </c>
      <c r="U105" s="9">
        <f t="shared" si="11"/>
        <v>15.129</v>
      </c>
      <c r="V105" s="9">
        <f t="shared" si="11"/>
        <v>15.625</v>
      </c>
      <c r="W105" s="9">
        <f t="shared" si="11"/>
        <v>16.129</v>
      </c>
      <c r="X105" s="9">
        <f t="shared" si="11"/>
        <v>15.376000000000001</v>
      </c>
      <c r="Y105" s="9">
        <f t="shared" si="11"/>
        <v>15.876000000000001</v>
      </c>
      <c r="Z105" s="9">
        <f t="shared" si="11"/>
        <v>15.876000000000001</v>
      </c>
      <c r="AA105" s="9">
        <f t="shared" si="11"/>
        <v>15.876000000000001</v>
      </c>
      <c r="AB105" s="9">
        <f t="shared" si="11"/>
        <v>16.129</v>
      </c>
      <c r="AC105" s="9">
        <f t="shared" si="11"/>
        <v>16.129</v>
      </c>
      <c r="AD105" s="9">
        <f t="shared" si="11"/>
        <v>16.384</v>
      </c>
      <c r="AE105" s="9">
        <f t="shared" si="11"/>
        <v>16.384</v>
      </c>
      <c r="AF105" s="9">
        <f t="shared" si="11"/>
        <v>16.900000000000002</v>
      </c>
      <c r="AG105" s="9">
        <f t="shared" si="11"/>
        <v>16.129</v>
      </c>
      <c r="AH105" s="9">
        <f t="shared" si="11"/>
        <v>16.129</v>
      </c>
      <c r="AI105" s="9">
        <f t="shared" si="11"/>
        <v>16.129</v>
      </c>
      <c r="AJ105" s="9">
        <f t="shared" si="11"/>
        <v>16.384</v>
      </c>
      <c r="AK105" s="9">
        <f t="shared" si="11"/>
        <v>16.384</v>
      </c>
      <c r="AL105" s="9">
        <f t="shared" si="11"/>
        <v>15.876000000000001</v>
      </c>
      <c r="AM105" s="9"/>
      <c r="AN105" s="9"/>
      <c r="AO105" s="9"/>
      <c r="AP105" s="9"/>
      <c r="AQ105" s="9"/>
      <c r="AR105" s="9"/>
      <c r="AS105" s="9"/>
    </row>
    <row r="106" spans="1:45" ht="12.75">
      <c r="A106" s="8">
        <f t="shared" si="10"/>
        <v>0</v>
      </c>
      <c r="B106" s="8" t="str">
        <f t="shared" si="2"/>
        <v>Inject A5</v>
      </c>
      <c r="C106" s="9">
        <f t="shared" si="3"/>
        <v>0</v>
      </c>
      <c r="D106" s="9">
        <f t="shared" si="11"/>
        <v>0</v>
      </c>
      <c r="E106" s="9">
        <f t="shared" si="11"/>
        <v>0</v>
      </c>
      <c r="F106" s="9">
        <f t="shared" si="11"/>
        <v>0</v>
      </c>
      <c r="G106" s="9">
        <f t="shared" si="11"/>
        <v>0</v>
      </c>
      <c r="H106" s="9">
        <f t="shared" si="11"/>
        <v>0</v>
      </c>
      <c r="I106" s="9">
        <f t="shared" si="11"/>
        <v>0</v>
      </c>
      <c r="J106" s="9">
        <f t="shared" si="11"/>
        <v>0</v>
      </c>
      <c r="K106" s="9">
        <f t="shared" si="11"/>
        <v>0</v>
      </c>
      <c r="L106" s="9">
        <f t="shared" si="11"/>
        <v>0</v>
      </c>
      <c r="M106" s="9">
        <f t="shared" si="11"/>
        <v>0</v>
      </c>
      <c r="N106" s="9">
        <f t="shared" si="11"/>
        <v>0</v>
      </c>
      <c r="O106" s="9">
        <f t="shared" si="11"/>
        <v>0</v>
      </c>
      <c r="P106" s="9">
        <f t="shared" si="11"/>
        <v>0</v>
      </c>
      <c r="Q106" s="9">
        <f t="shared" si="11"/>
        <v>0</v>
      </c>
      <c r="R106" s="9">
        <f t="shared" si="11"/>
        <v>0</v>
      </c>
      <c r="S106" s="9">
        <f t="shared" si="11"/>
        <v>0</v>
      </c>
      <c r="T106" s="9">
        <f t="shared" si="11"/>
        <v>0</v>
      </c>
      <c r="U106" s="9">
        <f t="shared" si="11"/>
        <v>0</v>
      </c>
      <c r="V106" s="9">
        <f t="shared" si="11"/>
        <v>0</v>
      </c>
      <c r="W106" s="9">
        <f t="shared" si="11"/>
        <v>0</v>
      </c>
      <c r="X106" s="9">
        <f t="shared" si="11"/>
        <v>0</v>
      </c>
      <c r="Y106" s="9">
        <f t="shared" si="11"/>
        <v>0</v>
      </c>
      <c r="Z106" s="9">
        <f t="shared" si="11"/>
        <v>0</v>
      </c>
      <c r="AA106" s="9">
        <f t="shared" si="11"/>
        <v>0</v>
      </c>
      <c r="AB106" s="9">
        <f t="shared" si="11"/>
        <v>0</v>
      </c>
      <c r="AC106" s="9">
        <f t="shared" si="11"/>
        <v>0</v>
      </c>
      <c r="AD106" s="9">
        <f t="shared" si="11"/>
        <v>0</v>
      </c>
      <c r="AE106" s="9">
        <f t="shared" si="11"/>
        <v>0</v>
      </c>
      <c r="AF106" s="9">
        <f t="shared" si="11"/>
        <v>0</v>
      </c>
      <c r="AG106" s="9">
        <f t="shared" si="11"/>
        <v>0</v>
      </c>
      <c r="AH106" s="9">
        <f t="shared" si="11"/>
        <v>0</v>
      </c>
      <c r="AI106" s="9">
        <f t="shared" si="11"/>
        <v>0</v>
      </c>
      <c r="AJ106" s="9">
        <f t="shared" si="11"/>
        <v>0</v>
      </c>
      <c r="AK106" s="9">
        <f t="shared" si="11"/>
        <v>0</v>
      </c>
      <c r="AL106" s="9">
        <f t="shared" si="11"/>
        <v>0</v>
      </c>
      <c r="AM106" s="9"/>
      <c r="AN106" s="9"/>
      <c r="AO106" s="9"/>
      <c r="AP106" s="9"/>
      <c r="AQ106" s="9"/>
      <c r="AR106" s="9"/>
      <c r="AS106" s="9"/>
    </row>
    <row r="107" spans="1:45" ht="12.75">
      <c r="A107" s="8">
        <f t="shared" si="10"/>
        <v>16.210805555555552</v>
      </c>
      <c r="B107" s="8" t="str">
        <f t="shared" si="2"/>
        <v>Inject A6</v>
      </c>
      <c r="C107" s="9">
        <f t="shared" si="3"/>
        <v>18.225</v>
      </c>
      <c r="D107" s="9">
        <f t="shared" si="11"/>
        <v>17.161</v>
      </c>
      <c r="E107" s="9">
        <f t="shared" si="11"/>
        <v>16.641000000000002</v>
      </c>
      <c r="F107" s="9">
        <f t="shared" si="11"/>
        <v>16.900000000000002</v>
      </c>
      <c r="G107" s="9">
        <f t="shared" si="11"/>
        <v>16.384</v>
      </c>
      <c r="H107" s="9">
        <f t="shared" si="11"/>
        <v>16.129</v>
      </c>
      <c r="I107" s="9">
        <f t="shared" si="11"/>
        <v>15.876000000000001</v>
      </c>
      <c r="J107" s="9">
        <f t="shared" si="11"/>
        <v>15.876000000000001</v>
      </c>
      <c r="K107" s="9">
        <f t="shared" si="11"/>
        <v>16.129</v>
      </c>
      <c r="L107" s="9">
        <f t="shared" si="11"/>
        <v>15.876000000000001</v>
      </c>
      <c r="M107" s="9">
        <f t="shared" si="11"/>
        <v>15.876000000000001</v>
      </c>
      <c r="N107" s="9">
        <f t="shared" si="11"/>
        <v>16.129</v>
      </c>
      <c r="O107" s="9">
        <f t="shared" si="11"/>
        <v>16.641000000000002</v>
      </c>
      <c r="P107" s="9">
        <f t="shared" si="11"/>
        <v>16.384</v>
      </c>
      <c r="Q107" s="9">
        <f t="shared" si="11"/>
        <v>16.384</v>
      </c>
      <c r="R107" s="9">
        <f t="shared" si="11"/>
        <v>16.900000000000002</v>
      </c>
      <c r="S107" s="9">
        <f t="shared" si="11"/>
        <v>15.876000000000001</v>
      </c>
      <c r="T107" s="9">
        <f t="shared" si="11"/>
        <v>16.129</v>
      </c>
      <c r="U107" s="9">
        <f t="shared" si="11"/>
        <v>15.376000000000001</v>
      </c>
      <c r="V107" s="9">
        <f t="shared" si="11"/>
        <v>16.129</v>
      </c>
      <c r="W107" s="9">
        <f t="shared" si="11"/>
        <v>16.129</v>
      </c>
      <c r="X107" s="9">
        <f t="shared" si="11"/>
        <v>15.876000000000001</v>
      </c>
      <c r="Y107" s="9">
        <f t="shared" si="11"/>
        <v>15.625</v>
      </c>
      <c r="Z107" s="9">
        <f t="shared" si="11"/>
        <v>16.129</v>
      </c>
      <c r="AA107" s="9">
        <f t="shared" si="11"/>
        <v>15.876000000000001</v>
      </c>
      <c r="AB107" s="9">
        <f t="shared" si="11"/>
        <v>16.129</v>
      </c>
      <c r="AC107" s="9">
        <f t="shared" si="11"/>
        <v>16.384</v>
      </c>
      <c r="AD107" s="9">
        <f t="shared" si="11"/>
        <v>16.129</v>
      </c>
      <c r="AE107" s="9">
        <f t="shared" si="11"/>
        <v>16.900000000000002</v>
      </c>
      <c r="AF107" s="9">
        <f t="shared" si="11"/>
        <v>16.129</v>
      </c>
      <c r="AG107" s="9">
        <f t="shared" si="11"/>
        <v>15.876000000000001</v>
      </c>
      <c r="AH107" s="9">
        <f t="shared" si="11"/>
        <v>15.876000000000001</v>
      </c>
      <c r="AI107" s="9">
        <f t="shared" si="11"/>
        <v>15.625</v>
      </c>
      <c r="AJ107" s="9">
        <f t="shared" si="11"/>
        <v>15.876000000000001</v>
      </c>
      <c r="AK107" s="9">
        <f t="shared" si="11"/>
        <v>15.625</v>
      </c>
      <c r="AL107" s="9">
        <f t="shared" si="11"/>
        <v>16.384</v>
      </c>
      <c r="AM107" s="9"/>
      <c r="AN107" s="9"/>
      <c r="AO107" s="9"/>
      <c r="AP107" s="9"/>
      <c r="AQ107" s="9"/>
      <c r="AR107" s="9"/>
      <c r="AS107" s="9"/>
    </row>
    <row r="108" spans="1:45" ht="12.75">
      <c r="A108" s="8">
        <f t="shared" si="10"/>
        <v>16.054472222222216</v>
      </c>
      <c r="B108" s="8" t="str">
        <f t="shared" si="2"/>
        <v>Inject A7</v>
      </c>
      <c r="C108" s="9">
        <f t="shared" si="3"/>
        <v>17.956000000000003</v>
      </c>
      <c r="D108" s="9">
        <f t="shared" si="11"/>
        <v>16.900000000000002</v>
      </c>
      <c r="E108" s="9">
        <f t="shared" si="11"/>
        <v>16.384</v>
      </c>
      <c r="F108" s="9">
        <f t="shared" si="11"/>
        <v>16.641000000000002</v>
      </c>
      <c r="G108" s="9">
        <f t="shared" si="11"/>
        <v>16.384</v>
      </c>
      <c r="H108" s="9">
        <f t="shared" si="11"/>
        <v>15.876000000000001</v>
      </c>
      <c r="I108" s="9">
        <f t="shared" si="11"/>
        <v>16.384</v>
      </c>
      <c r="J108" s="9">
        <f t="shared" si="11"/>
        <v>15.876000000000001</v>
      </c>
      <c r="K108" s="9">
        <f t="shared" si="11"/>
        <v>16.129</v>
      </c>
      <c r="L108" s="9">
        <f t="shared" si="11"/>
        <v>16.129</v>
      </c>
      <c r="M108" s="9">
        <f t="shared" si="11"/>
        <v>16.129</v>
      </c>
      <c r="N108" s="9">
        <f t="shared" si="11"/>
        <v>15.876000000000001</v>
      </c>
      <c r="O108" s="9">
        <f t="shared" si="11"/>
        <v>16.384</v>
      </c>
      <c r="P108" s="9">
        <f t="shared" si="11"/>
        <v>16.129</v>
      </c>
      <c r="Q108" s="9">
        <f t="shared" si="11"/>
        <v>16.129</v>
      </c>
      <c r="R108" s="9">
        <f t="shared" si="11"/>
        <v>16.384</v>
      </c>
      <c r="S108" s="9">
        <f t="shared" si="11"/>
        <v>15.876000000000001</v>
      </c>
      <c r="T108" s="9">
        <f t="shared" si="11"/>
        <v>15.876000000000001</v>
      </c>
      <c r="U108" s="9">
        <f t="shared" si="11"/>
        <v>15.625</v>
      </c>
      <c r="V108" s="9">
        <f t="shared" si="11"/>
        <v>15.876000000000001</v>
      </c>
      <c r="W108" s="9">
        <f t="shared" si="11"/>
        <v>15.876000000000001</v>
      </c>
      <c r="X108" s="9">
        <f t="shared" si="11"/>
        <v>15.876000000000001</v>
      </c>
      <c r="Y108" s="9">
        <f t="shared" si="11"/>
        <v>15.625</v>
      </c>
      <c r="Z108" s="9">
        <f t="shared" si="11"/>
        <v>15.876000000000001</v>
      </c>
      <c r="AA108" s="9">
        <f t="shared" si="11"/>
        <v>15.625</v>
      </c>
      <c r="AB108" s="9">
        <f t="shared" si="11"/>
        <v>15.876000000000001</v>
      </c>
      <c r="AC108" s="9">
        <f t="shared" si="11"/>
        <v>16.129</v>
      </c>
      <c r="AD108" s="9">
        <f t="shared" si="11"/>
        <v>15.625</v>
      </c>
      <c r="AE108" s="9">
        <f t="shared" si="11"/>
        <v>15.876000000000001</v>
      </c>
      <c r="AF108" s="9">
        <f t="shared" si="11"/>
        <v>16.129</v>
      </c>
      <c r="AG108" s="9">
        <f t="shared" si="11"/>
        <v>15.625</v>
      </c>
      <c r="AH108" s="9">
        <f t="shared" si="11"/>
        <v>15.376000000000001</v>
      </c>
      <c r="AI108" s="9">
        <f t="shared" si="11"/>
        <v>15.876000000000001</v>
      </c>
      <c r="AJ108" s="9">
        <f t="shared" si="11"/>
        <v>15.876000000000001</v>
      </c>
      <c r="AK108" s="9">
        <f t="shared" si="11"/>
        <v>15.876000000000001</v>
      </c>
      <c r="AL108" s="9">
        <f t="shared" si="11"/>
        <v>15.876000000000001</v>
      </c>
      <c r="AM108" s="9"/>
      <c r="AN108" s="9"/>
      <c r="AO108" s="9"/>
      <c r="AP108" s="9"/>
      <c r="AQ108" s="9"/>
      <c r="AR108" s="9"/>
      <c r="AS108" s="9"/>
    </row>
    <row r="109" spans="1:45" ht="12.75">
      <c r="A109" s="8">
        <f t="shared" si="10"/>
        <v>16.064888888888888</v>
      </c>
      <c r="B109" s="8" t="str">
        <f t="shared" si="2"/>
        <v>Inject A8</v>
      </c>
      <c r="C109" s="9">
        <f t="shared" si="3"/>
        <v>18.496000000000002</v>
      </c>
      <c r="D109" s="9">
        <f t="shared" si="11"/>
        <v>16.900000000000002</v>
      </c>
      <c r="E109" s="9">
        <f t="shared" si="11"/>
        <v>15.876000000000001</v>
      </c>
      <c r="F109" s="9">
        <f t="shared" si="11"/>
        <v>16.129</v>
      </c>
      <c r="G109" s="9">
        <f t="shared" si="11"/>
        <v>15.876000000000001</v>
      </c>
      <c r="H109" s="9">
        <f t="shared" si="11"/>
        <v>15.625</v>
      </c>
      <c r="I109" s="9">
        <f aca="true" t="shared" si="12" ref="D109:AL111">I49*I49*10</f>
        <v>15.625</v>
      </c>
      <c r="J109" s="9">
        <f t="shared" si="12"/>
        <v>15.376000000000001</v>
      </c>
      <c r="K109" s="9">
        <f t="shared" si="12"/>
        <v>15.376000000000001</v>
      </c>
      <c r="L109" s="9">
        <f t="shared" si="12"/>
        <v>15.376000000000001</v>
      </c>
      <c r="M109" s="9">
        <f t="shared" si="12"/>
        <v>15.625</v>
      </c>
      <c r="N109" s="9">
        <f t="shared" si="12"/>
        <v>15.625</v>
      </c>
      <c r="O109" s="9">
        <f t="shared" si="12"/>
        <v>16.129</v>
      </c>
      <c r="P109" s="9">
        <f t="shared" si="12"/>
        <v>15.876000000000001</v>
      </c>
      <c r="Q109" s="9">
        <f t="shared" si="12"/>
        <v>16.129</v>
      </c>
      <c r="R109" s="9">
        <f t="shared" si="12"/>
        <v>16.384</v>
      </c>
      <c r="S109" s="9">
        <f t="shared" si="12"/>
        <v>15.625</v>
      </c>
      <c r="T109" s="9">
        <f t="shared" si="12"/>
        <v>15.376000000000001</v>
      </c>
      <c r="U109" s="9">
        <f t="shared" si="12"/>
        <v>15.376000000000001</v>
      </c>
      <c r="V109" s="9">
        <f t="shared" si="12"/>
        <v>15.876000000000001</v>
      </c>
      <c r="W109" s="9">
        <f t="shared" si="12"/>
        <v>15.376000000000001</v>
      </c>
      <c r="X109" s="9">
        <f t="shared" si="12"/>
        <v>15.876000000000001</v>
      </c>
      <c r="Y109" s="9">
        <f t="shared" si="12"/>
        <v>15.625</v>
      </c>
      <c r="Z109" s="9">
        <f t="shared" si="12"/>
        <v>16.129</v>
      </c>
      <c r="AA109" s="9">
        <f t="shared" si="12"/>
        <v>16.900000000000002</v>
      </c>
      <c r="AB109" s="9">
        <f t="shared" si="12"/>
        <v>17.424000000000003</v>
      </c>
      <c r="AC109" s="9">
        <f t="shared" si="12"/>
        <v>16.900000000000002</v>
      </c>
      <c r="AD109" s="9">
        <f t="shared" si="12"/>
        <v>16.641000000000002</v>
      </c>
      <c r="AE109" s="9">
        <f t="shared" si="12"/>
        <v>16.641000000000002</v>
      </c>
      <c r="AF109" s="9">
        <f t="shared" si="12"/>
        <v>16.384</v>
      </c>
      <c r="AG109" s="9">
        <f t="shared" si="12"/>
        <v>16.129</v>
      </c>
      <c r="AH109" s="9">
        <f t="shared" si="12"/>
        <v>15.625</v>
      </c>
      <c r="AI109" s="9">
        <f t="shared" si="12"/>
        <v>16.129</v>
      </c>
      <c r="AJ109" s="9">
        <f t="shared" si="12"/>
        <v>15.876000000000001</v>
      </c>
      <c r="AK109" s="9">
        <f t="shared" si="12"/>
        <v>15.876000000000001</v>
      </c>
      <c r="AL109" s="9">
        <f t="shared" si="12"/>
        <v>16.129</v>
      </c>
      <c r="AM109" s="9"/>
      <c r="AN109" s="9"/>
      <c r="AO109" s="9"/>
      <c r="AP109" s="9"/>
      <c r="AQ109" s="9"/>
      <c r="AR109" s="9"/>
      <c r="AS109" s="9"/>
    </row>
    <row r="110" spans="1:45" ht="12.75">
      <c r="A110" s="8">
        <f t="shared" si="10"/>
        <v>16.531555555555556</v>
      </c>
      <c r="B110" s="8" t="str">
        <f t="shared" si="2"/>
        <v>Inject A9</v>
      </c>
      <c r="C110" s="9">
        <f t="shared" si="3"/>
        <v>18.496000000000002</v>
      </c>
      <c r="D110" s="9">
        <f t="shared" si="12"/>
        <v>17.161</v>
      </c>
      <c r="E110" s="9">
        <f t="shared" si="12"/>
        <v>16.641000000000002</v>
      </c>
      <c r="F110" s="9">
        <f t="shared" si="12"/>
        <v>17.161</v>
      </c>
      <c r="G110" s="9">
        <f t="shared" si="12"/>
        <v>16.384</v>
      </c>
      <c r="H110" s="9">
        <f t="shared" si="12"/>
        <v>16.384</v>
      </c>
      <c r="I110" s="9">
        <f t="shared" si="12"/>
        <v>16.129</v>
      </c>
      <c r="J110" s="9">
        <f t="shared" si="12"/>
        <v>16.129</v>
      </c>
      <c r="K110" s="9">
        <f t="shared" si="12"/>
        <v>16.129</v>
      </c>
      <c r="L110" s="9">
        <f t="shared" si="12"/>
        <v>15.876000000000001</v>
      </c>
      <c r="M110" s="9">
        <f t="shared" si="12"/>
        <v>16.384</v>
      </c>
      <c r="N110" s="9">
        <f t="shared" si="12"/>
        <v>16.384</v>
      </c>
      <c r="O110" s="9">
        <f t="shared" si="12"/>
        <v>16.900000000000002</v>
      </c>
      <c r="P110" s="9">
        <f t="shared" si="12"/>
        <v>16.641000000000002</v>
      </c>
      <c r="Q110" s="9">
        <f t="shared" si="12"/>
        <v>16.384</v>
      </c>
      <c r="R110" s="9">
        <f t="shared" si="12"/>
        <v>16.900000000000002</v>
      </c>
      <c r="S110" s="9">
        <f t="shared" si="12"/>
        <v>16.641000000000002</v>
      </c>
      <c r="T110" s="9">
        <f t="shared" si="12"/>
        <v>16.129</v>
      </c>
      <c r="U110" s="9">
        <f t="shared" si="12"/>
        <v>15.876000000000001</v>
      </c>
      <c r="V110" s="9">
        <f t="shared" si="12"/>
        <v>16.129</v>
      </c>
      <c r="W110" s="9">
        <f t="shared" si="12"/>
        <v>16.129</v>
      </c>
      <c r="X110" s="9">
        <f t="shared" si="12"/>
        <v>15.876000000000001</v>
      </c>
      <c r="Y110" s="9">
        <f t="shared" si="12"/>
        <v>16.384</v>
      </c>
      <c r="Z110" s="9">
        <f t="shared" si="12"/>
        <v>16.129</v>
      </c>
      <c r="AA110" s="9">
        <f t="shared" si="12"/>
        <v>17.956000000000003</v>
      </c>
      <c r="AB110" s="9">
        <f t="shared" si="12"/>
        <v>17.689</v>
      </c>
      <c r="AC110" s="9">
        <f t="shared" si="12"/>
        <v>16.900000000000002</v>
      </c>
      <c r="AD110" s="9">
        <f t="shared" si="12"/>
        <v>16.900000000000002</v>
      </c>
      <c r="AE110" s="9">
        <f t="shared" si="12"/>
        <v>16.900000000000002</v>
      </c>
      <c r="AF110" s="9">
        <f t="shared" si="12"/>
        <v>16.384</v>
      </c>
      <c r="AG110" s="9">
        <f t="shared" si="12"/>
        <v>16.129</v>
      </c>
      <c r="AH110" s="9">
        <f t="shared" si="12"/>
        <v>15.876000000000001</v>
      </c>
      <c r="AI110" s="9">
        <f t="shared" si="12"/>
        <v>16.384</v>
      </c>
      <c r="AJ110" s="9">
        <f t="shared" si="12"/>
        <v>16.129</v>
      </c>
      <c r="AK110" s="9">
        <f t="shared" si="12"/>
        <v>16.384</v>
      </c>
      <c r="AL110" s="9">
        <f t="shared" si="12"/>
        <v>16.129</v>
      </c>
      <c r="AM110" s="9"/>
      <c r="AN110" s="9"/>
      <c r="AO110" s="9"/>
      <c r="AP110" s="9"/>
      <c r="AQ110" s="9"/>
      <c r="AR110" s="9"/>
      <c r="AS110" s="9"/>
    </row>
    <row r="111" spans="1:45" s="18" customFormat="1" ht="12.75">
      <c r="A111" s="16">
        <f t="shared" si="10"/>
        <v>15.701166666666666</v>
      </c>
      <c r="B111" s="16" t="str">
        <f t="shared" si="2"/>
        <v>before ramp</v>
      </c>
      <c r="C111" s="17">
        <f t="shared" si="3"/>
        <v>18.225</v>
      </c>
      <c r="D111" s="17">
        <f t="shared" si="12"/>
        <v>16.900000000000002</v>
      </c>
      <c r="E111" s="17">
        <f t="shared" si="12"/>
        <v>16.384</v>
      </c>
      <c r="F111" s="17">
        <f t="shared" si="12"/>
        <v>16.129</v>
      </c>
      <c r="G111" s="17">
        <f t="shared" si="12"/>
        <v>16.129</v>
      </c>
      <c r="H111" s="17">
        <f t="shared" si="12"/>
        <v>15.625</v>
      </c>
      <c r="I111" s="17">
        <f t="shared" si="12"/>
        <v>15.376000000000001</v>
      </c>
      <c r="J111" s="17">
        <f t="shared" si="12"/>
        <v>15.876000000000001</v>
      </c>
      <c r="K111" s="17">
        <f t="shared" si="12"/>
        <v>15.625</v>
      </c>
      <c r="L111" s="17">
        <f t="shared" si="12"/>
        <v>15.876000000000001</v>
      </c>
      <c r="M111" s="17">
        <f t="shared" si="12"/>
        <v>15.376000000000001</v>
      </c>
      <c r="N111" s="17">
        <f t="shared" si="12"/>
        <v>15.625</v>
      </c>
      <c r="O111" s="17">
        <f t="shared" si="12"/>
        <v>15.876000000000001</v>
      </c>
      <c r="P111" s="17">
        <f t="shared" si="12"/>
        <v>15.876000000000001</v>
      </c>
      <c r="Q111" s="17">
        <f t="shared" si="12"/>
        <v>15.876000000000001</v>
      </c>
      <c r="R111" s="17">
        <f t="shared" si="12"/>
        <v>16.129</v>
      </c>
      <c r="S111" s="17">
        <f t="shared" si="12"/>
        <v>15.129</v>
      </c>
      <c r="T111" s="17">
        <f t="shared" si="12"/>
        <v>15.376000000000001</v>
      </c>
      <c r="U111" s="17">
        <f t="shared" si="12"/>
        <v>14.884</v>
      </c>
      <c r="V111" s="17">
        <f t="shared" si="12"/>
        <v>14.884</v>
      </c>
      <c r="W111" s="17">
        <f t="shared" si="12"/>
        <v>15.129</v>
      </c>
      <c r="X111" s="17">
        <f t="shared" si="12"/>
        <v>14.884</v>
      </c>
      <c r="Y111" s="17">
        <f t="shared" si="12"/>
        <v>14.884</v>
      </c>
      <c r="Z111" s="17">
        <f t="shared" si="12"/>
        <v>14.884</v>
      </c>
      <c r="AA111" s="17">
        <f t="shared" si="12"/>
        <v>16.129</v>
      </c>
      <c r="AB111" s="17">
        <f t="shared" si="12"/>
        <v>16.641000000000002</v>
      </c>
      <c r="AC111" s="17">
        <f t="shared" si="12"/>
        <v>15.376000000000001</v>
      </c>
      <c r="AD111" s="17">
        <f t="shared" si="12"/>
        <v>15.625</v>
      </c>
      <c r="AE111" s="17">
        <f t="shared" si="12"/>
        <v>15.876000000000001</v>
      </c>
      <c r="AF111" s="17">
        <f t="shared" si="12"/>
        <v>15.625</v>
      </c>
      <c r="AG111" s="17">
        <f t="shared" si="12"/>
        <v>15.376000000000001</v>
      </c>
      <c r="AH111" s="17">
        <f t="shared" si="12"/>
        <v>14.884</v>
      </c>
      <c r="AI111" s="17">
        <f t="shared" si="12"/>
        <v>15.625</v>
      </c>
      <c r="AJ111" s="17">
        <f t="shared" si="12"/>
        <v>15.876000000000001</v>
      </c>
      <c r="AK111" s="17">
        <f t="shared" si="12"/>
        <v>15.876000000000001</v>
      </c>
      <c r="AL111" s="17">
        <f t="shared" si="12"/>
        <v>15.376000000000001</v>
      </c>
      <c r="AM111" s="17"/>
      <c r="AN111" s="17"/>
      <c r="AO111" s="17"/>
      <c r="AP111" s="17"/>
      <c r="AQ111" s="17"/>
      <c r="AR111" s="17"/>
      <c r="AS111" s="17"/>
    </row>
    <row r="112" spans="1:45" s="18" customFormat="1" ht="12.75">
      <c r="A112" s="16">
        <f aca="true" t="shared" si="13" ref="A112:A119">AVERAGE(C112:AL112)</f>
        <v>14.051072749999996</v>
      </c>
      <c r="B112" s="16" t="str">
        <f t="shared" si="2"/>
        <v>accelerate</v>
      </c>
      <c r="C112" s="17">
        <f>C52*C52*12.87</f>
        <v>15.857127000000002</v>
      </c>
      <c r="D112" s="17">
        <f aca="true" t="shared" si="14" ref="D112:AL112">D52*D52*12.87</f>
        <v>14.460732000000002</v>
      </c>
      <c r="E112" s="17">
        <f t="shared" si="14"/>
        <v>14.189174999999999</v>
      </c>
      <c r="F112" s="17">
        <f t="shared" si="14"/>
        <v>14.189174999999999</v>
      </c>
      <c r="G112" s="17">
        <f t="shared" si="14"/>
        <v>13.920192</v>
      </c>
      <c r="H112" s="17">
        <f t="shared" si="14"/>
        <v>14.189174999999999</v>
      </c>
      <c r="I112" s="17">
        <f t="shared" si="14"/>
        <v>13.653782999999999</v>
      </c>
      <c r="J112" s="17">
        <f t="shared" si="14"/>
        <v>13.920192</v>
      </c>
      <c r="K112" s="17">
        <f t="shared" si="14"/>
        <v>14.189174999999999</v>
      </c>
      <c r="L112" s="17">
        <f t="shared" si="14"/>
        <v>13.653782999999999</v>
      </c>
      <c r="M112" s="17">
        <f t="shared" si="14"/>
        <v>13.653782999999999</v>
      </c>
      <c r="N112" s="17">
        <f t="shared" si="14"/>
        <v>13.653782999999999</v>
      </c>
      <c r="O112" s="17">
        <f t="shared" si="14"/>
        <v>14.189174999999999</v>
      </c>
      <c r="P112" s="17">
        <f t="shared" si="14"/>
        <v>13.920192</v>
      </c>
      <c r="Q112" s="17">
        <f t="shared" si="14"/>
        <v>13.920192</v>
      </c>
      <c r="R112" s="17">
        <f t="shared" si="14"/>
        <v>14.189174999999999</v>
      </c>
      <c r="S112" s="17">
        <f t="shared" si="14"/>
        <v>14.189174999999999</v>
      </c>
      <c r="T112" s="17">
        <f t="shared" si="14"/>
        <v>13.653782999999999</v>
      </c>
      <c r="U112" s="17">
        <f t="shared" si="14"/>
        <v>13.389947999999999</v>
      </c>
      <c r="V112" s="17">
        <f t="shared" si="14"/>
        <v>13.653782999999999</v>
      </c>
      <c r="W112" s="17">
        <f t="shared" si="14"/>
        <v>13.920192</v>
      </c>
      <c r="X112" s="17">
        <f t="shared" si="14"/>
        <v>13.920192</v>
      </c>
      <c r="Y112" s="17">
        <f t="shared" si="14"/>
        <v>13.389947999999999</v>
      </c>
      <c r="Z112" s="17">
        <f t="shared" si="14"/>
        <v>13.920192</v>
      </c>
      <c r="AA112" s="17">
        <f t="shared" si="14"/>
        <v>15.290847000000001</v>
      </c>
      <c r="AB112" s="17">
        <f t="shared" si="14"/>
        <v>15.011568</v>
      </c>
      <c r="AC112" s="17">
        <f t="shared" si="14"/>
        <v>14.460732000000002</v>
      </c>
      <c r="AD112" s="17">
        <f t="shared" si="14"/>
        <v>13.920192</v>
      </c>
      <c r="AE112" s="17">
        <f t="shared" si="14"/>
        <v>14.460732000000002</v>
      </c>
      <c r="AF112" s="17">
        <f t="shared" si="14"/>
        <v>13.920192</v>
      </c>
      <c r="AG112" s="17">
        <f t="shared" si="14"/>
        <v>13.920192</v>
      </c>
      <c r="AH112" s="17">
        <f t="shared" si="14"/>
        <v>13.653782999999999</v>
      </c>
      <c r="AI112" s="17">
        <f t="shared" si="14"/>
        <v>13.920192</v>
      </c>
      <c r="AJ112" s="17">
        <f t="shared" si="14"/>
        <v>13.920192</v>
      </c>
      <c r="AK112" s="17">
        <f t="shared" si="14"/>
        <v>13.653782999999999</v>
      </c>
      <c r="AL112" s="17">
        <f t="shared" si="14"/>
        <v>13.920192</v>
      </c>
      <c r="AM112" s="17"/>
      <c r="AN112" s="17"/>
      <c r="AO112" s="17"/>
      <c r="AP112" s="17"/>
      <c r="AQ112" s="17"/>
      <c r="AR112" s="17"/>
      <c r="AS112" s="17"/>
    </row>
    <row r="113" spans="1:45" ht="12.75">
      <c r="A113" s="8">
        <f t="shared" si="13"/>
        <v>16.768179999999994</v>
      </c>
      <c r="B113" s="8" t="str">
        <f t="shared" si="2"/>
        <v>flattop</v>
      </c>
      <c r="C113" s="9">
        <f aca="true" t="shared" si="15" ref="C113:C119">C53*C53*68.64</f>
        <v>18.560256000000003</v>
      </c>
      <c r="D113" s="9">
        <f aca="true" t="shared" si="16" ref="D113:AL119">D53*D53*68.64</f>
        <v>17.853264</v>
      </c>
      <c r="E113" s="9">
        <f t="shared" si="16"/>
        <v>17.16</v>
      </c>
      <c r="F113" s="9">
        <f t="shared" si="16"/>
        <v>17.16</v>
      </c>
      <c r="G113" s="9">
        <f t="shared" si="16"/>
        <v>17.16</v>
      </c>
      <c r="H113" s="9">
        <f t="shared" si="16"/>
        <v>16.480463999999998</v>
      </c>
      <c r="I113" s="9">
        <f t="shared" si="16"/>
        <v>16.480463999999998</v>
      </c>
      <c r="J113" s="9">
        <f t="shared" si="16"/>
        <v>16.480463999999998</v>
      </c>
      <c r="K113" s="9">
        <f t="shared" si="16"/>
        <v>16.480463999999998</v>
      </c>
      <c r="L113" s="9">
        <f t="shared" si="16"/>
        <v>16.480463999999998</v>
      </c>
      <c r="M113" s="9">
        <f t="shared" si="16"/>
        <v>16.480463999999998</v>
      </c>
      <c r="N113" s="9">
        <f t="shared" si="16"/>
        <v>15.814656</v>
      </c>
      <c r="O113" s="9">
        <f t="shared" si="16"/>
        <v>17.16</v>
      </c>
      <c r="P113" s="9">
        <f t="shared" si="16"/>
        <v>16.480463999999998</v>
      </c>
      <c r="Q113" s="9">
        <f t="shared" si="16"/>
        <v>16.480463999999998</v>
      </c>
      <c r="R113" s="9">
        <f t="shared" si="16"/>
        <v>17.16</v>
      </c>
      <c r="S113" s="9">
        <f t="shared" si="16"/>
        <v>16.480463999999998</v>
      </c>
      <c r="T113" s="9">
        <f t="shared" si="16"/>
        <v>17.16</v>
      </c>
      <c r="U113" s="9">
        <f t="shared" si="16"/>
        <v>15.814656</v>
      </c>
      <c r="V113" s="9">
        <f t="shared" si="16"/>
        <v>16.480463999999998</v>
      </c>
      <c r="W113" s="9">
        <f t="shared" si="16"/>
        <v>16.480463999999998</v>
      </c>
      <c r="X113" s="9">
        <f t="shared" si="16"/>
        <v>15.814656</v>
      </c>
      <c r="Y113" s="9">
        <f t="shared" si="16"/>
        <v>16.480463999999998</v>
      </c>
      <c r="Z113" s="9">
        <f t="shared" si="16"/>
        <v>16.480463999999998</v>
      </c>
      <c r="AA113" s="9">
        <f t="shared" si="16"/>
        <v>17.853264</v>
      </c>
      <c r="AB113" s="9">
        <f t="shared" si="16"/>
        <v>18.560256000000003</v>
      </c>
      <c r="AC113" s="9">
        <f t="shared" si="16"/>
        <v>17.16</v>
      </c>
      <c r="AD113" s="9">
        <f t="shared" si="16"/>
        <v>17.16</v>
      </c>
      <c r="AE113" s="9">
        <f t="shared" si="16"/>
        <v>16.480463999999998</v>
      </c>
      <c r="AF113" s="9">
        <f t="shared" si="16"/>
        <v>16.480463999999998</v>
      </c>
      <c r="AG113" s="9">
        <f t="shared" si="16"/>
        <v>15.814656</v>
      </c>
      <c r="AH113" s="9">
        <f t="shared" si="16"/>
        <v>17.16</v>
      </c>
      <c r="AI113" s="9">
        <f t="shared" si="16"/>
        <v>16.480463999999998</v>
      </c>
      <c r="AJ113" s="9">
        <f t="shared" si="16"/>
        <v>16.480463999999998</v>
      </c>
      <c r="AK113" s="9">
        <f t="shared" si="16"/>
        <v>16.480463999999998</v>
      </c>
      <c r="AL113" s="9">
        <f t="shared" si="16"/>
        <v>16.480463999999998</v>
      </c>
      <c r="AM113" s="9"/>
      <c r="AN113" s="9"/>
      <c r="AO113" s="9"/>
      <c r="AP113" s="9"/>
      <c r="AQ113" s="9"/>
      <c r="AR113" s="9"/>
      <c r="AS113" s="9"/>
    </row>
    <row r="114" spans="1:45" ht="12.75">
      <c r="A114" s="8">
        <f t="shared" si="13"/>
        <v>15.857365333333336</v>
      </c>
      <c r="B114" s="8" t="str">
        <f t="shared" si="2"/>
        <v>squeeze</v>
      </c>
      <c r="C114" s="9">
        <f t="shared" si="15"/>
        <v>17.853264</v>
      </c>
      <c r="D114" s="9">
        <f aca="true" t="shared" si="17" ref="D114:R114">D54*D54*68.64</f>
        <v>16.480463999999998</v>
      </c>
      <c r="E114" s="9">
        <f t="shared" si="17"/>
        <v>15.814656</v>
      </c>
      <c r="F114" s="9">
        <f t="shared" si="17"/>
        <v>16.480463999999998</v>
      </c>
      <c r="G114" s="9">
        <f t="shared" si="17"/>
        <v>15.814656</v>
      </c>
      <c r="H114" s="9">
        <f t="shared" si="17"/>
        <v>15.814656</v>
      </c>
      <c r="I114" s="9">
        <f t="shared" si="17"/>
        <v>15.162576</v>
      </c>
      <c r="J114" s="9">
        <f t="shared" si="17"/>
        <v>15.162576</v>
      </c>
      <c r="K114" s="9">
        <f t="shared" si="17"/>
        <v>15.162576</v>
      </c>
      <c r="L114" s="9">
        <f t="shared" si="17"/>
        <v>15.814656</v>
      </c>
      <c r="M114" s="9">
        <f t="shared" si="17"/>
        <v>15.162576</v>
      </c>
      <c r="N114" s="9">
        <f t="shared" si="17"/>
        <v>15.162576</v>
      </c>
      <c r="O114" s="9">
        <f t="shared" si="17"/>
        <v>15.814656</v>
      </c>
      <c r="P114" s="9">
        <f t="shared" si="17"/>
        <v>15.814656</v>
      </c>
      <c r="Q114" s="9">
        <f t="shared" si="17"/>
        <v>15.814656</v>
      </c>
      <c r="R114" s="9">
        <f t="shared" si="17"/>
        <v>16.480463999999998</v>
      </c>
      <c r="S114" s="9">
        <f t="shared" si="16"/>
        <v>15.162576</v>
      </c>
      <c r="T114" s="9">
        <f t="shared" si="16"/>
        <v>15.814656</v>
      </c>
      <c r="U114" s="9">
        <f t="shared" si="16"/>
        <v>15.162576</v>
      </c>
      <c r="V114" s="9">
        <f t="shared" si="16"/>
        <v>15.162576</v>
      </c>
      <c r="W114" s="9">
        <f t="shared" si="16"/>
        <v>15.162576</v>
      </c>
      <c r="X114" s="9">
        <f t="shared" si="16"/>
        <v>15.814656</v>
      </c>
      <c r="Y114" s="9">
        <f t="shared" si="16"/>
        <v>15.814656</v>
      </c>
      <c r="Z114" s="9">
        <f t="shared" si="16"/>
        <v>15.814656</v>
      </c>
      <c r="AA114" s="9">
        <f t="shared" si="16"/>
        <v>17.16</v>
      </c>
      <c r="AB114" s="9">
        <f t="shared" si="16"/>
        <v>17.16</v>
      </c>
      <c r="AC114" s="9">
        <f t="shared" si="16"/>
        <v>15.814656</v>
      </c>
      <c r="AD114" s="9">
        <f t="shared" si="16"/>
        <v>16.480463999999998</v>
      </c>
      <c r="AE114" s="9">
        <f t="shared" si="16"/>
        <v>16.480463999999998</v>
      </c>
      <c r="AF114" s="9">
        <f t="shared" si="16"/>
        <v>15.814656</v>
      </c>
      <c r="AG114" s="9">
        <f t="shared" si="16"/>
        <v>15.814656</v>
      </c>
      <c r="AH114" s="9">
        <f t="shared" si="16"/>
        <v>15.814656</v>
      </c>
      <c r="AI114" s="9">
        <f t="shared" si="16"/>
        <v>15.814656</v>
      </c>
      <c r="AJ114" s="9">
        <f t="shared" si="16"/>
        <v>15.162576</v>
      </c>
      <c r="AK114" s="9">
        <f t="shared" si="16"/>
        <v>15.814656</v>
      </c>
      <c r="AL114" s="9">
        <f t="shared" si="16"/>
        <v>15.814656</v>
      </c>
      <c r="AM114" s="9"/>
      <c r="AN114" s="9"/>
      <c r="AO114" s="9"/>
      <c r="AP114" s="9"/>
      <c r="AQ114" s="9"/>
      <c r="AR114" s="9"/>
      <c r="AS114" s="9"/>
    </row>
    <row r="115" spans="1:45" ht="12.75">
      <c r="A115" s="8">
        <f t="shared" si="13"/>
        <v>14.406201333333339</v>
      </c>
      <c r="B115" s="8" t="str">
        <f t="shared" si="2"/>
        <v>initiate collisions</v>
      </c>
      <c r="C115" s="9">
        <f t="shared" si="15"/>
        <v>15.814656</v>
      </c>
      <c r="D115" s="9">
        <f t="shared" si="16"/>
        <v>15.814656</v>
      </c>
      <c r="E115" s="9">
        <f t="shared" si="16"/>
        <v>15.162576</v>
      </c>
      <c r="F115" s="9">
        <f t="shared" si="16"/>
        <v>15.162576</v>
      </c>
      <c r="G115" s="9">
        <f t="shared" si="16"/>
        <v>14.524224</v>
      </c>
      <c r="H115" s="9">
        <f t="shared" si="16"/>
        <v>14.524224</v>
      </c>
      <c r="I115" s="9">
        <f t="shared" si="16"/>
        <v>14.524224</v>
      </c>
      <c r="J115" s="9">
        <f t="shared" si="16"/>
        <v>13.899600000000001</v>
      </c>
      <c r="K115" s="9">
        <f t="shared" si="16"/>
        <v>13.899600000000001</v>
      </c>
      <c r="L115" s="9">
        <f t="shared" si="16"/>
        <v>14.524224</v>
      </c>
      <c r="M115" s="9">
        <f t="shared" si="16"/>
        <v>13.899600000000001</v>
      </c>
      <c r="N115" s="9">
        <f t="shared" si="16"/>
        <v>13.899600000000001</v>
      </c>
      <c r="O115" s="9">
        <f t="shared" si="16"/>
        <v>14.524224</v>
      </c>
      <c r="P115" s="9">
        <f t="shared" si="16"/>
        <v>14.524224</v>
      </c>
      <c r="Q115" s="9">
        <f t="shared" si="16"/>
        <v>14.524224</v>
      </c>
      <c r="R115" s="9">
        <f t="shared" si="16"/>
        <v>14.524224</v>
      </c>
      <c r="S115" s="9">
        <f t="shared" si="16"/>
        <v>13.899600000000001</v>
      </c>
      <c r="T115" s="9">
        <f t="shared" si="16"/>
        <v>14.524224</v>
      </c>
      <c r="U115" s="9">
        <f t="shared" si="16"/>
        <v>13.899600000000001</v>
      </c>
      <c r="V115" s="9">
        <f t="shared" si="16"/>
        <v>13.899600000000001</v>
      </c>
      <c r="W115" s="9">
        <f t="shared" si="16"/>
        <v>13.899600000000001</v>
      </c>
      <c r="X115" s="9">
        <f t="shared" si="16"/>
        <v>13.899600000000001</v>
      </c>
      <c r="Y115" s="9">
        <f t="shared" si="16"/>
        <v>13.899600000000001</v>
      </c>
      <c r="Z115" s="9">
        <f t="shared" si="16"/>
        <v>13.899600000000001</v>
      </c>
      <c r="AA115" s="9">
        <f t="shared" si="16"/>
        <v>14.524224</v>
      </c>
      <c r="AB115" s="9">
        <f t="shared" si="16"/>
        <v>15.162576</v>
      </c>
      <c r="AC115" s="9">
        <f t="shared" si="16"/>
        <v>14.524224</v>
      </c>
      <c r="AD115" s="9">
        <f t="shared" si="16"/>
        <v>14.524224</v>
      </c>
      <c r="AE115" s="9">
        <f t="shared" si="16"/>
        <v>13.899600000000001</v>
      </c>
      <c r="AF115" s="9">
        <f t="shared" si="16"/>
        <v>14.524224</v>
      </c>
      <c r="AG115" s="9">
        <f t="shared" si="16"/>
        <v>14.524224</v>
      </c>
      <c r="AH115" s="9">
        <f t="shared" si="16"/>
        <v>13.899600000000001</v>
      </c>
      <c r="AI115" s="9">
        <f t="shared" si="16"/>
        <v>13.899600000000001</v>
      </c>
      <c r="AJ115" s="9">
        <f t="shared" si="16"/>
        <v>14.524224</v>
      </c>
      <c r="AK115" s="9">
        <f t="shared" si="16"/>
        <v>14.524224</v>
      </c>
      <c r="AL115" s="9">
        <f t="shared" si="16"/>
        <v>14.524224</v>
      </c>
      <c r="AM115" s="9"/>
      <c r="AN115" s="9"/>
      <c r="AO115" s="9"/>
      <c r="AP115" s="9"/>
      <c r="AQ115" s="9"/>
      <c r="AR115" s="9"/>
      <c r="AS115" s="9"/>
    </row>
    <row r="116" spans="1:45" ht="12.75">
      <c r="A116" s="8">
        <f t="shared" si="13"/>
        <v>13.972434666666674</v>
      </c>
      <c r="B116" s="8" t="str">
        <f t="shared" si="2"/>
        <v>remove halo</v>
      </c>
      <c r="C116" s="9">
        <f t="shared" si="15"/>
        <v>15.814656</v>
      </c>
      <c r="D116" s="9">
        <f t="shared" si="16"/>
        <v>14.524224</v>
      </c>
      <c r="E116" s="9">
        <f t="shared" si="16"/>
        <v>13.899600000000001</v>
      </c>
      <c r="F116" s="9">
        <f t="shared" si="16"/>
        <v>13.899600000000001</v>
      </c>
      <c r="G116" s="9">
        <f t="shared" si="16"/>
        <v>13.288704</v>
      </c>
      <c r="H116" s="9">
        <f t="shared" si="16"/>
        <v>13.899600000000001</v>
      </c>
      <c r="I116" s="9">
        <f t="shared" si="16"/>
        <v>13.899600000000001</v>
      </c>
      <c r="J116" s="9">
        <f t="shared" si="16"/>
        <v>13.288704</v>
      </c>
      <c r="K116" s="9">
        <f t="shared" si="16"/>
        <v>13.288704</v>
      </c>
      <c r="L116" s="9">
        <f t="shared" si="16"/>
        <v>13.288704</v>
      </c>
      <c r="M116" s="9">
        <f t="shared" si="16"/>
        <v>13.899600000000001</v>
      </c>
      <c r="N116" s="9">
        <f t="shared" si="16"/>
        <v>13.899600000000001</v>
      </c>
      <c r="O116" s="9">
        <f t="shared" si="16"/>
        <v>14.524224</v>
      </c>
      <c r="P116" s="9">
        <f t="shared" si="16"/>
        <v>14.524224</v>
      </c>
      <c r="Q116" s="9">
        <f t="shared" si="16"/>
        <v>13.899600000000001</v>
      </c>
      <c r="R116" s="9">
        <f t="shared" si="16"/>
        <v>13.899600000000001</v>
      </c>
      <c r="S116" s="9">
        <f t="shared" si="16"/>
        <v>13.288704</v>
      </c>
      <c r="T116" s="9">
        <f t="shared" si="16"/>
        <v>13.899600000000001</v>
      </c>
      <c r="U116" s="9">
        <f t="shared" si="16"/>
        <v>13.899600000000001</v>
      </c>
      <c r="V116" s="9">
        <f t="shared" si="16"/>
        <v>13.899600000000001</v>
      </c>
      <c r="W116" s="9">
        <f t="shared" si="16"/>
        <v>13.899600000000001</v>
      </c>
      <c r="X116" s="9">
        <f t="shared" si="16"/>
        <v>13.899600000000001</v>
      </c>
      <c r="Y116" s="9">
        <f t="shared" si="16"/>
        <v>13.899600000000001</v>
      </c>
      <c r="Z116" s="9">
        <f t="shared" si="16"/>
        <v>13.899600000000001</v>
      </c>
      <c r="AA116" s="9">
        <f t="shared" si="16"/>
        <v>14.524224</v>
      </c>
      <c r="AB116" s="9">
        <f t="shared" si="16"/>
        <v>14.524224</v>
      </c>
      <c r="AC116" s="9">
        <f t="shared" si="16"/>
        <v>14.524224</v>
      </c>
      <c r="AD116" s="9">
        <f t="shared" si="16"/>
        <v>14.524224</v>
      </c>
      <c r="AE116" s="9">
        <f t="shared" si="16"/>
        <v>13.899600000000001</v>
      </c>
      <c r="AF116" s="9">
        <f t="shared" si="16"/>
        <v>13.899600000000001</v>
      </c>
      <c r="AG116" s="9">
        <f t="shared" si="16"/>
        <v>13.899600000000001</v>
      </c>
      <c r="AH116" s="9">
        <f t="shared" si="16"/>
        <v>13.899600000000001</v>
      </c>
      <c r="AI116" s="9">
        <f t="shared" si="16"/>
        <v>13.288704</v>
      </c>
      <c r="AJ116" s="9">
        <f t="shared" si="16"/>
        <v>13.899600000000001</v>
      </c>
      <c r="AK116" s="9">
        <f t="shared" si="16"/>
        <v>13.899600000000001</v>
      </c>
      <c r="AL116" s="9">
        <f t="shared" si="16"/>
        <v>13.899600000000001</v>
      </c>
      <c r="AM116" s="9"/>
      <c r="AN116" s="9"/>
      <c r="AO116" s="9"/>
      <c r="AP116" s="9"/>
      <c r="AQ116" s="9"/>
      <c r="AR116" s="9"/>
      <c r="AS116" s="9"/>
    </row>
    <row r="117" spans="1:45" ht="12.75">
      <c r="A117" s="8">
        <f t="shared" si="13"/>
        <v>21.211857333333327</v>
      </c>
      <c r="B117" s="8" t="str">
        <f t="shared" si="2"/>
        <v>HEP 1</v>
      </c>
      <c r="C117" s="9">
        <f t="shared" si="15"/>
        <v>21.525504</v>
      </c>
      <c r="D117" s="9">
        <f t="shared" si="16"/>
        <v>23.090495999999998</v>
      </c>
      <c r="E117" s="9">
        <f t="shared" si="16"/>
        <v>22.301136</v>
      </c>
      <c r="F117" s="9">
        <f t="shared" si="16"/>
        <v>21.525504</v>
      </c>
      <c r="G117" s="9">
        <f t="shared" si="16"/>
        <v>21.525504</v>
      </c>
      <c r="H117" s="9">
        <f t="shared" si="16"/>
        <v>21.525504</v>
      </c>
      <c r="I117" s="9">
        <f t="shared" si="16"/>
        <v>20.763600000000004</v>
      </c>
      <c r="J117" s="9">
        <f t="shared" si="16"/>
        <v>20.015424000000003</v>
      </c>
      <c r="K117" s="9">
        <f t="shared" si="16"/>
        <v>20.763600000000004</v>
      </c>
      <c r="L117" s="9">
        <f t="shared" si="16"/>
        <v>20.015424000000003</v>
      </c>
      <c r="M117" s="9">
        <f t="shared" si="16"/>
        <v>20.763600000000004</v>
      </c>
      <c r="N117" s="9">
        <f t="shared" si="16"/>
        <v>20.763600000000004</v>
      </c>
      <c r="O117" s="9">
        <f t="shared" si="16"/>
        <v>20.763600000000004</v>
      </c>
      <c r="P117" s="9">
        <f t="shared" si="16"/>
        <v>22.301136</v>
      </c>
      <c r="Q117" s="9">
        <f t="shared" si="16"/>
        <v>21.525504</v>
      </c>
      <c r="R117" s="9">
        <f t="shared" si="16"/>
        <v>21.525504</v>
      </c>
      <c r="S117" s="9">
        <f t="shared" si="16"/>
        <v>20.763600000000004</v>
      </c>
      <c r="T117" s="9">
        <f t="shared" si="16"/>
        <v>20.763600000000004</v>
      </c>
      <c r="U117" s="9">
        <f t="shared" si="16"/>
        <v>20.763600000000004</v>
      </c>
      <c r="V117" s="9">
        <f t="shared" si="16"/>
        <v>20.763600000000004</v>
      </c>
      <c r="W117" s="9">
        <f t="shared" si="16"/>
        <v>20.763600000000004</v>
      </c>
      <c r="X117" s="9">
        <f t="shared" si="16"/>
        <v>20.763600000000004</v>
      </c>
      <c r="Y117" s="9">
        <f t="shared" si="16"/>
        <v>20.763600000000004</v>
      </c>
      <c r="Z117" s="9">
        <f t="shared" si="16"/>
        <v>20.763600000000004</v>
      </c>
      <c r="AA117" s="9">
        <f t="shared" si="16"/>
        <v>21.525504</v>
      </c>
      <c r="AB117" s="9">
        <f t="shared" si="16"/>
        <v>23.090495999999998</v>
      </c>
      <c r="AC117" s="9">
        <f t="shared" si="16"/>
        <v>21.525504</v>
      </c>
      <c r="AD117" s="9">
        <f t="shared" si="16"/>
        <v>21.525504</v>
      </c>
      <c r="AE117" s="9">
        <f t="shared" si="16"/>
        <v>21.525504</v>
      </c>
      <c r="AF117" s="9">
        <f t="shared" si="16"/>
        <v>21.525504</v>
      </c>
      <c r="AG117" s="9">
        <f t="shared" si="16"/>
        <v>20.763600000000004</v>
      </c>
      <c r="AH117" s="9">
        <f t="shared" si="16"/>
        <v>21.525504</v>
      </c>
      <c r="AI117" s="9">
        <f t="shared" si="16"/>
        <v>20.763600000000004</v>
      </c>
      <c r="AJ117" s="9">
        <f t="shared" si="16"/>
        <v>20.763600000000004</v>
      </c>
      <c r="AK117" s="9">
        <f t="shared" si="16"/>
        <v>21.525504</v>
      </c>
      <c r="AL117" s="9">
        <f t="shared" si="16"/>
        <v>20.763600000000004</v>
      </c>
      <c r="AM117" s="9"/>
      <c r="AN117" s="9"/>
      <c r="AO117" s="9"/>
      <c r="AP117" s="9"/>
      <c r="AQ117" s="9"/>
      <c r="AR117" s="9"/>
      <c r="AS117" s="9"/>
    </row>
    <row r="118" spans="1:45" ht="12.75">
      <c r="A118" s="8">
        <f t="shared" si="13"/>
        <v>21.768222666666666</v>
      </c>
      <c r="B118" s="8" t="str">
        <f t="shared" si="2"/>
        <v>HEP 4</v>
      </c>
      <c r="C118" s="9">
        <f t="shared" si="15"/>
        <v>21.525504</v>
      </c>
      <c r="D118" s="9">
        <f t="shared" si="16"/>
        <v>23.893583999999997</v>
      </c>
      <c r="E118" s="9">
        <f t="shared" si="16"/>
        <v>22.301136</v>
      </c>
      <c r="F118" s="9">
        <f t="shared" si="16"/>
        <v>21.525504</v>
      </c>
      <c r="G118" s="9">
        <f t="shared" si="16"/>
        <v>21.525504</v>
      </c>
      <c r="H118" s="9">
        <f t="shared" si="16"/>
        <v>21.525504</v>
      </c>
      <c r="I118" s="9">
        <f t="shared" si="16"/>
        <v>22.301136</v>
      </c>
      <c r="J118" s="9">
        <f t="shared" si="16"/>
        <v>21.525504</v>
      </c>
      <c r="K118" s="9">
        <f t="shared" si="16"/>
        <v>20.763600000000004</v>
      </c>
      <c r="L118" s="9">
        <f t="shared" si="16"/>
        <v>21.525504</v>
      </c>
      <c r="M118" s="9">
        <f>M58*M58*68.64</f>
        <v>21.525504</v>
      </c>
      <c r="N118" s="9">
        <f t="shared" si="16"/>
        <v>20.763600000000004</v>
      </c>
      <c r="O118" s="9">
        <f t="shared" si="16"/>
        <v>20.763600000000004</v>
      </c>
      <c r="P118" s="9">
        <f t="shared" si="16"/>
        <v>23.893583999999997</v>
      </c>
      <c r="Q118" s="9">
        <f t="shared" si="16"/>
        <v>22.301136</v>
      </c>
      <c r="R118" s="9">
        <f t="shared" si="16"/>
        <v>20.763600000000004</v>
      </c>
      <c r="S118" s="9">
        <f t="shared" si="16"/>
        <v>21.525504</v>
      </c>
      <c r="T118" s="9">
        <f t="shared" si="16"/>
        <v>22.301136</v>
      </c>
      <c r="U118" s="9">
        <f t="shared" si="16"/>
        <v>21.525504</v>
      </c>
      <c r="V118" s="9">
        <f t="shared" si="16"/>
        <v>21.525504</v>
      </c>
      <c r="W118" s="9">
        <f t="shared" si="16"/>
        <v>21.525504</v>
      </c>
      <c r="X118" s="9">
        <f t="shared" si="16"/>
        <v>21.525504</v>
      </c>
      <c r="Y118" s="9">
        <f t="shared" si="16"/>
        <v>21.525504</v>
      </c>
      <c r="Z118" s="9">
        <f t="shared" si="16"/>
        <v>20.763600000000004</v>
      </c>
      <c r="AA118" s="9">
        <f t="shared" si="16"/>
        <v>21.525504</v>
      </c>
      <c r="AB118" s="9">
        <f t="shared" si="16"/>
        <v>23.893583999999997</v>
      </c>
      <c r="AC118" s="9">
        <f t="shared" si="16"/>
        <v>22.301136</v>
      </c>
      <c r="AD118" s="9">
        <f t="shared" si="16"/>
        <v>22.301136</v>
      </c>
      <c r="AE118" s="9">
        <f t="shared" si="16"/>
        <v>21.525504</v>
      </c>
      <c r="AF118" s="9">
        <f t="shared" si="16"/>
        <v>22.301136</v>
      </c>
      <c r="AG118" s="9">
        <f t="shared" si="16"/>
        <v>22.301136</v>
      </c>
      <c r="AH118" s="9">
        <f t="shared" si="16"/>
        <v>21.525504</v>
      </c>
      <c r="AI118" s="9">
        <f t="shared" si="16"/>
        <v>21.525504</v>
      </c>
      <c r="AJ118" s="9">
        <f t="shared" si="16"/>
        <v>21.525504</v>
      </c>
      <c r="AK118" s="9">
        <f t="shared" si="16"/>
        <v>21.525504</v>
      </c>
      <c r="AL118" s="9">
        <f t="shared" si="16"/>
        <v>20.763600000000004</v>
      </c>
      <c r="AM118" s="9"/>
      <c r="AN118" s="9"/>
      <c r="AO118" s="9"/>
      <c r="AP118" s="9"/>
      <c r="AQ118" s="9"/>
      <c r="AR118" s="9"/>
      <c r="AS118" s="9"/>
    </row>
    <row r="119" spans="1:45" ht="12.75">
      <c r="A119" s="8">
        <f t="shared" si="13"/>
        <v>0</v>
      </c>
      <c r="B119" s="8" t="str">
        <f t="shared" si="2"/>
        <v>Pause HEP</v>
      </c>
      <c r="C119" s="9">
        <f t="shared" si="15"/>
        <v>0</v>
      </c>
      <c r="D119" s="9">
        <f t="shared" si="16"/>
        <v>0</v>
      </c>
      <c r="E119" s="9">
        <f t="shared" si="16"/>
        <v>0</v>
      </c>
      <c r="F119" s="9">
        <f t="shared" si="16"/>
        <v>0</v>
      </c>
      <c r="G119" s="9">
        <f t="shared" si="16"/>
        <v>0</v>
      </c>
      <c r="H119" s="9">
        <f t="shared" si="16"/>
        <v>0</v>
      </c>
      <c r="I119" s="9">
        <f t="shared" si="16"/>
        <v>0</v>
      </c>
      <c r="J119" s="9">
        <f t="shared" si="16"/>
        <v>0</v>
      </c>
      <c r="K119" s="9">
        <f t="shared" si="16"/>
        <v>0</v>
      </c>
      <c r="L119" s="9">
        <f t="shared" si="16"/>
        <v>0</v>
      </c>
      <c r="M119" s="9">
        <f t="shared" si="16"/>
        <v>0</v>
      </c>
      <c r="N119" s="9">
        <f t="shared" si="16"/>
        <v>0</v>
      </c>
      <c r="O119" s="9">
        <f t="shared" si="16"/>
        <v>0</v>
      </c>
      <c r="P119" s="9">
        <f t="shared" si="16"/>
        <v>0</v>
      </c>
      <c r="Q119" s="9">
        <f t="shared" si="16"/>
        <v>0</v>
      </c>
      <c r="R119" s="9">
        <f t="shared" si="16"/>
        <v>0</v>
      </c>
      <c r="S119" s="9">
        <f t="shared" si="16"/>
        <v>0</v>
      </c>
      <c r="T119" s="9">
        <f t="shared" si="16"/>
        <v>0</v>
      </c>
      <c r="U119" s="9">
        <f t="shared" si="16"/>
        <v>0</v>
      </c>
      <c r="V119" s="9">
        <f t="shared" si="16"/>
        <v>0</v>
      </c>
      <c r="W119" s="9">
        <f t="shared" si="16"/>
        <v>0</v>
      </c>
      <c r="X119" s="9">
        <f t="shared" si="16"/>
        <v>0</v>
      </c>
      <c r="Y119" s="9">
        <f t="shared" si="16"/>
        <v>0</v>
      </c>
      <c r="Z119" s="9">
        <f t="shared" si="16"/>
        <v>0</v>
      </c>
      <c r="AA119" s="9">
        <f t="shared" si="16"/>
        <v>0</v>
      </c>
      <c r="AB119" s="9">
        <f t="shared" si="16"/>
        <v>0</v>
      </c>
      <c r="AC119" s="9">
        <f t="shared" si="16"/>
        <v>0</v>
      </c>
      <c r="AD119" s="9">
        <f t="shared" si="16"/>
        <v>0</v>
      </c>
      <c r="AE119" s="9">
        <f t="shared" si="16"/>
        <v>0</v>
      </c>
      <c r="AF119" s="9">
        <f t="shared" si="16"/>
        <v>0</v>
      </c>
      <c r="AG119" s="9">
        <f t="shared" si="16"/>
        <v>0</v>
      </c>
      <c r="AH119" s="9">
        <f t="shared" si="16"/>
        <v>0</v>
      </c>
      <c r="AI119" s="9">
        <f t="shared" si="16"/>
        <v>0</v>
      </c>
      <c r="AJ119" s="9">
        <f t="shared" si="16"/>
        <v>0</v>
      </c>
      <c r="AK119" s="9">
        <f t="shared" si="16"/>
        <v>0</v>
      </c>
      <c r="AL119" s="9">
        <f t="shared" si="16"/>
        <v>0</v>
      </c>
      <c r="AM119" s="9"/>
      <c r="AN119" s="9"/>
      <c r="AO119" s="9"/>
      <c r="AP119" s="9"/>
      <c r="AQ119" s="9"/>
      <c r="AR119" s="9"/>
      <c r="AS119" s="9"/>
    </row>
    <row r="120" spans="1:45" ht="12.75">
      <c r="A120" s="8"/>
      <c r="B120" s="8"/>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row>
    <row r="121" spans="1:45" ht="12.75">
      <c r="A121" s="8"/>
      <c r="B121" s="8"/>
      <c r="C121" s="19" t="s">
        <v>190</v>
      </c>
      <c r="D121" s="19"/>
      <c r="E121" s="19"/>
      <c r="F121" s="19"/>
      <c r="G121" s="19"/>
      <c r="H121" s="19"/>
      <c r="I121" s="19"/>
      <c r="J121" s="19"/>
      <c r="K121" s="19"/>
      <c r="L121" s="9"/>
      <c r="M121" s="9"/>
      <c r="N121" s="9"/>
      <c r="O121" s="19" t="s">
        <v>218</v>
      </c>
      <c r="P121" s="19"/>
      <c r="Q121" s="19"/>
      <c r="R121" s="19"/>
      <c r="S121" s="19"/>
      <c r="T121" s="19"/>
      <c r="U121" s="19"/>
      <c r="V121" s="19"/>
      <c r="W121" s="19"/>
      <c r="X121" s="19"/>
      <c r="Y121" s="19"/>
      <c r="Z121" s="19"/>
      <c r="AA121" s="19"/>
      <c r="AB121" s="9"/>
      <c r="AC121" s="9"/>
      <c r="AD121" s="9"/>
      <c r="AE121" s="9"/>
      <c r="AF121" s="9"/>
      <c r="AG121" s="9"/>
      <c r="AH121" s="9"/>
      <c r="AI121" s="9"/>
      <c r="AJ121" s="9"/>
      <c r="AK121" s="9"/>
      <c r="AL121" s="9"/>
      <c r="AM121" s="9"/>
      <c r="AN121" s="9"/>
      <c r="AO121" s="9"/>
      <c r="AP121" s="9"/>
      <c r="AQ121" s="9"/>
      <c r="AR121" s="9"/>
      <c r="AS121" s="9"/>
    </row>
    <row r="122" spans="2:45" ht="12.75">
      <c r="B122" t="s">
        <v>186</v>
      </c>
      <c r="C122" s="9" t="str">
        <f>$B111</f>
        <v>before ramp</v>
      </c>
      <c r="D122" s="9" t="str">
        <f>$B112</f>
        <v>accelerate</v>
      </c>
      <c r="E122" s="9" t="str">
        <f>$B113</f>
        <v>flattop</v>
      </c>
      <c r="F122" s="9" t="str">
        <f>$B114</f>
        <v>squeeze</v>
      </c>
      <c r="G122" s="9" t="str">
        <f>$B115</f>
        <v>initiate collisions</v>
      </c>
      <c r="H122" s="9" t="str">
        <f>$B116</f>
        <v>remove halo</v>
      </c>
      <c r="I122" s="9" t="str">
        <f>$B117</f>
        <v>HEP 1</v>
      </c>
      <c r="J122" s="9" t="str">
        <f>$B118</f>
        <v>HEP 4</v>
      </c>
      <c r="K122" s="9" t="str">
        <f>$B119</f>
        <v>Pause HEP</v>
      </c>
      <c r="L122" s="9"/>
      <c r="M122" s="9"/>
      <c r="N122" s="9"/>
      <c r="O122" s="9" t="str">
        <f>D122</f>
        <v>accelerate</v>
      </c>
      <c r="P122" s="9" t="str">
        <f aca="true" t="shared" si="18" ref="P122:V122">E122</f>
        <v>flattop</v>
      </c>
      <c r="Q122" s="9" t="str">
        <f t="shared" si="18"/>
        <v>squeeze</v>
      </c>
      <c r="R122" s="9" t="str">
        <f t="shared" si="18"/>
        <v>initiate collisions</v>
      </c>
      <c r="S122" s="9" t="str">
        <f t="shared" si="18"/>
        <v>remove halo</v>
      </c>
      <c r="T122" s="9" t="str">
        <f t="shared" si="18"/>
        <v>HEP 1</v>
      </c>
      <c r="U122" s="9" t="str">
        <f t="shared" si="18"/>
        <v>HEP 4</v>
      </c>
      <c r="V122" s="9" t="str">
        <f t="shared" si="18"/>
        <v>Pause HEP</v>
      </c>
      <c r="W122" s="9"/>
      <c r="X122" s="9" t="s">
        <v>185</v>
      </c>
      <c r="Y122" s="9" t="s">
        <v>219</v>
      </c>
      <c r="Z122" s="9"/>
      <c r="AA122" s="9"/>
      <c r="AB122" s="9"/>
      <c r="AC122" s="9"/>
      <c r="AD122" s="9"/>
      <c r="AE122" s="9"/>
      <c r="AF122" s="9"/>
      <c r="AG122" s="9"/>
      <c r="AH122" s="9"/>
      <c r="AI122" s="9"/>
      <c r="AJ122" s="9"/>
      <c r="AK122" s="9"/>
      <c r="AL122" s="9"/>
      <c r="AM122" s="9"/>
      <c r="AN122" s="9"/>
      <c r="AO122" s="9"/>
      <c r="AP122" s="9"/>
      <c r="AQ122" s="9"/>
      <c r="AR122" s="9"/>
      <c r="AS122" s="9"/>
    </row>
    <row r="123" spans="2:45" ht="12.75">
      <c r="B123" t="s">
        <v>60</v>
      </c>
      <c r="C123" s="9">
        <f>$C111</f>
        <v>18.225</v>
      </c>
      <c r="D123" s="9">
        <f>$C112</f>
        <v>15.857127000000002</v>
      </c>
      <c r="E123" s="9">
        <f>$C113</f>
        <v>18.560256000000003</v>
      </c>
      <c r="F123" s="9">
        <f>$C114</f>
        <v>17.853264</v>
      </c>
      <c r="G123" s="9">
        <f>$C115</f>
        <v>15.814656</v>
      </c>
      <c r="H123" s="9">
        <f>$C116</f>
        <v>15.814656</v>
      </c>
      <c r="I123" s="9">
        <f>$C117</f>
        <v>21.525504</v>
      </c>
      <c r="J123" s="9">
        <f>$C118</f>
        <v>21.525504</v>
      </c>
      <c r="K123" s="9">
        <f>$C119</f>
        <v>0</v>
      </c>
      <c r="L123" s="9"/>
      <c r="M123" s="9"/>
      <c r="N123" s="9"/>
      <c r="O123" s="9">
        <f>D123-C123</f>
        <v>-2.3678729999999995</v>
      </c>
      <c r="P123" s="9">
        <f aca="true" t="shared" si="19" ref="P123:V123">E123-D123</f>
        <v>2.7031290000000006</v>
      </c>
      <c r="Q123" s="9">
        <f t="shared" si="19"/>
        <v>-0.7069920000000032</v>
      </c>
      <c r="R123" s="9">
        <f t="shared" si="19"/>
        <v>-2.038608</v>
      </c>
      <c r="S123" s="9">
        <f t="shared" si="19"/>
        <v>0</v>
      </c>
      <c r="T123" s="9">
        <f t="shared" si="19"/>
        <v>5.710848000000002</v>
      </c>
      <c r="U123" s="9">
        <f t="shared" si="19"/>
        <v>0</v>
      </c>
      <c r="V123" s="9">
        <f t="shared" si="19"/>
        <v>-21.525504</v>
      </c>
      <c r="W123" s="9"/>
      <c r="X123" s="9">
        <f>H123-E123</f>
        <v>-2.745600000000003</v>
      </c>
      <c r="Y123" s="9">
        <f>J123-E123</f>
        <v>2.965247999999999</v>
      </c>
      <c r="Z123" s="9"/>
      <c r="AA123" s="9"/>
      <c r="AB123" s="9"/>
      <c r="AC123" s="9"/>
      <c r="AD123" s="9"/>
      <c r="AE123" s="9"/>
      <c r="AF123" s="9"/>
      <c r="AG123" s="9"/>
      <c r="AH123" s="9"/>
      <c r="AI123" s="9"/>
      <c r="AJ123" s="9"/>
      <c r="AK123" s="9"/>
      <c r="AL123" s="9"/>
      <c r="AM123" s="9"/>
      <c r="AN123" s="9"/>
      <c r="AO123" s="9"/>
      <c r="AP123" s="9"/>
      <c r="AQ123" s="9"/>
      <c r="AR123" s="9"/>
      <c r="AS123" s="9"/>
    </row>
    <row r="124" spans="2:45" ht="12.75">
      <c r="B124" t="s">
        <v>61</v>
      </c>
      <c r="C124" s="9">
        <f>$D111</f>
        <v>16.900000000000002</v>
      </c>
      <c r="D124" s="9">
        <f>$D112</f>
        <v>14.460732000000002</v>
      </c>
      <c r="E124" s="9">
        <f>$D113</f>
        <v>17.853264</v>
      </c>
      <c r="F124" s="9">
        <f>$D114</f>
        <v>16.480463999999998</v>
      </c>
      <c r="G124" s="9">
        <f>$D115</f>
        <v>15.814656</v>
      </c>
      <c r="H124" s="9">
        <f>$D116</f>
        <v>14.524224</v>
      </c>
      <c r="I124" s="9">
        <f>$D117</f>
        <v>23.090495999999998</v>
      </c>
      <c r="J124" s="9">
        <f>$D118</f>
        <v>23.893583999999997</v>
      </c>
      <c r="K124" s="9">
        <f>$D119</f>
        <v>0</v>
      </c>
      <c r="L124" s="9"/>
      <c r="M124" s="9"/>
      <c r="N124" s="9"/>
      <c r="O124" s="9">
        <f aca="true" t="shared" si="20" ref="O124:O158">D124-C124</f>
        <v>-2.439268</v>
      </c>
      <c r="P124" s="9">
        <f aca="true" t="shared" si="21" ref="P124:P158">E124-D124</f>
        <v>3.3925319999999974</v>
      </c>
      <c r="Q124" s="9">
        <f aca="true" t="shared" si="22" ref="Q124:Q158">F124-E124</f>
        <v>-1.3728000000000016</v>
      </c>
      <c r="R124" s="9">
        <f aca="true" t="shared" si="23" ref="R124:R158">G124-F124</f>
        <v>-0.6658079999999984</v>
      </c>
      <c r="S124" s="9">
        <f aca="true" t="shared" si="24" ref="S124:S158">H124-G124</f>
        <v>-1.2904319999999991</v>
      </c>
      <c r="T124" s="9">
        <f aca="true" t="shared" si="25" ref="T124:T158">I124-H124</f>
        <v>8.566271999999998</v>
      </c>
      <c r="U124" s="9">
        <f aca="true" t="shared" si="26" ref="U124:U158">J124-I124</f>
        <v>0.8030879999999989</v>
      </c>
      <c r="V124" s="9">
        <f aca="true" t="shared" si="27" ref="V124:V158">K124-J124</f>
        <v>-23.893583999999997</v>
      </c>
      <c r="W124" s="9"/>
      <c r="X124" s="9">
        <f aca="true" t="shared" si="28" ref="X124:X158">H124-E124</f>
        <v>-3.329039999999999</v>
      </c>
      <c r="Y124" s="9">
        <f aca="true" t="shared" si="29" ref="Y124:Y158">J124-E124</f>
        <v>6.040319999999998</v>
      </c>
      <c r="Z124" s="9"/>
      <c r="AA124" s="9"/>
      <c r="AB124" s="9"/>
      <c r="AC124" s="9"/>
      <c r="AD124" s="9"/>
      <c r="AE124" s="9"/>
      <c r="AF124" s="9"/>
      <c r="AG124" s="9"/>
      <c r="AH124" s="9"/>
      <c r="AI124" s="9"/>
      <c r="AJ124" s="9"/>
      <c r="AK124" s="9"/>
      <c r="AL124" s="9"/>
      <c r="AM124" s="9"/>
      <c r="AN124" s="9"/>
      <c r="AO124" s="9"/>
      <c r="AP124" s="9"/>
      <c r="AQ124" s="9"/>
      <c r="AR124" s="9"/>
      <c r="AS124" s="9"/>
    </row>
    <row r="125" spans="2:45" ht="12.75">
      <c r="B125" t="s">
        <v>62</v>
      </c>
      <c r="C125" s="9">
        <f>$E111</f>
        <v>16.384</v>
      </c>
      <c r="D125" s="9">
        <f>$E112</f>
        <v>14.189174999999999</v>
      </c>
      <c r="E125" s="9">
        <f>$E113</f>
        <v>17.16</v>
      </c>
      <c r="F125" s="9">
        <f>$E114</f>
        <v>15.814656</v>
      </c>
      <c r="G125" s="9">
        <f>$E115</f>
        <v>15.162576</v>
      </c>
      <c r="H125" s="9">
        <f>$E116</f>
        <v>13.899600000000001</v>
      </c>
      <c r="I125" s="9">
        <f>$E117</f>
        <v>22.301136</v>
      </c>
      <c r="J125" s="9">
        <f>$E118</f>
        <v>22.301136</v>
      </c>
      <c r="K125" s="9">
        <f>$E119</f>
        <v>0</v>
      </c>
      <c r="L125" s="9"/>
      <c r="M125" s="9"/>
      <c r="N125" s="9"/>
      <c r="O125" s="9">
        <f t="shared" si="20"/>
        <v>-2.1948250000000016</v>
      </c>
      <c r="P125" s="9">
        <f t="shared" si="21"/>
        <v>2.9708250000000014</v>
      </c>
      <c r="Q125" s="9">
        <f t="shared" si="22"/>
        <v>-1.3453440000000008</v>
      </c>
      <c r="R125" s="9">
        <f t="shared" si="23"/>
        <v>-0.6520799999999998</v>
      </c>
      <c r="S125" s="9">
        <f t="shared" si="24"/>
        <v>-1.2629759999999983</v>
      </c>
      <c r="T125" s="9">
        <f>I125-H125</f>
        <v>8.401535999999998</v>
      </c>
      <c r="U125" s="9">
        <f t="shared" si="26"/>
        <v>0</v>
      </c>
      <c r="V125" s="9">
        <f t="shared" si="27"/>
        <v>-22.301136</v>
      </c>
      <c r="W125" s="9"/>
      <c r="X125" s="9">
        <f t="shared" si="28"/>
        <v>-3.260399999999999</v>
      </c>
      <c r="Y125" s="9">
        <f t="shared" si="29"/>
        <v>5.1411359999999995</v>
      </c>
      <c r="Z125" s="9"/>
      <c r="AA125" s="9"/>
      <c r="AB125" s="9"/>
      <c r="AC125" s="9"/>
      <c r="AD125" s="9"/>
      <c r="AE125" s="9"/>
      <c r="AF125" s="9"/>
      <c r="AG125" s="9"/>
      <c r="AH125" s="9"/>
      <c r="AI125" s="9"/>
      <c r="AJ125" s="9"/>
      <c r="AK125" s="9"/>
      <c r="AL125" s="9"/>
      <c r="AM125" s="9"/>
      <c r="AN125" s="9"/>
      <c r="AO125" s="9"/>
      <c r="AP125" s="9"/>
      <c r="AQ125" s="9"/>
      <c r="AR125" s="9"/>
      <c r="AS125" s="9"/>
    </row>
    <row r="126" spans="2:45" ht="12.75">
      <c r="B126" t="s">
        <v>63</v>
      </c>
      <c r="C126" s="9">
        <f>$F111</f>
        <v>16.129</v>
      </c>
      <c r="D126" s="9">
        <f>$F112</f>
        <v>14.189174999999999</v>
      </c>
      <c r="E126" s="9">
        <f>$F113</f>
        <v>17.16</v>
      </c>
      <c r="F126" s="9">
        <f>$F114</f>
        <v>16.480463999999998</v>
      </c>
      <c r="G126" s="9">
        <f>$F115</f>
        <v>15.162576</v>
      </c>
      <c r="H126" s="9">
        <f>$F116</f>
        <v>13.899600000000001</v>
      </c>
      <c r="I126" s="9">
        <f>$F117</f>
        <v>21.525504</v>
      </c>
      <c r="J126" s="9">
        <f>$F118</f>
        <v>21.525504</v>
      </c>
      <c r="K126" s="9">
        <f>$F119</f>
        <v>0</v>
      </c>
      <c r="L126" s="9"/>
      <c r="M126" s="9"/>
      <c r="N126" s="9"/>
      <c r="O126" s="9">
        <f t="shared" si="20"/>
        <v>-1.9398250000000026</v>
      </c>
      <c r="P126" s="9">
        <f t="shared" si="21"/>
        <v>2.9708250000000014</v>
      </c>
      <c r="Q126" s="9">
        <f t="shared" si="22"/>
        <v>-0.6795360000000024</v>
      </c>
      <c r="R126" s="9">
        <f t="shared" si="23"/>
        <v>-1.3178879999999982</v>
      </c>
      <c r="S126" s="9">
        <f t="shared" si="24"/>
        <v>-1.2629759999999983</v>
      </c>
      <c r="T126" s="9">
        <f t="shared" si="25"/>
        <v>7.625904</v>
      </c>
      <c r="U126" s="9">
        <f t="shared" si="26"/>
        <v>0</v>
      </c>
      <c r="V126" s="9">
        <f t="shared" si="27"/>
        <v>-21.525504</v>
      </c>
      <c r="W126" s="9"/>
      <c r="X126" s="9">
        <f t="shared" si="28"/>
        <v>-3.260399999999999</v>
      </c>
      <c r="Y126" s="9">
        <f t="shared" si="29"/>
        <v>4.365504000000001</v>
      </c>
      <c r="Z126" s="9"/>
      <c r="AA126" s="9"/>
      <c r="AB126" s="9"/>
      <c r="AC126" s="9"/>
      <c r="AD126" s="9"/>
      <c r="AE126" s="9"/>
      <c r="AF126" s="9"/>
      <c r="AG126" s="9"/>
      <c r="AH126" s="9"/>
      <c r="AI126" s="9"/>
      <c r="AJ126" s="9"/>
      <c r="AK126" s="9"/>
      <c r="AL126" s="9"/>
      <c r="AM126" s="9"/>
      <c r="AN126" s="9"/>
      <c r="AO126" s="9"/>
      <c r="AP126" s="9"/>
      <c r="AQ126" s="9"/>
      <c r="AR126" s="9"/>
      <c r="AS126" s="9"/>
    </row>
    <row r="127" spans="2:45" ht="12.75">
      <c r="B127" t="s">
        <v>64</v>
      </c>
      <c r="C127" s="9">
        <f>$G111</f>
        <v>16.129</v>
      </c>
      <c r="D127" s="9">
        <f>$G112</f>
        <v>13.920192</v>
      </c>
      <c r="E127" s="9">
        <f>$G113</f>
        <v>17.16</v>
      </c>
      <c r="F127" s="9">
        <f>$G114</f>
        <v>15.814656</v>
      </c>
      <c r="G127" s="9">
        <f>$G115</f>
        <v>14.524224</v>
      </c>
      <c r="H127" s="9">
        <f>$G116</f>
        <v>13.288704</v>
      </c>
      <c r="I127" s="9">
        <f>$G117</f>
        <v>21.525504</v>
      </c>
      <c r="J127" s="9">
        <f>$G118</f>
        <v>21.525504</v>
      </c>
      <c r="K127" s="9">
        <f>$G119</f>
        <v>0</v>
      </c>
      <c r="L127" s="9"/>
      <c r="M127" s="9"/>
      <c r="N127" s="9"/>
      <c r="O127" s="9">
        <f t="shared" si="20"/>
        <v>-2.208808000000001</v>
      </c>
      <c r="P127" s="9">
        <f t="shared" si="21"/>
        <v>3.239808</v>
      </c>
      <c r="Q127" s="9">
        <f t="shared" si="22"/>
        <v>-1.3453440000000008</v>
      </c>
      <c r="R127" s="9">
        <f t="shared" si="23"/>
        <v>-1.2904319999999991</v>
      </c>
      <c r="S127" s="9">
        <f t="shared" si="24"/>
        <v>-1.235520000000001</v>
      </c>
      <c r="T127" s="9">
        <f t="shared" si="25"/>
        <v>8.236800000000002</v>
      </c>
      <c r="U127" s="9">
        <f t="shared" si="26"/>
        <v>0</v>
      </c>
      <c r="V127" s="9">
        <f t="shared" si="27"/>
        <v>-21.525504</v>
      </c>
      <c r="W127" s="9"/>
      <c r="X127" s="9">
        <f t="shared" si="28"/>
        <v>-3.871296000000001</v>
      </c>
      <c r="Y127" s="9">
        <f t="shared" si="29"/>
        <v>4.365504000000001</v>
      </c>
      <c r="Z127" s="9"/>
      <c r="AA127" s="9"/>
      <c r="AB127" s="9"/>
      <c r="AC127" s="9"/>
      <c r="AD127" s="9"/>
      <c r="AE127" s="9"/>
      <c r="AF127" s="9"/>
      <c r="AG127" s="9"/>
      <c r="AH127" s="9"/>
      <c r="AI127" s="9"/>
      <c r="AJ127" s="9"/>
      <c r="AK127" s="9"/>
      <c r="AL127" s="9"/>
      <c r="AM127" s="9"/>
      <c r="AN127" s="9"/>
      <c r="AO127" s="9"/>
      <c r="AP127" s="9"/>
      <c r="AQ127" s="9"/>
      <c r="AR127" s="9"/>
      <c r="AS127" s="9"/>
    </row>
    <row r="128" spans="2:45" ht="12.75">
      <c r="B128" t="s">
        <v>65</v>
      </c>
      <c r="C128" s="9">
        <f>$H111</f>
        <v>15.625</v>
      </c>
      <c r="D128" s="9">
        <f>$H112</f>
        <v>14.189174999999999</v>
      </c>
      <c r="E128" s="9">
        <f>$H113</f>
        <v>16.480463999999998</v>
      </c>
      <c r="F128" s="9">
        <f>$H114</f>
        <v>15.814656</v>
      </c>
      <c r="G128" s="9">
        <f>$H115</f>
        <v>14.524224</v>
      </c>
      <c r="H128" s="9">
        <f>$H116</f>
        <v>13.899600000000001</v>
      </c>
      <c r="I128" s="9">
        <f>$H117</f>
        <v>21.525504</v>
      </c>
      <c r="J128" s="9">
        <f>$H118</f>
        <v>21.525504</v>
      </c>
      <c r="K128" s="9">
        <f>$H119</f>
        <v>0</v>
      </c>
      <c r="L128" s="9"/>
      <c r="M128" s="9"/>
      <c r="N128" s="9"/>
      <c r="O128" s="9">
        <f t="shared" si="20"/>
        <v>-1.4358250000000012</v>
      </c>
      <c r="P128" s="9">
        <f t="shared" si="21"/>
        <v>2.291288999999999</v>
      </c>
      <c r="Q128" s="9">
        <f t="shared" si="22"/>
        <v>-0.6658079999999984</v>
      </c>
      <c r="R128" s="9">
        <f t="shared" si="23"/>
        <v>-1.2904319999999991</v>
      </c>
      <c r="S128" s="9">
        <f t="shared" si="24"/>
        <v>-0.624623999999999</v>
      </c>
      <c r="T128" s="9">
        <f t="shared" si="25"/>
        <v>7.625904</v>
      </c>
      <c r="U128" s="9">
        <f t="shared" si="26"/>
        <v>0</v>
      </c>
      <c r="V128" s="9">
        <f t="shared" si="27"/>
        <v>-21.525504</v>
      </c>
      <c r="W128" s="9"/>
      <c r="X128" s="9">
        <f t="shared" si="28"/>
        <v>-2.5808639999999965</v>
      </c>
      <c r="Y128" s="9">
        <f t="shared" si="29"/>
        <v>5.045040000000004</v>
      </c>
      <c r="Z128" s="9"/>
      <c r="AA128" s="9"/>
      <c r="AB128" s="9"/>
      <c r="AC128" s="9"/>
      <c r="AD128" s="9"/>
      <c r="AE128" s="9"/>
      <c r="AF128" s="9"/>
      <c r="AG128" s="9"/>
      <c r="AH128" s="9"/>
      <c r="AI128" s="9"/>
      <c r="AJ128" s="9"/>
      <c r="AK128" s="9"/>
      <c r="AL128" s="9"/>
      <c r="AM128" s="9"/>
      <c r="AN128" s="9"/>
      <c r="AO128" s="9"/>
      <c r="AP128" s="9"/>
      <c r="AQ128" s="9"/>
      <c r="AR128" s="9"/>
      <c r="AS128" s="9"/>
    </row>
    <row r="129" spans="2:45" ht="12.75">
      <c r="B129" t="s">
        <v>66</v>
      </c>
      <c r="C129" s="9">
        <f>$I111</f>
        <v>15.376000000000001</v>
      </c>
      <c r="D129" s="9">
        <f>$I112</f>
        <v>13.653782999999999</v>
      </c>
      <c r="E129" s="9">
        <f>$I113</f>
        <v>16.480463999999998</v>
      </c>
      <c r="F129" s="9">
        <f>$I114</f>
        <v>15.162576</v>
      </c>
      <c r="G129" s="9">
        <f>$I115</f>
        <v>14.524224</v>
      </c>
      <c r="H129" s="9">
        <f>$I116</f>
        <v>13.899600000000001</v>
      </c>
      <c r="I129" s="9">
        <f>$I117</f>
        <v>20.763600000000004</v>
      </c>
      <c r="J129" s="9">
        <f>$I118</f>
        <v>22.301136</v>
      </c>
      <c r="K129" s="9">
        <f>$I119</f>
        <v>0</v>
      </c>
      <c r="L129" s="9"/>
      <c r="M129" s="9"/>
      <c r="N129" s="9"/>
      <c r="O129" s="9">
        <f t="shared" si="20"/>
        <v>-1.7222170000000023</v>
      </c>
      <c r="P129" s="9">
        <f t="shared" si="21"/>
        <v>2.826680999999999</v>
      </c>
      <c r="Q129" s="9">
        <f t="shared" si="22"/>
        <v>-1.3178879999999982</v>
      </c>
      <c r="R129" s="9">
        <f t="shared" si="23"/>
        <v>-0.6383519999999994</v>
      </c>
      <c r="S129" s="9">
        <f t="shared" si="24"/>
        <v>-0.624623999999999</v>
      </c>
      <c r="T129" s="9">
        <f t="shared" si="25"/>
        <v>6.8640000000000025</v>
      </c>
      <c r="U129" s="9">
        <f t="shared" si="26"/>
        <v>1.5375359999999958</v>
      </c>
      <c r="V129" s="9">
        <f t="shared" si="27"/>
        <v>-22.301136</v>
      </c>
      <c r="W129" s="9"/>
      <c r="X129" s="9">
        <f t="shared" si="28"/>
        <v>-2.5808639999999965</v>
      </c>
      <c r="Y129" s="9">
        <f t="shared" si="29"/>
        <v>5.820672000000002</v>
      </c>
      <c r="Z129" s="9"/>
      <c r="AA129" s="9"/>
      <c r="AB129" s="9"/>
      <c r="AC129" s="9"/>
      <c r="AD129" s="9"/>
      <c r="AE129" s="9"/>
      <c r="AF129" s="9"/>
      <c r="AG129" s="9"/>
      <c r="AH129" s="9"/>
      <c r="AI129" s="9"/>
      <c r="AJ129" s="9"/>
      <c r="AK129" s="9"/>
      <c r="AL129" s="9"/>
      <c r="AM129" s="9"/>
      <c r="AN129" s="9"/>
      <c r="AO129" s="9"/>
      <c r="AP129" s="9"/>
      <c r="AQ129" s="9"/>
      <c r="AR129" s="9"/>
      <c r="AS129" s="9"/>
    </row>
    <row r="130" spans="2:45" ht="12.75">
      <c r="B130" t="s">
        <v>67</v>
      </c>
      <c r="C130" s="9">
        <f>$J111</f>
        <v>15.876000000000001</v>
      </c>
      <c r="D130" s="9">
        <f>$J112</f>
        <v>13.920192</v>
      </c>
      <c r="E130" s="9">
        <f>$J113</f>
        <v>16.480463999999998</v>
      </c>
      <c r="F130" s="9">
        <f>$J114</f>
        <v>15.162576</v>
      </c>
      <c r="G130" s="9">
        <f>$J115</f>
        <v>13.899600000000001</v>
      </c>
      <c r="H130" s="9">
        <f>$J116</f>
        <v>13.288704</v>
      </c>
      <c r="I130" s="9">
        <f>$J117</f>
        <v>20.015424000000003</v>
      </c>
      <c r="J130" s="9">
        <f>$J118</f>
        <v>21.525504</v>
      </c>
      <c r="K130" s="9">
        <f>$J119</f>
        <v>0</v>
      </c>
      <c r="L130" s="9"/>
      <c r="M130" s="9"/>
      <c r="N130" s="9"/>
      <c r="O130" s="9">
        <f t="shared" si="20"/>
        <v>-1.955808000000001</v>
      </c>
      <c r="P130" s="9">
        <f t="shared" si="21"/>
        <v>2.5602719999999977</v>
      </c>
      <c r="Q130" s="9">
        <f t="shared" si="22"/>
        <v>-1.3178879999999982</v>
      </c>
      <c r="R130" s="9">
        <f t="shared" si="23"/>
        <v>-1.2629759999999983</v>
      </c>
      <c r="S130" s="9">
        <f t="shared" si="24"/>
        <v>-0.6108960000000021</v>
      </c>
      <c r="T130" s="9">
        <f t="shared" si="25"/>
        <v>6.726720000000004</v>
      </c>
      <c r="U130" s="9">
        <f t="shared" si="26"/>
        <v>1.5100799999999985</v>
      </c>
      <c r="V130" s="9">
        <f t="shared" si="27"/>
        <v>-21.525504</v>
      </c>
      <c r="W130" s="9"/>
      <c r="X130" s="9">
        <f t="shared" si="28"/>
        <v>-3.1917599999999986</v>
      </c>
      <c r="Y130" s="9">
        <f t="shared" si="29"/>
        <v>5.045040000000004</v>
      </c>
      <c r="Z130" s="9"/>
      <c r="AA130" s="9"/>
      <c r="AB130" s="9"/>
      <c r="AC130" s="9"/>
      <c r="AD130" s="9"/>
      <c r="AE130" s="9"/>
      <c r="AF130" s="9"/>
      <c r="AG130" s="9"/>
      <c r="AH130" s="9"/>
      <c r="AI130" s="9"/>
      <c r="AJ130" s="9"/>
      <c r="AK130" s="9"/>
      <c r="AL130" s="9"/>
      <c r="AM130" s="9"/>
      <c r="AN130" s="9"/>
      <c r="AO130" s="9"/>
      <c r="AP130" s="9"/>
      <c r="AQ130" s="9"/>
      <c r="AR130" s="9"/>
      <c r="AS130" s="9"/>
    </row>
    <row r="131" spans="2:45" ht="12.75">
      <c r="B131" t="s">
        <v>68</v>
      </c>
      <c r="C131" s="9">
        <f>$K111</f>
        <v>15.625</v>
      </c>
      <c r="D131" s="9">
        <f>$K112</f>
        <v>14.189174999999999</v>
      </c>
      <c r="E131" s="9">
        <f>$K113</f>
        <v>16.480463999999998</v>
      </c>
      <c r="F131" s="9">
        <f>$K114</f>
        <v>15.162576</v>
      </c>
      <c r="G131" s="9">
        <f>$K115</f>
        <v>13.899600000000001</v>
      </c>
      <c r="H131" s="9">
        <f>$K116</f>
        <v>13.288704</v>
      </c>
      <c r="I131" s="9">
        <f>$K117</f>
        <v>20.763600000000004</v>
      </c>
      <c r="J131" s="9">
        <f>$K118</f>
        <v>20.763600000000004</v>
      </c>
      <c r="K131" s="9">
        <f>$K119</f>
        <v>0</v>
      </c>
      <c r="L131" s="9"/>
      <c r="M131" s="9"/>
      <c r="N131" s="9"/>
      <c r="O131" s="9">
        <f t="shared" si="20"/>
        <v>-1.4358250000000012</v>
      </c>
      <c r="P131" s="9">
        <f t="shared" si="21"/>
        <v>2.291288999999999</v>
      </c>
      <c r="Q131" s="9">
        <f t="shared" si="22"/>
        <v>-1.3178879999999982</v>
      </c>
      <c r="R131" s="9">
        <f t="shared" si="23"/>
        <v>-1.2629759999999983</v>
      </c>
      <c r="S131" s="9">
        <f t="shared" si="24"/>
        <v>-0.6108960000000021</v>
      </c>
      <c r="T131" s="9">
        <f t="shared" si="25"/>
        <v>7.474896000000005</v>
      </c>
      <c r="U131" s="9">
        <f t="shared" si="26"/>
        <v>0</v>
      </c>
      <c r="V131" s="9">
        <f t="shared" si="27"/>
        <v>-20.763600000000004</v>
      </c>
      <c r="W131" s="9"/>
      <c r="X131" s="9">
        <f t="shared" si="28"/>
        <v>-3.1917599999999986</v>
      </c>
      <c r="Y131" s="9">
        <f t="shared" si="29"/>
        <v>4.283136000000006</v>
      </c>
      <c r="Z131" s="9"/>
      <c r="AA131" s="9"/>
      <c r="AB131" s="9"/>
      <c r="AC131" s="9"/>
      <c r="AD131" s="9"/>
      <c r="AE131" s="9"/>
      <c r="AF131" s="9"/>
      <c r="AG131" s="9"/>
      <c r="AH131" s="9"/>
      <c r="AI131" s="9"/>
      <c r="AJ131" s="9"/>
      <c r="AK131" s="9"/>
      <c r="AL131" s="9"/>
      <c r="AM131" s="9"/>
      <c r="AN131" s="9"/>
      <c r="AO131" s="9"/>
      <c r="AP131" s="9"/>
      <c r="AQ131" s="9"/>
      <c r="AR131" s="9"/>
      <c r="AS131" s="9"/>
    </row>
    <row r="132" spans="2:45" ht="12.75">
      <c r="B132" t="s">
        <v>69</v>
      </c>
      <c r="C132" s="9">
        <f>$L111</f>
        <v>15.876000000000001</v>
      </c>
      <c r="D132" s="9">
        <f>$L112</f>
        <v>13.653782999999999</v>
      </c>
      <c r="E132" s="9">
        <f>$L113</f>
        <v>16.480463999999998</v>
      </c>
      <c r="F132" s="9">
        <f>$L114</f>
        <v>15.814656</v>
      </c>
      <c r="G132" s="9">
        <f>$L115</f>
        <v>14.524224</v>
      </c>
      <c r="H132" s="9">
        <f>$L116</f>
        <v>13.288704</v>
      </c>
      <c r="I132" s="9">
        <f>$L117</f>
        <v>20.015424000000003</v>
      </c>
      <c r="J132" s="9">
        <f>$L118</f>
        <v>21.525504</v>
      </c>
      <c r="K132" s="9">
        <f>$L119</f>
        <v>0</v>
      </c>
      <c r="L132" s="9"/>
      <c r="M132" s="9"/>
      <c r="N132" s="9"/>
      <c r="O132" s="9">
        <f t="shared" si="20"/>
        <v>-2.2222170000000023</v>
      </c>
      <c r="P132" s="9">
        <f t="shared" si="21"/>
        <v>2.826680999999999</v>
      </c>
      <c r="Q132" s="9">
        <f t="shared" si="22"/>
        <v>-0.6658079999999984</v>
      </c>
      <c r="R132" s="9">
        <f t="shared" si="23"/>
        <v>-1.2904319999999991</v>
      </c>
      <c r="S132" s="9">
        <f t="shared" si="24"/>
        <v>-1.235520000000001</v>
      </c>
      <c r="T132" s="9">
        <f t="shared" si="25"/>
        <v>6.726720000000004</v>
      </c>
      <c r="U132" s="9">
        <f t="shared" si="26"/>
        <v>1.5100799999999985</v>
      </c>
      <c r="V132" s="9">
        <f t="shared" si="27"/>
        <v>-21.525504</v>
      </c>
      <c r="W132" s="9"/>
      <c r="X132" s="9">
        <f t="shared" si="28"/>
        <v>-3.1917599999999986</v>
      </c>
      <c r="Y132" s="9">
        <f t="shared" si="29"/>
        <v>5.045040000000004</v>
      </c>
      <c r="Z132" s="9"/>
      <c r="AA132" s="9"/>
      <c r="AB132" s="9"/>
      <c r="AC132" s="9"/>
      <c r="AD132" s="9"/>
      <c r="AE132" s="9"/>
      <c r="AF132" s="9"/>
      <c r="AG132" s="9"/>
      <c r="AH132" s="9"/>
      <c r="AI132" s="9"/>
      <c r="AJ132" s="9"/>
      <c r="AK132" s="9"/>
      <c r="AL132" s="9"/>
      <c r="AM132" s="9"/>
      <c r="AN132" s="9"/>
      <c r="AO132" s="9"/>
      <c r="AP132" s="9"/>
      <c r="AQ132" s="9"/>
      <c r="AR132" s="9"/>
      <c r="AS132" s="9"/>
    </row>
    <row r="133" spans="2:45" ht="12.75">
      <c r="B133" t="s">
        <v>70</v>
      </c>
      <c r="C133" s="9">
        <f>$M111</f>
        <v>15.376000000000001</v>
      </c>
      <c r="D133" s="9">
        <f>$M112</f>
        <v>13.653782999999999</v>
      </c>
      <c r="E133" s="9">
        <f>$M113</f>
        <v>16.480463999999998</v>
      </c>
      <c r="F133" s="9">
        <f>$M114</f>
        <v>15.162576</v>
      </c>
      <c r="G133" s="9">
        <f>$M115</f>
        <v>13.899600000000001</v>
      </c>
      <c r="H133" s="9">
        <f>$M116</f>
        <v>13.899600000000001</v>
      </c>
      <c r="I133" s="9">
        <f>$M117</f>
        <v>20.763600000000004</v>
      </c>
      <c r="J133" s="9">
        <f>$M118</f>
        <v>21.525504</v>
      </c>
      <c r="K133" s="9">
        <f>$M119</f>
        <v>0</v>
      </c>
      <c r="L133" s="9"/>
      <c r="M133" s="9"/>
      <c r="N133" s="9"/>
      <c r="O133" s="9">
        <f t="shared" si="20"/>
        <v>-1.7222170000000023</v>
      </c>
      <c r="P133" s="9">
        <f t="shared" si="21"/>
        <v>2.826680999999999</v>
      </c>
      <c r="Q133" s="9">
        <f t="shared" si="22"/>
        <v>-1.3178879999999982</v>
      </c>
      <c r="R133" s="9">
        <f t="shared" si="23"/>
        <v>-1.2629759999999983</v>
      </c>
      <c r="S133" s="9">
        <f t="shared" si="24"/>
        <v>0</v>
      </c>
      <c r="T133" s="9">
        <f t="shared" si="25"/>
        <v>6.8640000000000025</v>
      </c>
      <c r="U133" s="9">
        <f t="shared" si="26"/>
        <v>0.7619039999999977</v>
      </c>
      <c r="V133" s="9">
        <f t="shared" si="27"/>
        <v>-21.525504</v>
      </c>
      <c r="W133" s="9"/>
      <c r="X133" s="9">
        <f t="shared" si="28"/>
        <v>-2.5808639999999965</v>
      </c>
      <c r="Y133" s="9">
        <f>J133-E133</f>
        <v>5.045040000000004</v>
      </c>
      <c r="Z133" s="9"/>
      <c r="AA133" s="9"/>
      <c r="AB133" s="9"/>
      <c r="AC133" s="9"/>
      <c r="AD133" s="9"/>
      <c r="AE133" s="9"/>
      <c r="AF133" s="9"/>
      <c r="AG133" s="9"/>
      <c r="AH133" s="9"/>
      <c r="AI133" s="9"/>
      <c r="AJ133" s="9"/>
      <c r="AK133" s="9"/>
      <c r="AL133" s="9"/>
      <c r="AM133" s="9"/>
      <c r="AN133" s="9"/>
      <c r="AO133" s="9"/>
      <c r="AP133" s="9"/>
      <c r="AQ133" s="9"/>
      <c r="AR133" s="9"/>
      <c r="AS133" s="9"/>
    </row>
    <row r="134" spans="2:45" ht="12.75">
      <c r="B134" t="s">
        <v>71</v>
      </c>
      <c r="C134" s="9">
        <f>$N111</f>
        <v>15.625</v>
      </c>
      <c r="D134" s="9">
        <f>$N112</f>
        <v>13.653782999999999</v>
      </c>
      <c r="E134" s="9">
        <f>$N113</f>
        <v>15.814656</v>
      </c>
      <c r="F134" s="9">
        <f>$N114</f>
        <v>15.162576</v>
      </c>
      <c r="G134" s="9">
        <f>$N115</f>
        <v>13.899600000000001</v>
      </c>
      <c r="H134" s="9">
        <f>$N116</f>
        <v>13.899600000000001</v>
      </c>
      <c r="I134" s="9">
        <f>$N117</f>
        <v>20.763600000000004</v>
      </c>
      <c r="J134" s="9">
        <f>$N118</f>
        <v>20.763600000000004</v>
      </c>
      <c r="K134" s="9">
        <f>$N119</f>
        <v>0</v>
      </c>
      <c r="L134" s="9"/>
      <c r="M134" s="9"/>
      <c r="N134" s="9"/>
      <c r="O134" s="9">
        <f t="shared" si="20"/>
        <v>-1.971217000000001</v>
      </c>
      <c r="P134" s="9">
        <f t="shared" si="21"/>
        <v>2.1608730000000005</v>
      </c>
      <c r="Q134" s="9">
        <f t="shared" si="22"/>
        <v>-0.6520799999999998</v>
      </c>
      <c r="R134" s="9">
        <f t="shared" si="23"/>
        <v>-1.2629759999999983</v>
      </c>
      <c r="S134" s="9">
        <f t="shared" si="24"/>
        <v>0</v>
      </c>
      <c r="T134" s="9">
        <f t="shared" si="25"/>
        <v>6.8640000000000025</v>
      </c>
      <c r="U134" s="9">
        <f t="shared" si="26"/>
        <v>0</v>
      </c>
      <c r="V134" s="9">
        <f t="shared" si="27"/>
        <v>-20.763600000000004</v>
      </c>
      <c r="W134" s="9"/>
      <c r="X134" s="9">
        <f t="shared" si="28"/>
        <v>-1.915055999999998</v>
      </c>
      <c r="Y134" s="9">
        <f t="shared" si="29"/>
        <v>4.9489440000000045</v>
      </c>
      <c r="Z134" s="9"/>
      <c r="AA134" s="9"/>
      <c r="AB134" s="9"/>
      <c r="AC134" s="9"/>
      <c r="AD134" s="9"/>
      <c r="AE134" s="9"/>
      <c r="AF134" s="9"/>
      <c r="AG134" s="9"/>
      <c r="AH134" s="9"/>
      <c r="AI134" s="9"/>
      <c r="AJ134" s="9"/>
      <c r="AK134" s="9"/>
      <c r="AL134" s="9"/>
      <c r="AM134" s="9"/>
      <c r="AN134" s="9"/>
      <c r="AO134" s="9"/>
      <c r="AP134" s="9"/>
      <c r="AQ134" s="9"/>
      <c r="AR134" s="9"/>
      <c r="AS134" s="9"/>
    </row>
    <row r="135" spans="2:45" ht="12.75">
      <c r="B135" t="s">
        <v>72</v>
      </c>
      <c r="C135" s="9">
        <f>$O111</f>
        <v>15.876000000000001</v>
      </c>
      <c r="D135" s="9">
        <f>$O112</f>
        <v>14.189174999999999</v>
      </c>
      <c r="E135" s="9">
        <f>$O113</f>
        <v>17.16</v>
      </c>
      <c r="F135" s="9">
        <f>$O114</f>
        <v>15.814656</v>
      </c>
      <c r="G135" s="9">
        <f>$O115</f>
        <v>14.524224</v>
      </c>
      <c r="H135" s="9">
        <f>$O116</f>
        <v>14.524224</v>
      </c>
      <c r="I135" s="9">
        <f>$O117</f>
        <v>20.763600000000004</v>
      </c>
      <c r="J135" s="9">
        <f>$O118</f>
        <v>20.763600000000004</v>
      </c>
      <c r="K135" s="9">
        <f>$O119</f>
        <v>0</v>
      </c>
      <c r="L135" s="9"/>
      <c r="M135" s="9"/>
      <c r="N135" s="9"/>
      <c r="O135" s="9">
        <f t="shared" si="20"/>
        <v>-1.6868250000000025</v>
      </c>
      <c r="P135" s="9">
        <f t="shared" si="21"/>
        <v>2.9708250000000014</v>
      </c>
      <c r="Q135" s="9">
        <f t="shared" si="22"/>
        <v>-1.3453440000000008</v>
      </c>
      <c r="R135" s="9">
        <f t="shared" si="23"/>
        <v>-1.2904319999999991</v>
      </c>
      <c r="S135" s="9">
        <f t="shared" si="24"/>
        <v>0</v>
      </c>
      <c r="T135" s="9">
        <f t="shared" si="25"/>
        <v>6.239376000000004</v>
      </c>
      <c r="U135" s="9">
        <f t="shared" si="26"/>
        <v>0</v>
      </c>
      <c r="V135" s="9">
        <f t="shared" si="27"/>
        <v>-20.763600000000004</v>
      </c>
      <c r="W135" s="9"/>
      <c r="X135" s="9">
        <f t="shared" si="28"/>
        <v>-2.635776</v>
      </c>
      <c r="Y135" s="9">
        <f t="shared" si="29"/>
        <v>3.6036000000000037</v>
      </c>
      <c r="Z135" s="9"/>
      <c r="AA135" s="9"/>
      <c r="AB135" s="9"/>
      <c r="AC135" s="9"/>
      <c r="AD135" s="9"/>
      <c r="AE135" s="9"/>
      <c r="AF135" s="9"/>
      <c r="AG135" s="9"/>
      <c r="AH135" s="9"/>
      <c r="AI135" s="9"/>
      <c r="AJ135" s="9"/>
      <c r="AK135" s="9"/>
      <c r="AL135" s="9"/>
      <c r="AM135" s="9"/>
      <c r="AN135" s="9"/>
      <c r="AO135" s="9"/>
      <c r="AP135" s="9"/>
      <c r="AQ135" s="9"/>
      <c r="AR135" s="9"/>
      <c r="AS135" s="9"/>
    </row>
    <row r="136" spans="2:45" ht="12.75">
      <c r="B136" t="s">
        <v>73</v>
      </c>
      <c r="C136" s="9">
        <f>$P111</f>
        <v>15.876000000000001</v>
      </c>
      <c r="D136" s="9">
        <f>$P112</f>
        <v>13.920192</v>
      </c>
      <c r="E136" s="9">
        <f>$P113</f>
        <v>16.480463999999998</v>
      </c>
      <c r="F136" s="9">
        <f>$P114</f>
        <v>15.814656</v>
      </c>
      <c r="G136" s="9">
        <f>$P115</f>
        <v>14.524224</v>
      </c>
      <c r="H136" s="9">
        <f>$P116</f>
        <v>14.524224</v>
      </c>
      <c r="I136" s="9">
        <f>$P117</f>
        <v>22.301136</v>
      </c>
      <c r="J136" s="9">
        <f>$P118</f>
        <v>23.893583999999997</v>
      </c>
      <c r="K136" s="9">
        <f>$P119</f>
        <v>0</v>
      </c>
      <c r="L136" s="9"/>
      <c r="M136" s="9"/>
      <c r="N136" s="9"/>
      <c r="O136" s="9">
        <f t="shared" si="20"/>
        <v>-1.955808000000001</v>
      </c>
      <c r="P136" s="9">
        <f t="shared" si="21"/>
        <v>2.5602719999999977</v>
      </c>
      <c r="Q136" s="9">
        <f t="shared" si="22"/>
        <v>-0.6658079999999984</v>
      </c>
      <c r="R136" s="9">
        <f t="shared" si="23"/>
        <v>-1.2904319999999991</v>
      </c>
      <c r="S136" s="9">
        <f t="shared" si="24"/>
        <v>0</v>
      </c>
      <c r="T136" s="9">
        <f t="shared" si="25"/>
        <v>7.776911999999999</v>
      </c>
      <c r="U136" s="9">
        <f t="shared" si="26"/>
        <v>1.5924479999999974</v>
      </c>
      <c r="V136" s="9">
        <f t="shared" si="27"/>
        <v>-23.893583999999997</v>
      </c>
      <c r="W136" s="9"/>
      <c r="X136" s="9">
        <f t="shared" si="28"/>
        <v>-1.9562399999999975</v>
      </c>
      <c r="Y136" s="9">
        <f t="shared" si="29"/>
        <v>7.413119999999999</v>
      </c>
      <c r="Z136" s="9"/>
      <c r="AA136" s="9"/>
      <c r="AB136" s="9"/>
      <c r="AC136" s="9"/>
      <c r="AD136" s="9"/>
      <c r="AE136" s="9"/>
      <c r="AF136" s="9"/>
      <c r="AG136" s="9"/>
      <c r="AH136" s="9"/>
      <c r="AI136" s="9"/>
      <c r="AJ136" s="9"/>
      <c r="AK136" s="9"/>
      <c r="AL136" s="9"/>
      <c r="AM136" s="9"/>
      <c r="AN136" s="9"/>
      <c r="AO136" s="9"/>
      <c r="AP136" s="9"/>
      <c r="AQ136" s="9"/>
      <c r="AR136" s="9"/>
      <c r="AS136" s="9"/>
    </row>
    <row r="137" spans="2:45" ht="12.75">
      <c r="B137" t="s">
        <v>74</v>
      </c>
      <c r="C137" s="9">
        <f>$Q111</f>
        <v>15.876000000000001</v>
      </c>
      <c r="D137" s="9">
        <f>$Q112</f>
        <v>13.920192</v>
      </c>
      <c r="E137" s="9">
        <f>$Q113</f>
        <v>16.480463999999998</v>
      </c>
      <c r="F137" s="9">
        <f>$Q114</f>
        <v>15.814656</v>
      </c>
      <c r="G137" s="9">
        <f>$Q115</f>
        <v>14.524224</v>
      </c>
      <c r="H137" s="9">
        <f>$Q116</f>
        <v>13.899600000000001</v>
      </c>
      <c r="I137" s="9">
        <f>$Q117</f>
        <v>21.525504</v>
      </c>
      <c r="J137" s="9">
        <f>$Q118</f>
        <v>22.301136</v>
      </c>
      <c r="K137" s="9">
        <f>$Q119</f>
        <v>0</v>
      </c>
      <c r="L137" s="9"/>
      <c r="M137" s="9"/>
      <c r="N137" s="9"/>
      <c r="O137" s="9">
        <f t="shared" si="20"/>
        <v>-1.955808000000001</v>
      </c>
      <c r="P137" s="9">
        <f t="shared" si="21"/>
        <v>2.5602719999999977</v>
      </c>
      <c r="Q137" s="9">
        <f t="shared" si="22"/>
        <v>-0.6658079999999984</v>
      </c>
      <c r="R137" s="9">
        <f t="shared" si="23"/>
        <v>-1.2904319999999991</v>
      </c>
      <c r="S137" s="9">
        <f t="shared" si="24"/>
        <v>-0.624623999999999</v>
      </c>
      <c r="T137" s="9">
        <f t="shared" si="25"/>
        <v>7.625904</v>
      </c>
      <c r="U137" s="9">
        <f t="shared" si="26"/>
        <v>0.7756319999999981</v>
      </c>
      <c r="V137" s="9">
        <f t="shared" si="27"/>
        <v>-22.301136</v>
      </c>
      <c r="W137" s="9"/>
      <c r="X137" s="9">
        <f t="shared" si="28"/>
        <v>-2.5808639999999965</v>
      </c>
      <c r="Y137" s="9">
        <f t="shared" si="29"/>
        <v>5.820672000000002</v>
      </c>
      <c r="Z137" s="9"/>
      <c r="AA137" s="9"/>
      <c r="AB137" s="9"/>
      <c r="AC137" s="9"/>
      <c r="AD137" s="9"/>
      <c r="AE137" s="9"/>
      <c r="AF137" s="9"/>
      <c r="AG137" s="9"/>
      <c r="AH137" s="9"/>
      <c r="AI137" s="9"/>
      <c r="AJ137" s="9"/>
      <c r="AK137" s="9"/>
      <c r="AL137" s="9"/>
      <c r="AM137" s="9"/>
      <c r="AN137" s="9"/>
      <c r="AO137" s="9"/>
      <c r="AP137" s="9"/>
      <c r="AQ137" s="9"/>
      <c r="AR137" s="9"/>
      <c r="AS137" s="9"/>
    </row>
    <row r="138" spans="2:45" ht="12.75">
      <c r="B138" t="s">
        <v>75</v>
      </c>
      <c r="C138" s="9">
        <f>$R111</f>
        <v>16.129</v>
      </c>
      <c r="D138" s="9">
        <f>$R112</f>
        <v>14.189174999999999</v>
      </c>
      <c r="E138" s="9">
        <f>$R113</f>
        <v>17.16</v>
      </c>
      <c r="F138" s="9">
        <f>$R114</f>
        <v>16.480463999999998</v>
      </c>
      <c r="G138" s="9">
        <f>$R115</f>
        <v>14.524224</v>
      </c>
      <c r="H138" s="9">
        <f>$R116</f>
        <v>13.899600000000001</v>
      </c>
      <c r="I138" s="9">
        <f>$R117</f>
        <v>21.525504</v>
      </c>
      <c r="J138" s="9">
        <f>$R118</f>
        <v>20.763600000000004</v>
      </c>
      <c r="K138" s="9">
        <f>$R119</f>
        <v>0</v>
      </c>
      <c r="L138" s="9"/>
      <c r="M138" s="9"/>
      <c r="N138" s="9"/>
      <c r="O138" s="9">
        <f t="shared" si="20"/>
        <v>-1.9398250000000026</v>
      </c>
      <c r="P138" s="9">
        <f t="shared" si="21"/>
        <v>2.9708250000000014</v>
      </c>
      <c r="Q138" s="9">
        <f t="shared" si="22"/>
        <v>-0.6795360000000024</v>
      </c>
      <c r="R138" s="9">
        <f t="shared" si="23"/>
        <v>-1.9562399999999975</v>
      </c>
      <c r="S138" s="9">
        <f t="shared" si="24"/>
        <v>-0.624623999999999</v>
      </c>
      <c r="T138" s="9">
        <f t="shared" si="25"/>
        <v>7.625904</v>
      </c>
      <c r="U138" s="9">
        <f t="shared" si="26"/>
        <v>-0.7619039999999977</v>
      </c>
      <c r="V138" s="9">
        <f t="shared" si="27"/>
        <v>-20.763600000000004</v>
      </c>
      <c r="W138" s="9"/>
      <c r="X138" s="9">
        <f t="shared" si="28"/>
        <v>-3.260399999999999</v>
      </c>
      <c r="Y138" s="9">
        <f t="shared" si="29"/>
        <v>3.6036000000000037</v>
      </c>
      <c r="Z138" s="9"/>
      <c r="AA138" s="9"/>
      <c r="AB138" s="9"/>
      <c r="AC138" s="9"/>
      <c r="AD138" s="9"/>
      <c r="AE138" s="9"/>
      <c r="AF138" s="9"/>
      <c r="AG138" s="9"/>
      <c r="AH138" s="9"/>
      <c r="AI138" s="9"/>
      <c r="AJ138" s="9"/>
      <c r="AK138" s="9"/>
      <c r="AL138" s="9"/>
      <c r="AM138" s="9"/>
      <c r="AN138" s="9"/>
      <c r="AO138" s="9"/>
      <c r="AP138" s="9"/>
      <c r="AQ138" s="9"/>
      <c r="AR138" s="9"/>
      <c r="AS138" s="9"/>
    </row>
    <row r="139" spans="2:45" ht="12.75">
      <c r="B139" t="s">
        <v>76</v>
      </c>
      <c r="C139" s="9">
        <f>$S111</f>
        <v>15.129</v>
      </c>
      <c r="D139" s="9">
        <f>$S112</f>
        <v>14.189174999999999</v>
      </c>
      <c r="E139" s="9">
        <f>$S113</f>
        <v>16.480463999999998</v>
      </c>
      <c r="F139" s="9">
        <f>$S114</f>
        <v>15.162576</v>
      </c>
      <c r="G139" s="9">
        <f>$S115</f>
        <v>13.899600000000001</v>
      </c>
      <c r="H139" s="9">
        <f>$S116</f>
        <v>13.288704</v>
      </c>
      <c r="I139" s="9">
        <f>$S117</f>
        <v>20.763600000000004</v>
      </c>
      <c r="J139" s="9">
        <f>$S118</f>
        <v>21.525504</v>
      </c>
      <c r="K139" s="9">
        <f>$S119</f>
        <v>0</v>
      </c>
      <c r="L139" s="9"/>
      <c r="M139" s="9"/>
      <c r="N139" s="9"/>
      <c r="O139" s="9">
        <f t="shared" si="20"/>
        <v>-0.9398250000000008</v>
      </c>
      <c r="P139" s="9">
        <f t="shared" si="21"/>
        <v>2.291288999999999</v>
      </c>
      <c r="Q139" s="9">
        <f t="shared" si="22"/>
        <v>-1.3178879999999982</v>
      </c>
      <c r="R139" s="9">
        <f t="shared" si="23"/>
        <v>-1.2629759999999983</v>
      </c>
      <c r="S139" s="9">
        <f t="shared" si="24"/>
        <v>-0.6108960000000021</v>
      </c>
      <c r="T139" s="9">
        <f t="shared" si="25"/>
        <v>7.474896000000005</v>
      </c>
      <c r="U139" s="9">
        <f t="shared" si="26"/>
        <v>0.7619039999999977</v>
      </c>
      <c r="V139" s="9">
        <f t="shared" si="27"/>
        <v>-21.525504</v>
      </c>
      <c r="W139" s="9"/>
      <c r="X139" s="9">
        <f t="shared" si="28"/>
        <v>-3.1917599999999986</v>
      </c>
      <c r="Y139" s="9">
        <f t="shared" si="29"/>
        <v>5.045040000000004</v>
      </c>
      <c r="Z139" s="9"/>
      <c r="AA139" s="9"/>
      <c r="AB139" s="9"/>
      <c r="AC139" s="9"/>
      <c r="AD139" s="9"/>
      <c r="AE139" s="9"/>
      <c r="AF139" s="9"/>
      <c r="AG139" s="9"/>
      <c r="AH139" s="9"/>
      <c r="AI139" s="9"/>
      <c r="AJ139" s="9"/>
      <c r="AK139" s="9"/>
      <c r="AL139" s="9"/>
      <c r="AM139" s="9"/>
      <c r="AN139" s="9"/>
      <c r="AO139" s="9"/>
      <c r="AP139" s="9"/>
      <c r="AQ139" s="9"/>
      <c r="AR139" s="9"/>
      <c r="AS139" s="9"/>
    </row>
    <row r="140" spans="2:45" ht="12.75">
      <c r="B140" t="s">
        <v>77</v>
      </c>
      <c r="C140" s="9">
        <f>$T111</f>
        <v>15.376000000000001</v>
      </c>
      <c r="D140" s="9">
        <f>$T112</f>
        <v>13.653782999999999</v>
      </c>
      <c r="E140" s="9">
        <f>$T113</f>
        <v>17.16</v>
      </c>
      <c r="F140" s="9">
        <f>$T114</f>
        <v>15.814656</v>
      </c>
      <c r="G140" s="9">
        <f>$T115</f>
        <v>14.524224</v>
      </c>
      <c r="H140" s="9">
        <f>$T116</f>
        <v>13.899600000000001</v>
      </c>
      <c r="I140" s="9">
        <f>$T117</f>
        <v>20.763600000000004</v>
      </c>
      <c r="J140" s="9">
        <f>$T118</f>
        <v>22.301136</v>
      </c>
      <c r="K140" s="9">
        <f>$T119</f>
        <v>0</v>
      </c>
      <c r="L140" s="9"/>
      <c r="M140" s="9"/>
      <c r="N140" s="9"/>
      <c r="O140" s="9">
        <f t="shared" si="20"/>
        <v>-1.7222170000000023</v>
      </c>
      <c r="P140" s="9">
        <f t="shared" si="21"/>
        <v>3.5062170000000012</v>
      </c>
      <c r="Q140" s="9">
        <f t="shared" si="22"/>
        <v>-1.3453440000000008</v>
      </c>
      <c r="R140" s="9">
        <f t="shared" si="23"/>
        <v>-1.2904319999999991</v>
      </c>
      <c r="S140" s="9">
        <f t="shared" si="24"/>
        <v>-0.624623999999999</v>
      </c>
      <c r="T140" s="9">
        <f t="shared" si="25"/>
        <v>6.8640000000000025</v>
      </c>
      <c r="U140" s="9">
        <f t="shared" si="26"/>
        <v>1.5375359999999958</v>
      </c>
      <c r="V140" s="9">
        <f t="shared" si="27"/>
        <v>-22.301136</v>
      </c>
      <c r="W140" s="9"/>
      <c r="X140" s="9">
        <f t="shared" si="28"/>
        <v>-3.260399999999999</v>
      </c>
      <c r="Y140" s="9">
        <f t="shared" si="29"/>
        <v>5.1411359999999995</v>
      </c>
      <c r="Z140" s="9"/>
      <c r="AA140" s="9"/>
      <c r="AB140" s="9"/>
      <c r="AC140" s="9"/>
      <c r="AD140" s="9"/>
      <c r="AE140" s="9"/>
      <c r="AF140" s="9"/>
      <c r="AG140" s="9"/>
      <c r="AH140" s="9"/>
      <c r="AI140" s="9"/>
      <c r="AJ140" s="9"/>
      <c r="AK140" s="9"/>
      <c r="AL140" s="9"/>
      <c r="AM140" s="9"/>
      <c r="AN140" s="9"/>
      <c r="AO140" s="9"/>
      <c r="AP140" s="9"/>
      <c r="AQ140" s="9"/>
      <c r="AR140" s="9"/>
      <c r="AS140" s="9"/>
    </row>
    <row r="141" spans="2:45" ht="12.75">
      <c r="B141" t="s">
        <v>78</v>
      </c>
      <c r="C141" s="9">
        <f>$U111</f>
        <v>14.884</v>
      </c>
      <c r="D141" s="9">
        <f>$U112</f>
        <v>13.389947999999999</v>
      </c>
      <c r="E141" s="9">
        <f>$U113</f>
        <v>15.814656</v>
      </c>
      <c r="F141" s="9">
        <f>$U114</f>
        <v>15.162576</v>
      </c>
      <c r="G141" s="9">
        <f>$U115</f>
        <v>13.899600000000001</v>
      </c>
      <c r="H141" s="9">
        <f>$U116</f>
        <v>13.899600000000001</v>
      </c>
      <c r="I141" s="9">
        <f>$U117</f>
        <v>20.763600000000004</v>
      </c>
      <c r="J141" s="9">
        <f>$U118</f>
        <v>21.525504</v>
      </c>
      <c r="K141" s="9">
        <f>$U119</f>
        <v>0</v>
      </c>
      <c r="L141" s="9"/>
      <c r="M141" s="9"/>
      <c r="N141" s="9"/>
      <c r="O141" s="9">
        <f t="shared" si="20"/>
        <v>-1.4940520000000017</v>
      </c>
      <c r="P141" s="9">
        <f t="shared" si="21"/>
        <v>2.4247080000000008</v>
      </c>
      <c r="Q141" s="9">
        <f t="shared" si="22"/>
        <v>-0.6520799999999998</v>
      </c>
      <c r="R141" s="9">
        <f t="shared" si="23"/>
        <v>-1.2629759999999983</v>
      </c>
      <c r="S141" s="9">
        <f t="shared" si="24"/>
        <v>0</v>
      </c>
      <c r="T141" s="9">
        <f t="shared" si="25"/>
        <v>6.8640000000000025</v>
      </c>
      <c r="U141" s="9">
        <f t="shared" si="26"/>
        <v>0.7619039999999977</v>
      </c>
      <c r="V141" s="9">
        <f t="shared" si="27"/>
        <v>-21.525504</v>
      </c>
      <c r="W141" s="9"/>
      <c r="X141" s="9">
        <f t="shared" si="28"/>
        <v>-1.915055999999998</v>
      </c>
      <c r="Y141" s="9">
        <f t="shared" si="29"/>
        <v>5.710848000000002</v>
      </c>
      <c r="Z141" s="9"/>
      <c r="AA141" s="9"/>
      <c r="AB141" s="9"/>
      <c r="AC141" s="9"/>
      <c r="AD141" s="9"/>
      <c r="AE141" s="9"/>
      <c r="AF141" s="9"/>
      <c r="AG141" s="9"/>
      <c r="AH141" s="9"/>
      <c r="AI141" s="9"/>
      <c r="AJ141" s="9"/>
      <c r="AK141" s="9"/>
      <c r="AL141" s="9"/>
      <c r="AM141" s="9"/>
      <c r="AN141" s="9"/>
      <c r="AO141" s="9"/>
      <c r="AP141" s="9"/>
      <c r="AQ141" s="9"/>
      <c r="AR141" s="9"/>
      <c r="AS141" s="9"/>
    </row>
    <row r="142" spans="2:45" ht="12.75">
      <c r="B142" t="s">
        <v>79</v>
      </c>
      <c r="C142" s="9">
        <f>$V111</f>
        <v>14.884</v>
      </c>
      <c r="D142" s="9">
        <f>$V112</f>
        <v>13.653782999999999</v>
      </c>
      <c r="E142" s="9">
        <f>$V113</f>
        <v>16.480463999999998</v>
      </c>
      <c r="F142" s="9">
        <f>$V114</f>
        <v>15.162576</v>
      </c>
      <c r="G142" s="9">
        <f>$V115</f>
        <v>13.899600000000001</v>
      </c>
      <c r="H142" s="9">
        <f>$V116</f>
        <v>13.899600000000001</v>
      </c>
      <c r="I142" s="9">
        <f>$V117</f>
        <v>20.763600000000004</v>
      </c>
      <c r="J142" s="9">
        <f>$V118</f>
        <v>21.525504</v>
      </c>
      <c r="K142" s="9">
        <f>$V119</f>
        <v>0</v>
      </c>
      <c r="L142" s="9"/>
      <c r="M142" s="9"/>
      <c r="N142" s="9"/>
      <c r="O142" s="9">
        <f t="shared" si="20"/>
        <v>-1.2302170000000014</v>
      </c>
      <c r="P142" s="9">
        <f t="shared" si="21"/>
        <v>2.826680999999999</v>
      </c>
      <c r="Q142" s="9">
        <f t="shared" si="22"/>
        <v>-1.3178879999999982</v>
      </c>
      <c r="R142" s="9">
        <f t="shared" si="23"/>
        <v>-1.2629759999999983</v>
      </c>
      <c r="S142" s="9">
        <f t="shared" si="24"/>
        <v>0</v>
      </c>
      <c r="T142" s="9">
        <f t="shared" si="25"/>
        <v>6.8640000000000025</v>
      </c>
      <c r="U142" s="9">
        <f t="shared" si="26"/>
        <v>0.7619039999999977</v>
      </c>
      <c r="V142" s="9">
        <f t="shared" si="27"/>
        <v>-21.525504</v>
      </c>
      <c r="W142" s="9"/>
      <c r="X142" s="9">
        <f t="shared" si="28"/>
        <v>-2.5808639999999965</v>
      </c>
      <c r="Y142" s="9">
        <f t="shared" si="29"/>
        <v>5.045040000000004</v>
      </c>
      <c r="Z142" s="9"/>
      <c r="AA142" s="9"/>
      <c r="AB142" s="9"/>
      <c r="AC142" s="9"/>
      <c r="AD142" s="9"/>
      <c r="AE142" s="9"/>
      <c r="AF142" s="9"/>
      <c r="AG142" s="9"/>
      <c r="AH142" s="9"/>
      <c r="AI142" s="9"/>
      <c r="AJ142" s="9"/>
      <c r="AK142" s="9"/>
      <c r="AL142" s="9"/>
      <c r="AM142" s="9"/>
      <c r="AN142" s="9"/>
      <c r="AO142" s="9"/>
      <c r="AP142" s="9"/>
      <c r="AQ142" s="9"/>
      <c r="AR142" s="9"/>
      <c r="AS142" s="9"/>
    </row>
    <row r="143" spans="2:45" ht="12.75">
      <c r="B143" t="s">
        <v>80</v>
      </c>
      <c r="C143" s="9">
        <f>$W111</f>
        <v>15.129</v>
      </c>
      <c r="D143" s="9">
        <f>$W112</f>
        <v>13.920192</v>
      </c>
      <c r="E143" s="9">
        <f>$W113</f>
        <v>16.480463999999998</v>
      </c>
      <c r="F143" s="9">
        <f>$W114</f>
        <v>15.162576</v>
      </c>
      <c r="G143" s="9">
        <f>$W115</f>
        <v>13.899600000000001</v>
      </c>
      <c r="H143" s="9">
        <f>$W116</f>
        <v>13.899600000000001</v>
      </c>
      <c r="I143" s="9">
        <f>$W117</f>
        <v>20.763600000000004</v>
      </c>
      <c r="J143" s="9">
        <f>$W118</f>
        <v>21.525504</v>
      </c>
      <c r="K143" s="9">
        <f>$W119</f>
        <v>0</v>
      </c>
      <c r="L143" s="9"/>
      <c r="M143" s="9"/>
      <c r="N143" s="9"/>
      <c r="O143" s="9">
        <f t="shared" si="20"/>
        <v>-1.2088079999999994</v>
      </c>
      <c r="P143" s="9">
        <f t="shared" si="21"/>
        <v>2.5602719999999977</v>
      </c>
      <c r="Q143" s="9">
        <f t="shared" si="22"/>
        <v>-1.3178879999999982</v>
      </c>
      <c r="R143" s="9">
        <f t="shared" si="23"/>
        <v>-1.2629759999999983</v>
      </c>
      <c r="S143" s="9">
        <f t="shared" si="24"/>
        <v>0</v>
      </c>
      <c r="T143" s="9">
        <f t="shared" si="25"/>
        <v>6.8640000000000025</v>
      </c>
      <c r="U143" s="9">
        <f t="shared" si="26"/>
        <v>0.7619039999999977</v>
      </c>
      <c r="V143" s="9">
        <f t="shared" si="27"/>
        <v>-21.525504</v>
      </c>
      <c r="W143" s="9"/>
      <c r="X143" s="9">
        <f t="shared" si="28"/>
        <v>-2.5808639999999965</v>
      </c>
      <c r="Y143" s="9">
        <f t="shared" si="29"/>
        <v>5.045040000000004</v>
      </c>
      <c r="Z143" s="9"/>
      <c r="AA143" s="9"/>
      <c r="AB143" s="9"/>
      <c r="AC143" s="9"/>
      <c r="AD143" s="9"/>
      <c r="AE143" s="9"/>
      <c r="AF143" s="9"/>
      <c r="AG143" s="9"/>
      <c r="AH143" s="9"/>
      <c r="AI143" s="9"/>
      <c r="AJ143" s="9"/>
      <c r="AK143" s="9"/>
      <c r="AL143" s="9"/>
      <c r="AM143" s="9"/>
      <c r="AN143" s="9"/>
      <c r="AO143" s="9"/>
      <c r="AP143" s="9"/>
      <c r="AQ143" s="9"/>
      <c r="AR143" s="9"/>
      <c r="AS143" s="9"/>
    </row>
    <row r="144" spans="2:45" ht="12.75">
      <c r="B144" t="s">
        <v>81</v>
      </c>
      <c r="C144" s="9">
        <f>$X111</f>
        <v>14.884</v>
      </c>
      <c r="D144" s="9">
        <f>$X112</f>
        <v>13.920192</v>
      </c>
      <c r="E144" s="9">
        <f>$X113</f>
        <v>15.814656</v>
      </c>
      <c r="F144" s="9">
        <f>$X114</f>
        <v>15.814656</v>
      </c>
      <c r="G144" s="9">
        <f>$X115</f>
        <v>13.899600000000001</v>
      </c>
      <c r="H144" s="9">
        <f>$X116</f>
        <v>13.899600000000001</v>
      </c>
      <c r="I144" s="9">
        <f>$X117</f>
        <v>20.763600000000004</v>
      </c>
      <c r="J144" s="9">
        <f>$X118</f>
        <v>21.525504</v>
      </c>
      <c r="K144" s="9">
        <f>$X119</f>
        <v>0</v>
      </c>
      <c r="L144" s="9"/>
      <c r="M144" s="9"/>
      <c r="N144" s="9"/>
      <c r="O144" s="9">
        <f t="shared" si="20"/>
        <v>-0.9638080000000002</v>
      </c>
      <c r="P144" s="9">
        <f t="shared" si="21"/>
        <v>1.8944639999999993</v>
      </c>
      <c r="Q144" s="9">
        <f t="shared" si="22"/>
        <v>0</v>
      </c>
      <c r="R144" s="9">
        <f t="shared" si="23"/>
        <v>-1.915055999999998</v>
      </c>
      <c r="S144" s="9">
        <f t="shared" si="24"/>
        <v>0</v>
      </c>
      <c r="T144" s="9">
        <f t="shared" si="25"/>
        <v>6.8640000000000025</v>
      </c>
      <c r="U144" s="9">
        <f t="shared" si="26"/>
        <v>0.7619039999999977</v>
      </c>
      <c r="V144" s="9">
        <f t="shared" si="27"/>
        <v>-21.525504</v>
      </c>
      <c r="W144" s="9"/>
      <c r="X144" s="9">
        <f t="shared" si="28"/>
        <v>-1.915055999999998</v>
      </c>
      <c r="Y144" s="9">
        <f t="shared" si="29"/>
        <v>5.710848000000002</v>
      </c>
      <c r="Z144" s="9"/>
      <c r="AA144" s="9"/>
      <c r="AB144" s="9"/>
      <c r="AC144" s="9"/>
      <c r="AD144" s="9"/>
      <c r="AE144" s="9"/>
      <c r="AF144" s="9"/>
      <c r="AG144" s="9"/>
      <c r="AH144" s="9"/>
      <c r="AI144" s="9"/>
      <c r="AJ144" s="9"/>
      <c r="AK144" s="9"/>
      <c r="AL144" s="9"/>
      <c r="AM144" s="9"/>
      <c r="AN144" s="9"/>
      <c r="AO144" s="9"/>
      <c r="AP144" s="9"/>
      <c r="AQ144" s="9"/>
      <c r="AR144" s="9"/>
      <c r="AS144" s="9"/>
    </row>
    <row r="145" spans="2:45" ht="12.75">
      <c r="B145" t="s">
        <v>82</v>
      </c>
      <c r="C145" s="9">
        <f>$Y111</f>
        <v>14.884</v>
      </c>
      <c r="D145" s="9">
        <f>$Y112</f>
        <v>13.389947999999999</v>
      </c>
      <c r="E145" s="9">
        <f>$Y113</f>
        <v>16.480463999999998</v>
      </c>
      <c r="F145" s="9">
        <f>$Y114</f>
        <v>15.814656</v>
      </c>
      <c r="G145" s="9">
        <f>$Y115</f>
        <v>13.899600000000001</v>
      </c>
      <c r="H145" s="9">
        <f>$Y116</f>
        <v>13.899600000000001</v>
      </c>
      <c r="I145" s="9">
        <f>$Y117</f>
        <v>20.763600000000004</v>
      </c>
      <c r="J145" s="9">
        <f>$Y118</f>
        <v>21.525504</v>
      </c>
      <c r="K145" s="9">
        <f>$Y119</f>
        <v>0</v>
      </c>
      <c r="L145" s="9"/>
      <c r="M145" s="9"/>
      <c r="N145" s="9"/>
      <c r="O145" s="9">
        <f t="shared" si="20"/>
        <v>-1.4940520000000017</v>
      </c>
      <c r="P145" s="9">
        <f t="shared" si="21"/>
        <v>3.090515999999999</v>
      </c>
      <c r="Q145" s="9">
        <f t="shared" si="22"/>
        <v>-0.6658079999999984</v>
      </c>
      <c r="R145" s="9">
        <f t="shared" si="23"/>
        <v>-1.915055999999998</v>
      </c>
      <c r="S145" s="9">
        <f t="shared" si="24"/>
        <v>0</v>
      </c>
      <c r="T145" s="9">
        <f t="shared" si="25"/>
        <v>6.8640000000000025</v>
      </c>
      <c r="U145" s="9">
        <f t="shared" si="26"/>
        <v>0.7619039999999977</v>
      </c>
      <c r="V145" s="9">
        <f t="shared" si="27"/>
        <v>-21.525504</v>
      </c>
      <c r="W145" s="9"/>
      <c r="X145" s="9">
        <f t="shared" si="28"/>
        <v>-2.5808639999999965</v>
      </c>
      <c r="Y145" s="9">
        <f t="shared" si="29"/>
        <v>5.045040000000004</v>
      </c>
      <c r="Z145" s="9"/>
      <c r="AA145" s="9"/>
      <c r="AB145" s="9"/>
      <c r="AC145" s="9"/>
      <c r="AD145" s="9"/>
      <c r="AE145" s="9"/>
      <c r="AF145" s="9"/>
      <c r="AG145" s="9"/>
      <c r="AH145" s="9"/>
      <c r="AI145" s="9"/>
      <c r="AJ145" s="9"/>
      <c r="AK145" s="9"/>
      <c r="AL145" s="9"/>
      <c r="AM145" s="9"/>
      <c r="AN145" s="9"/>
      <c r="AO145" s="9"/>
      <c r="AP145" s="9"/>
      <c r="AQ145" s="9"/>
      <c r="AR145" s="9"/>
      <c r="AS145" s="9"/>
    </row>
    <row r="146" spans="2:45" ht="12.75">
      <c r="B146" t="s">
        <v>83</v>
      </c>
      <c r="C146" s="9">
        <f>$Z111</f>
        <v>14.884</v>
      </c>
      <c r="D146" s="9">
        <f>$Z112</f>
        <v>13.920192</v>
      </c>
      <c r="E146" s="9">
        <f>$Z113</f>
        <v>16.480463999999998</v>
      </c>
      <c r="F146" s="9">
        <f>$Z114</f>
        <v>15.814656</v>
      </c>
      <c r="G146" s="9">
        <f>$Z115</f>
        <v>13.899600000000001</v>
      </c>
      <c r="H146" s="9">
        <f>$Z116</f>
        <v>13.899600000000001</v>
      </c>
      <c r="I146" s="9">
        <f>$Z117</f>
        <v>20.763600000000004</v>
      </c>
      <c r="J146" s="9">
        <f>$Z118</f>
        <v>20.763600000000004</v>
      </c>
      <c r="K146" s="9">
        <f>$Z119</f>
        <v>0</v>
      </c>
      <c r="L146" s="9"/>
      <c r="M146" s="9"/>
      <c r="N146" s="9"/>
      <c r="O146" s="9">
        <f t="shared" si="20"/>
        <v>-0.9638080000000002</v>
      </c>
      <c r="P146" s="9">
        <f t="shared" si="21"/>
        <v>2.5602719999999977</v>
      </c>
      <c r="Q146" s="9">
        <f t="shared" si="22"/>
        <v>-0.6658079999999984</v>
      </c>
      <c r="R146" s="9">
        <f t="shared" si="23"/>
        <v>-1.915055999999998</v>
      </c>
      <c r="S146" s="9">
        <f t="shared" si="24"/>
        <v>0</v>
      </c>
      <c r="T146" s="9">
        <f t="shared" si="25"/>
        <v>6.8640000000000025</v>
      </c>
      <c r="U146" s="9">
        <f t="shared" si="26"/>
        <v>0</v>
      </c>
      <c r="V146" s="9">
        <f t="shared" si="27"/>
        <v>-20.763600000000004</v>
      </c>
      <c r="W146" s="9"/>
      <c r="X146" s="9">
        <f t="shared" si="28"/>
        <v>-2.5808639999999965</v>
      </c>
      <c r="Y146" s="9">
        <f t="shared" si="29"/>
        <v>4.283136000000006</v>
      </c>
      <c r="Z146" s="9"/>
      <c r="AA146" s="9"/>
      <c r="AB146" s="9"/>
      <c r="AC146" s="9"/>
      <c r="AD146" s="9"/>
      <c r="AE146" s="9"/>
      <c r="AF146" s="9"/>
      <c r="AG146" s="9"/>
      <c r="AH146" s="9"/>
      <c r="AI146" s="9"/>
      <c r="AJ146" s="9"/>
      <c r="AK146" s="9"/>
      <c r="AL146" s="9"/>
      <c r="AM146" s="9"/>
      <c r="AN146" s="9"/>
      <c r="AO146" s="9"/>
      <c r="AP146" s="9"/>
      <c r="AQ146" s="9"/>
      <c r="AR146" s="9"/>
      <c r="AS146" s="9"/>
    </row>
    <row r="147" spans="2:45" ht="12.75">
      <c r="B147" t="s">
        <v>84</v>
      </c>
      <c r="C147" s="9">
        <f>$AA111</f>
        <v>16.129</v>
      </c>
      <c r="D147" s="9">
        <f>$AA112</f>
        <v>15.290847000000001</v>
      </c>
      <c r="E147" s="9">
        <f>$AA113</f>
        <v>17.853264</v>
      </c>
      <c r="F147" s="9">
        <f>$AA114</f>
        <v>17.16</v>
      </c>
      <c r="G147" s="9">
        <f>$AA115</f>
        <v>14.524224</v>
      </c>
      <c r="H147" s="9">
        <f>$AA116</f>
        <v>14.524224</v>
      </c>
      <c r="I147" s="9">
        <f>$AA117</f>
        <v>21.525504</v>
      </c>
      <c r="J147" s="9">
        <f>$AA118</f>
        <v>21.525504</v>
      </c>
      <c r="K147" s="9">
        <f>$AA119</f>
        <v>0</v>
      </c>
      <c r="L147" s="9"/>
      <c r="M147" s="9"/>
      <c r="N147" s="9"/>
      <c r="O147" s="9">
        <f t="shared" si="20"/>
        <v>-0.8381530000000001</v>
      </c>
      <c r="P147" s="9">
        <f t="shared" si="21"/>
        <v>2.562416999999998</v>
      </c>
      <c r="Q147" s="9">
        <f t="shared" si="22"/>
        <v>-0.6932639999999992</v>
      </c>
      <c r="R147" s="9">
        <f t="shared" si="23"/>
        <v>-2.635776</v>
      </c>
      <c r="S147" s="9">
        <f t="shared" si="24"/>
        <v>0</v>
      </c>
      <c r="T147" s="9">
        <f t="shared" si="25"/>
        <v>7.001280000000001</v>
      </c>
      <c r="U147" s="9">
        <f t="shared" si="26"/>
        <v>0</v>
      </c>
      <c r="V147" s="9">
        <f t="shared" si="27"/>
        <v>-21.525504</v>
      </c>
      <c r="W147" s="9"/>
      <c r="X147" s="9">
        <f t="shared" si="28"/>
        <v>-3.329039999999999</v>
      </c>
      <c r="Y147" s="9">
        <f t="shared" si="29"/>
        <v>3.672240000000002</v>
      </c>
      <c r="Z147" s="9"/>
      <c r="AA147" s="9"/>
      <c r="AB147" s="9"/>
      <c r="AC147" s="9"/>
      <c r="AD147" s="9"/>
      <c r="AE147" s="9"/>
      <c r="AF147" s="9"/>
      <c r="AG147" s="9"/>
      <c r="AH147" s="9"/>
      <c r="AI147" s="9"/>
      <c r="AJ147" s="9"/>
      <c r="AK147" s="9"/>
      <c r="AL147" s="9"/>
      <c r="AM147" s="9"/>
      <c r="AN147" s="9"/>
      <c r="AO147" s="9"/>
      <c r="AP147" s="9"/>
      <c r="AQ147" s="9"/>
      <c r="AR147" s="9"/>
      <c r="AS147" s="9"/>
    </row>
    <row r="148" spans="2:45" ht="12.75">
      <c r="B148" t="s">
        <v>85</v>
      </c>
      <c r="C148" s="9">
        <f>$AB111</f>
        <v>16.641000000000002</v>
      </c>
      <c r="D148" s="9">
        <f>$AB112</f>
        <v>15.011568</v>
      </c>
      <c r="E148" s="9">
        <f>$AB113</f>
        <v>18.560256000000003</v>
      </c>
      <c r="F148" s="9">
        <f>$AB114</f>
        <v>17.16</v>
      </c>
      <c r="G148" s="9">
        <f>$AB115</f>
        <v>15.162576</v>
      </c>
      <c r="H148" s="9">
        <f>$AB116</f>
        <v>14.524224</v>
      </c>
      <c r="I148" s="9">
        <f>$AB117</f>
        <v>23.090495999999998</v>
      </c>
      <c r="J148" s="9">
        <f>$AB118</f>
        <v>23.893583999999997</v>
      </c>
      <c r="K148" s="9">
        <f>$AB119</f>
        <v>0</v>
      </c>
      <c r="L148" s="9"/>
      <c r="M148" s="9"/>
      <c r="N148" s="9"/>
      <c r="O148" s="9">
        <f t="shared" si="20"/>
        <v>-1.6294320000000013</v>
      </c>
      <c r="P148" s="9">
        <f t="shared" si="21"/>
        <v>3.548688000000002</v>
      </c>
      <c r="Q148" s="9">
        <f t="shared" si="22"/>
        <v>-1.4002560000000024</v>
      </c>
      <c r="R148" s="9">
        <f t="shared" si="23"/>
        <v>-1.9974240000000005</v>
      </c>
      <c r="S148" s="9">
        <f t="shared" si="24"/>
        <v>-0.6383519999999994</v>
      </c>
      <c r="T148" s="9">
        <f t="shared" si="25"/>
        <v>8.566271999999998</v>
      </c>
      <c r="U148" s="9">
        <f t="shared" si="26"/>
        <v>0.8030879999999989</v>
      </c>
      <c r="V148" s="9">
        <f t="shared" si="27"/>
        <v>-23.893583999999997</v>
      </c>
      <c r="W148" s="9"/>
      <c r="X148" s="9">
        <f t="shared" si="28"/>
        <v>-4.036032000000002</v>
      </c>
      <c r="Y148" s="9">
        <f t="shared" si="29"/>
        <v>5.3333279999999945</v>
      </c>
      <c r="Z148" s="9"/>
      <c r="AA148" s="9"/>
      <c r="AB148" s="9"/>
      <c r="AC148" s="9"/>
      <c r="AD148" s="9"/>
      <c r="AE148" s="9"/>
      <c r="AF148" s="9"/>
      <c r="AG148" s="9"/>
      <c r="AH148" s="9"/>
      <c r="AI148" s="9"/>
      <c r="AJ148" s="9"/>
      <c r="AK148" s="9"/>
      <c r="AL148" s="9"/>
      <c r="AM148" s="9"/>
      <c r="AN148" s="9"/>
      <c r="AO148" s="9"/>
      <c r="AP148" s="9"/>
      <c r="AQ148" s="9"/>
      <c r="AR148" s="9"/>
      <c r="AS148" s="9"/>
    </row>
    <row r="149" spans="2:45" ht="12.75">
      <c r="B149" t="s">
        <v>86</v>
      </c>
      <c r="C149" s="9">
        <f>$AC111</f>
        <v>15.376000000000001</v>
      </c>
      <c r="D149" s="9">
        <f>$AC112</f>
        <v>14.460732000000002</v>
      </c>
      <c r="E149" s="9">
        <f>$AC113</f>
        <v>17.16</v>
      </c>
      <c r="F149" s="9">
        <f>$AC114</f>
        <v>15.814656</v>
      </c>
      <c r="G149" s="9">
        <f>$AC115</f>
        <v>14.524224</v>
      </c>
      <c r="H149" s="9">
        <f>$AC116</f>
        <v>14.524224</v>
      </c>
      <c r="I149" s="9">
        <f>$AC117</f>
        <v>21.525504</v>
      </c>
      <c r="J149" s="9">
        <f>$AC118</f>
        <v>22.301136</v>
      </c>
      <c r="K149" s="9">
        <f>$AC119</f>
        <v>0</v>
      </c>
      <c r="L149" s="9"/>
      <c r="M149" s="9"/>
      <c r="N149" s="9"/>
      <c r="O149" s="9">
        <f t="shared" si="20"/>
        <v>-0.9152679999999993</v>
      </c>
      <c r="P149" s="9">
        <f t="shared" si="21"/>
        <v>2.6992679999999982</v>
      </c>
      <c r="Q149" s="9">
        <f t="shared" si="22"/>
        <v>-1.3453440000000008</v>
      </c>
      <c r="R149" s="9">
        <f t="shared" si="23"/>
        <v>-1.2904319999999991</v>
      </c>
      <c r="S149" s="9">
        <f t="shared" si="24"/>
        <v>0</v>
      </c>
      <c r="T149" s="9">
        <f t="shared" si="25"/>
        <v>7.001280000000001</v>
      </c>
      <c r="U149" s="9">
        <f t="shared" si="26"/>
        <v>0.7756319999999981</v>
      </c>
      <c r="V149" s="9">
        <f t="shared" si="27"/>
        <v>-22.301136</v>
      </c>
      <c r="W149" s="9"/>
      <c r="X149" s="9">
        <f t="shared" si="28"/>
        <v>-2.635776</v>
      </c>
      <c r="Y149" s="9">
        <f t="shared" si="29"/>
        <v>5.1411359999999995</v>
      </c>
      <c r="Z149" s="9"/>
      <c r="AA149" s="9"/>
      <c r="AB149" s="9"/>
      <c r="AC149" s="9"/>
      <c r="AD149" s="9"/>
      <c r="AE149" s="9"/>
      <c r="AF149" s="9"/>
      <c r="AG149" s="9"/>
      <c r="AH149" s="9"/>
      <c r="AI149" s="9"/>
      <c r="AJ149" s="9"/>
      <c r="AK149" s="9"/>
      <c r="AL149" s="9"/>
      <c r="AM149" s="9"/>
      <c r="AN149" s="9"/>
      <c r="AO149" s="9"/>
      <c r="AP149" s="9"/>
      <c r="AQ149" s="9"/>
      <c r="AR149" s="9"/>
      <c r="AS149" s="9"/>
    </row>
    <row r="150" spans="2:45" ht="12.75">
      <c r="B150" t="s">
        <v>87</v>
      </c>
      <c r="C150" s="9">
        <f>$AD111</f>
        <v>15.625</v>
      </c>
      <c r="D150" s="9">
        <f>$AD112</f>
        <v>13.920192</v>
      </c>
      <c r="E150" s="9">
        <f>$AD113</f>
        <v>17.16</v>
      </c>
      <c r="F150" s="9">
        <f>$AD114</f>
        <v>16.480463999999998</v>
      </c>
      <c r="G150" s="9">
        <f>$AD115</f>
        <v>14.524224</v>
      </c>
      <c r="H150" s="9">
        <f>$AD116</f>
        <v>14.524224</v>
      </c>
      <c r="I150" s="9">
        <f>$AD117</f>
        <v>21.525504</v>
      </c>
      <c r="J150" s="9">
        <f>$AD118</f>
        <v>22.301136</v>
      </c>
      <c r="K150" s="9">
        <f>$AD119</f>
        <v>0</v>
      </c>
      <c r="L150" s="9"/>
      <c r="M150" s="9"/>
      <c r="N150" s="9"/>
      <c r="O150" s="9">
        <f t="shared" si="20"/>
        <v>-1.7048079999999999</v>
      </c>
      <c r="P150" s="9">
        <f t="shared" si="21"/>
        <v>3.239808</v>
      </c>
      <c r="Q150" s="9">
        <f t="shared" si="22"/>
        <v>-0.6795360000000024</v>
      </c>
      <c r="R150" s="9">
        <f t="shared" si="23"/>
        <v>-1.9562399999999975</v>
      </c>
      <c r="S150" s="9">
        <f t="shared" si="24"/>
        <v>0</v>
      </c>
      <c r="T150" s="9">
        <f t="shared" si="25"/>
        <v>7.001280000000001</v>
      </c>
      <c r="U150" s="9">
        <f t="shared" si="26"/>
        <v>0.7756319999999981</v>
      </c>
      <c r="V150" s="9">
        <f t="shared" si="27"/>
        <v>-22.301136</v>
      </c>
      <c r="W150" s="9"/>
      <c r="X150" s="9">
        <f t="shared" si="28"/>
        <v>-2.635776</v>
      </c>
      <c r="Y150" s="9">
        <f t="shared" si="29"/>
        <v>5.1411359999999995</v>
      </c>
      <c r="Z150" s="9"/>
      <c r="AA150" s="9"/>
      <c r="AB150" s="9"/>
      <c r="AC150" s="9"/>
      <c r="AD150" s="9"/>
      <c r="AE150" s="9"/>
      <c r="AF150" s="9"/>
      <c r="AG150" s="9"/>
      <c r="AH150" s="9"/>
      <c r="AI150" s="9"/>
      <c r="AJ150" s="9"/>
      <c r="AK150" s="9"/>
      <c r="AL150" s="9"/>
      <c r="AM150" s="9"/>
      <c r="AN150" s="9"/>
      <c r="AO150" s="9"/>
      <c r="AP150" s="9"/>
      <c r="AQ150" s="9"/>
      <c r="AR150" s="9"/>
      <c r="AS150" s="9"/>
    </row>
    <row r="151" spans="2:45" ht="12.75">
      <c r="B151" t="s">
        <v>88</v>
      </c>
      <c r="C151" s="9">
        <f>$AE111</f>
        <v>15.876000000000001</v>
      </c>
      <c r="D151" s="9">
        <f>$AE112</f>
        <v>14.460732000000002</v>
      </c>
      <c r="E151" s="9">
        <f>$AE113</f>
        <v>16.480463999999998</v>
      </c>
      <c r="F151" s="9">
        <f>$AE114</f>
        <v>16.480463999999998</v>
      </c>
      <c r="G151" s="9">
        <f>$AE115</f>
        <v>13.899600000000001</v>
      </c>
      <c r="H151" s="9">
        <f>$AE116</f>
        <v>13.899600000000001</v>
      </c>
      <c r="I151" s="9">
        <f>$AE117</f>
        <v>21.525504</v>
      </c>
      <c r="J151" s="9">
        <f>$AE118</f>
        <v>21.525504</v>
      </c>
      <c r="K151" s="9">
        <f>$AE119</f>
        <v>0</v>
      </c>
      <c r="L151" s="9"/>
      <c r="M151" s="9"/>
      <c r="N151" s="9"/>
      <c r="O151" s="9">
        <f t="shared" si="20"/>
        <v>-1.4152679999999993</v>
      </c>
      <c r="P151" s="9">
        <f t="shared" si="21"/>
        <v>2.019731999999996</v>
      </c>
      <c r="Q151" s="9">
        <f t="shared" si="22"/>
        <v>0</v>
      </c>
      <c r="R151" s="9">
        <f t="shared" si="23"/>
        <v>-2.5808639999999965</v>
      </c>
      <c r="S151" s="9">
        <f t="shared" si="24"/>
        <v>0</v>
      </c>
      <c r="T151" s="9">
        <f t="shared" si="25"/>
        <v>7.625904</v>
      </c>
      <c r="U151" s="9">
        <f t="shared" si="26"/>
        <v>0</v>
      </c>
      <c r="V151" s="9">
        <f t="shared" si="27"/>
        <v>-21.525504</v>
      </c>
      <c r="W151" s="9"/>
      <c r="X151" s="9">
        <f t="shared" si="28"/>
        <v>-2.5808639999999965</v>
      </c>
      <c r="Y151" s="9">
        <f t="shared" si="29"/>
        <v>5.045040000000004</v>
      </c>
      <c r="Z151" s="9"/>
      <c r="AA151" s="9"/>
      <c r="AB151" s="9"/>
      <c r="AC151" s="9"/>
      <c r="AD151" s="9"/>
      <c r="AE151" s="9"/>
      <c r="AF151" s="9"/>
      <c r="AG151" s="9"/>
      <c r="AH151" s="9"/>
      <c r="AI151" s="9"/>
      <c r="AJ151" s="9"/>
      <c r="AK151" s="9"/>
      <c r="AL151" s="9"/>
      <c r="AM151" s="9"/>
      <c r="AN151" s="9"/>
      <c r="AO151" s="9"/>
      <c r="AP151" s="9"/>
      <c r="AQ151" s="9"/>
      <c r="AR151" s="9"/>
      <c r="AS151" s="9"/>
    </row>
    <row r="152" spans="2:45" ht="12.75">
      <c r="B152" t="s">
        <v>89</v>
      </c>
      <c r="C152" s="9">
        <f>$AF111</f>
        <v>15.625</v>
      </c>
      <c r="D152" s="9">
        <f>$AF112</f>
        <v>13.920192</v>
      </c>
      <c r="E152" s="9">
        <f>$AF113</f>
        <v>16.480463999999998</v>
      </c>
      <c r="F152" s="9">
        <f>$AF114</f>
        <v>15.814656</v>
      </c>
      <c r="G152" s="9">
        <f>$AF115</f>
        <v>14.524224</v>
      </c>
      <c r="H152" s="9">
        <f>$AF116</f>
        <v>13.899600000000001</v>
      </c>
      <c r="I152" s="9">
        <f>$AF117</f>
        <v>21.525504</v>
      </c>
      <c r="J152" s="9">
        <f>$AF118</f>
        <v>22.301136</v>
      </c>
      <c r="K152" s="9">
        <f>$AF119</f>
        <v>0</v>
      </c>
      <c r="L152" s="9"/>
      <c r="M152" s="9"/>
      <c r="N152" s="9"/>
      <c r="O152" s="9">
        <f t="shared" si="20"/>
        <v>-1.7048079999999999</v>
      </c>
      <c r="P152" s="9">
        <f t="shared" si="21"/>
        <v>2.5602719999999977</v>
      </c>
      <c r="Q152" s="9">
        <f t="shared" si="22"/>
        <v>-0.6658079999999984</v>
      </c>
      <c r="R152" s="9">
        <f t="shared" si="23"/>
        <v>-1.2904319999999991</v>
      </c>
      <c r="S152" s="9">
        <f t="shared" si="24"/>
        <v>-0.624623999999999</v>
      </c>
      <c r="T152" s="9">
        <f t="shared" si="25"/>
        <v>7.625904</v>
      </c>
      <c r="U152" s="9">
        <f t="shared" si="26"/>
        <v>0.7756319999999981</v>
      </c>
      <c r="V152" s="9">
        <f t="shared" si="27"/>
        <v>-22.301136</v>
      </c>
      <c r="W152" s="9"/>
      <c r="X152" s="9">
        <f t="shared" si="28"/>
        <v>-2.5808639999999965</v>
      </c>
      <c r="Y152" s="9">
        <f t="shared" si="29"/>
        <v>5.820672000000002</v>
      </c>
      <c r="Z152" s="9"/>
      <c r="AA152" s="9"/>
      <c r="AB152" s="9"/>
      <c r="AC152" s="9"/>
      <c r="AD152" s="9"/>
      <c r="AE152" s="9"/>
      <c r="AF152" s="9"/>
      <c r="AG152" s="9"/>
      <c r="AH152" s="9"/>
      <c r="AI152" s="9"/>
      <c r="AJ152" s="9"/>
      <c r="AK152" s="9"/>
      <c r="AL152" s="9"/>
      <c r="AM152" s="9"/>
      <c r="AN152" s="9"/>
      <c r="AO152" s="9"/>
      <c r="AP152" s="9"/>
      <c r="AQ152" s="9"/>
      <c r="AR152" s="9"/>
      <c r="AS152" s="9"/>
    </row>
    <row r="153" spans="2:45" ht="12.75">
      <c r="B153" t="s">
        <v>90</v>
      </c>
      <c r="C153" s="9">
        <f>$AG111</f>
        <v>15.376000000000001</v>
      </c>
      <c r="D153" s="9">
        <f>$AG112</f>
        <v>13.920192</v>
      </c>
      <c r="E153" s="9">
        <f>$AG113</f>
        <v>15.814656</v>
      </c>
      <c r="F153" s="9">
        <f>$AG114</f>
        <v>15.814656</v>
      </c>
      <c r="G153" s="9">
        <f>$AG115</f>
        <v>14.524224</v>
      </c>
      <c r="H153" s="9">
        <f>$AG116</f>
        <v>13.899600000000001</v>
      </c>
      <c r="I153" s="9">
        <f>$AG117</f>
        <v>20.763600000000004</v>
      </c>
      <c r="J153" s="9">
        <f>$AG118</f>
        <v>22.301136</v>
      </c>
      <c r="K153" s="9">
        <f>$AG119</f>
        <v>0</v>
      </c>
      <c r="L153" s="9"/>
      <c r="M153" s="9"/>
      <c r="N153" s="9"/>
      <c r="O153" s="9">
        <f t="shared" si="20"/>
        <v>-1.455808000000001</v>
      </c>
      <c r="P153" s="9">
        <f t="shared" si="21"/>
        <v>1.8944639999999993</v>
      </c>
      <c r="Q153" s="9">
        <f t="shared" si="22"/>
        <v>0</v>
      </c>
      <c r="R153" s="9">
        <f t="shared" si="23"/>
        <v>-1.2904319999999991</v>
      </c>
      <c r="S153" s="9">
        <f t="shared" si="24"/>
        <v>-0.624623999999999</v>
      </c>
      <c r="T153" s="9">
        <f t="shared" si="25"/>
        <v>6.8640000000000025</v>
      </c>
      <c r="U153" s="9">
        <f t="shared" si="26"/>
        <v>1.5375359999999958</v>
      </c>
      <c r="V153" s="9">
        <f t="shared" si="27"/>
        <v>-22.301136</v>
      </c>
      <c r="W153" s="9"/>
      <c r="X153" s="9">
        <f t="shared" si="28"/>
        <v>-1.915055999999998</v>
      </c>
      <c r="Y153" s="9">
        <f t="shared" si="29"/>
        <v>6.48648</v>
      </c>
      <c r="Z153" s="9"/>
      <c r="AA153" s="9"/>
      <c r="AB153" s="9"/>
      <c r="AC153" s="9"/>
      <c r="AD153" s="9"/>
      <c r="AE153" s="9"/>
      <c r="AF153" s="9"/>
      <c r="AG153" s="9"/>
      <c r="AH153" s="9"/>
      <c r="AI153" s="9"/>
      <c r="AJ153" s="9"/>
      <c r="AK153" s="9"/>
      <c r="AL153" s="9"/>
      <c r="AM153" s="9"/>
      <c r="AN153" s="9"/>
      <c r="AO153" s="9"/>
      <c r="AP153" s="9"/>
      <c r="AQ153" s="9"/>
      <c r="AR153" s="9"/>
      <c r="AS153" s="9"/>
    </row>
    <row r="154" spans="2:45" ht="12.75">
      <c r="B154" t="s">
        <v>91</v>
      </c>
      <c r="C154" s="9">
        <f>$AH111</f>
        <v>14.884</v>
      </c>
      <c r="D154" s="9">
        <f>$AH112</f>
        <v>13.653782999999999</v>
      </c>
      <c r="E154" s="9">
        <f>$AH113</f>
        <v>17.16</v>
      </c>
      <c r="F154" s="9">
        <f>$AH114</f>
        <v>15.814656</v>
      </c>
      <c r="G154" s="9">
        <f>$AH115</f>
        <v>13.899600000000001</v>
      </c>
      <c r="H154" s="9">
        <f>$AH116</f>
        <v>13.899600000000001</v>
      </c>
      <c r="I154" s="9">
        <f>$AH117</f>
        <v>21.525504</v>
      </c>
      <c r="J154" s="9">
        <f>$AH118</f>
        <v>21.525504</v>
      </c>
      <c r="K154" s="9">
        <f>$AH119</f>
        <v>0</v>
      </c>
      <c r="L154" s="9"/>
      <c r="M154" s="9"/>
      <c r="N154" s="9"/>
      <c r="O154" s="9">
        <f t="shared" si="20"/>
        <v>-1.2302170000000014</v>
      </c>
      <c r="P154" s="9">
        <f t="shared" si="21"/>
        <v>3.5062170000000012</v>
      </c>
      <c r="Q154" s="9">
        <f t="shared" si="22"/>
        <v>-1.3453440000000008</v>
      </c>
      <c r="R154" s="9">
        <f t="shared" si="23"/>
        <v>-1.915055999999998</v>
      </c>
      <c r="S154" s="9">
        <f t="shared" si="24"/>
        <v>0</v>
      </c>
      <c r="T154" s="9">
        <f t="shared" si="25"/>
        <v>7.625904</v>
      </c>
      <c r="U154" s="9">
        <f t="shared" si="26"/>
        <v>0</v>
      </c>
      <c r="V154" s="9">
        <f t="shared" si="27"/>
        <v>-21.525504</v>
      </c>
      <c r="W154" s="9"/>
      <c r="X154" s="9">
        <f t="shared" si="28"/>
        <v>-3.260399999999999</v>
      </c>
      <c r="Y154" s="9">
        <f t="shared" si="29"/>
        <v>4.365504000000001</v>
      </c>
      <c r="Z154" s="9"/>
      <c r="AA154" s="9"/>
      <c r="AB154" s="9"/>
      <c r="AC154" s="9"/>
      <c r="AD154" s="9"/>
      <c r="AE154" s="9"/>
      <c r="AF154" s="9"/>
      <c r="AG154" s="9"/>
      <c r="AH154" s="9"/>
      <c r="AI154" s="9"/>
      <c r="AJ154" s="9"/>
      <c r="AK154" s="9"/>
      <c r="AL154" s="9"/>
      <c r="AM154" s="9"/>
      <c r="AN154" s="9"/>
      <c r="AO154" s="9"/>
      <c r="AP154" s="9"/>
      <c r="AQ154" s="9"/>
      <c r="AR154" s="9"/>
      <c r="AS154" s="9"/>
    </row>
    <row r="155" spans="2:45" ht="12.75">
      <c r="B155" t="s">
        <v>92</v>
      </c>
      <c r="C155" s="9">
        <f>$AI111</f>
        <v>15.625</v>
      </c>
      <c r="D155" s="9">
        <f>$AI112</f>
        <v>13.920192</v>
      </c>
      <c r="E155" s="9">
        <f>$AI113</f>
        <v>16.480463999999998</v>
      </c>
      <c r="F155" s="9">
        <f>$AI114</f>
        <v>15.814656</v>
      </c>
      <c r="G155" s="9">
        <f>$AI115</f>
        <v>13.899600000000001</v>
      </c>
      <c r="H155" s="9">
        <f>$AI116</f>
        <v>13.288704</v>
      </c>
      <c r="I155" s="9">
        <f>$AI117</f>
        <v>20.763600000000004</v>
      </c>
      <c r="J155" s="9">
        <f>$AI118</f>
        <v>21.525504</v>
      </c>
      <c r="K155" s="9">
        <f>$AI119</f>
        <v>0</v>
      </c>
      <c r="L155" s="9"/>
      <c r="M155" s="9"/>
      <c r="N155" s="9"/>
      <c r="O155" s="9">
        <f t="shared" si="20"/>
        <v>-1.7048079999999999</v>
      </c>
      <c r="P155" s="9">
        <f t="shared" si="21"/>
        <v>2.5602719999999977</v>
      </c>
      <c r="Q155" s="9">
        <f t="shared" si="22"/>
        <v>-0.6658079999999984</v>
      </c>
      <c r="R155" s="9">
        <f t="shared" si="23"/>
        <v>-1.915055999999998</v>
      </c>
      <c r="S155" s="9">
        <f t="shared" si="24"/>
        <v>-0.6108960000000021</v>
      </c>
      <c r="T155" s="9">
        <f t="shared" si="25"/>
        <v>7.474896000000005</v>
      </c>
      <c r="U155" s="9">
        <f t="shared" si="26"/>
        <v>0.7619039999999977</v>
      </c>
      <c r="V155" s="9">
        <f t="shared" si="27"/>
        <v>-21.525504</v>
      </c>
      <c r="W155" s="9"/>
      <c r="X155" s="9">
        <f t="shared" si="28"/>
        <v>-3.1917599999999986</v>
      </c>
      <c r="Y155" s="9">
        <f t="shared" si="29"/>
        <v>5.045040000000004</v>
      </c>
      <c r="Z155" s="9"/>
      <c r="AA155" s="9"/>
      <c r="AB155" s="9"/>
      <c r="AC155" s="9"/>
      <c r="AD155" s="9"/>
      <c r="AE155" s="9"/>
      <c r="AF155" s="9"/>
      <c r="AG155" s="9"/>
      <c r="AH155" s="9"/>
      <c r="AI155" s="9"/>
      <c r="AJ155" s="9"/>
      <c r="AK155" s="9"/>
      <c r="AL155" s="9"/>
      <c r="AM155" s="9"/>
      <c r="AN155" s="9"/>
      <c r="AO155" s="9"/>
      <c r="AP155" s="9"/>
      <c r="AQ155" s="9"/>
      <c r="AR155" s="9"/>
      <c r="AS155" s="9"/>
    </row>
    <row r="156" spans="2:45" ht="12.75">
      <c r="B156" t="s">
        <v>93</v>
      </c>
      <c r="C156" s="9">
        <f>$AJ111</f>
        <v>15.876000000000001</v>
      </c>
      <c r="D156" s="9">
        <f>$AJ112</f>
        <v>13.920192</v>
      </c>
      <c r="E156" s="9">
        <f>$AJ113</f>
        <v>16.480463999999998</v>
      </c>
      <c r="F156" s="9">
        <f>$AJ114</f>
        <v>15.162576</v>
      </c>
      <c r="G156" s="9">
        <f>$AJ115</f>
        <v>14.524224</v>
      </c>
      <c r="H156" s="9">
        <f>$AJ116</f>
        <v>13.899600000000001</v>
      </c>
      <c r="I156" s="9">
        <f>$AJ117</f>
        <v>20.763600000000004</v>
      </c>
      <c r="J156" s="9">
        <f>$AJ118</f>
        <v>21.525504</v>
      </c>
      <c r="K156" s="9">
        <f>$AJ119</f>
        <v>0</v>
      </c>
      <c r="L156" s="9"/>
      <c r="M156" s="9"/>
      <c r="N156" s="9"/>
      <c r="O156" s="9">
        <f t="shared" si="20"/>
        <v>-1.955808000000001</v>
      </c>
      <c r="P156" s="9">
        <f t="shared" si="21"/>
        <v>2.5602719999999977</v>
      </c>
      <c r="Q156" s="9">
        <f t="shared" si="22"/>
        <v>-1.3178879999999982</v>
      </c>
      <c r="R156" s="9">
        <f t="shared" si="23"/>
        <v>-0.6383519999999994</v>
      </c>
      <c r="S156" s="9">
        <f t="shared" si="24"/>
        <v>-0.624623999999999</v>
      </c>
      <c r="T156" s="9">
        <f t="shared" si="25"/>
        <v>6.8640000000000025</v>
      </c>
      <c r="U156" s="9">
        <f t="shared" si="26"/>
        <v>0.7619039999999977</v>
      </c>
      <c r="V156" s="9">
        <f t="shared" si="27"/>
        <v>-21.525504</v>
      </c>
      <c r="W156" s="9"/>
      <c r="X156" s="9">
        <f t="shared" si="28"/>
        <v>-2.5808639999999965</v>
      </c>
      <c r="Y156" s="9">
        <f t="shared" si="29"/>
        <v>5.045040000000004</v>
      </c>
      <c r="Z156" s="9"/>
      <c r="AA156" s="9"/>
      <c r="AB156" s="9"/>
      <c r="AC156" s="9"/>
      <c r="AD156" s="9"/>
      <c r="AE156" s="9"/>
      <c r="AF156" s="9"/>
      <c r="AG156" s="9"/>
      <c r="AH156" s="9"/>
      <c r="AI156" s="9"/>
      <c r="AJ156" s="9"/>
      <c r="AK156" s="9"/>
      <c r="AL156" s="9"/>
      <c r="AM156" s="9"/>
      <c r="AN156" s="9"/>
      <c r="AO156" s="9"/>
      <c r="AP156" s="9"/>
      <c r="AQ156" s="9"/>
      <c r="AR156" s="9"/>
      <c r="AS156" s="9"/>
    </row>
    <row r="157" spans="2:45" ht="12.75">
      <c r="B157" t="s">
        <v>94</v>
      </c>
      <c r="C157" s="9">
        <f>$AK111</f>
        <v>15.876000000000001</v>
      </c>
      <c r="D157" s="9">
        <f>$AK112</f>
        <v>13.653782999999999</v>
      </c>
      <c r="E157" s="9">
        <f>$AK113</f>
        <v>16.480463999999998</v>
      </c>
      <c r="F157" s="9">
        <f>$AK114</f>
        <v>15.814656</v>
      </c>
      <c r="G157" s="9">
        <f>$AK115</f>
        <v>14.524224</v>
      </c>
      <c r="H157" s="9">
        <f>$AK116</f>
        <v>13.899600000000001</v>
      </c>
      <c r="I157" s="9">
        <f>$AK117</f>
        <v>21.525504</v>
      </c>
      <c r="J157" s="9">
        <f>$AK118</f>
        <v>21.525504</v>
      </c>
      <c r="K157" s="9">
        <f>$AK119</f>
        <v>0</v>
      </c>
      <c r="L157" s="9"/>
      <c r="M157" s="9"/>
      <c r="N157" s="9"/>
      <c r="O157" s="9">
        <f t="shared" si="20"/>
        <v>-2.2222170000000023</v>
      </c>
      <c r="P157" s="9">
        <f t="shared" si="21"/>
        <v>2.826680999999999</v>
      </c>
      <c r="Q157" s="9">
        <f t="shared" si="22"/>
        <v>-0.6658079999999984</v>
      </c>
      <c r="R157" s="9">
        <f t="shared" si="23"/>
        <v>-1.2904319999999991</v>
      </c>
      <c r="S157" s="9">
        <f t="shared" si="24"/>
        <v>-0.624623999999999</v>
      </c>
      <c r="T157" s="9">
        <f t="shared" si="25"/>
        <v>7.625904</v>
      </c>
      <c r="U157" s="9">
        <f t="shared" si="26"/>
        <v>0</v>
      </c>
      <c r="V157" s="9">
        <f t="shared" si="27"/>
        <v>-21.525504</v>
      </c>
      <c r="W157" s="9"/>
      <c r="X157" s="9">
        <f t="shared" si="28"/>
        <v>-2.5808639999999965</v>
      </c>
      <c r="Y157" s="9">
        <f t="shared" si="29"/>
        <v>5.045040000000004</v>
      </c>
      <c r="Z157" s="9"/>
      <c r="AA157" s="9"/>
      <c r="AB157" s="9"/>
      <c r="AC157" s="9"/>
      <c r="AD157" s="9"/>
      <c r="AE157" s="9"/>
      <c r="AF157" s="9"/>
      <c r="AG157" s="9"/>
      <c r="AH157" s="9"/>
      <c r="AI157" s="9"/>
      <c r="AJ157" s="9"/>
      <c r="AK157" s="9"/>
      <c r="AL157" s="9"/>
      <c r="AM157" s="9"/>
      <c r="AN157" s="9"/>
      <c r="AO157" s="9"/>
      <c r="AP157" s="9"/>
      <c r="AQ157" s="9"/>
      <c r="AR157" s="9"/>
      <c r="AS157" s="9"/>
    </row>
    <row r="158" spans="2:45" ht="12.75">
      <c r="B158" t="s">
        <v>95</v>
      </c>
      <c r="C158" s="9">
        <f>$AL111</f>
        <v>15.376000000000001</v>
      </c>
      <c r="D158" s="9">
        <f>$AL112</f>
        <v>13.920192</v>
      </c>
      <c r="E158" s="9">
        <f>$AL113</f>
        <v>16.480463999999998</v>
      </c>
      <c r="F158" s="9">
        <f>$AL114</f>
        <v>15.814656</v>
      </c>
      <c r="G158" s="9">
        <f>$AL115</f>
        <v>14.524224</v>
      </c>
      <c r="H158" s="9">
        <f>$AL116</f>
        <v>13.899600000000001</v>
      </c>
      <c r="I158" s="9">
        <f>$AL117</f>
        <v>20.763600000000004</v>
      </c>
      <c r="J158" s="9">
        <f>$AL118</f>
        <v>20.763600000000004</v>
      </c>
      <c r="K158" s="9">
        <f>$AL119</f>
        <v>0</v>
      </c>
      <c r="L158" s="9"/>
      <c r="M158" s="9"/>
      <c r="N158" s="9"/>
      <c r="O158" s="9">
        <f t="shared" si="20"/>
        <v>-1.455808000000001</v>
      </c>
      <c r="P158" s="9">
        <f t="shared" si="21"/>
        <v>2.5602719999999977</v>
      </c>
      <c r="Q158" s="9">
        <f t="shared" si="22"/>
        <v>-0.6658079999999984</v>
      </c>
      <c r="R158" s="9">
        <f t="shared" si="23"/>
        <v>-1.2904319999999991</v>
      </c>
      <c r="S158" s="9">
        <f t="shared" si="24"/>
        <v>-0.624623999999999</v>
      </c>
      <c r="T158" s="9">
        <f t="shared" si="25"/>
        <v>6.8640000000000025</v>
      </c>
      <c r="U158" s="9">
        <f t="shared" si="26"/>
        <v>0</v>
      </c>
      <c r="V158" s="9">
        <f t="shared" si="27"/>
        <v>-20.763600000000004</v>
      </c>
      <c r="W158" s="9"/>
      <c r="X158" s="9">
        <f t="shared" si="28"/>
        <v>-2.5808639999999965</v>
      </c>
      <c r="Y158" s="9">
        <f t="shared" si="29"/>
        <v>4.283136000000006</v>
      </c>
      <c r="Z158" s="9"/>
      <c r="AA158" s="9"/>
      <c r="AB158" s="9"/>
      <c r="AC158" s="9"/>
      <c r="AD158" s="9"/>
      <c r="AE158" s="9"/>
      <c r="AF158" s="9"/>
      <c r="AG158" s="9"/>
      <c r="AH158" s="9"/>
      <c r="AI158" s="9"/>
      <c r="AJ158" s="9"/>
      <c r="AK158" s="9"/>
      <c r="AL158" s="9"/>
      <c r="AM158" s="9"/>
      <c r="AN158" s="9"/>
      <c r="AO158" s="9"/>
      <c r="AP158" s="9"/>
      <c r="AQ158" s="9"/>
      <c r="AR158" s="9"/>
      <c r="AS158" s="9"/>
    </row>
    <row r="159" spans="3:45" ht="12.75">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row>
    <row r="160" spans="3:45" ht="12.75">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row>
    <row r="161" spans="3:45" ht="12.75">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row>
    <row r="162" spans="3:45" ht="12.75">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row>
    <row r="163" spans="3:45" ht="12.75">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row>
    <row r="164" spans="3:45" ht="12.75">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row>
    <row r="165" spans="3:45" ht="12.75">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row>
    <row r="166" spans="3:45" ht="12.75">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row>
    <row r="167" spans="3:45" ht="12.75">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row>
    <row r="168" spans="3:45" ht="12.75">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row>
    <row r="169" spans="3:45" ht="12.75">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row>
    <row r="170" spans="3:45" ht="12.75">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row>
    <row r="171" spans="3:45" ht="12.75">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row>
    <row r="172" spans="3:45" ht="12.75">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row>
    <row r="173" spans="3:45" ht="12.75">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row>
    <row r="174" spans="3:45" ht="12.7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row>
    <row r="175" spans="3:45" ht="12.75">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row>
    <row r="176" spans="3:45" ht="12.7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row>
    <row r="177" spans="3:45" ht="12.7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row>
    <row r="178" spans="3:45" ht="12.75">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row>
    <row r="179" spans="3:45" ht="12.7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row>
    <row r="180" spans="3:45" ht="12.75">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row>
    <row r="181" spans="3:45" ht="12.75">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row>
    <row r="182" spans="3:45" ht="12.75">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row>
    <row r="183" spans="3:45" ht="12.75">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row>
    <row r="184" spans="3:45" ht="12.75">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row>
    <row r="185" spans="3:45" ht="12.75">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row>
    <row r="186" spans="3:45" ht="12.75">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row>
    <row r="187" spans="3:45" ht="12.75">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row>
    <row r="188" spans="3:45" ht="12.75">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row>
    <row r="189" spans="3:45" ht="12.75">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row>
    <row r="190" spans="3:45" ht="12.75">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row>
    <row r="191" spans="3:45" ht="12.75">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row>
    <row r="192" spans="3:45" ht="12.75">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row>
    <row r="193" spans="3:45" ht="12.75">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row>
    <row r="194" spans="3:45" ht="12.75">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row>
    <row r="195" spans="3:45" ht="12.75">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row>
    <row r="196" spans="3:45" ht="12.75">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row>
    <row r="197" spans="3:45" ht="12.75">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row>
    <row r="198" spans="3:45" ht="12.75">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row>
    <row r="199" spans="3:45" ht="12.75">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row>
    <row r="200" spans="3:45" ht="12.75">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row>
    <row r="201" spans="3:45" ht="12.75">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row>
    <row r="202" spans="3:45" ht="12.75">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row>
    <row r="203" spans="3:45" ht="12.75">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row>
    <row r="204" spans="3:45" ht="12.75">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row>
    <row r="205" spans="3:45" ht="12.75">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row>
    <row r="206" spans="3:45" ht="12.75">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row>
    <row r="207" spans="3:45" ht="12.75">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row>
    <row r="208" spans="3:45" ht="12.75">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row>
    <row r="209" spans="3:45" ht="12.75">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row>
    <row r="210" spans="3:45" ht="12.75">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row>
    <row r="211" spans="3:45" ht="12.75">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row>
    <row r="212" spans="3:45" ht="12.75">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row>
    <row r="213" spans="3:45" ht="12.75">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row>
    <row r="214" spans="3:45" ht="12.75">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row>
    <row r="215" spans="3:45" ht="12.75">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row>
    <row r="216" spans="3:45" ht="12.75">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row>
    <row r="217" spans="3:45" ht="12.75">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row>
    <row r="218" spans="3:45" ht="12.75">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row>
    <row r="219" spans="3:45" ht="12.7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row>
    <row r="220" spans="3:45" ht="12.75">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row>
    <row r="221" spans="3:45" ht="12.7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row>
    <row r="222" spans="3:45" ht="12.7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row>
    <row r="223" spans="3:45" ht="12.75">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row>
    <row r="224" spans="3:45" ht="12.7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row>
    <row r="225" spans="3:45" ht="12.75">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row>
    <row r="226" spans="3:45" ht="12.75">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row>
    <row r="227" spans="3:45" ht="12.75">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row>
    <row r="228" spans="3:45" ht="12.75">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row>
    <row r="229" spans="3:45" ht="12.75">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row>
    <row r="230" spans="3:45" ht="12.75">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row>
    <row r="231" spans="3:45" ht="12.75">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row>
    <row r="232" spans="3:45" ht="12.75">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row>
    <row r="233" spans="3:45" ht="12.75">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row>
    <row r="234" spans="3:45" ht="12.75">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row>
    <row r="235" spans="3:45" ht="12.75">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row>
    <row r="236" spans="3:45" ht="12.75">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row>
    <row r="237" spans="3:45" ht="12.75">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row>
    <row r="238" spans="3:45" ht="12.75">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row>
    <row r="239" spans="3:45" ht="12.75">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row>
    <row r="240" spans="3:45" ht="12.75">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row>
    <row r="241" spans="3:45" ht="12.75">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row>
    <row r="242" spans="3:45" ht="12.75">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row>
    <row r="243" spans="3:45" ht="12.75">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row>
    <row r="244" spans="3:45" ht="12.75">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row>
    <row r="245" spans="3:45" ht="12.75">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row>
    <row r="246" spans="3:45" ht="12.75">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row>
    <row r="247" spans="3:45" ht="12.75">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row>
    <row r="248" spans="3:45" ht="12.75">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row>
    <row r="249" spans="3:45" ht="12.75">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row>
    <row r="250" spans="3:45" ht="12.75">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row>
    <row r="251" spans="3:45" ht="12.75">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row>
    <row r="252" spans="3:45" ht="12.75">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row>
    <row r="253" spans="3:45" ht="12.75">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row>
    <row r="254" spans="3:45" ht="12.75">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row>
    <row r="255" spans="3:45" ht="12.75">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row>
    <row r="256" spans="3:45" ht="12.75">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row>
    <row r="257" spans="3:45" ht="12.75">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row>
    <row r="258" spans="3:45" ht="12.75">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row>
    <row r="259" spans="3:45" ht="12.75">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row>
    <row r="260" spans="3:45" ht="12.75">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row>
    <row r="261" spans="3:45" ht="12.75">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row>
    <row r="262" spans="3:45" ht="12.75">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row>
    <row r="263" spans="3:45" ht="12.75">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row>
    <row r="264" spans="3:45" ht="12.7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row>
    <row r="265" spans="3:45" ht="12.75">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row>
    <row r="266" spans="3:45" ht="12.7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row>
    <row r="267" spans="3:45" ht="12.7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row>
    <row r="268" spans="3:45" ht="12.75">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row>
    <row r="269" spans="3:45" ht="12.7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row>
    <row r="270" spans="3:45" ht="12.75">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row>
    <row r="271" spans="3:45" ht="12.75">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row>
    <row r="272" spans="3:45" ht="12.75">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row>
    <row r="273" spans="3:45" ht="12.75">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row>
    <row r="274" spans="3:45" ht="12.75">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row>
    <row r="275" spans="3:45" ht="12.75">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row>
    <row r="276" spans="3:45" ht="12.75">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row>
    <row r="277" spans="3:45" ht="12.75">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row>
    <row r="278" spans="3:45" ht="12.75">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row>
    <row r="279" spans="3:45" ht="12.75">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row>
    <row r="280" spans="3:45" ht="12.75">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row>
    <row r="281" spans="3:45" ht="12.75">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row>
    <row r="282" spans="3:45" ht="12.75">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row>
    <row r="283" spans="3:45" ht="12.75">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row>
    <row r="284" spans="3:45" ht="12.75">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row>
    <row r="285" spans="3:45" ht="12.75">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row>
    <row r="286" spans="3:45" ht="12.7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row>
    <row r="287" spans="3:45" ht="12.7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row>
    <row r="288" spans="3:45" ht="12.7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row>
    <row r="289" spans="3:45" ht="12.7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row>
    <row r="290" spans="3:45" ht="12.7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row>
    <row r="291" spans="3:45" ht="12.7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row>
    <row r="292" spans="3:45" ht="12.7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row>
    <row r="293" spans="3:45" ht="12.7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row>
    <row r="294" spans="3:45" ht="12.7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row>
    <row r="295" spans="3:45" ht="12.7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row>
    <row r="296" spans="3:45" ht="12.7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row>
    <row r="297" spans="3:45" ht="12.7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row>
    <row r="298" spans="3:45" ht="12.7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row>
    <row r="299" spans="3:45" ht="12.7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row>
    <row r="300" spans="3:45" ht="12.7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row>
    <row r="301" spans="3:45" ht="12.7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row>
    <row r="302" spans="3:45" ht="12.7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row>
    <row r="303" spans="3:45" ht="12.7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row>
    <row r="304" spans="3:45" ht="12.7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row>
    <row r="305" spans="3:45" ht="12.7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row>
    <row r="306" spans="3:45" ht="12.7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row>
    <row r="307" spans="3:45" ht="12.7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row>
    <row r="308" spans="3:45" ht="12.7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row>
    <row r="309" spans="3:45" ht="12.7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row>
    <row r="310" spans="3:45" ht="12.7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row>
    <row r="311" spans="3:45" ht="12.7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row>
    <row r="312" spans="3:45" ht="12.7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row>
    <row r="313" spans="3:45" ht="12.7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row>
    <row r="314" spans="3:45" ht="12.7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row>
    <row r="315" spans="3:45" ht="12.7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row>
    <row r="316" spans="3:45" ht="12.7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row>
    <row r="317" spans="3:45" ht="12.7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row>
    <row r="318" spans="3:45" ht="12.7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row>
    <row r="319" spans="3:45" ht="12.7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row>
    <row r="320" spans="3:45" ht="12.7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row>
    <row r="321" spans="3:45" ht="12.7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row>
    <row r="322" spans="3:45" ht="12.7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row>
    <row r="323" spans="3:45" ht="12.7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row>
    <row r="324" spans="3:45" ht="12.7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row>
    <row r="325" spans="3:45" ht="12.7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row>
    <row r="326" spans="3:45" ht="12.7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row>
    <row r="327" spans="3:45" ht="12.7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row>
    <row r="328" spans="3:45" ht="12.7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row>
    <row r="329" spans="3:45" ht="12.7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row>
    <row r="330" spans="3:45" ht="12.7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row>
    <row r="331" spans="3:45" ht="12.7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row>
    <row r="332" spans="3:45" ht="12.7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row>
    <row r="333" spans="3:45" ht="12.7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row>
    <row r="334" spans="3:45" ht="12.7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row>
    <row r="335" spans="3:45" ht="12.7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row>
    <row r="336" spans="3:45" ht="12.7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row>
    <row r="337" spans="3:45" ht="12.7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row>
    <row r="338" spans="3:45" ht="12.7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row>
    <row r="339" spans="3:45" ht="12.7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row>
    <row r="340" spans="3:45" ht="12.7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row>
    <row r="341" spans="3:45" ht="12.7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row>
    <row r="342" spans="3:45" ht="12.7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row>
    <row r="343" spans="3:45" ht="12.7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row>
    <row r="344" spans="3:45" ht="12.7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row>
    <row r="345" spans="3:45" ht="12.7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row>
    <row r="346" spans="3:45" ht="12.7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row>
    <row r="347" spans="3:45" ht="12.7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row>
    <row r="348" spans="3:45" ht="12.7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row>
    <row r="349" spans="3:45" ht="12.7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row>
    <row r="350" spans="3:45" ht="12.7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row>
    <row r="351" spans="3:45" ht="12.7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row>
    <row r="352" spans="3:45" ht="12.7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row>
    <row r="353" spans="3:45" ht="12.7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row>
    <row r="354" spans="3:45" ht="12.7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row>
    <row r="355" spans="3:45" ht="12.7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row>
    <row r="356" spans="3:45" ht="12.7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row>
    <row r="357" spans="3:45" ht="12.7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row>
    <row r="358" spans="3:45" ht="12.7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row>
    <row r="359" spans="3:45" ht="12.7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row>
    <row r="360" spans="3:45" ht="12.7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row>
    <row r="361" spans="3:45" ht="12.7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row>
    <row r="362" spans="3:45" ht="12.7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row>
    <row r="363" spans="3:45" ht="12.7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row>
    <row r="364" spans="3:45" ht="12.7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row>
    <row r="365" spans="3:45" ht="12.7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row>
    <row r="366" spans="3:45" ht="12.7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row>
    <row r="367" spans="3:45" ht="12.7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row>
    <row r="368" spans="3:45" ht="12.7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row>
    <row r="369" spans="3:45" ht="12.7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row>
    <row r="370" spans="3:45" ht="12.7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row>
    <row r="371" spans="3:45" ht="12.7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row>
    <row r="372" spans="3:45" ht="12.7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row>
    <row r="373" spans="3:45" ht="12.7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row>
    <row r="374" spans="3:45" ht="12.7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row>
    <row r="375" spans="3:45" ht="12.7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row>
    <row r="376" spans="3:45" ht="12.7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row>
    <row r="377" spans="3:45" ht="12.7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row>
    <row r="378" spans="3:45" ht="12.7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row>
    <row r="379" spans="3:45" ht="12.7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row>
    <row r="380" spans="3:45" ht="12.7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row>
    <row r="381" spans="3:45" ht="12.7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row>
    <row r="382" spans="3:45" ht="12.7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row>
    <row r="383" spans="3:45" ht="12.7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row>
    <row r="384" spans="3:45" ht="12.7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row>
    <row r="385" spans="3:45" ht="12.7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row>
    <row r="386" spans="3:45" ht="12.7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row>
    <row r="387" spans="3:45" ht="12.7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row>
    <row r="388" spans="3:45" ht="12.7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row>
    <row r="389" spans="3:45" ht="12.7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row>
    <row r="390" spans="3:45" ht="12.7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row>
    <row r="391" spans="3:45" ht="12.7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row>
    <row r="392" spans="3:45" ht="12.7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row>
    <row r="393" spans="3:45" ht="12.7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row>
    <row r="394" spans="3:45" ht="12.7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row>
    <row r="395" spans="3:45" ht="12.7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row>
    <row r="396" spans="3:45" ht="12.7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row>
    <row r="397" spans="3:45" ht="12.7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row>
    <row r="398" spans="3:45" ht="12.7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row>
  </sheetData>
  <mergeCells count="2">
    <mergeCell ref="C121:K121"/>
    <mergeCell ref="O121:AA121"/>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
  <dimension ref="A1:AL59"/>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M9" sqref="M9"/>
    </sheetView>
  </sheetViews>
  <sheetFormatPr defaultColWidth="9.140625" defaultRowHeight="12.75"/>
  <cols>
    <col min="2" max="2" width="14.8515625" style="0" bestFit="1" customWidth="1"/>
    <col min="3" max="38" width="5.00390625" style="0" bestFit="1" customWidth="1"/>
  </cols>
  <sheetData>
    <row r="1" spans="1:38" ht="12.75">
      <c r="A1" s="2" t="s">
        <v>0</v>
      </c>
      <c r="B1" t="s">
        <v>223</v>
      </c>
      <c r="C1" t="s">
        <v>60</v>
      </c>
      <c r="D1" t="s">
        <v>61</v>
      </c>
      <c r="E1" t="s">
        <v>62</v>
      </c>
      <c r="F1" t="s">
        <v>63</v>
      </c>
      <c r="G1" t="s">
        <v>64</v>
      </c>
      <c r="H1" t="s">
        <v>65</v>
      </c>
      <c r="I1" t="s">
        <v>66</v>
      </c>
      <c r="J1" t="s">
        <v>67</v>
      </c>
      <c r="K1" t="s">
        <v>68</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90</v>
      </c>
      <c r="AH1" t="s">
        <v>91</v>
      </c>
      <c r="AI1" t="s">
        <v>92</v>
      </c>
      <c r="AJ1" t="s">
        <v>93</v>
      </c>
      <c r="AK1" t="s">
        <v>94</v>
      </c>
      <c r="AL1" t="s">
        <v>95</v>
      </c>
    </row>
    <row r="2" spans="1:38" ht="12.75">
      <c r="A2" s="1">
        <f>AVERAGE(C2:AL2)</f>
        <v>4.0472222222222225</v>
      </c>
      <c r="B2" t="s">
        <v>96</v>
      </c>
      <c r="C2">
        <v>4.08</v>
      </c>
      <c r="D2">
        <v>3.99</v>
      </c>
      <c r="E2">
        <v>4.03</v>
      </c>
      <c r="F2">
        <v>4.05</v>
      </c>
      <c r="G2">
        <v>4.04</v>
      </c>
      <c r="H2">
        <v>4.03</v>
      </c>
      <c r="I2">
        <v>4.07</v>
      </c>
      <c r="J2">
        <v>4.01</v>
      </c>
      <c r="K2">
        <v>4.02</v>
      </c>
      <c r="L2">
        <v>4.06</v>
      </c>
      <c r="M2">
        <v>4.02</v>
      </c>
      <c r="N2">
        <v>4.05</v>
      </c>
      <c r="O2">
        <v>4.05</v>
      </c>
      <c r="P2">
        <v>4.05</v>
      </c>
      <c r="Q2">
        <v>4.05</v>
      </c>
      <c r="R2">
        <v>4.08</v>
      </c>
      <c r="S2">
        <v>4.04</v>
      </c>
      <c r="T2">
        <v>3.99</v>
      </c>
      <c r="U2">
        <v>4.01</v>
      </c>
      <c r="V2">
        <v>3.99</v>
      </c>
      <c r="W2">
        <v>4.06</v>
      </c>
      <c r="X2">
        <v>4.03</v>
      </c>
      <c r="Y2">
        <v>4.05</v>
      </c>
      <c r="Z2">
        <v>4.04</v>
      </c>
      <c r="AA2">
        <v>3.96</v>
      </c>
      <c r="AB2">
        <v>4.05</v>
      </c>
      <c r="AC2">
        <v>4.05</v>
      </c>
      <c r="AD2">
        <v>4.04</v>
      </c>
      <c r="AE2">
        <v>4.15</v>
      </c>
      <c r="AF2">
        <v>4.11</v>
      </c>
      <c r="AG2">
        <v>4.08</v>
      </c>
      <c r="AH2">
        <v>4.03</v>
      </c>
      <c r="AI2">
        <v>4.08</v>
      </c>
      <c r="AJ2">
        <v>4.06</v>
      </c>
      <c r="AK2">
        <v>4.09</v>
      </c>
      <c r="AL2">
        <v>4.11</v>
      </c>
    </row>
    <row r="3" spans="1:38" ht="12.75">
      <c r="A3" s="1">
        <f>AVERAGE(C3:AL3)</f>
        <v>0.8988888888888888</v>
      </c>
      <c r="B3" t="s">
        <v>97</v>
      </c>
      <c r="C3">
        <v>0.9</v>
      </c>
      <c r="D3">
        <v>0.89</v>
      </c>
      <c r="E3">
        <v>0.89</v>
      </c>
      <c r="F3">
        <v>0.9</v>
      </c>
      <c r="G3">
        <v>0.9</v>
      </c>
      <c r="H3">
        <v>0.89</v>
      </c>
      <c r="I3">
        <v>0.9</v>
      </c>
      <c r="J3">
        <v>0.9</v>
      </c>
      <c r="K3">
        <v>0.9</v>
      </c>
      <c r="L3">
        <v>0.9</v>
      </c>
      <c r="M3">
        <v>0.91</v>
      </c>
      <c r="N3">
        <v>0.89</v>
      </c>
      <c r="O3">
        <v>0.89</v>
      </c>
      <c r="P3">
        <v>0.89</v>
      </c>
      <c r="Q3">
        <v>0.9</v>
      </c>
      <c r="R3">
        <v>0.91</v>
      </c>
      <c r="S3">
        <v>0.89</v>
      </c>
      <c r="T3">
        <v>0.9</v>
      </c>
      <c r="U3">
        <v>0.88</v>
      </c>
      <c r="V3">
        <v>0.89</v>
      </c>
      <c r="W3">
        <v>0.91</v>
      </c>
      <c r="X3">
        <v>0.89</v>
      </c>
      <c r="Y3">
        <v>0.89</v>
      </c>
      <c r="Z3">
        <v>0.9</v>
      </c>
      <c r="AA3">
        <v>0.89</v>
      </c>
      <c r="AB3">
        <v>0.88</v>
      </c>
      <c r="AC3">
        <v>0.89</v>
      </c>
      <c r="AD3">
        <v>0.9</v>
      </c>
      <c r="AE3">
        <v>0.92</v>
      </c>
      <c r="AF3">
        <v>0.92</v>
      </c>
      <c r="AG3">
        <v>0.91</v>
      </c>
      <c r="AH3">
        <v>0.9</v>
      </c>
      <c r="AI3">
        <v>0.91</v>
      </c>
      <c r="AJ3">
        <v>0.91</v>
      </c>
      <c r="AK3">
        <v>0.91</v>
      </c>
      <c r="AL3">
        <v>0.91</v>
      </c>
    </row>
    <row r="4" spans="1:38" ht="12.75">
      <c r="A4" s="1">
        <f>AVERAGE(C4:AL4)</f>
        <v>0.9197222222222222</v>
      </c>
      <c r="B4" t="s">
        <v>98</v>
      </c>
      <c r="C4">
        <v>0.92</v>
      </c>
      <c r="D4">
        <v>0.91</v>
      </c>
      <c r="E4">
        <v>0.91</v>
      </c>
      <c r="F4">
        <v>0.92</v>
      </c>
      <c r="G4">
        <v>0.92</v>
      </c>
      <c r="H4">
        <v>0.91</v>
      </c>
      <c r="I4">
        <v>0.92</v>
      </c>
      <c r="J4">
        <v>0.91</v>
      </c>
      <c r="K4">
        <v>0.93</v>
      </c>
      <c r="L4">
        <v>0.92</v>
      </c>
      <c r="M4">
        <v>0.93</v>
      </c>
      <c r="N4">
        <v>0.92</v>
      </c>
      <c r="O4">
        <v>0.92</v>
      </c>
      <c r="P4">
        <v>0.92</v>
      </c>
      <c r="Q4">
        <v>0.92</v>
      </c>
      <c r="R4">
        <v>0.93</v>
      </c>
      <c r="S4">
        <v>0.91</v>
      </c>
      <c r="T4">
        <v>0.91</v>
      </c>
      <c r="U4">
        <v>0.91</v>
      </c>
      <c r="V4">
        <v>0.91</v>
      </c>
      <c r="W4">
        <v>0.93</v>
      </c>
      <c r="X4">
        <v>0.91</v>
      </c>
      <c r="Y4">
        <v>0.91</v>
      </c>
      <c r="Z4">
        <v>0.92</v>
      </c>
      <c r="AA4">
        <v>0.91</v>
      </c>
      <c r="AB4">
        <v>0.9</v>
      </c>
      <c r="AC4">
        <v>0.91</v>
      </c>
      <c r="AD4">
        <v>0.93</v>
      </c>
      <c r="AE4">
        <v>0.94</v>
      </c>
      <c r="AF4">
        <v>0.93</v>
      </c>
      <c r="AG4">
        <v>0.93</v>
      </c>
      <c r="AH4">
        <v>0.93</v>
      </c>
      <c r="AI4">
        <v>0.93</v>
      </c>
      <c r="AJ4">
        <v>0.93</v>
      </c>
      <c r="AK4">
        <v>0.92</v>
      </c>
      <c r="AL4">
        <v>0.93</v>
      </c>
    </row>
    <row r="5" spans="1:38" ht="12.75">
      <c r="A5" s="1">
        <f>AVERAGE(C5:C5)</f>
        <v>1.66</v>
      </c>
      <c r="B5" t="s">
        <v>99</v>
      </c>
      <c r="C5">
        <v>1.66</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s="1">
        <f>AVERAGE(C6:D6)</f>
        <v>1.69</v>
      </c>
      <c r="B6" t="s">
        <v>100</v>
      </c>
      <c r="C6">
        <v>1.67</v>
      </c>
      <c r="D6">
        <v>1.71</v>
      </c>
      <c r="E6" t="s">
        <v>139</v>
      </c>
      <c r="F6" t="s">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s="1">
        <f>AVERAGE(C7:E7)</f>
        <v>1.6933333333333334</v>
      </c>
      <c r="B7" t="s">
        <v>101</v>
      </c>
      <c r="C7">
        <v>1.65</v>
      </c>
      <c r="D7">
        <v>1.73</v>
      </c>
      <c r="E7">
        <v>1.7</v>
      </c>
      <c r="F7" t="s">
        <v>139</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s="1">
        <f>AVERAGE(C8:F8)</f>
        <v>1.7125</v>
      </c>
      <c r="B8" t="s">
        <v>102</v>
      </c>
      <c r="C8">
        <v>1.65</v>
      </c>
      <c r="D8">
        <v>1.77</v>
      </c>
      <c r="E8">
        <v>1.71</v>
      </c>
      <c r="F8">
        <v>1.72</v>
      </c>
      <c r="G8" t="s">
        <v>139</v>
      </c>
      <c r="H8" t="s">
        <v>139</v>
      </c>
      <c r="I8" t="s">
        <v>139</v>
      </c>
      <c r="J8" t="s">
        <v>139</v>
      </c>
      <c r="K8" t="s">
        <v>139</v>
      </c>
      <c r="L8" t="s">
        <v>139</v>
      </c>
      <c r="M8" t="s">
        <v>139</v>
      </c>
      <c r="N8" t="s">
        <v>139</v>
      </c>
      <c r="O8" t="s">
        <v>139</v>
      </c>
      <c r="P8" t="s">
        <v>139</v>
      </c>
      <c r="Q8" t="s">
        <v>139</v>
      </c>
      <c r="R8" t="s">
        <v>139</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s="1">
        <f>AVERAGE(C9:G9)</f>
        <v>1.682</v>
      </c>
      <c r="B9" t="s">
        <v>103</v>
      </c>
      <c r="C9">
        <v>1.65</v>
      </c>
      <c r="D9">
        <v>1.7</v>
      </c>
      <c r="E9">
        <v>1.71</v>
      </c>
      <c r="F9">
        <v>1.64</v>
      </c>
      <c r="G9">
        <v>1.71</v>
      </c>
      <c r="H9" t="s">
        <v>139</v>
      </c>
      <c r="I9" t="s">
        <v>139</v>
      </c>
      <c r="J9" t="s">
        <v>139</v>
      </c>
      <c r="K9" t="s">
        <v>139</v>
      </c>
      <c r="L9" t="s">
        <v>139</v>
      </c>
      <c r="M9" t="s">
        <v>139</v>
      </c>
      <c r="N9" t="s">
        <v>139</v>
      </c>
      <c r="O9" t="s">
        <v>139</v>
      </c>
      <c r="P9" t="s">
        <v>139</v>
      </c>
      <c r="Q9" t="s">
        <v>139</v>
      </c>
      <c r="R9" t="s">
        <v>139</v>
      </c>
      <c r="S9" t="s">
        <v>139</v>
      </c>
      <c r="T9" t="s">
        <v>139</v>
      </c>
      <c r="U9" t="s">
        <v>139</v>
      </c>
      <c r="V9" t="s">
        <v>139</v>
      </c>
      <c r="W9" t="s">
        <v>139</v>
      </c>
      <c r="X9" t="s">
        <v>139</v>
      </c>
      <c r="Y9" t="s">
        <v>139</v>
      </c>
      <c r="Z9" t="s">
        <v>139</v>
      </c>
      <c r="AA9" t="s">
        <v>139</v>
      </c>
      <c r="AB9" t="s">
        <v>139</v>
      </c>
      <c r="AC9" t="s">
        <v>139</v>
      </c>
      <c r="AD9" t="s">
        <v>139</v>
      </c>
      <c r="AE9" t="s">
        <v>139</v>
      </c>
      <c r="AF9" t="s">
        <v>139</v>
      </c>
      <c r="AG9" t="s">
        <v>139</v>
      </c>
      <c r="AH9" t="s">
        <v>139</v>
      </c>
      <c r="AI9" t="s">
        <v>139</v>
      </c>
      <c r="AJ9" t="s">
        <v>139</v>
      </c>
      <c r="AK9" t="s">
        <v>139</v>
      </c>
      <c r="AL9" t="s">
        <v>139</v>
      </c>
    </row>
    <row r="10" spans="1:38" ht="12.75">
      <c r="A10" s="1">
        <f>AVERAGE(C10:H10)</f>
        <v>1.7149999999999999</v>
      </c>
      <c r="B10" t="s">
        <v>104</v>
      </c>
      <c r="C10">
        <v>1.67</v>
      </c>
      <c r="D10">
        <v>1.72</v>
      </c>
      <c r="E10">
        <v>1.73</v>
      </c>
      <c r="F10">
        <v>1.72</v>
      </c>
      <c r="G10">
        <v>1.76</v>
      </c>
      <c r="H10">
        <v>1.69</v>
      </c>
      <c r="I10" t="s">
        <v>139</v>
      </c>
      <c r="J10" t="s">
        <v>139</v>
      </c>
      <c r="K10" t="s">
        <v>139</v>
      </c>
      <c r="L10" t="s">
        <v>139</v>
      </c>
      <c r="M10" t="s">
        <v>139</v>
      </c>
      <c r="N10" t="s">
        <v>139</v>
      </c>
      <c r="O10" t="s">
        <v>139</v>
      </c>
      <c r="P10" t="s">
        <v>139</v>
      </c>
      <c r="Q10" t="s">
        <v>139</v>
      </c>
      <c r="R10" t="s">
        <v>139</v>
      </c>
      <c r="S10" t="s">
        <v>139</v>
      </c>
      <c r="T10" t="s">
        <v>139</v>
      </c>
      <c r="U10" t="s">
        <v>139</v>
      </c>
      <c r="V10" t="s">
        <v>139</v>
      </c>
      <c r="W10" t="s">
        <v>139</v>
      </c>
      <c r="X10" t="s">
        <v>139</v>
      </c>
      <c r="Y10" t="s">
        <v>139</v>
      </c>
      <c r="Z10" t="s">
        <v>139</v>
      </c>
      <c r="AA10" t="s">
        <v>139</v>
      </c>
      <c r="AB10" t="s">
        <v>139</v>
      </c>
      <c r="AC10" t="s">
        <v>139</v>
      </c>
      <c r="AD10" t="s">
        <v>139</v>
      </c>
      <c r="AE10" t="s">
        <v>139</v>
      </c>
      <c r="AF10" t="s">
        <v>139</v>
      </c>
      <c r="AG10" t="s">
        <v>139</v>
      </c>
      <c r="AH10" t="s">
        <v>139</v>
      </c>
      <c r="AI10" t="s">
        <v>139</v>
      </c>
      <c r="AJ10" t="s">
        <v>139</v>
      </c>
      <c r="AK10" t="s">
        <v>139</v>
      </c>
      <c r="AL10" t="s">
        <v>139</v>
      </c>
    </row>
    <row r="11" spans="1:38" ht="12.75">
      <c r="A11" s="1">
        <f>AVERAGE(C11:I11)</f>
        <v>1.6900000000000002</v>
      </c>
      <c r="B11" t="s">
        <v>105</v>
      </c>
      <c r="C11">
        <v>1.65</v>
      </c>
      <c r="D11">
        <v>1.7</v>
      </c>
      <c r="E11">
        <v>1.67</v>
      </c>
      <c r="F11">
        <v>1.68</v>
      </c>
      <c r="G11">
        <v>1.71</v>
      </c>
      <c r="H11">
        <v>1.71</v>
      </c>
      <c r="I11">
        <v>1.71</v>
      </c>
      <c r="J11" t="s">
        <v>139</v>
      </c>
      <c r="K11" t="s">
        <v>139</v>
      </c>
      <c r="L11" t="s">
        <v>139</v>
      </c>
      <c r="M11" t="s">
        <v>139</v>
      </c>
      <c r="N11" t="s">
        <v>139</v>
      </c>
      <c r="O11" t="s">
        <v>139</v>
      </c>
      <c r="P11" t="s">
        <v>139</v>
      </c>
      <c r="Q11" t="s">
        <v>139</v>
      </c>
      <c r="R11" t="s">
        <v>139</v>
      </c>
      <c r="S11" t="s">
        <v>139</v>
      </c>
      <c r="T11" t="s">
        <v>139</v>
      </c>
      <c r="U11" t="s">
        <v>139</v>
      </c>
      <c r="V11" t="s">
        <v>139</v>
      </c>
      <c r="W11" t="s">
        <v>139</v>
      </c>
      <c r="X11" t="s">
        <v>139</v>
      </c>
      <c r="Y11" t="s">
        <v>139</v>
      </c>
      <c r="Z11" t="s">
        <v>139</v>
      </c>
      <c r="AA11" t="s">
        <v>139</v>
      </c>
      <c r="AB11" t="s">
        <v>139</v>
      </c>
      <c r="AC11" t="s">
        <v>139</v>
      </c>
      <c r="AD11" t="s">
        <v>139</v>
      </c>
      <c r="AE11" t="s">
        <v>139</v>
      </c>
      <c r="AF11" t="s">
        <v>139</v>
      </c>
      <c r="AG11" t="s">
        <v>139</v>
      </c>
      <c r="AH11" t="s">
        <v>139</v>
      </c>
      <c r="AI11" t="s">
        <v>139</v>
      </c>
      <c r="AJ11" t="s">
        <v>139</v>
      </c>
      <c r="AK11" t="s">
        <v>139</v>
      </c>
      <c r="AL11" t="s">
        <v>139</v>
      </c>
    </row>
    <row r="12" spans="1:38" ht="12.75">
      <c r="A12" s="1">
        <f>AVERAGE(C12:J12)</f>
        <v>1.7087499999999998</v>
      </c>
      <c r="B12" t="s">
        <v>106</v>
      </c>
      <c r="C12">
        <v>1.66</v>
      </c>
      <c r="D12">
        <v>1.75</v>
      </c>
      <c r="E12">
        <v>1.72</v>
      </c>
      <c r="F12">
        <v>1.72</v>
      </c>
      <c r="G12">
        <v>1.71</v>
      </c>
      <c r="H12">
        <v>1.71</v>
      </c>
      <c r="I12">
        <v>1.69</v>
      </c>
      <c r="J12">
        <v>1.71</v>
      </c>
      <c r="K12" t="s">
        <v>139</v>
      </c>
      <c r="L12" t="s">
        <v>139</v>
      </c>
      <c r="M12" t="s">
        <v>139</v>
      </c>
      <c r="N12" t="s">
        <v>139</v>
      </c>
      <c r="O12" t="s">
        <v>139</v>
      </c>
      <c r="P12" t="s">
        <v>139</v>
      </c>
      <c r="Q12" t="s">
        <v>139</v>
      </c>
      <c r="R12" t="s">
        <v>139</v>
      </c>
      <c r="S12" t="s">
        <v>139</v>
      </c>
      <c r="T12" t="s">
        <v>139</v>
      </c>
      <c r="U12" t="s">
        <v>139</v>
      </c>
      <c r="V12" t="s">
        <v>139</v>
      </c>
      <c r="W12" t="s">
        <v>139</v>
      </c>
      <c r="X12" t="s">
        <v>139</v>
      </c>
      <c r="Y12" t="s">
        <v>139</v>
      </c>
      <c r="Z12" t="s">
        <v>139</v>
      </c>
      <c r="AA12" t="s">
        <v>139</v>
      </c>
      <c r="AB12" t="s">
        <v>139</v>
      </c>
      <c r="AC12" t="s">
        <v>139</v>
      </c>
      <c r="AD12" t="s">
        <v>139</v>
      </c>
      <c r="AE12" t="s">
        <v>139</v>
      </c>
      <c r="AF12" t="s">
        <v>139</v>
      </c>
      <c r="AG12" t="s">
        <v>139</v>
      </c>
      <c r="AH12" t="s">
        <v>139</v>
      </c>
      <c r="AI12" t="s">
        <v>139</v>
      </c>
      <c r="AJ12" t="s">
        <v>139</v>
      </c>
      <c r="AK12" t="s">
        <v>139</v>
      </c>
      <c r="AL12" t="s">
        <v>139</v>
      </c>
    </row>
    <row r="13" spans="1:38" ht="12.75">
      <c r="A13" s="1">
        <f>AVERAGE(C13:K13)</f>
        <v>1.7055555555555555</v>
      </c>
      <c r="B13" t="s">
        <v>107</v>
      </c>
      <c r="C13">
        <v>1.67</v>
      </c>
      <c r="D13">
        <v>1.74</v>
      </c>
      <c r="E13">
        <v>1.72</v>
      </c>
      <c r="F13">
        <v>1.67</v>
      </c>
      <c r="G13">
        <v>1.72</v>
      </c>
      <c r="H13">
        <v>1.72</v>
      </c>
      <c r="I13">
        <v>1.71</v>
      </c>
      <c r="J13">
        <v>1.72</v>
      </c>
      <c r="K13">
        <v>1.68</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c r="AF13" t="s">
        <v>139</v>
      </c>
      <c r="AG13" t="s">
        <v>139</v>
      </c>
      <c r="AH13" t="s">
        <v>139</v>
      </c>
      <c r="AI13" t="s">
        <v>139</v>
      </c>
      <c r="AJ13" t="s">
        <v>139</v>
      </c>
      <c r="AK13" t="s">
        <v>139</v>
      </c>
      <c r="AL13" t="s">
        <v>139</v>
      </c>
    </row>
    <row r="14" spans="1:38" ht="12.75">
      <c r="A14" s="1">
        <f>AVERAGE(C14:L14)</f>
        <v>1.7280000000000002</v>
      </c>
      <c r="B14" t="s">
        <v>108</v>
      </c>
      <c r="C14">
        <v>1.69</v>
      </c>
      <c r="D14">
        <v>1.75</v>
      </c>
      <c r="E14">
        <v>1.74</v>
      </c>
      <c r="F14">
        <v>1.7</v>
      </c>
      <c r="G14">
        <v>1.74</v>
      </c>
      <c r="H14">
        <v>1.74</v>
      </c>
      <c r="I14">
        <v>1.71</v>
      </c>
      <c r="J14">
        <v>1.75</v>
      </c>
      <c r="K14">
        <v>1.71</v>
      </c>
      <c r="L14">
        <v>1.75</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row>
    <row r="15" spans="1:38" ht="12.75">
      <c r="A15" s="1">
        <f>AVERAGE(C15:M15)</f>
        <v>1.6936363636363638</v>
      </c>
      <c r="B15" t="s">
        <v>109</v>
      </c>
      <c r="C15">
        <v>1.66</v>
      </c>
      <c r="D15">
        <v>1.74</v>
      </c>
      <c r="E15">
        <v>1.72</v>
      </c>
      <c r="F15">
        <v>1.69</v>
      </c>
      <c r="G15">
        <v>1.72</v>
      </c>
      <c r="H15">
        <v>1.67</v>
      </c>
      <c r="I15">
        <v>1.68</v>
      </c>
      <c r="J15">
        <v>1.71</v>
      </c>
      <c r="K15">
        <v>1.67</v>
      </c>
      <c r="L15">
        <v>1.68</v>
      </c>
      <c r="M15">
        <v>1.69</v>
      </c>
      <c r="N15" t="s">
        <v>139</v>
      </c>
      <c r="O15" t="s">
        <v>139</v>
      </c>
      <c r="P15" t="s">
        <v>139</v>
      </c>
      <c r="Q15" t="s">
        <v>139</v>
      </c>
      <c r="R15" t="s">
        <v>139</v>
      </c>
      <c r="S15" t="s">
        <v>139</v>
      </c>
      <c r="T15" t="s">
        <v>139</v>
      </c>
      <c r="U15" t="s">
        <v>139</v>
      </c>
      <c r="V15" t="s">
        <v>139</v>
      </c>
      <c r="W15" t="s">
        <v>139</v>
      </c>
      <c r="X15" t="s">
        <v>139</v>
      </c>
      <c r="Y15" t="s">
        <v>139</v>
      </c>
      <c r="Z15" t="s">
        <v>139</v>
      </c>
      <c r="AA15" t="s">
        <v>139</v>
      </c>
      <c r="AB15" t="s">
        <v>139</v>
      </c>
      <c r="AC15" t="s">
        <v>139</v>
      </c>
      <c r="AD15" t="s">
        <v>139</v>
      </c>
      <c r="AE15" t="s">
        <v>139</v>
      </c>
      <c r="AF15" t="s">
        <v>139</v>
      </c>
      <c r="AG15" t="s">
        <v>139</v>
      </c>
      <c r="AH15" t="s">
        <v>139</v>
      </c>
      <c r="AI15" t="s">
        <v>139</v>
      </c>
      <c r="AJ15" t="s">
        <v>139</v>
      </c>
      <c r="AK15" t="s">
        <v>139</v>
      </c>
      <c r="AL15" t="s">
        <v>139</v>
      </c>
    </row>
    <row r="16" spans="1:38" ht="12.75">
      <c r="A16" s="1">
        <f>AVERAGE(C16:N16)</f>
        <v>1.7283333333333335</v>
      </c>
      <c r="B16" t="s">
        <v>110</v>
      </c>
      <c r="C16">
        <v>1.67</v>
      </c>
      <c r="D16">
        <v>1.76</v>
      </c>
      <c r="E16">
        <v>1.76</v>
      </c>
      <c r="F16">
        <v>1.72</v>
      </c>
      <c r="G16">
        <v>1.76</v>
      </c>
      <c r="H16">
        <v>1.72</v>
      </c>
      <c r="I16">
        <v>1.72</v>
      </c>
      <c r="J16">
        <v>1.73</v>
      </c>
      <c r="K16">
        <v>1.69</v>
      </c>
      <c r="L16">
        <v>1.76</v>
      </c>
      <c r="M16">
        <v>1.75</v>
      </c>
      <c r="N16">
        <v>1.7</v>
      </c>
      <c r="O16" t="s">
        <v>139</v>
      </c>
      <c r="P16" t="s">
        <v>139</v>
      </c>
      <c r="Q16" t="s">
        <v>139</v>
      </c>
      <c r="R16" t="s">
        <v>139</v>
      </c>
      <c r="S16" t="s">
        <v>139</v>
      </c>
      <c r="T16" t="s">
        <v>139</v>
      </c>
      <c r="U16" t="s">
        <v>139</v>
      </c>
      <c r="V16" t="s">
        <v>139</v>
      </c>
      <c r="W16" t="s">
        <v>139</v>
      </c>
      <c r="X16" t="s">
        <v>139</v>
      </c>
      <c r="Y16" t="s">
        <v>139</v>
      </c>
      <c r="Z16" t="s">
        <v>139</v>
      </c>
      <c r="AA16" t="s">
        <v>139</v>
      </c>
      <c r="AB16" t="s">
        <v>139</v>
      </c>
      <c r="AC16" t="s">
        <v>139</v>
      </c>
      <c r="AD16" t="s">
        <v>139</v>
      </c>
      <c r="AE16" t="s">
        <v>139</v>
      </c>
      <c r="AF16" t="s">
        <v>139</v>
      </c>
      <c r="AG16" t="s">
        <v>139</v>
      </c>
      <c r="AH16" t="s">
        <v>139</v>
      </c>
      <c r="AI16" t="s">
        <v>139</v>
      </c>
      <c r="AJ16" t="s">
        <v>139</v>
      </c>
      <c r="AK16" t="s">
        <v>139</v>
      </c>
      <c r="AL16" t="s">
        <v>139</v>
      </c>
    </row>
    <row r="17" spans="1:38" ht="12.75">
      <c r="A17" s="1">
        <f>AVERAGE(C17:O17)</f>
        <v>1.7153846153846155</v>
      </c>
      <c r="B17" t="s">
        <v>111</v>
      </c>
      <c r="C17">
        <v>1.68</v>
      </c>
      <c r="D17">
        <v>1.74</v>
      </c>
      <c r="E17">
        <v>1.72</v>
      </c>
      <c r="F17">
        <v>1.7</v>
      </c>
      <c r="G17">
        <v>1.71</v>
      </c>
      <c r="H17">
        <v>1.7</v>
      </c>
      <c r="I17">
        <v>1.72</v>
      </c>
      <c r="J17">
        <v>1.72</v>
      </c>
      <c r="K17">
        <v>1.68</v>
      </c>
      <c r="L17">
        <v>1.72</v>
      </c>
      <c r="M17">
        <v>1.73</v>
      </c>
      <c r="N17">
        <v>1.75</v>
      </c>
      <c r="O17">
        <v>1.73</v>
      </c>
      <c r="P17" t="s">
        <v>139</v>
      </c>
      <c r="Q17" t="s">
        <v>139</v>
      </c>
      <c r="R17" t="s">
        <v>139</v>
      </c>
      <c r="S17" t="s">
        <v>139</v>
      </c>
      <c r="T17" t="s">
        <v>139</v>
      </c>
      <c r="U17" t="s">
        <v>139</v>
      </c>
      <c r="V17" t="s">
        <v>139</v>
      </c>
      <c r="W17" t="s">
        <v>139</v>
      </c>
      <c r="X17" t="s">
        <v>139</v>
      </c>
      <c r="Y17" t="s">
        <v>139</v>
      </c>
      <c r="Z17" t="s">
        <v>139</v>
      </c>
      <c r="AA17" t="s">
        <v>139</v>
      </c>
      <c r="AB17" t="s">
        <v>139</v>
      </c>
      <c r="AC17" t="s">
        <v>139</v>
      </c>
      <c r="AD17" t="s">
        <v>139</v>
      </c>
      <c r="AE17" t="s">
        <v>139</v>
      </c>
      <c r="AF17" t="s">
        <v>139</v>
      </c>
      <c r="AG17" t="s">
        <v>139</v>
      </c>
      <c r="AH17" t="s">
        <v>139</v>
      </c>
      <c r="AI17" t="s">
        <v>139</v>
      </c>
      <c r="AJ17" t="s">
        <v>139</v>
      </c>
      <c r="AK17" t="s">
        <v>139</v>
      </c>
      <c r="AL17" t="s">
        <v>139</v>
      </c>
    </row>
    <row r="18" spans="1:38" ht="12.75">
      <c r="A18" s="1">
        <f>AVERAGE(C18:P18)</f>
        <v>1.7014285714285713</v>
      </c>
      <c r="B18" t="s">
        <v>112</v>
      </c>
      <c r="C18">
        <v>1.67</v>
      </c>
      <c r="D18">
        <v>1.73</v>
      </c>
      <c r="E18">
        <v>1.72</v>
      </c>
      <c r="F18">
        <v>1.68</v>
      </c>
      <c r="G18">
        <v>1.74</v>
      </c>
      <c r="H18">
        <v>1.69</v>
      </c>
      <c r="I18">
        <v>1.71</v>
      </c>
      <c r="J18">
        <v>1.72</v>
      </c>
      <c r="K18">
        <v>1.68</v>
      </c>
      <c r="L18">
        <v>1.71</v>
      </c>
      <c r="M18">
        <v>1.72</v>
      </c>
      <c r="N18">
        <v>1.67</v>
      </c>
      <c r="O18">
        <v>1.72</v>
      </c>
      <c r="P18">
        <v>1.66</v>
      </c>
      <c r="Q18" t="s">
        <v>139</v>
      </c>
      <c r="R18" t="s">
        <v>139</v>
      </c>
      <c r="S18" t="s">
        <v>139</v>
      </c>
      <c r="T18" t="s">
        <v>139</v>
      </c>
      <c r="U18" t="s">
        <v>139</v>
      </c>
      <c r="V18" t="s">
        <v>139</v>
      </c>
      <c r="W18" t="s">
        <v>139</v>
      </c>
      <c r="X18" t="s">
        <v>139</v>
      </c>
      <c r="Y18" t="s">
        <v>139</v>
      </c>
      <c r="Z18" t="s">
        <v>139</v>
      </c>
      <c r="AA18" t="s">
        <v>139</v>
      </c>
      <c r="AB18" t="s">
        <v>139</v>
      </c>
      <c r="AC18" t="s">
        <v>139</v>
      </c>
      <c r="AD18" t="s">
        <v>139</v>
      </c>
      <c r="AE18" t="s">
        <v>139</v>
      </c>
      <c r="AF18" t="s">
        <v>139</v>
      </c>
      <c r="AG18" t="s">
        <v>139</v>
      </c>
      <c r="AH18" t="s">
        <v>139</v>
      </c>
      <c r="AI18" t="s">
        <v>139</v>
      </c>
      <c r="AJ18" t="s">
        <v>139</v>
      </c>
      <c r="AK18" t="s">
        <v>139</v>
      </c>
      <c r="AL18" t="s">
        <v>139</v>
      </c>
    </row>
    <row r="19" spans="1:38" ht="12.75">
      <c r="A19" s="1">
        <f>AVERAGE(C19:Q19)</f>
        <v>1.6813333333333336</v>
      </c>
      <c r="B19" t="s">
        <v>113</v>
      </c>
      <c r="C19">
        <v>1.64</v>
      </c>
      <c r="D19">
        <v>1.69</v>
      </c>
      <c r="E19">
        <v>1.69</v>
      </c>
      <c r="F19">
        <v>1.65</v>
      </c>
      <c r="G19">
        <v>1.68</v>
      </c>
      <c r="H19">
        <v>1.65</v>
      </c>
      <c r="I19">
        <v>1.67</v>
      </c>
      <c r="J19">
        <v>1.7</v>
      </c>
      <c r="K19">
        <v>1.66</v>
      </c>
      <c r="L19">
        <v>1.7</v>
      </c>
      <c r="M19">
        <v>1.7</v>
      </c>
      <c r="N19">
        <v>1.67</v>
      </c>
      <c r="O19">
        <v>1.69</v>
      </c>
      <c r="P19">
        <v>1.68</v>
      </c>
      <c r="Q19">
        <v>1.75</v>
      </c>
      <c r="R19" t="s">
        <v>139</v>
      </c>
      <c r="S19" t="s">
        <v>139</v>
      </c>
      <c r="T19" t="s">
        <v>139</v>
      </c>
      <c r="U19" t="s">
        <v>139</v>
      </c>
      <c r="V19" t="s">
        <v>139</v>
      </c>
      <c r="W19" t="s">
        <v>139</v>
      </c>
      <c r="X19" t="s">
        <v>139</v>
      </c>
      <c r="Y19" t="s">
        <v>139</v>
      </c>
      <c r="Z19" t="s">
        <v>139</v>
      </c>
      <c r="AA19" t="s">
        <v>139</v>
      </c>
      <c r="AB19" t="s">
        <v>139</v>
      </c>
      <c r="AC19" t="s">
        <v>139</v>
      </c>
      <c r="AD19" t="s">
        <v>139</v>
      </c>
      <c r="AE19" t="s">
        <v>139</v>
      </c>
      <c r="AF19" t="s">
        <v>139</v>
      </c>
      <c r="AG19" t="s">
        <v>139</v>
      </c>
      <c r="AH19" t="s">
        <v>139</v>
      </c>
      <c r="AI19" t="s">
        <v>139</v>
      </c>
      <c r="AJ19" t="s">
        <v>139</v>
      </c>
      <c r="AK19" t="s">
        <v>139</v>
      </c>
      <c r="AL19" t="s">
        <v>139</v>
      </c>
    </row>
    <row r="20" spans="1:38" ht="12.75">
      <c r="A20" s="1">
        <f>AVERAGE(C20:R20)</f>
        <v>1.7106249999999998</v>
      </c>
      <c r="B20" t="s">
        <v>114</v>
      </c>
      <c r="C20">
        <v>1.65</v>
      </c>
      <c r="D20">
        <v>1.74</v>
      </c>
      <c r="E20">
        <v>1.73</v>
      </c>
      <c r="F20">
        <v>1.7</v>
      </c>
      <c r="G20">
        <v>1.73</v>
      </c>
      <c r="H20">
        <v>1.68</v>
      </c>
      <c r="I20">
        <v>1.7</v>
      </c>
      <c r="J20">
        <v>1.71</v>
      </c>
      <c r="K20">
        <v>1.7</v>
      </c>
      <c r="L20">
        <v>1.71</v>
      </c>
      <c r="M20">
        <v>1.72</v>
      </c>
      <c r="N20">
        <v>1.72</v>
      </c>
      <c r="O20">
        <v>1.69</v>
      </c>
      <c r="P20">
        <v>1.68</v>
      </c>
      <c r="Q20">
        <v>1.78</v>
      </c>
      <c r="R20">
        <v>1.73</v>
      </c>
      <c r="S20" t="s">
        <v>139</v>
      </c>
      <c r="T20" t="s">
        <v>139</v>
      </c>
      <c r="U20" t="s">
        <v>139</v>
      </c>
      <c r="V20" t="s">
        <v>139</v>
      </c>
      <c r="W20" t="s">
        <v>139</v>
      </c>
      <c r="X20" t="s">
        <v>139</v>
      </c>
      <c r="Y20" t="s">
        <v>139</v>
      </c>
      <c r="Z20" t="s">
        <v>139</v>
      </c>
      <c r="AA20" t="s">
        <v>139</v>
      </c>
      <c r="AB20" t="s">
        <v>139</v>
      </c>
      <c r="AC20" t="s">
        <v>139</v>
      </c>
      <c r="AD20" t="s">
        <v>139</v>
      </c>
      <c r="AE20" t="s">
        <v>139</v>
      </c>
      <c r="AF20" t="s">
        <v>139</v>
      </c>
      <c r="AG20" t="s">
        <v>139</v>
      </c>
      <c r="AH20" t="s">
        <v>139</v>
      </c>
      <c r="AI20" t="s">
        <v>139</v>
      </c>
      <c r="AJ20" t="s">
        <v>139</v>
      </c>
      <c r="AK20" t="s">
        <v>139</v>
      </c>
      <c r="AL20" t="s">
        <v>139</v>
      </c>
    </row>
    <row r="21" spans="1:38" ht="12.75">
      <c r="A21" s="1">
        <f>AVERAGE(C21:S21)</f>
        <v>1.6982352941176466</v>
      </c>
      <c r="B21" t="s">
        <v>115</v>
      </c>
      <c r="C21">
        <v>1.64</v>
      </c>
      <c r="D21">
        <v>1.72</v>
      </c>
      <c r="E21">
        <v>1.69</v>
      </c>
      <c r="F21">
        <v>1.69</v>
      </c>
      <c r="G21">
        <v>1.7</v>
      </c>
      <c r="H21">
        <v>1.69</v>
      </c>
      <c r="I21">
        <v>1.68</v>
      </c>
      <c r="J21">
        <v>1.7</v>
      </c>
      <c r="K21">
        <v>1.68</v>
      </c>
      <c r="L21">
        <v>1.7</v>
      </c>
      <c r="M21">
        <v>1.72</v>
      </c>
      <c r="N21">
        <v>1.66</v>
      </c>
      <c r="O21">
        <v>1.69</v>
      </c>
      <c r="P21">
        <v>1.68</v>
      </c>
      <c r="Q21">
        <v>1.74</v>
      </c>
      <c r="R21">
        <v>1.75</v>
      </c>
      <c r="S21">
        <v>1.74</v>
      </c>
      <c r="T21" t="s">
        <v>139</v>
      </c>
      <c r="U21" t="s">
        <v>139</v>
      </c>
      <c r="V21" t="s">
        <v>139</v>
      </c>
      <c r="W21" t="s">
        <v>139</v>
      </c>
      <c r="X21" t="s">
        <v>139</v>
      </c>
      <c r="Y21" t="s">
        <v>139</v>
      </c>
      <c r="Z21" t="s">
        <v>139</v>
      </c>
      <c r="AA21" t="s">
        <v>139</v>
      </c>
      <c r="AB21" t="s">
        <v>139</v>
      </c>
      <c r="AC21" t="s">
        <v>139</v>
      </c>
      <c r="AD21" t="s">
        <v>139</v>
      </c>
      <c r="AE21" t="s">
        <v>139</v>
      </c>
      <c r="AF21" t="s">
        <v>139</v>
      </c>
      <c r="AG21" t="s">
        <v>139</v>
      </c>
      <c r="AH21" t="s">
        <v>139</v>
      </c>
      <c r="AI21" t="s">
        <v>139</v>
      </c>
      <c r="AJ21" t="s">
        <v>139</v>
      </c>
      <c r="AK21" t="s">
        <v>139</v>
      </c>
      <c r="AL21" t="s">
        <v>139</v>
      </c>
    </row>
    <row r="22" spans="1:38" ht="12.75">
      <c r="A22" s="1">
        <f>AVERAGE(C22:T22)</f>
        <v>1.7255555555555555</v>
      </c>
      <c r="B22" t="s">
        <v>116</v>
      </c>
      <c r="C22">
        <v>1.68</v>
      </c>
      <c r="D22">
        <v>1.73</v>
      </c>
      <c r="E22">
        <v>1.75</v>
      </c>
      <c r="F22">
        <v>1.69</v>
      </c>
      <c r="G22">
        <v>1.73</v>
      </c>
      <c r="H22">
        <v>1.71</v>
      </c>
      <c r="I22">
        <v>1.71</v>
      </c>
      <c r="J22">
        <v>1.73</v>
      </c>
      <c r="K22">
        <v>1.7</v>
      </c>
      <c r="L22">
        <v>1.69</v>
      </c>
      <c r="M22">
        <v>1.74</v>
      </c>
      <c r="N22">
        <v>1.73</v>
      </c>
      <c r="O22">
        <v>1.69</v>
      </c>
      <c r="P22">
        <v>1.71</v>
      </c>
      <c r="Q22">
        <v>1.83</v>
      </c>
      <c r="R22">
        <v>1.75</v>
      </c>
      <c r="S22">
        <v>1.74</v>
      </c>
      <c r="T22">
        <v>1.75</v>
      </c>
      <c r="U22" t="s">
        <v>139</v>
      </c>
      <c r="V22" t="s">
        <v>139</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row>
    <row r="23" spans="1:38" ht="12.75">
      <c r="A23" s="1">
        <f>AVERAGE(C23:U23)</f>
        <v>1.7126315789473683</v>
      </c>
      <c r="B23" t="s">
        <v>117</v>
      </c>
      <c r="C23">
        <v>1.66</v>
      </c>
      <c r="D23">
        <v>1.75</v>
      </c>
      <c r="E23">
        <v>1.71</v>
      </c>
      <c r="F23">
        <v>1.71</v>
      </c>
      <c r="G23">
        <v>1.74</v>
      </c>
      <c r="H23">
        <v>1.7</v>
      </c>
      <c r="I23">
        <v>1.72</v>
      </c>
      <c r="J23">
        <v>1.71</v>
      </c>
      <c r="K23">
        <v>1.69</v>
      </c>
      <c r="L23">
        <v>1.74</v>
      </c>
      <c r="M23">
        <v>1.73</v>
      </c>
      <c r="N23">
        <v>1.7</v>
      </c>
      <c r="O23">
        <v>1.71</v>
      </c>
      <c r="P23">
        <v>1.67</v>
      </c>
      <c r="Q23">
        <v>1.8</v>
      </c>
      <c r="R23">
        <v>1.71</v>
      </c>
      <c r="S23">
        <v>1.7</v>
      </c>
      <c r="T23">
        <v>1.69</v>
      </c>
      <c r="U23">
        <v>1.7</v>
      </c>
      <c r="V23" t="s">
        <v>139</v>
      </c>
      <c r="W23" t="s">
        <v>139</v>
      </c>
      <c r="X23" t="s">
        <v>139</v>
      </c>
      <c r="Y23" t="s">
        <v>139</v>
      </c>
      <c r="Z23" t="s">
        <v>139</v>
      </c>
      <c r="AA23" t="s">
        <v>139</v>
      </c>
      <c r="AB23" t="s">
        <v>139</v>
      </c>
      <c r="AC23" t="s">
        <v>139</v>
      </c>
      <c r="AD23" t="s">
        <v>139</v>
      </c>
      <c r="AE23" t="s">
        <v>139</v>
      </c>
      <c r="AF23" t="s">
        <v>139</v>
      </c>
      <c r="AG23" t="s">
        <v>139</v>
      </c>
      <c r="AH23" t="s">
        <v>139</v>
      </c>
      <c r="AI23" t="s">
        <v>139</v>
      </c>
      <c r="AJ23" t="s">
        <v>139</v>
      </c>
      <c r="AK23" t="s">
        <v>139</v>
      </c>
      <c r="AL23" t="s">
        <v>139</v>
      </c>
    </row>
    <row r="24" spans="1:38" ht="12.75">
      <c r="A24" s="1">
        <f>AVERAGE(C24:V24)</f>
        <v>1.7174999999999998</v>
      </c>
      <c r="B24" t="s">
        <v>118</v>
      </c>
      <c r="C24">
        <v>1.69</v>
      </c>
      <c r="D24">
        <v>1.74</v>
      </c>
      <c r="E24">
        <v>1.72</v>
      </c>
      <c r="F24">
        <v>1.69</v>
      </c>
      <c r="G24">
        <v>1.73</v>
      </c>
      <c r="H24">
        <v>1.69</v>
      </c>
      <c r="I24">
        <v>1.71</v>
      </c>
      <c r="J24">
        <v>1.75</v>
      </c>
      <c r="K24">
        <v>1.68</v>
      </c>
      <c r="L24">
        <v>1.74</v>
      </c>
      <c r="M24">
        <v>1.73</v>
      </c>
      <c r="N24">
        <v>1.71</v>
      </c>
      <c r="O24">
        <v>1.73</v>
      </c>
      <c r="P24">
        <v>1.68</v>
      </c>
      <c r="Q24">
        <v>1.79</v>
      </c>
      <c r="R24">
        <v>1.7</v>
      </c>
      <c r="S24">
        <v>1.73</v>
      </c>
      <c r="T24">
        <v>1.74</v>
      </c>
      <c r="U24">
        <v>1.68</v>
      </c>
      <c r="V24">
        <v>1.72</v>
      </c>
      <c r="W24" t="s">
        <v>139</v>
      </c>
      <c r="X24" t="s">
        <v>139</v>
      </c>
      <c r="Y24" t="s">
        <v>139</v>
      </c>
      <c r="Z24" t="s">
        <v>139</v>
      </c>
      <c r="AA24" t="s">
        <v>139</v>
      </c>
      <c r="AB24" t="s">
        <v>139</v>
      </c>
      <c r="AC24" t="s">
        <v>139</v>
      </c>
      <c r="AD24" t="s">
        <v>139</v>
      </c>
      <c r="AE24" t="s">
        <v>139</v>
      </c>
      <c r="AF24" t="s">
        <v>139</v>
      </c>
      <c r="AG24" t="s">
        <v>139</v>
      </c>
      <c r="AH24" t="s">
        <v>139</v>
      </c>
      <c r="AI24" t="s">
        <v>139</v>
      </c>
      <c r="AJ24" t="s">
        <v>139</v>
      </c>
      <c r="AK24" t="s">
        <v>139</v>
      </c>
      <c r="AL24" t="s">
        <v>139</v>
      </c>
    </row>
    <row r="25" spans="1:38" ht="12.75">
      <c r="A25" s="1">
        <f>AVERAGE(C25:W25)</f>
        <v>1.7004761904761903</v>
      </c>
      <c r="B25" t="s">
        <v>119</v>
      </c>
      <c r="C25">
        <v>1.65</v>
      </c>
      <c r="D25">
        <v>1.72</v>
      </c>
      <c r="E25">
        <v>1.7</v>
      </c>
      <c r="F25">
        <v>1.67</v>
      </c>
      <c r="G25">
        <v>1.7</v>
      </c>
      <c r="H25">
        <v>1.68</v>
      </c>
      <c r="I25">
        <v>1.68</v>
      </c>
      <c r="J25">
        <v>1.69</v>
      </c>
      <c r="K25">
        <v>1.68</v>
      </c>
      <c r="L25">
        <v>1.72</v>
      </c>
      <c r="M25">
        <v>1.72</v>
      </c>
      <c r="N25">
        <v>1.7</v>
      </c>
      <c r="O25">
        <v>1.7</v>
      </c>
      <c r="P25">
        <v>1.7</v>
      </c>
      <c r="Q25">
        <v>1.79</v>
      </c>
      <c r="R25">
        <v>1.7</v>
      </c>
      <c r="S25">
        <v>1.7</v>
      </c>
      <c r="T25">
        <v>1.7</v>
      </c>
      <c r="U25">
        <v>1.69</v>
      </c>
      <c r="V25">
        <v>1.68</v>
      </c>
      <c r="W25">
        <v>1.74</v>
      </c>
      <c r="X25" t="s">
        <v>139</v>
      </c>
      <c r="Y25" t="s">
        <v>139</v>
      </c>
      <c r="Z25" t="s">
        <v>139</v>
      </c>
      <c r="AA25" t="s">
        <v>139</v>
      </c>
      <c r="AB25" t="s">
        <v>139</v>
      </c>
      <c r="AC25" t="s">
        <v>139</v>
      </c>
      <c r="AD25" t="s">
        <v>139</v>
      </c>
      <c r="AE25" t="s">
        <v>139</v>
      </c>
      <c r="AF25" t="s">
        <v>139</v>
      </c>
      <c r="AG25" t="s">
        <v>139</v>
      </c>
      <c r="AH25" t="s">
        <v>139</v>
      </c>
      <c r="AI25" t="s">
        <v>139</v>
      </c>
      <c r="AJ25" t="s">
        <v>139</v>
      </c>
      <c r="AK25" t="s">
        <v>139</v>
      </c>
      <c r="AL25" t="s">
        <v>139</v>
      </c>
    </row>
    <row r="26" spans="1:38" ht="12.75">
      <c r="A26" s="1">
        <f>AVERAGE(C26:X26)</f>
        <v>1.7277272727272723</v>
      </c>
      <c r="B26" t="s">
        <v>120</v>
      </c>
      <c r="C26">
        <v>1.7</v>
      </c>
      <c r="D26">
        <v>1.75</v>
      </c>
      <c r="E26">
        <v>1.73</v>
      </c>
      <c r="F26">
        <v>1.71</v>
      </c>
      <c r="G26">
        <v>1.74</v>
      </c>
      <c r="H26">
        <v>1.72</v>
      </c>
      <c r="I26">
        <v>1.73</v>
      </c>
      <c r="J26">
        <v>1.72</v>
      </c>
      <c r="K26">
        <v>1.7</v>
      </c>
      <c r="L26">
        <v>1.72</v>
      </c>
      <c r="M26">
        <v>1.73</v>
      </c>
      <c r="N26">
        <v>1.72</v>
      </c>
      <c r="O26">
        <v>1.71</v>
      </c>
      <c r="P26">
        <v>1.7</v>
      </c>
      <c r="Q26">
        <v>1.8</v>
      </c>
      <c r="R26">
        <v>1.75</v>
      </c>
      <c r="S26">
        <v>1.72</v>
      </c>
      <c r="T26">
        <v>1.69</v>
      </c>
      <c r="U26">
        <v>1.72</v>
      </c>
      <c r="V26">
        <v>1.73</v>
      </c>
      <c r="W26">
        <v>1.76</v>
      </c>
      <c r="X26">
        <v>1.76</v>
      </c>
      <c r="Y26" t="s">
        <v>139</v>
      </c>
      <c r="Z26" t="s">
        <v>139</v>
      </c>
      <c r="AA26" t="s">
        <v>139</v>
      </c>
      <c r="AB26" t="s">
        <v>139</v>
      </c>
      <c r="AC26" t="s">
        <v>139</v>
      </c>
      <c r="AD26" t="s">
        <v>139</v>
      </c>
      <c r="AE26" t="s">
        <v>139</v>
      </c>
      <c r="AF26" t="s">
        <v>139</v>
      </c>
      <c r="AG26" t="s">
        <v>139</v>
      </c>
      <c r="AH26" t="s">
        <v>139</v>
      </c>
      <c r="AI26" t="s">
        <v>139</v>
      </c>
      <c r="AJ26" t="s">
        <v>139</v>
      </c>
      <c r="AK26" t="s">
        <v>139</v>
      </c>
      <c r="AL26" t="s">
        <v>139</v>
      </c>
    </row>
    <row r="27" spans="1:38" ht="12.75">
      <c r="A27" s="1">
        <f>AVERAGE(C27:Y27)</f>
        <v>1.6982608695652177</v>
      </c>
      <c r="B27" t="s">
        <v>121</v>
      </c>
      <c r="C27">
        <v>1.65</v>
      </c>
      <c r="D27">
        <v>1.73</v>
      </c>
      <c r="E27">
        <v>1.71</v>
      </c>
      <c r="F27">
        <v>1.68</v>
      </c>
      <c r="G27">
        <v>1.71</v>
      </c>
      <c r="H27">
        <v>1.69</v>
      </c>
      <c r="I27">
        <v>1.69</v>
      </c>
      <c r="J27">
        <v>1.71</v>
      </c>
      <c r="K27">
        <v>1.66</v>
      </c>
      <c r="L27">
        <v>1.7</v>
      </c>
      <c r="M27">
        <v>1.71</v>
      </c>
      <c r="N27">
        <v>1.68</v>
      </c>
      <c r="O27">
        <v>1.71</v>
      </c>
      <c r="P27">
        <v>1.68</v>
      </c>
      <c r="Q27">
        <v>1.77</v>
      </c>
      <c r="R27">
        <v>1.7</v>
      </c>
      <c r="S27">
        <v>1.71</v>
      </c>
      <c r="T27">
        <v>1.66</v>
      </c>
      <c r="U27">
        <v>1.68</v>
      </c>
      <c r="V27">
        <v>1.7</v>
      </c>
      <c r="W27">
        <v>1.74</v>
      </c>
      <c r="X27">
        <v>1.69</v>
      </c>
      <c r="Y27">
        <v>1.7</v>
      </c>
      <c r="Z27" t="s">
        <v>139</v>
      </c>
      <c r="AA27" t="s">
        <v>139</v>
      </c>
      <c r="AB27" t="s">
        <v>139</v>
      </c>
      <c r="AC27" t="s">
        <v>139</v>
      </c>
      <c r="AD27" t="s">
        <v>139</v>
      </c>
      <c r="AE27" t="s">
        <v>139</v>
      </c>
      <c r="AF27" t="s">
        <v>139</v>
      </c>
      <c r="AG27" t="s">
        <v>139</v>
      </c>
      <c r="AH27" t="s">
        <v>139</v>
      </c>
      <c r="AI27" t="s">
        <v>139</v>
      </c>
      <c r="AJ27" t="s">
        <v>139</v>
      </c>
      <c r="AK27" t="s">
        <v>139</v>
      </c>
      <c r="AL27" t="s">
        <v>139</v>
      </c>
    </row>
    <row r="28" spans="1:38" ht="12.75">
      <c r="A28" s="1">
        <f>AVERAGE(C28:Z28)</f>
        <v>1.723333333333333</v>
      </c>
      <c r="B28" t="s">
        <v>122</v>
      </c>
      <c r="C28">
        <v>1.68</v>
      </c>
      <c r="D28">
        <v>1.75</v>
      </c>
      <c r="E28">
        <v>1.72</v>
      </c>
      <c r="F28">
        <v>1.72</v>
      </c>
      <c r="G28">
        <v>1.75</v>
      </c>
      <c r="H28">
        <v>1.7</v>
      </c>
      <c r="I28">
        <v>1.71</v>
      </c>
      <c r="J28">
        <v>1.72</v>
      </c>
      <c r="K28">
        <v>1.69</v>
      </c>
      <c r="L28">
        <v>1.74</v>
      </c>
      <c r="M28">
        <v>1.73</v>
      </c>
      <c r="N28">
        <v>1.7</v>
      </c>
      <c r="O28">
        <v>1.7</v>
      </c>
      <c r="P28">
        <v>1.73</v>
      </c>
      <c r="Q28">
        <v>1.79</v>
      </c>
      <c r="R28">
        <v>1.74</v>
      </c>
      <c r="S28">
        <v>1.72</v>
      </c>
      <c r="T28">
        <v>1.72</v>
      </c>
      <c r="U28">
        <v>1.71</v>
      </c>
      <c r="V28">
        <v>1.76</v>
      </c>
      <c r="W28">
        <v>1.74</v>
      </c>
      <c r="X28">
        <v>1.74</v>
      </c>
      <c r="Y28">
        <v>1.68</v>
      </c>
      <c r="Z28">
        <v>1.72</v>
      </c>
      <c r="AA28" t="s">
        <v>139</v>
      </c>
      <c r="AB28" t="s">
        <v>139</v>
      </c>
      <c r="AC28" t="s">
        <v>139</v>
      </c>
      <c r="AD28" t="s">
        <v>139</v>
      </c>
      <c r="AE28" t="s">
        <v>139</v>
      </c>
      <c r="AF28" t="s">
        <v>139</v>
      </c>
      <c r="AG28" t="s">
        <v>139</v>
      </c>
      <c r="AH28" t="s">
        <v>139</v>
      </c>
      <c r="AI28" t="s">
        <v>139</v>
      </c>
      <c r="AJ28" t="s">
        <v>139</v>
      </c>
      <c r="AK28" t="s">
        <v>139</v>
      </c>
      <c r="AL28" t="s">
        <v>139</v>
      </c>
    </row>
    <row r="29" spans="1:38" ht="12.75">
      <c r="A29" s="1">
        <f>AVERAGE(C29:AA29)</f>
        <v>1.7048</v>
      </c>
      <c r="B29" t="s">
        <v>123</v>
      </c>
      <c r="C29">
        <v>1.68</v>
      </c>
      <c r="D29">
        <v>1.73</v>
      </c>
      <c r="E29">
        <v>1.71</v>
      </c>
      <c r="F29">
        <v>1.69</v>
      </c>
      <c r="G29">
        <v>1.73</v>
      </c>
      <c r="H29">
        <v>1.71</v>
      </c>
      <c r="I29">
        <v>1.71</v>
      </c>
      <c r="J29">
        <v>1.72</v>
      </c>
      <c r="K29">
        <v>1.69</v>
      </c>
      <c r="L29">
        <v>1.73</v>
      </c>
      <c r="M29">
        <v>1.72</v>
      </c>
      <c r="N29">
        <v>1.71</v>
      </c>
      <c r="O29">
        <v>1.7</v>
      </c>
      <c r="P29">
        <v>1.7</v>
      </c>
      <c r="Q29">
        <v>1.76</v>
      </c>
      <c r="R29">
        <v>1.7</v>
      </c>
      <c r="S29">
        <v>1.71</v>
      </c>
      <c r="T29">
        <v>1.7</v>
      </c>
      <c r="U29">
        <v>1.66</v>
      </c>
      <c r="V29">
        <v>1.71</v>
      </c>
      <c r="W29">
        <v>1.7</v>
      </c>
      <c r="X29">
        <v>1.69</v>
      </c>
      <c r="Y29">
        <v>1.67</v>
      </c>
      <c r="Z29">
        <v>1.69</v>
      </c>
      <c r="AA29">
        <v>1.7</v>
      </c>
      <c r="AB29" t="s">
        <v>139</v>
      </c>
      <c r="AC29" t="s">
        <v>139</v>
      </c>
      <c r="AD29" t="s">
        <v>139</v>
      </c>
      <c r="AE29" t="s">
        <v>139</v>
      </c>
      <c r="AF29" t="s">
        <v>139</v>
      </c>
      <c r="AG29" t="s">
        <v>139</v>
      </c>
      <c r="AH29" t="s">
        <v>139</v>
      </c>
      <c r="AI29" t="s">
        <v>139</v>
      </c>
      <c r="AJ29" t="s">
        <v>139</v>
      </c>
      <c r="AK29" t="s">
        <v>139</v>
      </c>
      <c r="AL29" t="s">
        <v>139</v>
      </c>
    </row>
    <row r="30" spans="1:38" ht="12.75">
      <c r="A30" s="1">
        <f>AVERAGE(C30:AB30)</f>
        <v>1.7238461538461534</v>
      </c>
      <c r="B30" t="s">
        <v>124</v>
      </c>
      <c r="C30">
        <v>1.68</v>
      </c>
      <c r="D30">
        <v>1.74</v>
      </c>
      <c r="E30">
        <v>1.72</v>
      </c>
      <c r="F30">
        <v>1.7</v>
      </c>
      <c r="G30">
        <v>1.73</v>
      </c>
      <c r="H30">
        <v>1.71</v>
      </c>
      <c r="I30">
        <v>1.71</v>
      </c>
      <c r="J30">
        <v>1.74</v>
      </c>
      <c r="K30">
        <v>1.7</v>
      </c>
      <c r="L30">
        <v>1.74</v>
      </c>
      <c r="M30">
        <v>1.74</v>
      </c>
      <c r="N30">
        <v>1.73</v>
      </c>
      <c r="O30">
        <v>1.75</v>
      </c>
      <c r="P30">
        <v>1.7</v>
      </c>
      <c r="Q30">
        <v>1.79</v>
      </c>
      <c r="R30">
        <v>1.77</v>
      </c>
      <c r="S30">
        <v>1.73</v>
      </c>
      <c r="T30">
        <v>1.71</v>
      </c>
      <c r="U30">
        <v>1.71</v>
      </c>
      <c r="V30">
        <v>1.73</v>
      </c>
      <c r="W30">
        <v>1.74</v>
      </c>
      <c r="X30">
        <v>1.72</v>
      </c>
      <c r="Y30">
        <v>1.73</v>
      </c>
      <c r="Z30">
        <v>1.68</v>
      </c>
      <c r="AA30">
        <v>1.69</v>
      </c>
      <c r="AB30">
        <v>1.73</v>
      </c>
      <c r="AC30" t="s">
        <v>139</v>
      </c>
      <c r="AD30" t="s">
        <v>139</v>
      </c>
      <c r="AE30" t="s">
        <v>139</v>
      </c>
      <c r="AF30" t="s">
        <v>139</v>
      </c>
      <c r="AG30" t="s">
        <v>139</v>
      </c>
      <c r="AH30" t="s">
        <v>139</v>
      </c>
      <c r="AI30" t="s">
        <v>139</v>
      </c>
      <c r="AJ30" t="s">
        <v>139</v>
      </c>
      <c r="AK30" t="s">
        <v>139</v>
      </c>
      <c r="AL30" t="s">
        <v>139</v>
      </c>
    </row>
    <row r="31" spans="1:38" ht="12.75">
      <c r="A31" s="1">
        <f>AVERAGE(C31:AC31)</f>
        <v>1.7292592592592588</v>
      </c>
      <c r="B31" t="s">
        <v>125</v>
      </c>
      <c r="C31">
        <v>1.68</v>
      </c>
      <c r="D31">
        <v>1.76</v>
      </c>
      <c r="E31">
        <v>1.73</v>
      </c>
      <c r="F31">
        <v>1.71</v>
      </c>
      <c r="G31">
        <v>1.74</v>
      </c>
      <c r="H31">
        <v>1.7</v>
      </c>
      <c r="I31">
        <v>1.74</v>
      </c>
      <c r="J31">
        <v>1.74</v>
      </c>
      <c r="K31">
        <v>1.71</v>
      </c>
      <c r="L31">
        <v>1.72</v>
      </c>
      <c r="M31">
        <v>1.76</v>
      </c>
      <c r="N31">
        <v>1.75</v>
      </c>
      <c r="O31">
        <v>1.73</v>
      </c>
      <c r="P31">
        <v>1.71</v>
      </c>
      <c r="Q31">
        <v>1.81</v>
      </c>
      <c r="R31">
        <v>1.75</v>
      </c>
      <c r="S31">
        <v>1.72</v>
      </c>
      <c r="T31">
        <v>1.73</v>
      </c>
      <c r="U31">
        <v>1.72</v>
      </c>
      <c r="V31">
        <v>1.73</v>
      </c>
      <c r="W31">
        <v>1.77</v>
      </c>
      <c r="X31">
        <v>1.72</v>
      </c>
      <c r="Y31">
        <v>1.72</v>
      </c>
      <c r="Z31">
        <v>1.71</v>
      </c>
      <c r="AA31">
        <v>1.72</v>
      </c>
      <c r="AB31">
        <v>1.76</v>
      </c>
      <c r="AC31">
        <v>1.65</v>
      </c>
      <c r="AD31" t="s">
        <v>139</v>
      </c>
      <c r="AE31" t="s">
        <v>139</v>
      </c>
      <c r="AF31" t="s">
        <v>139</v>
      </c>
      <c r="AG31" t="s">
        <v>139</v>
      </c>
      <c r="AH31" t="s">
        <v>139</v>
      </c>
      <c r="AI31" t="s">
        <v>139</v>
      </c>
      <c r="AJ31" t="s">
        <v>139</v>
      </c>
      <c r="AK31" t="s">
        <v>139</v>
      </c>
      <c r="AL31" t="s">
        <v>139</v>
      </c>
    </row>
    <row r="32" spans="1:38" ht="12.75">
      <c r="A32" s="1">
        <f>AVERAGE(C32:AD32)</f>
        <v>1.7335714285714283</v>
      </c>
      <c r="B32" t="s">
        <v>126</v>
      </c>
      <c r="C32">
        <v>1.69</v>
      </c>
      <c r="D32">
        <v>1.74</v>
      </c>
      <c r="E32">
        <v>1.73</v>
      </c>
      <c r="F32">
        <v>1.7</v>
      </c>
      <c r="G32">
        <v>1.75</v>
      </c>
      <c r="H32">
        <v>1.73</v>
      </c>
      <c r="I32">
        <v>1.72</v>
      </c>
      <c r="J32">
        <v>1.75</v>
      </c>
      <c r="K32">
        <v>1.71</v>
      </c>
      <c r="L32">
        <v>1.74</v>
      </c>
      <c r="M32">
        <v>1.76</v>
      </c>
      <c r="N32">
        <v>1.74</v>
      </c>
      <c r="O32">
        <v>1.73</v>
      </c>
      <c r="P32">
        <v>1.73</v>
      </c>
      <c r="Q32">
        <v>1.79</v>
      </c>
      <c r="R32">
        <v>1.75</v>
      </c>
      <c r="S32">
        <v>1.73</v>
      </c>
      <c r="T32">
        <v>1.75</v>
      </c>
      <c r="U32">
        <v>1.71</v>
      </c>
      <c r="V32">
        <v>1.75</v>
      </c>
      <c r="W32">
        <v>1.77</v>
      </c>
      <c r="X32">
        <v>1.72</v>
      </c>
      <c r="Y32">
        <v>1.74</v>
      </c>
      <c r="Z32">
        <v>1.73</v>
      </c>
      <c r="AA32">
        <v>1.73</v>
      </c>
      <c r="AB32">
        <v>1.73</v>
      </c>
      <c r="AC32">
        <v>1.68</v>
      </c>
      <c r="AD32">
        <v>1.74</v>
      </c>
      <c r="AE32" t="s">
        <v>139</v>
      </c>
      <c r="AF32" t="s">
        <v>139</v>
      </c>
      <c r="AG32" t="s">
        <v>139</v>
      </c>
      <c r="AH32" t="s">
        <v>139</v>
      </c>
      <c r="AI32" t="s">
        <v>139</v>
      </c>
      <c r="AJ32" t="s">
        <v>139</v>
      </c>
      <c r="AK32" t="s">
        <v>139</v>
      </c>
      <c r="AL32" t="s">
        <v>139</v>
      </c>
    </row>
    <row r="33" spans="1:38" ht="12.75">
      <c r="A33" s="1">
        <f>AVERAGE(C33:AE33)</f>
        <v>1.7089655172413794</v>
      </c>
      <c r="B33" t="s">
        <v>127</v>
      </c>
      <c r="C33">
        <v>1.67</v>
      </c>
      <c r="D33">
        <v>1.74</v>
      </c>
      <c r="E33">
        <v>1.7</v>
      </c>
      <c r="F33">
        <v>1.69</v>
      </c>
      <c r="G33">
        <v>1.71</v>
      </c>
      <c r="H33">
        <v>1.72</v>
      </c>
      <c r="I33">
        <v>1.69</v>
      </c>
      <c r="J33">
        <v>1.73</v>
      </c>
      <c r="K33">
        <v>1.67</v>
      </c>
      <c r="L33">
        <v>1.73</v>
      </c>
      <c r="M33">
        <v>1.73</v>
      </c>
      <c r="N33">
        <v>1.71</v>
      </c>
      <c r="O33">
        <v>1.69</v>
      </c>
      <c r="P33">
        <v>1.7</v>
      </c>
      <c r="Q33">
        <v>1.78</v>
      </c>
      <c r="R33">
        <v>1.72</v>
      </c>
      <c r="S33">
        <v>1.71</v>
      </c>
      <c r="T33">
        <v>1.69</v>
      </c>
      <c r="U33">
        <v>1.7</v>
      </c>
      <c r="V33">
        <v>1.74</v>
      </c>
      <c r="W33">
        <v>1.73</v>
      </c>
      <c r="X33">
        <v>1.69</v>
      </c>
      <c r="Y33">
        <v>1.71</v>
      </c>
      <c r="Z33">
        <v>1.71</v>
      </c>
      <c r="AA33">
        <v>1.7</v>
      </c>
      <c r="AB33">
        <v>1.72</v>
      </c>
      <c r="AC33">
        <v>1.66</v>
      </c>
      <c r="AD33">
        <v>1.72</v>
      </c>
      <c r="AE33">
        <v>1.7</v>
      </c>
      <c r="AF33" t="s">
        <v>139</v>
      </c>
      <c r="AG33" t="s">
        <v>139</v>
      </c>
      <c r="AH33" t="s">
        <v>139</v>
      </c>
      <c r="AI33" t="s">
        <v>139</v>
      </c>
      <c r="AJ33" t="s">
        <v>139</v>
      </c>
      <c r="AK33" t="s">
        <v>139</v>
      </c>
      <c r="AL33" t="s">
        <v>139</v>
      </c>
    </row>
    <row r="34" spans="1:38" ht="12.75">
      <c r="A34" s="1">
        <f>AVERAGE(C34:AF34)</f>
        <v>1.7333333333333334</v>
      </c>
      <c r="B34" t="s">
        <v>128</v>
      </c>
      <c r="C34">
        <v>1.7</v>
      </c>
      <c r="D34">
        <v>1.77</v>
      </c>
      <c r="E34">
        <v>1.76</v>
      </c>
      <c r="F34">
        <v>1.73</v>
      </c>
      <c r="G34">
        <v>1.75</v>
      </c>
      <c r="H34">
        <v>1.72</v>
      </c>
      <c r="I34">
        <v>1.72</v>
      </c>
      <c r="J34">
        <v>1.73</v>
      </c>
      <c r="K34">
        <v>1.73</v>
      </c>
      <c r="L34">
        <v>1.75</v>
      </c>
      <c r="M34">
        <v>1.76</v>
      </c>
      <c r="N34">
        <v>1.75</v>
      </c>
      <c r="O34">
        <v>1.72</v>
      </c>
      <c r="P34">
        <v>1.73</v>
      </c>
      <c r="Q34">
        <v>1.8</v>
      </c>
      <c r="R34">
        <v>1.77</v>
      </c>
      <c r="S34">
        <v>1.72</v>
      </c>
      <c r="T34">
        <v>1.72</v>
      </c>
      <c r="U34">
        <v>1.72</v>
      </c>
      <c r="V34">
        <v>1.71</v>
      </c>
      <c r="W34">
        <v>1.75</v>
      </c>
      <c r="X34">
        <v>1.72</v>
      </c>
      <c r="Y34">
        <v>1.68</v>
      </c>
      <c r="Z34">
        <v>1.7</v>
      </c>
      <c r="AA34">
        <v>1.72</v>
      </c>
      <c r="AB34">
        <v>1.74</v>
      </c>
      <c r="AC34">
        <v>1.67</v>
      </c>
      <c r="AD34">
        <v>1.76</v>
      </c>
      <c r="AE34">
        <v>1.73</v>
      </c>
      <c r="AF34">
        <v>1.77</v>
      </c>
      <c r="AG34" t="s">
        <v>139</v>
      </c>
      <c r="AH34" t="s">
        <v>139</v>
      </c>
      <c r="AI34" t="s">
        <v>139</v>
      </c>
      <c r="AJ34" t="s">
        <v>139</v>
      </c>
      <c r="AK34" t="s">
        <v>139</v>
      </c>
      <c r="AL34" t="s">
        <v>139</v>
      </c>
    </row>
    <row r="35" spans="1:38" ht="12.75">
      <c r="A35" s="1">
        <f>AVERAGE(C35:AG35)</f>
        <v>1.7064516129032254</v>
      </c>
      <c r="B35" t="s">
        <v>129</v>
      </c>
      <c r="C35">
        <v>1.66</v>
      </c>
      <c r="D35">
        <v>1.74</v>
      </c>
      <c r="E35">
        <v>1.7</v>
      </c>
      <c r="F35">
        <v>1.7</v>
      </c>
      <c r="G35">
        <v>1.7</v>
      </c>
      <c r="H35">
        <v>1.68</v>
      </c>
      <c r="I35">
        <v>1.71</v>
      </c>
      <c r="J35">
        <v>1.71</v>
      </c>
      <c r="K35">
        <v>1.68</v>
      </c>
      <c r="L35">
        <v>1.74</v>
      </c>
      <c r="M35">
        <v>1.73</v>
      </c>
      <c r="N35">
        <v>1.7</v>
      </c>
      <c r="O35">
        <v>1.69</v>
      </c>
      <c r="P35">
        <v>1.69</v>
      </c>
      <c r="Q35">
        <v>1.78</v>
      </c>
      <c r="R35">
        <v>1.74</v>
      </c>
      <c r="S35">
        <v>1.7</v>
      </c>
      <c r="T35">
        <v>1.69</v>
      </c>
      <c r="U35">
        <v>1.69</v>
      </c>
      <c r="V35">
        <v>1.71</v>
      </c>
      <c r="W35">
        <v>1.72</v>
      </c>
      <c r="X35">
        <v>1.69</v>
      </c>
      <c r="Y35">
        <v>1.69</v>
      </c>
      <c r="Z35">
        <v>1.71</v>
      </c>
      <c r="AA35">
        <v>1.69</v>
      </c>
      <c r="AB35">
        <v>1.72</v>
      </c>
      <c r="AC35">
        <v>1.64</v>
      </c>
      <c r="AD35">
        <v>1.74</v>
      </c>
      <c r="AE35">
        <v>1.72</v>
      </c>
      <c r="AF35">
        <v>1.73</v>
      </c>
      <c r="AG35">
        <v>1.71</v>
      </c>
      <c r="AH35" t="s">
        <v>139</v>
      </c>
      <c r="AI35" t="s">
        <v>139</v>
      </c>
      <c r="AJ35" t="s">
        <v>139</v>
      </c>
      <c r="AK35" t="s">
        <v>139</v>
      </c>
      <c r="AL35" t="s">
        <v>139</v>
      </c>
    </row>
    <row r="36" spans="1:38" ht="12.75">
      <c r="A36" s="1">
        <f>AVERAGE(C36:AH36)</f>
        <v>1.7450000000000003</v>
      </c>
      <c r="B36" t="s">
        <v>130</v>
      </c>
      <c r="C36">
        <v>1.71</v>
      </c>
      <c r="D36">
        <v>1.77</v>
      </c>
      <c r="E36">
        <v>1.75</v>
      </c>
      <c r="F36">
        <v>1.74</v>
      </c>
      <c r="G36">
        <v>1.75</v>
      </c>
      <c r="H36">
        <v>1.73</v>
      </c>
      <c r="I36">
        <v>1.74</v>
      </c>
      <c r="J36">
        <v>1.74</v>
      </c>
      <c r="K36">
        <v>1.72</v>
      </c>
      <c r="L36">
        <v>1.78</v>
      </c>
      <c r="M36">
        <v>1.76</v>
      </c>
      <c r="N36">
        <v>1.74</v>
      </c>
      <c r="O36">
        <v>1.73</v>
      </c>
      <c r="P36">
        <v>1.71</v>
      </c>
      <c r="Q36">
        <v>1.81</v>
      </c>
      <c r="R36">
        <v>1.75</v>
      </c>
      <c r="S36">
        <v>1.74</v>
      </c>
      <c r="T36">
        <v>1.71</v>
      </c>
      <c r="U36">
        <v>1.74</v>
      </c>
      <c r="V36">
        <v>1.77</v>
      </c>
      <c r="W36">
        <v>1.76</v>
      </c>
      <c r="X36">
        <v>1.72</v>
      </c>
      <c r="Y36">
        <v>1.74</v>
      </c>
      <c r="Z36">
        <v>1.75</v>
      </c>
      <c r="AA36">
        <v>1.74</v>
      </c>
      <c r="AB36">
        <v>1.75</v>
      </c>
      <c r="AC36">
        <v>1.67</v>
      </c>
      <c r="AD36">
        <v>1.77</v>
      </c>
      <c r="AE36">
        <v>1.76</v>
      </c>
      <c r="AF36">
        <v>1.76</v>
      </c>
      <c r="AG36">
        <v>1.75</v>
      </c>
      <c r="AH36">
        <v>1.78</v>
      </c>
      <c r="AI36" t="s">
        <v>139</v>
      </c>
      <c r="AJ36" t="s">
        <v>139</v>
      </c>
      <c r="AK36" t="s">
        <v>139</v>
      </c>
      <c r="AL36" t="s">
        <v>139</v>
      </c>
    </row>
    <row r="37" spans="1:38" ht="12.75">
      <c r="A37" s="1">
        <f>AVERAGE(C37:AI37)</f>
        <v>1.7124242424242424</v>
      </c>
      <c r="B37" t="s">
        <v>131</v>
      </c>
      <c r="C37">
        <v>1.66</v>
      </c>
      <c r="D37">
        <v>1.75</v>
      </c>
      <c r="E37">
        <v>1.72</v>
      </c>
      <c r="F37">
        <v>1.69</v>
      </c>
      <c r="G37">
        <v>1.73</v>
      </c>
      <c r="H37">
        <v>1.68</v>
      </c>
      <c r="I37">
        <v>1.69</v>
      </c>
      <c r="J37">
        <v>1.72</v>
      </c>
      <c r="K37">
        <v>1.68</v>
      </c>
      <c r="L37">
        <v>1.73</v>
      </c>
      <c r="M37">
        <v>1.72</v>
      </c>
      <c r="N37">
        <v>1.71</v>
      </c>
      <c r="O37">
        <v>1.71</v>
      </c>
      <c r="P37">
        <v>1.69</v>
      </c>
      <c r="Q37">
        <v>1.79</v>
      </c>
      <c r="R37">
        <v>1.73</v>
      </c>
      <c r="S37">
        <v>1.71</v>
      </c>
      <c r="T37">
        <v>1.7</v>
      </c>
      <c r="U37">
        <v>1.69</v>
      </c>
      <c r="V37">
        <v>1.7</v>
      </c>
      <c r="W37">
        <v>1.73</v>
      </c>
      <c r="X37">
        <v>1.72</v>
      </c>
      <c r="Y37">
        <v>1.71</v>
      </c>
      <c r="Z37">
        <v>1.69</v>
      </c>
      <c r="AA37">
        <v>1.7</v>
      </c>
      <c r="AB37">
        <v>1.72</v>
      </c>
      <c r="AC37">
        <v>1.67</v>
      </c>
      <c r="AD37">
        <v>1.73</v>
      </c>
      <c r="AE37">
        <v>1.72</v>
      </c>
      <c r="AF37">
        <v>1.75</v>
      </c>
      <c r="AG37">
        <v>1.74</v>
      </c>
      <c r="AH37">
        <v>1.74</v>
      </c>
      <c r="AI37">
        <v>1.69</v>
      </c>
      <c r="AJ37" t="s">
        <v>139</v>
      </c>
      <c r="AK37" t="s">
        <v>139</v>
      </c>
      <c r="AL37" t="s">
        <v>139</v>
      </c>
    </row>
    <row r="38" spans="1:38" ht="12.75">
      <c r="A38" s="1">
        <f>AVERAGE(C38:AJ38)</f>
        <v>1.7255882352941172</v>
      </c>
      <c r="B38" t="s">
        <v>132</v>
      </c>
      <c r="C38">
        <v>1.69</v>
      </c>
      <c r="D38">
        <v>1.77</v>
      </c>
      <c r="E38">
        <v>1.73</v>
      </c>
      <c r="F38">
        <v>1.71</v>
      </c>
      <c r="G38">
        <v>1.73</v>
      </c>
      <c r="H38">
        <v>1.69</v>
      </c>
      <c r="I38">
        <v>1.7</v>
      </c>
      <c r="J38">
        <v>1.74</v>
      </c>
      <c r="K38">
        <v>1.7</v>
      </c>
      <c r="L38">
        <v>1.73</v>
      </c>
      <c r="M38">
        <v>1.74</v>
      </c>
      <c r="N38">
        <v>1.72</v>
      </c>
      <c r="O38">
        <v>1.73</v>
      </c>
      <c r="P38">
        <v>1.7</v>
      </c>
      <c r="Q38">
        <v>1.77</v>
      </c>
      <c r="R38">
        <v>1.76</v>
      </c>
      <c r="S38">
        <v>1.73</v>
      </c>
      <c r="T38">
        <v>1.72</v>
      </c>
      <c r="U38">
        <v>1.71</v>
      </c>
      <c r="V38">
        <v>1.71</v>
      </c>
      <c r="W38">
        <v>1.76</v>
      </c>
      <c r="X38">
        <v>1.69</v>
      </c>
      <c r="Y38">
        <v>1.73</v>
      </c>
      <c r="Z38">
        <v>1.73</v>
      </c>
      <c r="AA38">
        <v>1.72</v>
      </c>
      <c r="AB38">
        <v>1.73</v>
      </c>
      <c r="AC38">
        <v>1.68</v>
      </c>
      <c r="AD38">
        <v>1.72</v>
      </c>
      <c r="AE38">
        <v>1.74</v>
      </c>
      <c r="AF38">
        <v>1.74</v>
      </c>
      <c r="AG38">
        <v>1.77</v>
      </c>
      <c r="AH38">
        <v>1.74</v>
      </c>
      <c r="AI38">
        <v>1.69</v>
      </c>
      <c r="AJ38">
        <v>1.75</v>
      </c>
      <c r="AK38" t="s">
        <v>139</v>
      </c>
      <c r="AL38" t="s">
        <v>139</v>
      </c>
    </row>
    <row r="39" spans="1:38" ht="12.75">
      <c r="A39" s="1">
        <f>AVERAGE(C39:AK39)</f>
        <v>1.6999999999999995</v>
      </c>
      <c r="B39" t="s">
        <v>133</v>
      </c>
      <c r="C39">
        <v>1.67</v>
      </c>
      <c r="D39">
        <v>1.73</v>
      </c>
      <c r="E39">
        <v>1.7</v>
      </c>
      <c r="F39">
        <v>1.67</v>
      </c>
      <c r="G39">
        <v>1.71</v>
      </c>
      <c r="H39">
        <v>1.68</v>
      </c>
      <c r="I39">
        <v>1.7</v>
      </c>
      <c r="J39">
        <v>1.69</v>
      </c>
      <c r="K39">
        <v>1.65</v>
      </c>
      <c r="L39">
        <v>1.7</v>
      </c>
      <c r="M39">
        <v>1.69</v>
      </c>
      <c r="N39">
        <v>1.7</v>
      </c>
      <c r="O39">
        <v>1.7</v>
      </c>
      <c r="P39">
        <v>1.69</v>
      </c>
      <c r="Q39">
        <v>1.77</v>
      </c>
      <c r="R39">
        <v>1.71</v>
      </c>
      <c r="S39">
        <v>1.7</v>
      </c>
      <c r="T39">
        <v>1.7</v>
      </c>
      <c r="U39">
        <v>1.7</v>
      </c>
      <c r="V39">
        <v>1.69</v>
      </c>
      <c r="W39">
        <v>1.73</v>
      </c>
      <c r="X39">
        <v>1.71</v>
      </c>
      <c r="Y39">
        <v>1.69</v>
      </c>
      <c r="Z39">
        <v>1.72</v>
      </c>
      <c r="AA39">
        <v>1.7</v>
      </c>
      <c r="AB39">
        <v>1.71</v>
      </c>
      <c r="AC39">
        <v>1.66</v>
      </c>
      <c r="AD39">
        <v>1.72</v>
      </c>
      <c r="AE39">
        <v>1.67</v>
      </c>
      <c r="AF39">
        <v>1.72</v>
      </c>
      <c r="AG39">
        <v>1.7</v>
      </c>
      <c r="AH39">
        <v>1.73</v>
      </c>
      <c r="AI39">
        <v>1.68</v>
      </c>
      <c r="AJ39">
        <v>1.69</v>
      </c>
      <c r="AK39">
        <v>1.72</v>
      </c>
      <c r="AL39" t="s">
        <v>139</v>
      </c>
    </row>
    <row r="40" spans="1:38" ht="12.75">
      <c r="A40" s="1">
        <f aca="true" t="shared" si="0" ref="A40:A59">AVERAGE(C40:AL40)</f>
        <v>1.7219444444444443</v>
      </c>
      <c r="B40" t="s">
        <v>134</v>
      </c>
      <c r="C40">
        <v>1.73</v>
      </c>
      <c r="D40">
        <v>1.77</v>
      </c>
      <c r="E40">
        <v>1.74</v>
      </c>
      <c r="F40">
        <v>1.7</v>
      </c>
      <c r="G40">
        <v>1.73</v>
      </c>
      <c r="H40">
        <v>1.7</v>
      </c>
      <c r="I40">
        <v>1.72</v>
      </c>
      <c r="J40">
        <v>1.73</v>
      </c>
      <c r="K40">
        <v>1.71</v>
      </c>
      <c r="L40">
        <v>1.72</v>
      </c>
      <c r="M40">
        <v>1.73</v>
      </c>
      <c r="N40">
        <v>1.72</v>
      </c>
      <c r="O40">
        <v>1.72</v>
      </c>
      <c r="P40">
        <v>1.71</v>
      </c>
      <c r="Q40">
        <v>1.8</v>
      </c>
      <c r="R40">
        <v>1.73</v>
      </c>
      <c r="S40">
        <v>1.7</v>
      </c>
      <c r="T40">
        <v>1.71</v>
      </c>
      <c r="U40">
        <v>1.7</v>
      </c>
      <c r="V40">
        <v>1.72</v>
      </c>
      <c r="W40">
        <v>1.74</v>
      </c>
      <c r="X40">
        <v>1.71</v>
      </c>
      <c r="Y40">
        <v>1.71</v>
      </c>
      <c r="Z40">
        <v>1.7</v>
      </c>
      <c r="AA40">
        <v>1.7</v>
      </c>
      <c r="AB40">
        <v>1.73</v>
      </c>
      <c r="AC40">
        <v>1.65</v>
      </c>
      <c r="AD40">
        <v>1.76</v>
      </c>
      <c r="AE40">
        <v>1.73</v>
      </c>
      <c r="AF40">
        <v>1.76</v>
      </c>
      <c r="AG40">
        <v>1.73</v>
      </c>
      <c r="AH40">
        <v>1.74</v>
      </c>
      <c r="AI40">
        <v>1.68</v>
      </c>
      <c r="AJ40">
        <v>1.7</v>
      </c>
      <c r="AK40">
        <v>1.73</v>
      </c>
      <c r="AL40">
        <v>1.73</v>
      </c>
    </row>
    <row r="41" spans="1:38" ht="12.75">
      <c r="A41" s="1">
        <f t="shared" si="0"/>
        <v>1.7541666666666669</v>
      </c>
      <c r="B41" t="s">
        <v>135</v>
      </c>
      <c r="C41">
        <v>1.77</v>
      </c>
      <c r="D41">
        <v>1.81</v>
      </c>
      <c r="E41">
        <v>1.75</v>
      </c>
      <c r="F41">
        <v>1.77</v>
      </c>
      <c r="G41">
        <v>1.77</v>
      </c>
      <c r="H41">
        <v>1.76</v>
      </c>
      <c r="I41">
        <v>1.74</v>
      </c>
      <c r="J41">
        <v>1.76</v>
      </c>
      <c r="K41">
        <v>1.71</v>
      </c>
      <c r="L41">
        <v>1.77</v>
      </c>
      <c r="M41">
        <v>1.78</v>
      </c>
      <c r="N41">
        <v>1.75</v>
      </c>
      <c r="O41">
        <v>1.75</v>
      </c>
      <c r="P41">
        <v>1.75</v>
      </c>
      <c r="Q41">
        <v>1.8</v>
      </c>
      <c r="R41">
        <v>1.77</v>
      </c>
      <c r="S41">
        <v>1.76</v>
      </c>
      <c r="T41">
        <v>1.73</v>
      </c>
      <c r="U41">
        <v>1.74</v>
      </c>
      <c r="V41">
        <v>1.75</v>
      </c>
      <c r="W41">
        <v>1.77</v>
      </c>
      <c r="X41">
        <v>1.73</v>
      </c>
      <c r="Y41">
        <v>1.75</v>
      </c>
      <c r="Z41">
        <v>1.75</v>
      </c>
      <c r="AA41">
        <v>1.72</v>
      </c>
      <c r="AB41">
        <v>1.76</v>
      </c>
      <c r="AC41">
        <v>1.7</v>
      </c>
      <c r="AD41">
        <v>1.78</v>
      </c>
      <c r="AE41">
        <v>1.76</v>
      </c>
      <c r="AF41">
        <v>1.75</v>
      </c>
      <c r="AG41">
        <v>1.75</v>
      </c>
      <c r="AH41">
        <v>1.75</v>
      </c>
      <c r="AI41">
        <v>1.75</v>
      </c>
      <c r="AJ41">
        <v>1.74</v>
      </c>
      <c r="AK41">
        <v>1.75</v>
      </c>
      <c r="AL41">
        <v>1.75</v>
      </c>
    </row>
    <row r="42" spans="1:38" ht="12.75">
      <c r="A42" s="1">
        <f t="shared" si="0"/>
        <v>1.7202777777777778</v>
      </c>
      <c r="B42" t="s">
        <v>42</v>
      </c>
      <c r="C42">
        <v>1.74</v>
      </c>
      <c r="D42">
        <v>1.77</v>
      </c>
      <c r="E42">
        <v>1.75</v>
      </c>
      <c r="F42">
        <v>1.71</v>
      </c>
      <c r="G42">
        <v>1.74</v>
      </c>
      <c r="H42">
        <v>1.7</v>
      </c>
      <c r="I42">
        <v>1.73</v>
      </c>
      <c r="J42">
        <v>1.73</v>
      </c>
      <c r="K42">
        <v>1.69</v>
      </c>
      <c r="L42">
        <v>1.73</v>
      </c>
      <c r="M42">
        <v>1.74</v>
      </c>
      <c r="N42">
        <v>1.71</v>
      </c>
      <c r="O42">
        <v>1.72</v>
      </c>
      <c r="P42">
        <v>1.7</v>
      </c>
      <c r="Q42">
        <v>1.78</v>
      </c>
      <c r="R42">
        <v>1.74</v>
      </c>
      <c r="S42">
        <v>1.7</v>
      </c>
      <c r="T42">
        <v>1.69</v>
      </c>
      <c r="U42">
        <v>1.69</v>
      </c>
      <c r="V42">
        <v>1.72</v>
      </c>
      <c r="W42">
        <v>1.72</v>
      </c>
      <c r="X42">
        <v>1.7</v>
      </c>
      <c r="Y42">
        <v>1.7</v>
      </c>
      <c r="Z42">
        <v>1.7</v>
      </c>
      <c r="AA42">
        <v>1.71</v>
      </c>
      <c r="AB42">
        <v>1.71</v>
      </c>
      <c r="AC42">
        <v>1.66</v>
      </c>
      <c r="AD42">
        <v>1.74</v>
      </c>
      <c r="AE42">
        <v>1.73</v>
      </c>
      <c r="AF42">
        <v>1.75</v>
      </c>
      <c r="AG42">
        <v>1.71</v>
      </c>
      <c r="AH42">
        <v>1.72</v>
      </c>
      <c r="AI42">
        <v>1.69</v>
      </c>
      <c r="AJ42">
        <v>1.71</v>
      </c>
      <c r="AK42">
        <v>1.75</v>
      </c>
      <c r="AL42">
        <v>1.75</v>
      </c>
    </row>
    <row r="43" spans="1:38" ht="12.75">
      <c r="A43" s="1">
        <f t="shared" si="0"/>
        <v>1.7369444444444442</v>
      </c>
      <c r="B43" t="s">
        <v>43</v>
      </c>
      <c r="C43">
        <v>1.74</v>
      </c>
      <c r="D43">
        <v>1.77</v>
      </c>
      <c r="E43">
        <v>1.74</v>
      </c>
      <c r="F43">
        <v>1.7</v>
      </c>
      <c r="G43">
        <v>1.75</v>
      </c>
      <c r="H43">
        <v>1.7</v>
      </c>
      <c r="I43">
        <v>1.74</v>
      </c>
      <c r="J43">
        <v>1.75</v>
      </c>
      <c r="K43">
        <v>1.71</v>
      </c>
      <c r="L43">
        <v>1.75</v>
      </c>
      <c r="M43">
        <v>1.74</v>
      </c>
      <c r="N43">
        <v>1.74</v>
      </c>
      <c r="O43">
        <v>1.74</v>
      </c>
      <c r="P43">
        <v>1.73</v>
      </c>
      <c r="Q43">
        <v>1.8</v>
      </c>
      <c r="R43">
        <v>1.77</v>
      </c>
      <c r="S43">
        <v>1.73</v>
      </c>
      <c r="T43">
        <v>1.74</v>
      </c>
      <c r="U43">
        <v>1.73</v>
      </c>
      <c r="V43">
        <v>1.74</v>
      </c>
      <c r="W43">
        <v>1.77</v>
      </c>
      <c r="X43">
        <v>1.72</v>
      </c>
      <c r="Y43">
        <v>1.73</v>
      </c>
      <c r="Z43">
        <v>1.74</v>
      </c>
      <c r="AA43">
        <v>1.73</v>
      </c>
      <c r="AB43">
        <v>1.75</v>
      </c>
      <c r="AC43">
        <v>1.68</v>
      </c>
      <c r="AD43">
        <v>1.75</v>
      </c>
      <c r="AE43">
        <v>1.75</v>
      </c>
      <c r="AF43">
        <v>1.75</v>
      </c>
      <c r="AG43">
        <v>1.73</v>
      </c>
      <c r="AH43">
        <v>1.74</v>
      </c>
      <c r="AI43">
        <v>1.69</v>
      </c>
      <c r="AJ43">
        <v>1.74</v>
      </c>
      <c r="AK43">
        <v>1.73</v>
      </c>
      <c r="AL43">
        <v>1.72</v>
      </c>
    </row>
    <row r="44" spans="1:38" ht="12.75">
      <c r="A44" s="1">
        <f t="shared" si="0"/>
        <v>1.7205555555555554</v>
      </c>
      <c r="B44" t="s">
        <v>44</v>
      </c>
      <c r="C44">
        <v>1.74</v>
      </c>
      <c r="D44">
        <v>1.79</v>
      </c>
      <c r="E44">
        <v>1.74</v>
      </c>
      <c r="F44">
        <v>1.72</v>
      </c>
      <c r="G44">
        <v>1.73</v>
      </c>
      <c r="H44">
        <v>1.7</v>
      </c>
      <c r="I44">
        <v>1.73</v>
      </c>
      <c r="J44">
        <v>1.74</v>
      </c>
      <c r="K44">
        <v>1.7</v>
      </c>
      <c r="L44">
        <v>1.73</v>
      </c>
      <c r="M44">
        <v>1.72</v>
      </c>
      <c r="N44">
        <v>1.72</v>
      </c>
      <c r="O44">
        <v>1.72</v>
      </c>
      <c r="P44">
        <v>1.7</v>
      </c>
      <c r="Q44">
        <v>1.76</v>
      </c>
      <c r="R44">
        <v>1.73</v>
      </c>
      <c r="S44">
        <v>1.73</v>
      </c>
      <c r="T44">
        <v>1.71</v>
      </c>
      <c r="U44">
        <v>1.69</v>
      </c>
      <c r="V44">
        <v>1.7</v>
      </c>
      <c r="W44">
        <v>1.73</v>
      </c>
      <c r="X44">
        <v>1.71</v>
      </c>
      <c r="Y44">
        <v>1.69</v>
      </c>
      <c r="Z44">
        <v>1.7</v>
      </c>
      <c r="AA44">
        <v>1.71</v>
      </c>
      <c r="AB44">
        <v>1.74</v>
      </c>
      <c r="AC44">
        <v>1.68</v>
      </c>
      <c r="AD44">
        <v>1.75</v>
      </c>
      <c r="AE44">
        <v>1.72</v>
      </c>
      <c r="AF44">
        <v>1.73</v>
      </c>
      <c r="AG44">
        <v>1.72</v>
      </c>
      <c r="AH44">
        <v>1.71</v>
      </c>
      <c r="AI44">
        <v>1.7</v>
      </c>
      <c r="AJ44">
        <v>1.73</v>
      </c>
      <c r="AK44">
        <v>1.71</v>
      </c>
      <c r="AL44">
        <v>1.71</v>
      </c>
    </row>
    <row r="45" spans="1:38" ht="12.75">
      <c r="A45" s="1">
        <f t="shared" si="0"/>
        <v>1.7466666666666661</v>
      </c>
      <c r="B45" t="s">
        <v>45</v>
      </c>
      <c r="C45">
        <v>1.77</v>
      </c>
      <c r="D45">
        <v>1.8</v>
      </c>
      <c r="E45">
        <v>1.78</v>
      </c>
      <c r="F45">
        <v>1.75</v>
      </c>
      <c r="G45">
        <v>1.74</v>
      </c>
      <c r="H45">
        <v>1.74</v>
      </c>
      <c r="I45">
        <v>1.75</v>
      </c>
      <c r="J45">
        <v>1.75</v>
      </c>
      <c r="K45">
        <v>1.73</v>
      </c>
      <c r="L45">
        <v>1.76</v>
      </c>
      <c r="M45">
        <v>1.76</v>
      </c>
      <c r="N45">
        <v>1.74</v>
      </c>
      <c r="O45">
        <v>1.74</v>
      </c>
      <c r="P45">
        <v>1.74</v>
      </c>
      <c r="Q45">
        <v>1.8</v>
      </c>
      <c r="R45">
        <v>1.77</v>
      </c>
      <c r="S45">
        <v>1.76</v>
      </c>
      <c r="T45">
        <v>1.73</v>
      </c>
      <c r="U45">
        <v>1.72</v>
      </c>
      <c r="V45">
        <v>1.75</v>
      </c>
      <c r="W45">
        <v>1.76</v>
      </c>
      <c r="X45">
        <v>1.73</v>
      </c>
      <c r="Y45">
        <v>1.73</v>
      </c>
      <c r="Z45">
        <v>1.71</v>
      </c>
      <c r="AA45">
        <v>1.73</v>
      </c>
      <c r="AB45">
        <v>1.75</v>
      </c>
      <c r="AC45">
        <v>1.7</v>
      </c>
      <c r="AD45">
        <v>1.78</v>
      </c>
      <c r="AE45">
        <v>1.74</v>
      </c>
      <c r="AF45">
        <v>1.76</v>
      </c>
      <c r="AG45">
        <v>1.75</v>
      </c>
      <c r="AH45">
        <v>1.76</v>
      </c>
      <c r="AI45">
        <v>1.73</v>
      </c>
      <c r="AJ45">
        <v>1.71</v>
      </c>
      <c r="AK45">
        <v>1.73</v>
      </c>
      <c r="AL45">
        <v>1.73</v>
      </c>
    </row>
    <row r="46" spans="1:38" ht="12.75">
      <c r="A46" s="1">
        <f t="shared" si="0"/>
        <v>0</v>
      </c>
      <c r="B46" t="s">
        <v>46</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row>
    <row r="47" spans="1:38" ht="12.75">
      <c r="A47" s="1">
        <f t="shared" si="0"/>
        <v>1.7458333333333331</v>
      </c>
      <c r="B47" t="s">
        <v>47</v>
      </c>
      <c r="C47">
        <v>1.77</v>
      </c>
      <c r="D47">
        <v>1.8</v>
      </c>
      <c r="E47">
        <v>1.76</v>
      </c>
      <c r="F47">
        <v>1.75</v>
      </c>
      <c r="G47">
        <v>1.77</v>
      </c>
      <c r="H47">
        <v>1.73</v>
      </c>
      <c r="I47">
        <v>1.72</v>
      </c>
      <c r="J47">
        <v>1.74</v>
      </c>
      <c r="K47">
        <v>1.73</v>
      </c>
      <c r="L47">
        <v>1.76</v>
      </c>
      <c r="M47">
        <v>1.74</v>
      </c>
      <c r="N47">
        <v>1.75</v>
      </c>
      <c r="O47">
        <v>1.73</v>
      </c>
      <c r="P47">
        <v>1.75</v>
      </c>
      <c r="Q47">
        <v>1.79</v>
      </c>
      <c r="R47">
        <v>1.79</v>
      </c>
      <c r="S47">
        <v>1.75</v>
      </c>
      <c r="T47">
        <v>1.74</v>
      </c>
      <c r="U47">
        <v>1.73</v>
      </c>
      <c r="V47">
        <v>1.76</v>
      </c>
      <c r="W47">
        <v>1.75</v>
      </c>
      <c r="X47">
        <v>1.74</v>
      </c>
      <c r="Y47">
        <v>1.73</v>
      </c>
      <c r="Z47">
        <v>1.72</v>
      </c>
      <c r="AA47">
        <v>1.74</v>
      </c>
      <c r="AB47">
        <v>1.76</v>
      </c>
      <c r="AC47">
        <v>1.7</v>
      </c>
      <c r="AD47">
        <v>1.78</v>
      </c>
      <c r="AE47">
        <v>1.74</v>
      </c>
      <c r="AF47">
        <v>1.75</v>
      </c>
      <c r="AG47">
        <v>1.73</v>
      </c>
      <c r="AH47">
        <v>1.75</v>
      </c>
      <c r="AI47">
        <v>1.69</v>
      </c>
      <c r="AJ47">
        <v>1.73</v>
      </c>
      <c r="AK47">
        <v>1.74</v>
      </c>
      <c r="AL47">
        <v>1.74</v>
      </c>
    </row>
    <row r="48" spans="1:38" ht="12.75">
      <c r="A48" s="1">
        <f t="shared" si="0"/>
        <v>1.7113888888888888</v>
      </c>
      <c r="B48" t="s">
        <v>48</v>
      </c>
      <c r="C48">
        <v>1.75</v>
      </c>
      <c r="D48">
        <v>1.76</v>
      </c>
      <c r="E48">
        <v>1.73</v>
      </c>
      <c r="F48">
        <v>1.73</v>
      </c>
      <c r="G48">
        <v>1.72</v>
      </c>
      <c r="H48">
        <v>1.71</v>
      </c>
      <c r="I48">
        <v>1.71</v>
      </c>
      <c r="J48">
        <v>1.71</v>
      </c>
      <c r="K48">
        <v>1.69</v>
      </c>
      <c r="L48">
        <v>1.71</v>
      </c>
      <c r="M48">
        <v>1.71</v>
      </c>
      <c r="N48">
        <v>1.71</v>
      </c>
      <c r="O48">
        <v>1.72</v>
      </c>
      <c r="P48">
        <v>1.68</v>
      </c>
      <c r="Q48">
        <v>1.75</v>
      </c>
      <c r="R48">
        <v>1.73</v>
      </c>
      <c r="S48">
        <v>1.7</v>
      </c>
      <c r="T48">
        <v>1.69</v>
      </c>
      <c r="U48">
        <v>1.68</v>
      </c>
      <c r="V48">
        <v>1.71</v>
      </c>
      <c r="W48">
        <v>1.73</v>
      </c>
      <c r="X48">
        <v>1.67</v>
      </c>
      <c r="Y48">
        <v>1.7</v>
      </c>
      <c r="Z48">
        <v>1.69</v>
      </c>
      <c r="AA48">
        <v>1.73</v>
      </c>
      <c r="AB48">
        <v>1.7</v>
      </c>
      <c r="AC48">
        <v>1.67</v>
      </c>
      <c r="AD48">
        <v>1.73</v>
      </c>
      <c r="AE48">
        <v>1.72</v>
      </c>
      <c r="AF48">
        <v>1.73</v>
      </c>
      <c r="AG48">
        <v>1.71</v>
      </c>
      <c r="AH48">
        <v>1.7</v>
      </c>
      <c r="AI48">
        <v>1.68</v>
      </c>
      <c r="AJ48">
        <v>1.71</v>
      </c>
      <c r="AK48">
        <v>1.71</v>
      </c>
      <c r="AL48">
        <v>1.73</v>
      </c>
    </row>
    <row r="49" spans="1:38" ht="12.75">
      <c r="A49" s="1">
        <f t="shared" si="0"/>
        <v>1.7366666666666664</v>
      </c>
      <c r="B49" t="s">
        <v>49</v>
      </c>
      <c r="C49">
        <v>1.75</v>
      </c>
      <c r="D49">
        <v>1.81</v>
      </c>
      <c r="E49">
        <v>1.73</v>
      </c>
      <c r="F49">
        <v>1.72</v>
      </c>
      <c r="G49">
        <v>1.75</v>
      </c>
      <c r="H49">
        <v>1.73</v>
      </c>
      <c r="I49">
        <v>1.73</v>
      </c>
      <c r="J49">
        <v>1.72</v>
      </c>
      <c r="K49">
        <v>1.72</v>
      </c>
      <c r="L49">
        <v>1.75</v>
      </c>
      <c r="M49">
        <v>1.73</v>
      </c>
      <c r="N49">
        <v>1.72</v>
      </c>
      <c r="O49">
        <v>1.74</v>
      </c>
      <c r="P49">
        <v>1.74</v>
      </c>
      <c r="Q49">
        <v>1.79</v>
      </c>
      <c r="R49">
        <v>1.79</v>
      </c>
      <c r="S49">
        <v>1.75</v>
      </c>
      <c r="T49">
        <v>1.76</v>
      </c>
      <c r="U49">
        <v>1.72</v>
      </c>
      <c r="V49">
        <v>1.72</v>
      </c>
      <c r="W49">
        <v>1.73</v>
      </c>
      <c r="X49">
        <v>1.72</v>
      </c>
      <c r="Y49">
        <v>1.73</v>
      </c>
      <c r="Z49">
        <v>1.73</v>
      </c>
      <c r="AA49">
        <v>1.76</v>
      </c>
      <c r="AB49">
        <v>1.8</v>
      </c>
      <c r="AC49">
        <v>1.71</v>
      </c>
      <c r="AD49">
        <v>1.75</v>
      </c>
      <c r="AE49">
        <v>1.74</v>
      </c>
      <c r="AF49">
        <v>1.72</v>
      </c>
      <c r="AG49">
        <v>1.72</v>
      </c>
      <c r="AH49">
        <v>1.72</v>
      </c>
      <c r="AI49">
        <v>1.7</v>
      </c>
      <c r="AJ49">
        <v>1.7</v>
      </c>
      <c r="AK49">
        <v>1.71</v>
      </c>
      <c r="AL49">
        <v>1.71</v>
      </c>
    </row>
    <row r="50" spans="1:38" ht="12.75">
      <c r="A50" s="1">
        <f t="shared" si="0"/>
        <v>1.721111111111111</v>
      </c>
      <c r="B50" t="s">
        <v>50</v>
      </c>
      <c r="C50">
        <v>1.73</v>
      </c>
      <c r="D50">
        <v>1.76</v>
      </c>
      <c r="E50">
        <v>1.72</v>
      </c>
      <c r="F50">
        <v>1.71</v>
      </c>
      <c r="G50">
        <v>1.72</v>
      </c>
      <c r="H50">
        <v>1.7</v>
      </c>
      <c r="I50">
        <v>1.68</v>
      </c>
      <c r="J50">
        <v>1.69</v>
      </c>
      <c r="K50">
        <v>1.69</v>
      </c>
      <c r="L50">
        <v>1.69</v>
      </c>
      <c r="M50">
        <v>1.71</v>
      </c>
      <c r="N50">
        <v>1.7</v>
      </c>
      <c r="O50">
        <v>1.75</v>
      </c>
      <c r="P50">
        <v>1.72</v>
      </c>
      <c r="Q50">
        <v>1.76</v>
      </c>
      <c r="R50">
        <v>1.75</v>
      </c>
      <c r="S50">
        <v>1.72</v>
      </c>
      <c r="T50">
        <v>1.71</v>
      </c>
      <c r="U50">
        <v>1.7</v>
      </c>
      <c r="V50">
        <v>1.72</v>
      </c>
      <c r="W50">
        <v>1.73</v>
      </c>
      <c r="X50">
        <v>1.71</v>
      </c>
      <c r="Y50">
        <v>1.71</v>
      </c>
      <c r="Z50">
        <v>1.71</v>
      </c>
      <c r="AA50">
        <v>1.76</v>
      </c>
      <c r="AB50">
        <v>1.79</v>
      </c>
      <c r="AC50">
        <v>1.7</v>
      </c>
      <c r="AD50">
        <v>1.75</v>
      </c>
      <c r="AE50">
        <v>1.76</v>
      </c>
      <c r="AF50">
        <v>1.74</v>
      </c>
      <c r="AG50">
        <v>1.72</v>
      </c>
      <c r="AH50">
        <v>1.7</v>
      </c>
      <c r="AI50">
        <v>1.72</v>
      </c>
      <c r="AJ50">
        <v>1.7</v>
      </c>
      <c r="AK50">
        <v>1.71</v>
      </c>
      <c r="AL50">
        <v>1.72</v>
      </c>
    </row>
    <row r="51" spans="1:38" ht="12.75">
      <c r="A51" s="1">
        <f t="shared" si="0"/>
        <v>1.7374999999999998</v>
      </c>
      <c r="B51" t="s">
        <v>51</v>
      </c>
      <c r="C51">
        <v>1.74</v>
      </c>
      <c r="D51">
        <v>1.77</v>
      </c>
      <c r="E51">
        <v>1.76</v>
      </c>
      <c r="F51">
        <v>1.71</v>
      </c>
      <c r="G51">
        <v>1.72</v>
      </c>
      <c r="H51">
        <v>1.73</v>
      </c>
      <c r="I51">
        <v>1.72</v>
      </c>
      <c r="J51">
        <v>1.72</v>
      </c>
      <c r="K51">
        <v>1.7</v>
      </c>
      <c r="L51">
        <v>1.74</v>
      </c>
      <c r="M51">
        <v>1.72</v>
      </c>
      <c r="N51">
        <v>1.74</v>
      </c>
      <c r="O51">
        <v>1.76</v>
      </c>
      <c r="P51">
        <v>1.73</v>
      </c>
      <c r="Q51">
        <v>1.78</v>
      </c>
      <c r="R51">
        <v>1.77</v>
      </c>
      <c r="S51">
        <v>1.74</v>
      </c>
      <c r="T51">
        <v>1.73</v>
      </c>
      <c r="U51">
        <v>1.73</v>
      </c>
      <c r="V51">
        <v>1.74</v>
      </c>
      <c r="W51">
        <v>1.76</v>
      </c>
      <c r="X51">
        <v>1.73</v>
      </c>
      <c r="Y51">
        <v>1.75</v>
      </c>
      <c r="Z51">
        <v>1.74</v>
      </c>
      <c r="AA51">
        <v>1.78</v>
      </c>
      <c r="AB51">
        <v>1.78</v>
      </c>
      <c r="AC51">
        <v>1.71</v>
      </c>
      <c r="AD51">
        <v>1.76</v>
      </c>
      <c r="AE51">
        <v>1.73</v>
      </c>
      <c r="AF51">
        <v>1.75</v>
      </c>
      <c r="AG51">
        <v>1.71</v>
      </c>
      <c r="AH51">
        <v>1.74</v>
      </c>
      <c r="AI51">
        <v>1.7</v>
      </c>
      <c r="AJ51">
        <v>1.72</v>
      </c>
      <c r="AK51">
        <v>1.72</v>
      </c>
      <c r="AL51">
        <v>1.72</v>
      </c>
    </row>
    <row r="52" spans="1:38" ht="12.75">
      <c r="A52" s="1">
        <f t="shared" si="0"/>
        <v>1.5722222222222224</v>
      </c>
      <c r="B52" t="s">
        <v>52</v>
      </c>
      <c r="C52">
        <v>1.58</v>
      </c>
      <c r="D52">
        <v>1.6</v>
      </c>
      <c r="E52">
        <v>1.59</v>
      </c>
      <c r="F52">
        <v>1.58</v>
      </c>
      <c r="G52">
        <v>1.6</v>
      </c>
      <c r="H52">
        <v>1.56</v>
      </c>
      <c r="I52">
        <v>1.57</v>
      </c>
      <c r="J52">
        <v>1.57</v>
      </c>
      <c r="K52">
        <v>1.54</v>
      </c>
      <c r="L52">
        <v>1.57</v>
      </c>
      <c r="M52">
        <v>1.58</v>
      </c>
      <c r="N52">
        <v>1.56</v>
      </c>
      <c r="O52">
        <v>1.59</v>
      </c>
      <c r="P52">
        <v>1.57</v>
      </c>
      <c r="Q52">
        <v>1.62</v>
      </c>
      <c r="R52">
        <v>1.61</v>
      </c>
      <c r="S52">
        <v>1.58</v>
      </c>
      <c r="T52">
        <v>1.57</v>
      </c>
      <c r="U52">
        <v>1.56</v>
      </c>
      <c r="V52">
        <v>1.57</v>
      </c>
      <c r="W52">
        <v>1.58</v>
      </c>
      <c r="X52">
        <v>1.55</v>
      </c>
      <c r="Y52">
        <v>1.55</v>
      </c>
      <c r="Z52">
        <v>1.56</v>
      </c>
      <c r="AA52">
        <v>1.58</v>
      </c>
      <c r="AB52">
        <v>1.61</v>
      </c>
      <c r="AC52">
        <v>1.54</v>
      </c>
      <c r="AD52">
        <v>1.59</v>
      </c>
      <c r="AE52">
        <v>1.58</v>
      </c>
      <c r="AF52">
        <v>1.59</v>
      </c>
      <c r="AG52">
        <v>1.54</v>
      </c>
      <c r="AH52">
        <v>1.59</v>
      </c>
      <c r="AI52">
        <v>1.53</v>
      </c>
      <c r="AJ52">
        <v>1.53</v>
      </c>
      <c r="AK52">
        <v>1.56</v>
      </c>
      <c r="AL52">
        <v>1.55</v>
      </c>
    </row>
    <row r="53" spans="1:38" ht="12.75">
      <c r="A53" s="1">
        <f t="shared" si="0"/>
        <v>0.6161111111111109</v>
      </c>
      <c r="B53" t="s">
        <v>53</v>
      </c>
      <c r="C53">
        <v>0.63</v>
      </c>
      <c r="D53">
        <v>0.64</v>
      </c>
      <c r="E53">
        <v>0.62</v>
      </c>
      <c r="F53">
        <v>0.61</v>
      </c>
      <c r="G53">
        <v>0.62</v>
      </c>
      <c r="H53">
        <v>0.61</v>
      </c>
      <c r="I53">
        <v>0.62</v>
      </c>
      <c r="J53">
        <v>0.62</v>
      </c>
      <c r="K53">
        <v>0.61</v>
      </c>
      <c r="L53">
        <v>0.61</v>
      </c>
      <c r="M53">
        <v>0.61</v>
      </c>
      <c r="N53">
        <v>0.61</v>
      </c>
      <c r="O53">
        <v>0.62</v>
      </c>
      <c r="P53">
        <v>0.62</v>
      </c>
      <c r="Q53">
        <v>0.64</v>
      </c>
      <c r="R53">
        <v>0.62</v>
      </c>
      <c r="S53">
        <v>0.62</v>
      </c>
      <c r="T53">
        <v>0.61</v>
      </c>
      <c r="U53">
        <v>0.61</v>
      </c>
      <c r="V53">
        <v>0.61</v>
      </c>
      <c r="W53">
        <v>0.62</v>
      </c>
      <c r="X53">
        <v>0.6</v>
      </c>
      <c r="Y53">
        <v>0.61</v>
      </c>
      <c r="Z53">
        <v>0.61</v>
      </c>
      <c r="AA53">
        <v>0.62</v>
      </c>
      <c r="AB53">
        <v>0.63</v>
      </c>
      <c r="AC53">
        <v>0.61</v>
      </c>
      <c r="AD53">
        <v>0.63</v>
      </c>
      <c r="AE53">
        <v>0.63</v>
      </c>
      <c r="AF53">
        <v>0.63</v>
      </c>
      <c r="AG53">
        <v>0.61</v>
      </c>
      <c r="AH53">
        <v>0.61</v>
      </c>
      <c r="AI53">
        <v>0.6</v>
      </c>
      <c r="AJ53">
        <v>0.6</v>
      </c>
      <c r="AK53">
        <v>0.6</v>
      </c>
      <c r="AL53">
        <v>0.61</v>
      </c>
    </row>
    <row r="54" spans="1:38" ht="12.75">
      <c r="A54" s="1">
        <f t="shared" si="0"/>
        <v>0.63</v>
      </c>
      <c r="B54" t="s">
        <v>54</v>
      </c>
      <c r="C54">
        <v>0.64</v>
      </c>
      <c r="D54">
        <v>0.65</v>
      </c>
      <c r="E54">
        <v>0.64</v>
      </c>
      <c r="F54">
        <v>0.63</v>
      </c>
      <c r="G54">
        <v>0.64</v>
      </c>
      <c r="H54">
        <v>0.63</v>
      </c>
      <c r="I54">
        <v>0.63</v>
      </c>
      <c r="J54">
        <v>0.63</v>
      </c>
      <c r="K54">
        <v>0.63</v>
      </c>
      <c r="L54">
        <v>0.63</v>
      </c>
      <c r="M54">
        <v>0.63</v>
      </c>
      <c r="N54">
        <v>0.62</v>
      </c>
      <c r="O54">
        <v>0.63</v>
      </c>
      <c r="P54">
        <v>0.63</v>
      </c>
      <c r="Q54">
        <v>0.65</v>
      </c>
      <c r="R54">
        <v>0.65</v>
      </c>
      <c r="S54">
        <v>0.63</v>
      </c>
      <c r="T54">
        <v>0.63</v>
      </c>
      <c r="U54">
        <v>0.62</v>
      </c>
      <c r="V54">
        <v>0.62</v>
      </c>
      <c r="W54">
        <v>0.63</v>
      </c>
      <c r="X54">
        <v>0.62</v>
      </c>
      <c r="Y54">
        <v>0.62</v>
      </c>
      <c r="Z54">
        <v>0.62</v>
      </c>
      <c r="AA54">
        <v>0.63</v>
      </c>
      <c r="AB54">
        <v>0.65</v>
      </c>
      <c r="AC54">
        <v>0.63</v>
      </c>
      <c r="AD54">
        <v>0.64</v>
      </c>
      <c r="AE54">
        <v>0.63</v>
      </c>
      <c r="AF54">
        <v>0.63</v>
      </c>
      <c r="AG54">
        <v>0.61</v>
      </c>
      <c r="AH54">
        <v>0.63</v>
      </c>
      <c r="AI54">
        <v>0.62</v>
      </c>
      <c r="AJ54">
        <v>0.62</v>
      </c>
      <c r="AK54">
        <v>0.62</v>
      </c>
      <c r="AL54">
        <v>0.62</v>
      </c>
    </row>
    <row r="55" spans="1:38" ht="12.75">
      <c r="A55" s="1">
        <f t="shared" si="0"/>
        <v>0.5827777777777775</v>
      </c>
      <c r="B55" t="s">
        <v>55</v>
      </c>
      <c r="C55">
        <v>0.61</v>
      </c>
      <c r="D55">
        <v>0.59</v>
      </c>
      <c r="E55">
        <v>0.59</v>
      </c>
      <c r="F55">
        <v>0.59</v>
      </c>
      <c r="G55">
        <v>0.58</v>
      </c>
      <c r="H55">
        <v>0.58</v>
      </c>
      <c r="I55">
        <v>0.57</v>
      </c>
      <c r="J55">
        <v>0.58</v>
      </c>
      <c r="K55">
        <v>0.57</v>
      </c>
      <c r="L55">
        <v>0.58</v>
      </c>
      <c r="M55">
        <v>0.58</v>
      </c>
      <c r="N55">
        <v>0.57</v>
      </c>
      <c r="O55">
        <v>0.59</v>
      </c>
      <c r="P55">
        <v>0.59</v>
      </c>
      <c r="Q55">
        <v>0.59</v>
      </c>
      <c r="R55">
        <v>0.59</v>
      </c>
      <c r="S55">
        <v>0.58</v>
      </c>
      <c r="T55">
        <v>0.58</v>
      </c>
      <c r="U55">
        <v>0.57</v>
      </c>
      <c r="V55">
        <v>0.58</v>
      </c>
      <c r="W55">
        <v>0.58</v>
      </c>
      <c r="X55">
        <v>0.58</v>
      </c>
      <c r="Y55">
        <v>0.58</v>
      </c>
      <c r="Z55">
        <v>0.58</v>
      </c>
      <c r="AA55">
        <v>0.6</v>
      </c>
      <c r="AB55">
        <v>0.6</v>
      </c>
      <c r="AC55">
        <v>0.58</v>
      </c>
      <c r="AD55">
        <v>0.59</v>
      </c>
      <c r="AE55">
        <v>0.58</v>
      </c>
      <c r="AF55">
        <v>0.58</v>
      </c>
      <c r="AG55">
        <v>0.58</v>
      </c>
      <c r="AH55">
        <v>0.58</v>
      </c>
      <c r="AI55">
        <v>0.57</v>
      </c>
      <c r="AJ55">
        <v>0.58</v>
      </c>
      <c r="AK55">
        <v>0.58</v>
      </c>
      <c r="AL55">
        <v>0.58</v>
      </c>
    </row>
    <row r="56" spans="1:38" ht="12.75">
      <c r="A56" s="1">
        <f t="shared" si="0"/>
        <v>0.5686111111111112</v>
      </c>
      <c r="B56" t="s">
        <v>136</v>
      </c>
      <c r="C56">
        <v>0.6</v>
      </c>
      <c r="D56">
        <v>0.57</v>
      </c>
      <c r="E56">
        <v>0.57</v>
      </c>
      <c r="F56">
        <v>0.57</v>
      </c>
      <c r="G56">
        <v>0.57</v>
      </c>
      <c r="H56">
        <v>0.56</v>
      </c>
      <c r="I56">
        <v>0.57</v>
      </c>
      <c r="J56">
        <v>0.56</v>
      </c>
      <c r="K56">
        <v>0.55</v>
      </c>
      <c r="L56">
        <v>0.56</v>
      </c>
      <c r="M56">
        <v>0.56</v>
      </c>
      <c r="N56">
        <v>0.57</v>
      </c>
      <c r="O56">
        <v>0.57</v>
      </c>
      <c r="P56">
        <v>0.58</v>
      </c>
      <c r="Q56">
        <v>0.57</v>
      </c>
      <c r="R56">
        <v>0.57</v>
      </c>
      <c r="S56">
        <v>0.57</v>
      </c>
      <c r="T56">
        <v>0.57</v>
      </c>
      <c r="U56">
        <v>0.57</v>
      </c>
      <c r="V56">
        <v>0.56</v>
      </c>
      <c r="W56">
        <v>0.57</v>
      </c>
      <c r="X56">
        <v>0.56</v>
      </c>
      <c r="Y56">
        <v>0.56</v>
      </c>
      <c r="Z56">
        <v>0.57</v>
      </c>
      <c r="AA56">
        <v>0.58</v>
      </c>
      <c r="AB56">
        <v>0.58</v>
      </c>
      <c r="AC56">
        <v>0.56</v>
      </c>
      <c r="AD56">
        <v>0.58</v>
      </c>
      <c r="AE56">
        <v>0.57</v>
      </c>
      <c r="AF56">
        <v>0.57</v>
      </c>
      <c r="AG56">
        <v>0.56</v>
      </c>
      <c r="AH56">
        <v>0.57</v>
      </c>
      <c r="AI56">
        <v>0.56</v>
      </c>
      <c r="AJ56">
        <v>0.57</v>
      </c>
      <c r="AK56">
        <v>0.57</v>
      </c>
      <c r="AL56">
        <v>0.57</v>
      </c>
    </row>
    <row r="57" spans="1:38" ht="12.75">
      <c r="A57" s="1">
        <f t="shared" si="0"/>
        <v>0.47000000000000025</v>
      </c>
      <c r="B57" t="s">
        <v>57</v>
      </c>
      <c r="C57">
        <v>0.47</v>
      </c>
      <c r="D57">
        <v>0.5</v>
      </c>
      <c r="E57">
        <v>0.48</v>
      </c>
      <c r="F57">
        <v>0.48</v>
      </c>
      <c r="G57">
        <v>0.47</v>
      </c>
      <c r="H57">
        <v>0.48</v>
      </c>
      <c r="I57">
        <v>0.48</v>
      </c>
      <c r="J57">
        <v>0.47</v>
      </c>
      <c r="K57">
        <v>0.45</v>
      </c>
      <c r="L57">
        <v>0.47</v>
      </c>
      <c r="M57">
        <v>0.47</v>
      </c>
      <c r="N57">
        <v>0.46</v>
      </c>
      <c r="O57">
        <v>0.47</v>
      </c>
      <c r="P57">
        <v>0.48</v>
      </c>
      <c r="Q57">
        <v>0.46</v>
      </c>
      <c r="R57">
        <v>0.46</v>
      </c>
      <c r="S57">
        <v>0.47</v>
      </c>
      <c r="T57">
        <v>0.47</v>
      </c>
      <c r="U57">
        <v>0.47</v>
      </c>
      <c r="V57">
        <v>0.46</v>
      </c>
      <c r="W57">
        <v>0.46</v>
      </c>
      <c r="X57">
        <v>0.48</v>
      </c>
      <c r="Y57">
        <v>0.46</v>
      </c>
      <c r="Z57">
        <v>0.45</v>
      </c>
      <c r="AA57">
        <v>0.47</v>
      </c>
      <c r="AB57">
        <v>0.49</v>
      </c>
      <c r="AC57">
        <v>0.47</v>
      </c>
      <c r="AD57">
        <v>0.46</v>
      </c>
      <c r="AE57">
        <v>0.47</v>
      </c>
      <c r="AF57">
        <v>0.47</v>
      </c>
      <c r="AG57">
        <v>0.48</v>
      </c>
      <c r="AH57">
        <v>0.47</v>
      </c>
      <c r="AI57">
        <v>0.47</v>
      </c>
      <c r="AJ57">
        <v>0.46</v>
      </c>
      <c r="AK57">
        <v>0.47</v>
      </c>
      <c r="AL57">
        <v>0.47</v>
      </c>
    </row>
    <row r="58" spans="1:38" ht="12.75">
      <c r="A58" s="1">
        <f t="shared" si="0"/>
        <v>0.4780555555555557</v>
      </c>
      <c r="B58" t="s">
        <v>58</v>
      </c>
      <c r="C58">
        <v>0.48</v>
      </c>
      <c r="D58">
        <v>0.49</v>
      </c>
      <c r="E58">
        <v>0.48</v>
      </c>
      <c r="F58">
        <v>0.48</v>
      </c>
      <c r="G58">
        <v>0.47</v>
      </c>
      <c r="H58">
        <v>0.47</v>
      </c>
      <c r="I58">
        <v>0.49</v>
      </c>
      <c r="J58">
        <v>0.49</v>
      </c>
      <c r="K58">
        <v>0.48</v>
      </c>
      <c r="L58">
        <v>0.48</v>
      </c>
      <c r="M58">
        <v>0.48</v>
      </c>
      <c r="N58">
        <v>0.47</v>
      </c>
      <c r="O58">
        <v>0.47</v>
      </c>
      <c r="P58">
        <v>0.49</v>
      </c>
      <c r="Q58">
        <v>0.47</v>
      </c>
      <c r="R58">
        <v>0.48</v>
      </c>
      <c r="S58">
        <v>0.48</v>
      </c>
      <c r="T58">
        <v>0.48</v>
      </c>
      <c r="U58">
        <v>0.48</v>
      </c>
      <c r="V58">
        <v>0.48</v>
      </c>
      <c r="W58">
        <v>0.47</v>
      </c>
      <c r="X58">
        <v>0.48</v>
      </c>
      <c r="Y58">
        <v>0.47</v>
      </c>
      <c r="Z58">
        <v>0.46</v>
      </c>
      <c r="AA58">
        <v>0.47</v>
      </c>
      <c r="AB58">
        <v>0.5</v>
      </c>
      <c r="AC58">
        <v>0.48</v>
      </c>
      <c r="AD58">
        <v>0.47</v>
      </c>
      <c r="AE58">
        <v>0.49</v>
      </c>
      <c r="AF58">
        <v>0.47</v>
      </c>
      <c r="AG58">
        <v>0.49</v>
      </c>
      <c r="AH58">
        <v>0.47</v>
      </c>
      <c r="AI58">
        <v>0.48</v>
      </c>
      <c r="AJ58">
        <v>0.48</v>
      </c>
      <c r="AK58">
        <v>0.47</v>
      </c>
      <c r="AL58">
        <v>0.47</v>
      </c>
    </row>
    <row r="59" spans="1:38" ht="12.75">
      <c r="A59" s="1">
        <f t="shared" si="0"/>
        <v>0</v>
      </c>
      <c r="B59" t="s">
        <v>59</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AL114"/>
  <sheetViews>
    <sheetView workbookViewId="0" topLeftCell="A1">
      <pane xSplit="2" ySplit="1" topLeftCell="C26" activePane="bottomRight" state="frozen"/>
      <selection pane="topLeft" activeCell="A1" sqref="A1"/>
      <selection pane="topRight" activeCell="C1" sqref="C1"/>
      <selection pane="bottomLeft" activeCell="A2" sqref="A2"/>
      <selection pane="bottomRight" activeCell="K35" sqref="K35"/>
    </sheetView>
  </sheetViews>
  <sheetFormatPr defaultColWidth="9.140625" defaultRowHeight="12.75"/>
  <cols>
    <col min="2" max="2" width="14.8515625" style="0" bestFit="1" customWidth="1"/>
    <col min="3" max="38" width="5.00390625" style="0" customWidth="1"/>
  </cols>
  <sheetData>
    <row r="1" spans="1:38" ht="12.75">
      <c r="A1" s="2" t="s">
        <v>0</v>
      </c>
      <c r="B1" t="s">
        <v>223</v>
      </c>
      <c r="C1" t="s">
        <v>60</v>
      </c>
      <c r="D1" t="s">
        <v>61</v>
      </c>
      <c r="E1" t="s">
        <v>62</v>
      </c>
      <c r="F1" t="s">
        <v>63</v>
      </c>
      <c r="G1" t="s">
        <v>64</v>
      </c>
      <c r="H1" t="s">
        <v>65</v>
      </c>
      <c r="I1" t="s">
        <v>66</v>
      </c>
      <c r="J1" t="s">
        <v>67</v>
      </c>
      <c r="K1" t="s">
        <v>68</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90</v>
      </c>
      <c r="AH1" t="s">
        <v>91</v>
      </c>
      <c r="AI1" t="s">
        <v>92</v>
      </c>
      <c r="AJ1" t="s">
        <v>93</v>
      </c>
      <c r="AK1" t="s">
        <v>94</v>
      </c>
      <c r="AL1" t="s">
        <v>95</v>
      </c>
    </row>
    <row r="2" spans="1:38" ht="12.75">
      <c r="A2" s="1" t="e">
        <f>AVERAGE(C2:AL2)</f>
        <v>#DIV/0!</v>
      </c>
      <c r="B2" t="s">
        <v>96</v>
      </c>
      <c r="C2" t="s">
        <v>139</v>
      </c>
      <c r="D2" t="s">
        <v>139</v>
      </c>
      <c r="E2" t="s">
        <v>139</v>
      </c>
      <c r="F2" t="s">
        <v>139</v>
      </c>
      <c r="G2" t="s">
        <v>139</v>
      </c>
      <c r="H2" t="s">
        <v>139</v>
      </c>
      <c r="I2" t="s">
        <v>139</v>
      </c>
      <c r="J2" t="s">
        <v>139</v>
      </c>
      <c r="K2" t="s">
        <v>139</v>
      </c>
      <c r="L2" t="s">
        <v>139</v>
      </c>
      <c r="M2"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row>
    <row r="3" spans="1:38" ht="12.75">
      <c r="A3" s="1" t="e">
        <f>AVERAGE(C3:AL3)</f>
        <v>#DIV/0!</v>
      </c>
      <c r="B3" t="s">
        <v>97</v>
      </c>
      <c r="C3" t="s">
        <v>139</v>
      </c>
      <c r="D3" t="s">
        <v>139</v>
      </c>
      <c r="E3" t="s">
        <v>139</v>
      </c>
      <c r="F3" t="s">
        <v>139</v>
      </c>
      <c r="G3" t="s">
        <v>139</v>
      </c>
      <c r="H3" t="s">
        <v>139</v>
      </c>
      <c r="I3" t="s">
        <v>139</v>
      </c>
      <c r="J3" t="s">
        <v>139</v>
      </c>
      <c r="K3" t="s">
        <v>139</v>
      </c>
      <c r="L3" t="s">
        <v>139</v>
      </c>
      <c r="M3" t="s">
        <v>139</v>
      </c>
      <c r="N3" t="s">
        <v>139</v>
      </c>
      <c r="O3" t="s">
        <v>139</v>
      </c>
      <c r="P3" t="s">
        <v>139</v>
      </c>
      <c r="Q3" t="s">
        <v>139</v>
      </c>
      <c r="R3" t="s">
        <v>139</v>
      </c>
      <c r="S3" t="s">
        <v>139</v>
      </c>
      <c r="T3" t="s">
        <v>139</v>
      </c>
      <c r="U3" t="s">
        <v>139</v>
      </c>
      <c r="V3" t="s">
        <v>139</v>
      </c>
      <c r="W3" t="s">
        <v>139</v>
      </c>
      <c r="X3" t="s">
        <v>139</v>
      </c>
      <c r="Y3" t="s">
        <v>139</v>
      </c>
      <c r="Z3" t="s">
        <v>139</v>
      </c>
      <c r="AA3" t="s">
        <v>139</v>
      </c>
      <c r="AB3" t="s">
        <v>139</v>
      </c>
      <c r="AC3" t="s">
        <v>139</v>
      </c>
      <c r="AD3" t="s">
        <v>139</v>
      </c>
      <c r="AE3" t="s">
        <v>139</v>
      </c>
      <c r="AF3" t="s">
        <v>139</v>
      </c>
      <c r="AG3" t="s">
        <v>139</v>
      </c>
      <c r="AH3" t="s">
        <v>139</v>
      </c>
      <c r="AI3" t="s">
        <v>139</v>
      </c>
      <c r="AJ3" t="s">
        <v>139</v>
      </c>
      <c r="AK3" t="s">
        <v>139</v>
      </c>
      <c r="AL3" t="s">
        <v>139</v>
      </c>
    </row>
    <row r="4" spans="1:38" ht="12.75">
      <c r="A4" s="1" t="e">
        <f>AVERAGE(C4:AL4)</f>
        <v>#DIV/0!</v>
      </c>
      <c r="B4" t="s">
        <v>98</v>
      </c>
      <c r="C4" t="s">
        <v>139</v>
      </c>
      <c r="D4" t="s">
        <v>139</v>
      </c>
      <c r="E4" t="s">
        <v>139</v>
      </c>
      <c r="F4" t="s">
        <v>139</v>
      </c>
      <c r="G4" t="s">
        <v>139</v>
      </c>
      <c r="H4" t="s">
        <v>139</v>
      </c>
      <c r="I4" t="s">
        <v>139</v>
      </c>
      <c r="J4" t="s">
        <v>139</v>
      </c>
      <c r="K4" t="s">
        <v>139</v>
      </c>
      <c r="L4" t="s">
        <v>139</v>
      </c>
      <c r="M4" t="s">
        <v>139</v>
      </c>
      <c r="N4" t="s">
        <v>139</v>
      </c>
      <c r="O4" t="s">
        <v>139</v>
      </c>
      <c r="P4" t="s">
        <v>139</v>
      </c>
      <c r="Q4" t="s">
        <v>139</v>
      </c>
      <c r="R4" t="s">
        <v>139</v>
      </c>
      <c r="S4" t="s">
        <v>139</v>
      </c>
      <c r="T4" t="s">
        <v>139</v>
      </c>
      <c r="U4" t="s">
        <v>139</v>
      </c>
      <c r="V4" t="s">
        <v>139</v>
      </c>
      <c r="W4" t="s">
        <v>139</v>
      </c>
      <c r="X4" t="s">
        <v>139</v>
      </c>
      <c r="Y4" t="s">
        <v>139</v>
      </c>
      <c r="Z4" t="s">
        <v>139</v>
      </c>
      <c r="AA4" t="s">
        <v>139</v>
      </c>
      <c r="AB4" t="s">
        <v>139</v>
      </c>
      <c r="AC4" t="s">
        <v>139</v>
      </c>
      <c r="AD4" t="s">
        <v>139</v>
      </c>
      <c r="AE4" t="s">
        <v>139</v>
      </c>
      <c r="AF4" t="s">
        <v>139</v>
      </c>
      <c r="AG4" t="s">
        <v>139</v>
      </c>
      <c r="AH4" t="s">
        <v>139</v>
      </c>
      <c r="AI4" t="s">
        <v>139</v>
      </c>
      <c r="AJ4" t="s">
        <v>139</v>
      </c>
      <c r="AK4" t="s">
        <v>139</v>
      </c>
      <c r="AL4" t="s">
        <v>139</v>
      </c>
    </row>
    <row r="5" spans="1:38" ht="12.75">
      <c r="A5" s="1">
        <f>AVERAGE(C5:C5)</f>
        <v>2.69</v>
      </c>
      <c r="B5" t="s">
        <v>99</v>
      </c>
      <c r="C5">
        <v>2.69</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s="1">
        <f>AVERAGE(C6:D6)</f>
        <v>2.84</v>
      </c>
      <c r="B6" t="s">
        <v>100</v>
      </c>
      <c r="C6">
        <v>2.74</v>
      </c>
      <c r="D6">
        <v>2.94</v>
      </c>
      <c r="E6" t="s">
        <v>139</v>
      </c>
      <c r="F6" t="s">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s="1">
        <f>AVERAGE(C7:E7)</f>
        <v>2.866666666666667</v>
      </c>
      <c r="B7" t="s">
        <v>101</v>
      </c>
      <c r="C7">
        <v>2.71</v>
      </c>
      <c r="D7">
        <v>2.94</v>
      </c>
      <c r="E7">
        <v>2.95</v>
      </c>
      <c r="F7" t="s">
        <v>139</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s="1">
        <f>AVERAGE(C8:F8)</f>
        <v>2.7775000000000003</v>
      </c>
      <c r="B8" t="s">
        <v>102</v>
      </c>
      <c r="C8">
        <v>2.66</v>
      </c>
      <c r="D8">
        <v>2.85</v>
      </c>
      <c r="E8">
        <v>2.79</v>
      </c>
      <c r="F8">
        <v>2.81</v>
      </c>
      <c r="G8" t="s">
        <v>139</v>
      </c>
      <c r="H8" t="s">
        <v>139</v>
      </c>
      <c r="I8" t="s">
        <v>139</v>
      </c>
      <c r="J8" t="s">
        <v>139</v>
      </c>
      <c r="K8" t="s">
        <v>139</v>
      </c>
      <c r="L8" t="s">
        <v>139</v>
      </c>
      <c r="M8" t="s">
        <v>139</v>
      </c>
      <c r="N8" t="s">
        <v>139</v>
      </c>
      <c r="O8" t="s">
        <v>139</v>
      </c>
      <c r="P8" t="s">
        <v>139</v>
      </c>
      <c r="Q8" t="s">
        <v>139</v>
      </c>
      <c r="R8" t="s">
        <v>139</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s="1">
        <f>AVERAGE(C9:G9)</f>
        <v>2.842</v>
      </c>
      <c r="B9" t="s">
        <v>103</v>
      </c>
      <c r="C9">
        <v>2.75</v>
      </c>
      <c r="D9">
        <v>2.91</v>
      </c>
      <c r="E9">
        <v>2.93</v>
      </c>
      <c r="F9">
        <v>2.81</v>
      </c>
      <c r="G9">
        <v>2.81</v>
      </c>
      <c r="H9" t="s">
        <v>139</v>
      </c>
      <c r="I9" t="s">
        <v>139</v>
      </c>
      <c r="J9" t="s">
        <v>139</v>
      </c>
      <c r="K9" t="s">
        <v>139</v>
      </c>
      <c r="L9" t="s">
        <v>139</v>
      </c>
      <c r="M9" t="s">
        <v>139</v>
      </c>
      <c r="N9" t="s">
        <v>139</v>
      </c>
      <c r="O9" t="s">
        <v>139</v>
      </c>
      <c r="P9" t="s">
        <v>139</v>
      </c>
      <c r="Q9" t="s">
        <v>139</v>
      </c>
      <c r="R9" t="s">
        <v>139</v>
      </c>
      <c r="S9" t="s">
        <v>139</v>
      </c>
      <c r="T9" t="s">
        <v>139</v>
      </c>
      <c r="U9" t="s">
        <v>139</v>
      </c>
      <c r="V9" t="s">
        <v>139</v>
      </c>
      <c r="W9" t="s">
        <v>139</v>
      </c>
      <c r="X9" t="s">
        <v>139</v>
      </c>
      <c r="Y9" t="s">
        <v>139</v>
      </c>
      <c r="Z9" t="s">
        <v>139</v>
      </c>
      <c r="AA9" t="s">
        <v>139</v>
      </c>
      <c r="AB9" t="s">
        <v>139</v>
      </c>
      <c r="AC9" t="s">
        <v>139</v>
      </c>
      <c r="AD9" t="s">
        <v>139</v>
      </c>
      <c r="AE9" t="s">
        <v>139</v>
      </c>
      <c r="AF9" t="s">
        <v>139</v>
      </c>
      <c r="AG9" t="s">
        <v>139</v>
      </c>
      <c r="AH9" t="s">
        <v>139</v>
      </c>
      <c r="AI9" t="s">
        <v>139</v>
      </c>
      <c r="AJ9" t="s">
        <v>139</v>
      </c>
      <c r="AK9" t="s">
        <v>139</v>
      </c>
      <c r="AL9" t="s">
        <v>139</v>
      </c>
    </row>
    <row r="10" spans="1:38" ht="12.75">
      <c r="A10" s="1">
        <f>AVERAGE(C10:H10)</f>
        <v>2.82</v>
      </c>
      <c r="B10" t="s">
        <v>104</v>
      </c>
      <c r="C10">
        <v>2.67</v>
      </c>
      <c r="D10">
        <v>2.9</v>
      </c>
      <c r="E10">
        <v>2.84</v>
      </c>
      <c r="F10">
        <v>2.73</v>
      </c>
      <c r="G10">
        <v>2.88</v>
      </c>
      <c r="H10">
        <v>2.9</v>
      </c>
      <c r="I10" t="s">
        <v>139</v>
      </c>
      <c r="J10" t="s">
        <v>139</v>
      </c>
      <c r="K10" t="s">
        <v>139</v>
      </c>
      <c r="L10" t="s">
        <v>139</v>
      </c>
      <c r="M10" t="s">
        <v>139</v>
      </c>
      <c r="N10" t="s">
        <v>139</v>
      </c>
      <c r="O10" t="s">
        <v>139</v>
      </c>
      <c r="P10" t="s">
        <v>139</v>
      </c>
      <c r="Q10" t="s">
        <v>139</v>
      </c>
      <c r="R10" t="s">
        <v>139</v>
      </c>
      <c r="S10" t="s">
        <v>139</v>
      </c>
      <c r="T10" t="s">
        <v>139</v>
      </c>
      <c r="U10" t="s">
        <v>139</v>
      </c>
      <c r="V10" t="s">
        <v>139</v>
      </c>
      <c r="W10" t="s">
        <v>139</v>
      </c>
      <c r="X10" t="s">
        <v>139</v>
      </c>
      <c r="Y10" t="s">
        <v>139</v>
      </c>
      <c r="Z10" t="s">
        <v>139</v>
      </c>
      <c r="AA10" t="s">
        <v>139</v>
      </c>
      <c r="AB10" t="s">
        <v>139</v>
      </c>
      <c r="AC10" t="s">
        <v>139</v>
      </c>
      <c r="AD10" t="s">
        <v>139</v>
      </c>
      <c r="AE10" t="s">
        <v>139</v>
      </c>
      <c r="AF10" t="s">
        <v>139</v>
      </c>
      <c r="AG10" t="s">
        <v>139</v>
      </c>
      <c r="AH10" t="s">
        <v>139</v>
      </c>
      <c r="AI10" t="s">
        <v>139</v>
      </c>
      <c r="AJ10" t="s">
        <v>139</v>
      </c>
      <c r="AK10" t="s">
        <v>139</v>
      </c>
      <c r="AL10" t="s">
        <v>139</v>
      </c>
    </row>
    <row r="11" spans="1:38" ht="12.75">
      <c r="A11" s="1">
        <f>AVERAGE(C11:I11)</f>
        <v>2.865714285714286</v>
      </c>
      <c r="B11" t="s">
        <v>105</v>
      </c>
      <c r="C11">
        <v>2.72</v>
      </c>
      <c r="D11">
        <v>2.94</v>
      </c>
      <c r="E11">
        <v>2.9</v>
      </c>
      <c r="F11">
        <v>2.83</v>
      </c>
      <c r="G11">
        <v>2.97</v>
      </c>
      <c r="H11">
        <v>2.91</v>
      </c>
      <c r="I11">
        <v>2.79</v>
      </c>
      <c r="J11" t="s">
        <v>139</v>
      </c>
      <c r="K11" t="s">
        <v>139</v>
      </c>
      <c r="L11" t="s">
        <v>139</v>
      </c>
      <c r="M11" t="s">
        <v>139</v>
      </c>
      <c r="N11" t="s">
        <v>139</v>
      </c>
      <c r="O11" t="s">
        <v>139</v>
      </c>
      <c r="P11" t="s">
        <v>139</v>
      </c>
      <c r="Q11" t="s">
        <v>139</v>
      </c>
      <c r="R11" t="s">
        <v>139</v>
      </c>
      <c r="S11" t="s">
        <v>139</v>
      </c>
      <c r="T11" t="s">
        <v>139</v>
      </c>
      <c r="U11" t="s">
        <v>139</v>
      </c>
      <c r="V11" t="s">
        <v>139</v>
      </c>
      <c r="W11" t="s">
        <v>139</v>
      </c>
      <c r="X11" t="s">
        <v>139</v>
      </c>
      <c r="Y11" t="s">
        <v>139</v>
      </c>
      <c r="Z11" t="s">
        <v>139</v>
      </c>
      <c r="AA11" t="s">
        <v>139</v>
      </c>
      <c r="AB11" t="s">
        <v>139</v>
      </c>
      <c r="AC11" t="s">
        <v>139</v>
      </c>
      <c r="AD11" t="s">
        <v>139</v>
      </c>
      <c r="AE11" t="s">
        <v>139</v>
      </c>
      <c r="AF11" t="s">
        <v>139</v>
      </c>
      <c r="AG11" t="s">
        <v>139</v>
      </c>
      <c r="AH11" t="s">
        <v>139</v>
      </c>
      <c r="AI11" t="s">
        <v>139</v>
      </c>
      <c r="AJ11" t="s">
        <v>139</v>
      </c>
      <c r="AK11" t="s">
        <v>139</v>
      </c>
      <c r="AL11" t="s">
        <v>139</v>
      </c>
    </row>
    <row r="12" spans="1:38" ht="12.75">
      <c r="A12" s="1">
        <f>AVERAGE(C12:J12)</f>
        <v>2.8375</v>
      </c>
      <c r="B12" t="s">
        <v>106</v>
      </c>
      <c r="C12">
        <v>2.73</v>
      </c>
      <c r="D12">
        <v>2.86</v>
      </c>
      <c r="E12">
        <v>2.85</v>
      </c>
      <c r="F12">
        <v>2.83</v>
      </c>
      <c r="G12">
        <v>2.84</v>
      </c>
      <c r="H12">
        <v>2.82</v>
      </c>
      <c r="I12">
        <v>2.83</v>
      </c>
      <c r="J12">
        <v>2.94</v>
      </c>
      <c r="K12" t="s">
        <v>139</v>
      </c>
      <c r="L12" t="s">
        <v>139</v>
      </c>
      <c r="M12" t="s">
        <v>139</v>
      </c>
      <c r="N12" t="s">
        <v>139</v>
      </c>
      <c r="O12" t="s">
        <v>139</v>
      </c>
      <c r="P12" t="s">
        <v>139</v>
      </c>
      <c r="Q12" t="s">
        <v>139</v>
      </c>
      <c r="R12" t="s">
        <v>139</v>
      </c>
      <c r="S12" t="s">
        <v>139</v>
      </c>
      <c r="T12" t="s">
        <v>139</v>
      </c>
      <c r="U12" t="s">
        <v>139</v>
      </c>
      <c r="V12" t="s">
        <v>139</v>
      </c>
      <c r="W12" t="s">
        <v>139</v>
      </c>
      <c r="X12" t="s">
        <v>139</v>
      </c>
      <c r="Y12" t="s">
        <v>139</v>
      </c>
      <c r="Z12" t="s">
        <v>139</v>
      </c>
      <c r="AA12" t="s">
        <v>139</v>
      </c>
      <c r="AB12" t="s">
        <v>139</v>
      </c>
      <c r="AC12" t="s">
        <v>139</v>
      </c>
      <c r="AD12" t="s">
        <v>139</v>
      </c>
      <c r="AE12" t="s">
        <v>139</v>
      </c>
      <c r="AF12" t="s">
        <v>139</v>
      </c>
      <c r="AG12" t="s">
        <v>139</v>
      </c>
      <c r="AH12" t="s">
        <v>139</v>
      </c>
      <c r="AI12" t="s">
        <v>139</v>
      </c>
      <c r="AJ12" t="s">
        <v>139</v>
      </c>
      <c r="AK12" t="s">
        <v>139</v>
      </c>
      <c r="AL12" t="s">
        <v>139</v>
      </c>
    </row>
    <row r="13" spans="1:38" ht="12.75">
      <c r="A13" s="1">
        <f>AVERAGE(C13:K13)</f>
        <v>2.88</v>
      </c>
      <c r="B13" t="s">
        <v>107</v>
      </c>
      <c r="C13">
        <v>2.73</v>
      </c>
      <c r="D13">
        <v>2.98</v>
      </c>
      <c r="E13">
        <v>2.88</v>
      </c>
      <c r="F13">
        <v>2.83</v>
      </c>
      <c r="G13">
        <v>2.96</v>
      </c>
      <c r="H13">
        <v>2.87</v>
      </c>
      <c r="I13">
        <v>2.88</v>
      </c>
      <c r="J13">
        <v>2.89</v>
      </c>
      <c r="K13">
        <v>2.9</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c r="AF13" t="s">
        <v>139</v>
      </c>
      <c r="AG13" t="s">
        <v>139</v>
      </c>
      <c r="AH13" t="s">
        <v>139</v>
      </c>
      <c r="AI13" t="s">
        <v>139</v>
      </c>
      <c r="AJ13" t="s">
        <v>139</v>
      </c>
      <c r="AK13" t="s">
        <v>139</v>
      </c>
      <c r="AL13" t="s">
        <v>139</v>
      </c>
    </row>
    <row r="14" spans="1:38" ht="12.75">
      <c r="A14" s="1">
        <f>AVERAGE(C14:L14)</f>
        <v>2.8449999999999998</v>
      </c>
      <c r="B14" t="s">
        <v>108</v>
      </c>
      <c r="C14">
        <v>2.73</v>
      </c>
      <c r="D14">
        <v>2.92</v>
      </c>
      <c r="E14">
        <v>2.84</v>
      </c>
      <c r="F14">
        <v>2.8</v>
      </c>
      <c r="G14">
        <v>2.91</v>
      </c>
      <c r="H14">
        <v>2.86</v>
      </c>
      <c r="I14">
        <v>2.87</v>
      </c>
      <c r="J14">
        <v>2.86</v>
      </c>
      <c r="K14">
        <v>2.8</v>
      </c>
      <c r="L14">
        <v>2.86</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row>
    <row r="15" spans="1:38" ht="12.75">
      <c r="A15" s="1">
        <f>AVERAGE(C15:M15)</f>
        <v>2.8600000000000003</v>
      </c>
      <c r="B15" t="s">
        <v>109</v>
      </c>
      <c r="C15">
        <v>2.72</v>
      </c>
      <c r="D15">
        <v>2.93</v>
      </c>
      <c r="E15">
        <v>2.91</v>
      </c>
      <c r="F15">
        <v>2.79</v>
      </c>
      <c r="G15">
        <v>2.91</v>
      </c>
      <c r="H15">
        <v>2.82</v>
      </c>
      <c r="I15">
        <v>2.85</v>
      </c>
      <c r="J15">
        <v>2.92</v>
      </c>
      <c r="K15">
        <v>2.87</v>
      </c>
      <c r="L15">
        <v>2.85</v>
      </c>
      <c r="M15">
        <v>2.89</v>
      </c>
      <c r="N15" t="s">
        <v>139</v>
      </c>
      <c r="O15" t="s">
        <v>139</v>
      </c>
      <c r="P15" t="s">
        <v>139</v>
      </c>
      <c r="Q15" t="s">
        <v>139</v>
      </c>
      <c r="R15" t="s">
        <v>139</v>
      </c>
      <c r="S15" t="s">
        <v>139</v>
      </c>
      <c r="T15" t="s">
        <v>139</v>
      </c>
      <c r="U15" t="s">
        <v>139</v>
      </c>
      <c r="V15" t="s">
        <v>139</v>
      </c>
      <c r="W15" t="s">
        <v>139</v>
      </c>
      <c r="X15" t="s">
        <v>139</v>
      </c>
      <c r="Y15" t="s">
        <v>139</v>
      </c>
      <c r="Z15" t="s">
        <v>139</v>
      </c>
      <c r="AA15" t="s">
        <v>139</v>
      </c>
      <c r="AB15" t="s">
        <v>139</v>
      </c>
      <c r="AC15" t="s">
        <v>139</v>
      </c>
      <c r="AD15" t="s">
        <v>139</v>
      </c>
      <c r="AE15" t="s">
        <v>139</v>
      </c>
      <c r="AF15" t="s">
        <v>139</v>
      </c>
      <c r="AG15" t="s">
        <v>139</v>
      </c>
      <c r="AH15" t="s">
        <v>139</v>
      </c>
      <c r="AI15" t="s">
        <v>139</v>
      </c>
      <c r="AJ15" t="s">
        <v>139</v>
      </c>
      <c r="AK15" t="s">
        <v>139</v>
      </c>
      <c r="AL15" t="s">
        <v>139</v>
      </c>
    </row>
    <row r="16" spans="1:38" ht="12.75">
      <c r="A16" s="1">
        <f>AVERAGE(C16:N16)</f>
        <v>2.863333333333333</v>
      </c>
      <c r="B16" t="s">
        <v>110</v>
      </c>
      <c r="C16">
        <v>2.67</v>
      </c>
      <c r="D16">
        <v>2.93</v>
      </c>
      <c r="E16">
        <v>2.87</v>
      </c>
      <c r="F16">
        <v>2.82</v>
      </c>
      <c r="G16">
        <v>2.86</v>
      </c>
      <c r="H16">
        <v>2.83</v>
      </c>
      <c r="I16">
        <v>2.89</v>
      </c>
      <c r="J16">
        <v>2.86</v>
      </c>
      <c r="K16">
        <v>2.81</v>
      </c>
      <c r="L16">
        <v>2.92</v>
      </c>
      <c r="M16">
        <v>2.95</v>
      </c>
      <c r="N16">
        <v>2.95</v>
      </c>
      <c r="O16" t="s">
        <v>139</v>
      </c>
      <c r="P16" t="s">
        <v>139</v>
      </c>
      <c r="Q16" t="s">
        <v>139</v>
      </c>
      <c r="R16" t="s">
        <v>139</v>
      </c>
      <c r="S16" t="s">
        <v>139</v>
      </c>
      <c r="T16" t="s">
        <v>139</v>
      </c>
      <c r="U16" t="s">
        <v>139</v>
      </c>
      <c r="V16" t="s">
        <v>139</v>
      </c>
      <c r="W16" t="s">
        <v>139</v>
      </c>
      <c r="X16" t="s">
        <v>139</v>
      </c>
      <c r="Y16" t="s">
        <v>139</v>
      </c>
      <c r="Z16" t="s">
        <v>139</v>
      </c>
      <c r="AA16" t="s">
        <v>139</v>
      </c>
      <c r="AB16" t="s">
        <v>139</v>
      </c>
      <c r="AC16" t="s">
        <v>139</v>
      </c>
      <c r="AD16" t="s">
        <v>139</v>
      </c>
      <c r="AE16" t="s">
        <v>139</v>
      </c>
      <c r="AF16" t="s">
        <v>139</v>
      </c>
      <c r="AG16" t="s">
        <v>139</v>
      </c>
      <c r="AH16" t="s">
        <v>139</v>
      </c>
      <c r="AI16" t="s">
        <v>139</v>
      </c>
      <c r="AJ16" t="s">
        <v>139</v>
      </c>
      <c r="AK16" t="s">
        <v>139</v>
      </c>
      <c r="AL16" t="s">
        <v>139</v>
      </c>
    </row>
    <row r="17" spans="1:38" ht="12.75">
      <c r="A17" s="1">
        <f>AVERAGE(C17:O17)</f>
        <v>2.9038461538461537</v>
      </c>
      <c r="B17" t="s">
        <v>111</v>
      </c>
      <c r="C17">
        <v>2.75</v>
      </c>
      <c r="D17">
        <v>3.01</v>
      </c>
      <c r="E17">
        <v>2.9</v>
      </c>
      <c r="F17">
        <v>2.8</v>
      </c>
      <c r="G17">
        <v>2.95</v>
      </c>
      <c r="H17">
        <v>2.92</v>
      </c>
      <c r="I17">
        <v>2.84</v>
      </c>
      <c r="J17">
        <v>2.95</v>
      </c>
      <c r="K17">
        <v>2.85</v>
      </c>
      <c r="L17">
        <v>2.88</v>
      </c>
      <c r="M17">
        <v>2.95</v>
      </c>
      <c r="N17">
        <v>3</v>
      </c>
      <c r="O17">
        <v>2.95</v>
      </c>
      <c r="P17" t="s">
        <v>139</v>
      </c>
      <c r="Q17" t="s">
        <v>139</v>
      </c>
      <c r="R17" t="s">
        <v>139</v>
      </c>
      <c r="S17" t="s">
        <v>139</v>
      </c>
      <c r="T17" t="s">
        <v>139</v>
      </c>
      <c r="U17" t="s">
        <v>139</v>
      </c>
      <c r="V17" t="s">
        <v>139</v>
      </c>
      <c r="W17" t="s">
        <v>139</v>
      </c>
      <c r="X17" t="s">
        <v>139</v>
      </c>
      <c r="Y17" t="s">
        <v>139</v>
      </c>
      <c r="Z17" t="s">
        <v>139</v>
      </c>
      <c r="AA17" t="s">
        <v>139</v>
      </c>
      <c r="AB17" t="s">
        <v>139</v>
      </c>
      <c r="AC17" t="s">
        <v>139</v>
      </c>
      <c r="AD17" t="s">
        <v>139</v>
      </c>
      <c r="AE17" t="s">
        <v>139</v>
      </c>
      <c r="AF17" t="s">
        <v>139</v>
      </c>
      <c r="AG17" t="s">
        <v>139</v>
      </c>
      <c r="AH17" t="s">
        <v>139</v>
      </c>
      <c r="AI17" t="s">
        <v>139</v>
      </c>
      <c r="AJ17" t="s">
        <v>139</v>
      </c>
      <c r="AK17" t="s">
        <v>139</v>
      </c>
      <c r="AL17" t="s">
        <v>139</v>
      </c>
    </row>
    <row r="18" spans="1:38" ht="12.75">
      <c r="A18" s="1">
        <f>AVERAGE(C18:P18)</f>
        <v>2.8485714285714288</v>
      </c>
      <c r="B18" t="s">
        <v>112</v>
      </c>
      <c r="C18">
        <v>2.73</v>
      </c>
      <c r="D18">
        <v>2.98</v>
      </c>
      <c r="E18">
        <v>2.86</v>
      </c>
      <c r="F18">
        <v>2.81</v>
      </c>
      <c r="G18">
        <v>2.92</v>
      </c>
      <c r="H18">
        <v>2.89</v>
      </c>
      <c r="I18">
        <v>2.85</v>
      </c>
      <c r="J18">
        <v>2.86</v>
      </c>
      <c r="K18">
        <v>2.8</v>
      </c>
      <c r="L18">
        <v>2.92</v>
      </c>
      <c r="M18">
        <v>2.86</v>
      </c>
      <c r="N18">
        <v>2.76</v>
      </c>
      <c r="O18">
        <v>2.9</v>
      </c>
      <c r="P18">
        <v>2.74</v>
      </c>
      <c r="Q18" t="s">
        <v>139</v>
      </c>
      <c r="R18" t="s">
        <v>139</v>
      </c>
      <c r="S18" t="s">
        <v>139</v>
      </c>
      <c r="T18" t="s">
        <v>139</v>
      </c>
      <c r="U18" t="s">
        <v>139</v>
      </c>
      <c r="V18" t="s">
        <v>139</v>
      </c>
      <c r="W18" t="s">
        <v>139</v>
      </c>
      <c r="X18" t="s">
        <v>139</v>
      </c>
      <c r="Y18" t="s">
        <v>139</v>
      </c>
      <c r="Z18" t="s">
        <v>139</v>
      </c>
      <c r="AA18" t="s">
        <v>139</v>
      </c>
      <c r="AB18" t="s">
        <v>139</v>
      </c>
      <c r="AC18" t="s">
        <v>139</v>
      </c>
      <c r="AD18" t="s">
        <v>139</v>
      </c>
      <c r="AE18" t="s">
        <v>139</v>
      </c>
      <c r="AF18" t="s">
        <v>139</v>
      </c>
      <c r="AG18" t="s">
        <v>139</v>
      </c>
      <c r="AH18" t="s">
        <v>139</v>
      </c>
      <c r="AI18" t="s">
        <v>139</v>
      </c>
      <c r="AJ18" t="s">
        <v>139</v>
      </c>
      <c r="AK18" t="s">
        <v>139</v>
      </c>
      <c r="AL18" t="s">
        <v>139</v>
      </c>
    </row>
    <row r="19" spans="1:38" ht="12.75">
      <c r="A19" s="1">
        <f>AVERAGE(C19:Q19)</f>
        <v>2.8846666666666665</v>
      </c>
      <c r="B19" t="s">
        <v>113</v>
      </c>
      <c r="C19">
        <v>2.72</v>
      </c>
      <c r="D19">
        <v>2.96</v>
      </c>
      <c r="E19">
        <v>2.87</v>
      </c>
      <c r="F19">
        <v>2.85</v>
      </c>
      <c r="G19">
        <v>2.95</v>
      </c>
      <c r="H19">
        <v>2.9</v>
      </c>
      <c r="I19">
        <v>2.88</v>
      </c>
      <c r="J19">
        <v>2.88</v>
      </c>
      <c r="K19">
        <v>2.8</v>
      </c>
      <c r="L19">
        <v>2.9</v>
      </c>
      <c r="M19">
        <v>2.88</v>
      </c>
      <c r="N19">
        <v>2.87</v>
      </c>
      <c r="O19">
        <v>2.92</v>
      </c>
      <c r="P19">
        <v>2.82</v>
      </c>
      <c r="Q19">
        <v>3.07</v>
      </c>
      <c r="R19" t="s">
        <v>139</v>
      </c>
      <c r="S19" t="s">
        <v>139</v>
      </c>
      <c r="T19" t="s">
        <v>139</v>
      </c>
      <c r="U19" t="s">
        <v>139</v>
      </c>
      <c r="V19" t="s">
        <v>139</v>
      </c>
      <c r="W19" t="s">
        <v>139</v>
      </c>
      <c r="X19" t="s">
        <v>139</v>
      </c>
      <c r="Y19" t="s">
        <v>139</v>
      </c>
      <c r="Z19" t="s">
        <v>139</v>
      </c>
      <c r="AA19" t="s">
        <v>139</v>
      </c>
      <c r="AB19" t="s">
        <v>139</v>
      </c>
      <c r="AC19" t="s">
        <v>139</v>
      </c>
      <c r="AD19" t="s">
        <v>139</v>
      </c>
      <c r="AE19" t="s">
        <v>139</v>
      </c>
      <c r="AF19" t="s">
        <v>139</v>
      </c>
      <c r="AG19" t="s">
        <v>139</v>
      </c>
      <c r="AH19" t="s">
        <v>139</v>
      </c>
      <c r="AI19" t="s">
        <v>139</v>
      </c>
      <c r="AJ19" t="s">
        <v>139</v>
      </c>
      <c r="AK19" t="s">
        <v>139</v>
      </c>
      <c r="AL19" t="s">
        <v>139</v>
      </c>
    </row>
    <row r="20" spans="1:38" ht="12.75">
      <c r="A20" s="1">
        <f>AVERAGE(C20:R20)</f>
        <v>2.841875</v>
      </c>
      <c r="B20" t="s">
        <v>114</v>
      </c>
      <c r="C20">
        <v>2.68</v>
      </c>
      <c r="D20">
        <v>2.88</v>
      </c>
      <c r="E20">
        <v>2.83</v>
      </c>
      <c r="F20">
        <v>2.79</v>
      </c>
      <c r="G20">
        <v>2.89</v>
      </c>
      <c r="H20">
        <v>2.78</v>
      </c>
      <c r="I20">
        <v>2.83</v>
      </c>
      <c r="J20">
        <v>2.85</v>
      </c>
      <c r="K20">
        <v>2.8</v>
      </c>
      <c r="L20">
        <v>2.88</v>
      </c>
      <c r="M20">
        <v>2.85</v>
      </c>
      <c r="N20">
        <v>2.85</v>
      </c>
      <c r="O20">
        <v>2.82</v>
      </c>
      <c r="P20">
        <v>2.76</v>
      </c>
      <c r="Q20">
        <v>3.09</v>
      </c>
      <c r="R20">
        <v>2.89</v>
      </c>
      <c r="S20" t="s">
        <v>139</v>
      </c>
      <c r="T20" t="s">
        <v>139</v>
      </c>
      <c r="U20" t="s">
        <v>139</v>
      </c>
      <c r="V20" t="s">
        <v>139</v>
      </c>
      <c r="W20" t="s">
        <v>139</v>
      </c>
      <c r="X20" t="s">
        <v>139</v>
      </c>
      <c r="Y20" t="s">
        <v>139</v>
      </c>
      <c r="Z20" t="s">
        <v>139</v>
      </c>
      <c r="AA20" t="s">
        <v>139</v>
      </c>
      <c r="AB20" t="s">
        <v>139</v>
      </c>
      <c r="AC20" t="s">
        <v>139</v>
      </c>
      <c r="AD20" t="s">
        <v>139</v>
      </c>
      <c r="AE20" t="s">
        <v>139</v>
      </c>
      <c r="AF20" t="s">
        <v>139</v>
      </c>
      <c r="AG20" t="s">
        <v>139</v>
      </c>
      <c r="AH20" t="s">
        <v>139</v>
      </c>
      <c r="AI20" t="s">
        <v>139</v>
      </c>
      <c r="AJ20" t="s">
        <v>139</v>
      </c>
      <c r="AK20" t="s">
        <v>139</v>
      </c>
      <c r="AL20" t="s">
        <v>139</v>
      </c>
    </row>
    <row r="21" spans="1:38" ht="12.75">
      <c r="A21" s="1">
        <f>AVERAGE(C21:S21)</f>
        <v>2.8747058823529414</v>
      </c>
      <c r="B21" t="s">
        <v>115</v>
      </c>
      <c r="C21">
        <v>2.73</v>
      </c>
      <c r="D21">
        <v>2.9</v>
      </c>
      <c r="E21">
        <v>2.92</v>
      </c>
      <c r="F21">
        <v>2.85</v>
      </c>
      <c r="G21">
        <v>2.92</v>
      </c>
      <c r="H21">
        <v>2.91</v>
      </c>
      <c r="I21">
        <v>2.85</v>
      </c>
      <c r="J21">
        <v>2.89</v>
      </c>
      <c r="K21">
        <v>2.82</v>
      </c>
      <c r="L21">
        <v>2.93</v>
      </c>
      <c r="M21">
        <v>2.94</v>
      </c>
      <c r="N21">
        <v>2.87</v>
      </c>
      <c r="O21">
        <v>2.77</v>
      </c>
      <c r="P21">
        <v>2.8</v>
      </c>
      <c r="Q21">
        <v>2.97</v>
      </c>
      <c r="R21">
        <v>2.96</v>
      </c>
      <c r="S21">
        <v>2.84</v>
      </c>
      <c r="T21" t="s">
        <v>139</v>
      </c>
      <c r="U21" t="s">
        <v>139</v>
      </c>
      <c r="V21" t="s">
        <v>139</v>
      </c>
      <c r="W21" t="s">
        <v>139</v>
      </c>
      <c r="X21" t="s">
        <v>139</v>
      </c>
      <c r="Y21" t="s">
        <v>139</v>
      </c>
      <c r="Z21" t="s">
        <v>139</v>
      </c>
      <c r="AA21" t="s">
        <v>139</v>
      </c>
      <c r="AB21" t="s">
        <v>139</v>
      </c>
      <c r="AC21" t="s">
        <v>139</v>
      </c>
      <c r="AD21" t="s">
        <v>139</v>
      </c>
      <c r="AE21" t="s">
        <v>139</v>
      </c>
      <c r="AF21" t="s">
        <v>139</v>
      </c>
      <c r="AG21" t="s">
        <v>139</v>
      </c>
      <c r="AH21" t="s">
        <v>139</v>
      </c>
      <c r="AI21" t="s">
        <v>139</v>
      </c>
      <c r="AJ21" t="s">
        <v>139</v>
      </c>
      <c r="AK21" t="s">
        <v>139</v>
      </c>
      <c r="AL21" t="s">
        <v>139</v>
      </c>
    </row>
    <row r="22" spans="1:38" ht="12.75">
      <c r="A22" s="1">
        <f>AVERAGE(C22:T22)</f>
        <v>2.871666666666667</v>
      </c>
      <c r="B22" t="s">
        <v>116</v>
      </c>
      <c r="C22">
        <v>2.73</v>
      </c>
      <c r="D22">
        <v>2.89</v>
      </c>
      <c r="E22">
        <v>2.87</v>
      </c>
      <c r="F22">
        <v>2.82</v>
      </c>
      <c r="G22">
        <v>2.9</v>
      </c>
      <c r="H22">
        <v>2.87</v>
      </c>
      <c r="I22">
        <v>2.85</v>
      </c>
      <c r="J22">
        <v>2.9</v>
      </c>
      <c r="K22">
        <v>2.81</v>
      </c>
      <c r="L22">
        <v>2.92</v>
      </c>
      <c r="M22">
        <v>2.96</v>
      </c>
      <c r="N22">
        <v>2.9</v>
      </c>
      <c r="O22">
        <v>2.82</v>
      </c>
      <c r="P22">
        <v>2.81</v>
      </c>
      <c r="Q22">
        <v>3.06</v>
      </c>
      <c r="R22">
        <v>2.9</v>
      </c>
      <c r="S22">
        <v>2.89</v>
      </c>
      <c r="T22">
        <v>2.79</v>
      </c>
      <c r="U22" t="s">
        <v>139</v>
      </c>
      <c r="V22" t="s">
        <v>139</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row>
    <row r="23" spans="1:38" ht="12.75">
      <c r="A23" s="1">
        <f>AVERAGE(C23:U23)</f>
        <v>2.8799999999999994</v>
      </c>
      <c r="B23" t="s">
        <v>117</v>
      </c>
      <c r="C23">
        <v>2.74</v>
      </c>
      <c r="D23">
        <v>2.95</v>
      </c>
      <c r="E23">
        <v>2.93</v>
      </c>
      <c r="F23">
        <v>2.84</v>
      </c>
      <c r="G23">
        <v>2.94</v>
      </c>
      <c r="H23">
        <v>2.86</v>
      </c>
      <c r="I23">
        <v>2.88</v>
      </c>
      <c r="J23">
        <v>2.91</v>
      </c>
      <c r="K23">
        <v>2.8</v>
      </c>
      <c r="L23">
        <v>2.86</v>
      </c>
      <c r="M23">
        <v>2.9</v>
      </c>
      <c r="N23">
        <v>2.79</v>
      </c>
      <c r="O23">
        <v>2.92</v>
      </c>
      <c r="P23">
        <v>2.87</v>
      </c>
      <c r="Q23">
        <v>3.04</v>
      </c>
      <c r="R23">
        <v>2.87</v>
      </c>
      <c r="S23">
        <v>2.85</v>
      </c>
      <c r="T23">
        <v>2.9</v>
      </c>
      <c r="U23">
        <v>2.87</v>
      </c>
      <c r="V23" t="s">
        <v>139</v>
      </c>
      <c r="W23" t="s">
        <v>139</v>
      </c>
      <c r="X23" t="s">
        <v>139</v>
      </c>
      <c r="Y23" t="s">
        <v>139</v>
      </c>
      <c r="Z23" t="s">
        <v>139</v>
      </c>
      <c r="AA23" t="s">
        <v>139</v>
      </c>
      <c r="AB23" t="s">
        <v>139</v>
      </c>
      <c r="AC23" t="s">
        <v>139</v>
      </c>
      <c r="AD23" t="s">
        <v>139</v>
      </c>
      <c r="AE23" t="s">
        <v>139</v>
      </c>
      <c r="AF23" t="s">
        <v>139</v>
      </c>
      <c r="AG23" t="s">
        <v>139</v>
      </c>
      <c r="AH23" t="s">
        <v>139</v>
      </c>
      <c r="AI23" t="s">
        <v>139</v>
      </c>
      <c r="AJ23" t="s">
        <v>139</v>
      </c>
      <c r="AK23" t="s">
        <v>139</v>
      </c>
      <c r="AL23" t="s">
        <v>139</v>
      </c>
    </row>
    <row r="24" spans="1:38" ht="12.75">
      <c r="A24" s="1">
        <f>AVERAGE(C24:V24)</f>
        <v>2.8489999999999998</v>
      </c>
      <c r="B24" t="s">
        <v>118</v>
      </c>
      <c r="C24">
        <v>2.68</v>
      </c>
      <c r="D24">
        <v>2.92</v>
      </c>
      <c r="E24">
        <v>2.89</v>
      </c>
      <c r="F24">
        <v>2.8</v>
      </c>
      <c r="G24">
        <v>2.91</v>
      </c>
      <c r="H24">
        <v>2.85</v>
      </c>
      <c r="I24">
        <v>2.84</v>
      </c>
      <c r="J24">
        <v>2.9</v>
      </c>
      <c r="K24">
        <v>2.76</v>
      </c>
      <c r="L24">
        <v>2.89</v>
      </c>
      <c r="M24">
        <v>2.91</v>
      </c>
      <c r="N24">
        <v>2.85</v>
      </c>
      <c r="O24">
        <v>2.8</v>
      </c>
      <c r="P24">
        <v>2.8</v>
      </c>
      <c r="Q24">
        <v>3.03</v>
      </c>
      <c r="R24">
        <v>2.91</v>
      </c>
      <c r="S24">
        <v>2.83</v>
      </c>
      <c r="T24">
        <v>2.81</v>
      </c>
      <c r="U24">
        <v>2.77</v>
      </c>
      <c r="V24">
        <v>2.83</v>
      </c>
      <c r="W24" t="s">
        <v>139</v>
      </c>
      <c r="X24" t="s">
        <v>139</v>
      </c>
      <c r="Y24" t="s">
        <v>139</v>
      </c>
      <c r="Z24" t="s">
        <v>139</v>
      </c>
      <c r="AA24" t="s">
        <v>139</v>
      </c>
      <c r="AB24" t="s">
        <v>139</v>
      </c>
      <c r="AC24" t="s">
        <v>139</v>
      </c>
      <c r="AD24" t="s">
        <v>139</v>
      </c>
      <c r="AE24" t="s">
        <v>139</v>
      </c>
      <c r="AF24" t="s">
        <v>139</v>
      </c>
      <c r="AG24" t="s">
        <v>139</v>
      </c>
      <c r="AH24" t="s">
        <v>139</v>
      </c>
      <c r="AI24" t="s">
        <v>139</v>
      </c>
      <c r="AJ24" t="s">
        <v>139</v>
      </c>
      <c r="AK24" t="s">
        <v>139</v>
      </c>
      <c r="AL24" t="s">
        <v>139</v>
      </c>
    </row>
    <row r="25" spans="1:38" ht="12.75">
      <c r="A25" s="1">
        <f>AVERAGE(C25:W25)</f>
        <v>2.8723809523809516</v>
      </c>
      <c r="B25" t="s">
        <v>119</v>
      </c>
      <c r="C25">
        <v>2.74</v>
      </c>
      <c r="D25">
        <v>2.97</v>
      </c>
      <c r="E25">
        <v>2.88</v>
      </c>
      <c r="F25">
        <v>2.82</v>
      </c>
      <c r="G25">
        <v>2.92</v>
      </c>
      <c r="H25">
        <v>2.86</v>
      </c>
      <c r="I25">
        <v>2.88</v>
      </c>
      <c r="J25">
        <v>2.93</v>
      </c>
      <c r="K25">
        <v>2.81</v>
      </c>
      <c r="L25">
        <v>2.91</v>
      </c>
      <c r="M25">
        <v>2.92</v>
      </c>
      <c r="N25">
        <v>2.91</v>
      </c>
      <c r="O25">
        <v>2.83</v>
      </c>
      <c r="P25">
        <v>2.78</v>
      </c>
      <c r="Q25">
        <v>3.05</v>
      </c>
      <c r="R25">
        <v>2.9</v>
      </c>
      <c r="S25">
        <v>2.79</v>
      </c>
      <c r="T25">
        <v>2.79</v>
      </c>
      <c r="U25">
        <v>2.8</v>
      </c>
      <c r="V25">
        <v>2.93</v>
      </c>
      <c r="W25">
        <v>2.9</v>
      </c>
      <c r="X25" t="s">
        <v>139</v>
      </c>
      <c r="Y25" t="s">
        <v>139</v>
      </c>
      <c r="Z25" t="s">
        <v>139</v>
      </c>
      <c r="AA25" t="s">
        <v>139</v>
      </c>
      <c r="AB25" t="s">
        <v>139</v>
      </c>
      <c r="AC25" t="s">
        <v>139</v>
      </c>
      <c r="AD25" t="s">
        <v>139</v>
      </c>
      <c r="AE25" t="s">
        <v>139</v>
      </c>
      <c r="AF25" t="s">
        <v>139</v>
      </c>
      <c r="AG25" t="s">
        <v>139</v>
      </c>
      <c r="AH25" t="s">
        <v>139</v>
      </c>
      <c r="AI25" t="s">
        <v>139</v>
      </c>
      <c r="AJ25" t="s">
        <v>139</v>
      </c>
      <c r="AK25" t="s">
        <v>139</v>
      </c>
      <c r="AL25" t="s">
        <v>139</v>
      </c>
    </row>
    <row r="26" spans="1:38" ht="12.75">
      <c r="A26" s="1">
        <f>AVERAGE(C26:X26)</f>
        <v>2.868636363636363</v>
      </c>
      <c r="B26" t="s">
        <v>120</v>
      </c>
      <c r="C26">
        <v>2.72</v>
      </c>
      <c r="D26">
        <v>2.92</v>
      </c>
      <c r="E26">
        <v>2.84</v>
      </c>
      <c r="F26">
        <v>2.83</v>
      </c>
      <c r="G26">
        <v>2.9</v>
      </c>
      <c r="H26">
        <v>2.84</v>
      </c>
      <c r="I26">
        <v>2.86</v>
      </c>
      <c r="J26">
        <v>2.88</v>
      </c>
      <c r="K26">
        <v>2.78</v>
      </c>
      <c r="L26">
        <v>2.85</v>
      </c>
      <c r="M26">
        <v>2.9</v>
      </c>
      <c r="N26">
        <v>2.9</v>
      </c>
      <c r="O26">
        <v>2.91</v>
      </c>
      <c r="P26">
        <v>2.79</v>
      </c>
      <c r="Q26">
        <v>3.01</v>
      </c>
      <c r="R26">
        <v>2.93</v>
      </c>
      <c r="S26">
        <v>2.92</v>
      </c>
      <c r="T26">
        <v>2.88</v>
      </c>
      <c r="U26">
        <v>2.77</v>
      </c>
      <c r="V26">
        <v>2.94</v>
      </c>
      <c r="W26">
        <v>3.01</v>
      </c>
      <c r="X26">
        <v>2.73</v>
      </c>
      <c r="Y26" t="s">
        <v>139</v>
      </c>
      <c r="Z26" t="s">
        <v>139</v>
      </c>
      <c r="AA26" t="s">
        <v>139</v>
      </c>
      <c r="AB26" t="s">
        <v>139</v>
      </c>
      <c r="AC26" t="s">
        <v>139</v>
      </c>
      <c r="AD26" t="s">
        <v>139</v>
      </c>
      <c r="AE26" t="s">
        <v>139</v>
      </c>
      <c r="AF26" t="s">
        <v>139</v>
      </c>
      <c r="AG26" t="s">
        <v>139</v>
      </c>
      <c r="AH26" t="s">
        <v>139</v>
      </c>
      <c r="AI26" t="s">
        <v>139</v>
      </c>
      <c r="AJ26" t="s">
        <v>139</v>
      </c>
      <c r="AK26" t="s">
        <v>139</v>
      </c>
      <c r="AL26" t="s">
        <v>139</v>
      </c>
    </row>
    <row r="27" spans="1:38" ht="12.75">
      <c r="A27" s="1">
        <f>AVERAGE(C27:Y27)</f>
        <v>2.884347826086956</v>
      </c>
      <c r="B27" t="s">
        <v>121</v>
      </c>
      <c r="C27">
        <v>2.76</v>
      </c>
      <c r="D27">
        <v>2.95</v>
      </c>
      <c r="E27">
        <v>2.9</v>
      </c>
      <c r="F27">
        <v>2.82</v>
      </c>
      <c r="G27">
        <v>2.92</v>
      </c>
      <c r="H27">
        <v>2.84</v>
      </c>
      <c r="I27">
        <v>2.88</v>
      </c>
      <c r="J27">
        <v>2.93</v>
      </c>
      <c r="K27">
        <v>2.85</v>
      </c>
      <c r="L27">
        <v>2.9</v>
      </c>
      <c r="M27">
        <v>2.96</v>
      </c>
      <c r="N27">
        <v>2.89</v>
      </c>
      <c r="O27">
        <v>2.85</v>
      </c>
      <c r="P27">
        <v>2.8</v>
      </c>
      <c r="Q27">
        <v>3.1</v>
      </c>
      <c r="R27">
        <v>2.93</v>
      </c>
      <c r="S27">
        <v>2.83</v>
      </c>
      <c r="T27">
        <v>2.85</v>
      </c>
      <c r="U27">
        <v>2.9</v>
      </c>
      <c r="V27">
        <v>2.9</v>
      </c>
      <c r="W27">
        <v>2.97</v>
      </c>
      <c r="X27">
        <v>2.83</v>
      </c>
      <c r="Y27">
        <v>2.78</v>
      </c>
      <c r="Z27" t="s">
        <v>139</v>
      </c>
      <c r="AA27" t="s">
        <v>139</v>
      </c>
      <c r="AB27" t="s">
        <v>139</v>
      </c>
      <c r="AC27" t="s">
        <v>139</v>
      </c>
      <c r="AD27" t="s">
        <v>139</v>
      </c>
      <c r="AE27" t="s">
        <v>139</v>
      </c>
      <c r="AF27" t="s">
        <v>139</v>
      </c>
      <c r="AG27" t="s">
        <v>139</v>
      </c>
      <c r="AH27" t="s">
        <v>139</v>
      </c>
      <c r="AI27" t="s">
        <v>139</v>
      </c>
      <c r="AJ27" t="s">
        <v>139</v>
      </c>
      <c r="AK27" t="s">
        <v>139</v>
      </c>
      <c r="AL27" t="s">
        <v>139</v>
      </c>
    </row>
    <row r="28" spans="1:38" ht="12.75">
      <c r="A28" s="1">
        <f>AVERAGE(C28:Z28)</f>
        <v>2.867083333333333</v>
      </c>
      <c r="B28" t="s">
        <v>122</v>
      </c>
      <c r="C28">
        <v>2.75</v>
      </c>
      <c r="D28">
        <v>2.92</v>
      </c>
      <c r="E28">
        <v>2.87</v>
      </c>
      <c r="F28">
        <v>2.83</v>
      </c>
      <c r="G28">
        <v>2.92</v>
      </c>
      <c r="H28">
        <v>2.85</v>
      </c>
      <c r="I28">
        <v>2.86</v>
      </c>
      <c r="J28">
        <v>2.87</v>
      </c>
      <c r="K28">
        <v>2.81</v>
      </c>
      <c r="L28">
        <v>2.91</v>
      </c>
      <c r="M28">
        <v>2.91</v>
      </c>
      <c r="N28">
        <v>2.87</v>
      </c>
      <c r="O28">
        <v>2.83</v>
      </c>
      <c r="P28">
        <v>2.81</v>
      </c>
      <c r="Q28">
        <v>3.04</v>
      </c>
      <c r="R28">
        <v>2.85</v>
      </c>
      <c r="S28">
        <v>2.84</v>
      </c>
      <c r="T28">
        <v>2.87</v>
      </c>
      <c r="U28">
        <v>2.82</v>
      </c>
      <c r="V28">
        <v>2.9</v>
      </c>
      <c r="W28">
        <v>2.92</v>
      </c>
      <c r="X28">
        <v>2.88</v>
      </c>
      <c r="Y28">
        <v>2.8</v>
      </c>
      <c r="Z28">
        <v>2.88</v>
      </c>
      <c r="AA28" t="s">
        <v>139</v>
      </c>
      <c r="AB28" t="s">
        <v>139</v>
      </c>
      <c r="AC28" t="s">
        <v>139</v>
      </c>
      <c r="AD28" t="s">
        <v>139</v>
      </c>
      <c r="AE28" t="s">
        <v>139</v>
      </c>
      <c r="AF28" t="s">
        <v>139</v>
      </c>
      <c r="AG28" t="s">
        <v>139</v>
      </c>
      <c r="AH28" t="s">
        <v>139</v>
      </c>
      <c r="AI28" t="s">
        <v>139</v>
      </c>
      <c r="AJ28" t="s">
        <v>139</v>
      </c>
      <c r="AK28" t="s">
        <v>139</v>
      </c>
      <c r="AL28" t="s">
        <v>139</v>
      </c>
    </row>
    <row r="29" spans="1:38" ht="12.75">
      <c r="A29" s="1">
        <f>AVERAGE(C29:AA29)</f>
        <v>2.8896</v>
      </c>
      <c r="B29" t="s">
        <v>123</v>
      </c>
      <c r="C29">
        <v>2.74</v>
      </c>
      <c r="D29">
        <v>2.94</v>
      </c>
      <c r="E29">
        <v>2.87</v>
      </c>
      <c r="F29">
        <v>2.85</v>
      </c>
      <c r="G29">
        <v>2.92</v>
      </c>
      <c r="H29">
        <v>2.85</v>
      </c>
      <c r="I29">
        <v>2.86</v>
      </c>
      <c r="J29">
        <v>2.9</v>
      </c>
      <c r="K29">
        <v>2.85</v>
      </c>
      <c r="L29">
        <v>2.91</v>
      </c>
      <c r="M29">
        <v>2.92</v>
      </c>
      <c r="N29">
        <v>2.86</v>
      </c>
      <c r="O29">
        <v>2.9</v>
      </c>
      <c r="P29">
        <v>2.83</v>
      </c>
      <c r="Q29">
        <v>3.04</v>
      </c>
      <c r="R29">
        <v>2.97</v>
      </c>
      <c r="S29">
        <v>2.91</v>
      </c>
      <c r="T29">
        <v>2.85</v>
      </c>
      <c r="U29">
        <v>2.89</v>
      </c>
      <c r="V29">
        <v>2.99</v>
      </c>
      <c r="W29">
        <v>2.99</v>
      </c>
      <c r="X29">
        <v>2.82</v>
      </c>
      <c r="Y29">
        <v>2.87</v>
      </c>
      <c r="Z29">
        <v>2.84</v>
      </c>
      <c r="AA29">
        <v>2.87</v>
      </c>
      <c r="AB29" t="s">
        <v>139</v>
      </c>
      <c r="AC29" t="s">
        <v>139</v>
      </c>
      <c r="AD29" t="s">
        <v>139</v>
      </c>
      <c r="AE29" t="s">
        <v>139</v>
      </c>
      <c r="AF29" t="s">
        <v>139</v>
      </c>
      <c r="AG29" t="s">
        <v>139</v>
      </c>
      <c r="AH29" t="s">
        <v>139</v>
      </c>
      <c r="AI29" t="s">
        <v>139</v>
      </c>
      <c r="AJ29" t="s">
        <v>139</v>
      </c>
      <c r="AK29" t="s">
        <v>139</v>
      </c>
      <c r="AL29" t="s">
        <v>139</v>
      </c>
    </row>
    <row r="30" spans="1:38" ht="12.75">
      <c r="A30" s="1">
        <f>AVERAGE(C30:AB30)</f>
        <v>2.854230769230769</v>
      </c>
      <c r="B30" t="s">
        <v>124</v>
      </c>
      <c r="C30">
        <v>2.71</v>
      </c>
      <c r="D30">
        <v>2.92</v>
      </c>
      <c r="E30">
        <v>2.88</v>
      </c>
      <c r="F30">
        <v>2.81</v>
      </c>
      <c r="G30">
        <v>2.9</v>
      </c>
      <c r="H30">
        <v>2.82</v>
      </c>
      <c r="I30">
        <v>2.83</v>
      </c>
      <c r="J30">
        <v>2.89</v>
      </c>
      <c r="K30">
        <v>2.77</v>
      </c>
      <c r="L30">
        <v>2.95</v>
      </c>
      <c r="M30">
        <v>2.9</v>
      </c>
      <c r="N30">
        <v>2.83</v>
      </c>
      <c r="O30">
        <v>2.86</v>
      </c>
      <c r="P30">
        <v>2.78</v>
      </c>
      <c r="Q30">
        <v>3.02</v>
      </c>
      <c r="R30">
        <v>2.88</v>
      </c>
      <c r="S30">
        <v>2.86</v>
      </c>
      <c r="T30">
        <v>2.85</v>
      </c>
      <c r="U30">
        <v>2.86</v>
      </c>
      <c r="V30">
        <v>2.9</v>
      </c>
      <c r="W30">
        <v>2.97</v>
      </c>
      <c r="X30">
        <v>2.75</v>
      </c>
      <c r="Y30">
        <v>2.8</v>
      </c>
      <c r="Z30">
        <v>2.77</v>
      </c>
      <c r="AA30">
        <v>2.83</v>
      </c>
      <c r="AB30">
        <v>2.87</v>
      </c>
      <c r="AC30" t="s">
        <v>139</v>
      </c>
      <c r="AD30" t="s">
        <v>139</v>
      </c>
      <c r="AE30" t="s">
        <v>139</v>
      </c>
      <c r="AF30" t="s">
        <v>139</v>
      </c>
      <c r="AG30" t="s">
        <v>139</v>
      </c>
      <c r="AH30" t="s">
        <v>139</v>
      </c>
      <c r="AI30" t="s">
        <v>139</v>
      </c>
      <c r="AJ30" t="s">
        <v>139</v>
      </c>
      <c r="AK30" t="s">
        <v>139</v>
      </c>
      <c r="AL30" t="s">
        <v>139</v>
      </c>
    </row>
    <row r="31" spans="1:38" ht="12.75">
      <c r="A31" s="1">
        <f>AVERAGE(C31:AC31)</f>
        <v>2.864814814814815</v>
      </c>
      <c r="B31" t="s">
        <v>125</v>
      </c>
      <c r="C31">
        <v>2.73</v>
      </c>
      <c r="D31">
        <v>2.97</v>
      </c>
      <c r="E31">
        <v>2.9</v>
      </c>
      <c r="F31">
        <v>2.84</v>
      </c>
      <c r="G31">
        <v>2.88</v>
      </c>
      <c r="H31">
        <v>2.87</v>
      </c>
      <c r="I31">
        <v>2.88</v>
      </c>
      <c r="J31">
        <v>2.88</v>
      </c>
      <c r="K31">
        <v>2.8</v>
      </c>
      <c r="L31">
        <v>2.9</v>
      </c>
      <c r="M31">
        <v>2.9</v>
      </c>
      <c r="N31">
        <v>2.86</v>
      </c>
      <c r="O31">
        <v>2.84</v>
      </c>
      <c r="P31">
        <v>2.78</v>
      </c>
      <c r="Q31">
        <v>3.06</v>
      </c>
      <c r="R31">
        <v>2.95</v>
      </c>
      <c r="S31">
        <v>2.93</v>
      </c>
      <c r="T31">
        <v>2.82</v>
      </c>
      <c r="U31">
        <v>2.85</v>
      </c>
      <c r="V31">
        <v>2.95</v>
      </c>
      <c r="W31">
        <v>2.91</v>
      </c>
      <c r="X31">
        <v>2.86</v>
      </c>
      <c r="Y31">
        <v>2.86</v>
      </c>
      <c r="Z31">
        <v>2.8</v>
      </c>
      <c r="AA31">
        <v>2.81</v>
      </c>
      <c r="AB31">
        <v>2.85</v>
      </c>
      <c r="AC31">
        <v>2.67</v>
      </c>
      <c r="AD31" t="s">
        <v>139</v>
      </c>
      <c r="AE31" t="s">
        <v>139</v>
      </c>
      <c r="AF31" t="s">
        <v>139</v>
      </c>
      <c r="AG31" t="s">
        <v>139</v>
      </c>
      <c r="AH31" t="s">
        <v>139</v>
      </c>
      <c r="AI31" t="s">
        <v>139</v>
      </c>
      <c r="AJ31" t="s">
        <v>139</v>
      </c>
      <c r="AK31" t="s">
        <v>139</v>
      </c>
      <c r="AL31" t="s">
        <v>139</v>
      </c>
    </row>
    <row r="32" spans="1:38" ht="12.75">
      <c r="A32" s="1">
        <f>AVERAGE(C32:AD32)</f>
        <v>2.8760714285714286</v>
      </c>
      <c r="B32" t="s">
        <v>126</v>
      </c>
      <c r="C32">
        <v>2.71</v>
      </c>
      <c r="D32">
        <v>2.94</v>
      </c>
      <c r="E32">
        <v>2.89</v>
      </c>
      <c r="F32">
        <v>2.84</v>
      </c>
      <c r="G32">
        <v>2.91</v>
      </c>
      <c r="H32">
        <v>2.91</v>
      </c>
      <c r="I32">
        <v>2.85</v>
      </c>
      <c r="J32">
        <v>2.87</v>
      </c>
      <c r="K32">
        <v>2.8</v>
      </c>
      <c r="L32">
        <v>2.91</v>
      </c>
      <c r="M32">
        <v>2.92</v>
      </c>
      <c r="N32">
        <v>2.89</v>
      </c>
      <c r="O32">
        <v>2.88</v>
      </c>
      <c r="P32">
        <v>2.83</v>
      </c>
      <c r="Q32">
        <v>3.06</v>
      </c>
      <c r="R32">
        <v>2.93</v>
      </c>
      <c r="S32">
        <v>2.88</v>
      </c>
      <c r="T32">
        <v>2.78</v>
      </c>
      <c r="U32">
        <v>2.84</v>
      </c>
      <c r="V32">
        <v>2.9</v>
      </c>
      <c r="W32">
        <v>2.94</v>
      </c>
      <c r="X32">
        <v>2.86</v>
      </c>
      <c r="Y32">
        <v>2.89</v>
      </c>
      <c r="Z32">
        <v>2.84</v>
      </c>
      <c r="AA32">
        <v>2.92</v>
      </c>
      <c r="AB32">
        <v>2.92</v>
      </c>
      <c r="AC32">
        <v>2.63</v>
      </c>
      <c r="AD32">
        <v>2.99</v>
      </c>
      <c r="AE32" t="s">
        <v>139</v>
      </c>
      <c r="AF32" t="s">
        <v>139</v>
      </c>
      <c r="AG32" t="s">
        <v>139</v>
      </c>
      <c r="AH32" t="s">
        <v>139</v>
      </c>
      <c r="AI32" t="s">
        <v>139</v>
      </c>
      <c r="AJ32" t="s">
        <v>139</v>
      </c>
      <c r="AK32" t="s">
        <v>139</v>
      </c>
      <c r="AL32" t="s">
        <v>139</v>
      </c>
    </row>
    <row r="33" spans="1:38" ht="12.75">
      <c r="A33" s="1">
        <f>AVERAGE(C33:AE33)</f>
        <v>2.903103448275862</v>
      </c>
      <c r="B33" t="s">
        <v>127</v>
      </c>
      <c r="C33">
        <v>2.76</v>
      </c>
      <c r="D33">
        <v>2.98</v>
      </c>
      <c r="E33">
        <v>2.91</v>
      </c>
      <c r="F33">
        <v>2.87</v>
      </c>
      <c r="G33">
        <v>2.92</v>
      </c>
      <c r="H33">
        <v>2.89</v>
      </c>
      <c r="I33">
        <v>2.89</v>
      </c>
      <c r="J33">
        <v>2.93</v>
      </c>
      <c r="K33">
        <v>2.85</v>
      </c>
      <c r="L33">
        <v>2.92</v>
      </c>
      <c r="M33">
        <v>2.92</v>
      </c>
      <c r="N33">
        <v>2.91</v>
      </c>
      <c r="O33">
        <v>2.94</v>
      </c>
      <c r="P33">
        <v>2.84</v>
      </c>
      <c r="Q33">
        <v>3.08</v>
      </c>
      <c r="R33">
        <v>2.95</v>
      </c>
      <c r="S33">
        <v>2.9</v>
      </c>
      <c r="T33">
        <v>2.87</v>
      </c>
      <c r="U33">
        <v>2.89</v>
      </c>
      <c r="V33">
        <v>2.93</v>
      </c>
      <c r="W33">
        <v>2.92</v>
      </c>
      <c r="X33">
        <v>2.93</v>
      </c>
      <c r="Y33">
        <v>2.9</v>
      </c>
      <c r="Z33">
        <v>2.97</v>
      </c>
      <c r="AA33">
        <v>2.88</v>
      </c>
      <c r="AB33">
        <v>2.9</v>
      </c>
      <c r="AC33">
        <v>2.74</v>
      </c>
      <c r="AD33">
        <v>2.95</v>
      </c>
      <c r="AE33">
        <v>2.85</v>
      </c>
      <c r="AF33" t="s">
        <v>139</v>
      </c>
      <c r="AG33" t="s">
        <v>139</v>
      </c>
      <c r="AH33" t="s">
        <v>139</v>
      </c>
      <c r="AI33" t="s">
        <v>139</v>
      </c>
      <c r="AJ33" t="s">
        <v>139</v>
      </c>
      <c r="AK33" t="s">
        <v>139</v>
      </c>
      <c r="AL33" t="s">
        <v>139</v>
      </c>
    </row>
    <row r="34" spans="1:38" ht="12.75">
      <c r="A34" s="1">
        <f>AVERAGE(C34:AF34)</f>
        <v>2.8796666666666666</v>
      </c>
      <c r="B34" t="s">
        <v>128</v>
      </c>
      <c r="C34">
        <v>2.71</v>
      </c>
      <c r="D34">
        <v>2.94</v>
      </c>
      <c r="E34">
        <v>2.86</v>
      </c>
      <c r="F34">
        <v>2.81</v>
      </c>
      <c r="G34">
        <v>2.94</v>
      </c>
      <c r="H34">
        <v>2.84</v>
      </c>
      <c r="I34">
        <v>2.85</v>
      </c>
      <c r="J34">
        <v>2.87</v>
      </c>
      <c r="K34">
        <v>2.75</v>
      </c>
      <c r="L34">
        <v>2.91</v>
      </c>
      <c r="M34">
        <v>2.9</v>
      </c>
      <c r="N34">
        <v>2.87</v>
      </c>
      <c r="O34">
        <v>2.84</v>
      </c>
      <c r="P34">
        <v>2.86</v>
      </c>
      <c r="Q34">
        <v>3.08</v>
      </c>
      <c r="R34">
        <v>2.92</v>
      </c>
      <c r="S34">
        <v>2.88</v>
      </c>
      <c r="T34">
        <v>2.88</v>
      </c>
      <c r="U34">
        <v>2.9</v>
      </c>
      <c r="V34">
        <v>2.99</v>
      </c>
      <c r="W34">
        <v>2.98</v>
      </c>
      <c r="X34">
        <v>2.85</v>
      </c>
      <c r="Y34">
        <v>2.86</v>
      </c>
      <c r="Z34">
        <v>2.86</v>
      </c>
      <c r="AA34">
        <v>2.92</v>
      </c>
      <c r="AB34">
        <v>2.91</v>
      </c>
      <c r="AC34">
        <v>2.68</v>
      </c>
      <c r="AD34">
        <v>2.88</v>
      </c>
      <c r="AE34">
        <v>2.91</v>
      </c>
      <c r="AF34">
        <v>2.94</v>
      </c>
      <c r="AG34" t="s">
        <v>139</v>
      </c>
      <c r="AH34" t="s">
        <v>139</v>
      </c>
      <c r="AI34" t="s">
        <v>139</v>
      </c>
      <c r="AJ34" t="s">
        <v>139</v>
      </c>
      <c r="AK34" t="s">
        <v>139</v>
      </c>
      <c r="AL34" t="s">
        <v>139</v>
      </c>
    </row>
    <row r="35" spans="1:38" ht="12.75">
      <c r="A35" s="1">
        <f>AVERAGE(C35:AG35)</f>
        <v>2.8845161290322583</v>
      </c>
      <c r="B35" t="s">
        <v>129</v>
      </c>
      <c r="C35">
        <v>2.75</v>
      </c>
      <c r="D35">
        <v>2.93</v>
      </c>
      <c r="E35">
        <v>2.91</v>
      </c>
      <c r="F35">
        <v>2.81</v>
      </c>
      <c r="G35">
        <v>2.93</v>
      </c>
      <c r="H35">
        <v>2.9</v>
      </c>
      <c r="I35">
        <v>2.88</v>
      </c>
      <c r="J35">
        <v>2.91</v>
      </c>
      <c r="K35">
        <v>2.84</v>
      </c>
      <c r="L35">
        <v>2.93</v>
      </c>
      <c r="M35">
        <v>2.92</v>
      </c>
      <c r="N35">
        <v>2.9</v>
      </c>
      <c r="O35">
        <v>2.88</v>
      </c>
      <c r="P35">
        <v>2.8</v>
      </c>
      <c r="Q35">
        <v>3.07</v>
      </c>
      <c r="R35">
        <v>2.88</v>
      </c>
      <c r="S35">
        <v>2.9</v>
      </c>
      <c r="T35">
        <v>2.9</v>
      </c>
      <c r="U35">
        <v>2.9</v>
      </c>
      <c r="V35">
        <v>2.97</v>
      </c>
      <c r="W35">
        <v>2.91</v>
      </c>
      <c r="X35">
        <v>2.88</v>
      </c>
      <c r="Y35">
        <v>2.9</v>
      </c>
      <c r="Z35">
        <v>2.78</v>
      </c>
      <c r="AA35">
        <v>2.91</v>
      </c>
      <c r="AB35">
        <v>2.86</v>
      </c>
      <c r="AC35">
        <v>2.7</v>
      </c>
      <c r="AD35">
        <v>2.98</v>
      </c>
      <c r="AE35">
        <v>2.9</v>
      </c>
      <c r="AF35">
        <v>2.77</v>
      </c>
      <c r="AG35">
        <v>2.92</v>
      </c>
      <c r="AH35" t="s">
        <v>139</v>
      </c>
      <c r="AI35" t="s">
        <v>139</v>
      </c>
      <c r="AJ35" t="s">
        <v>139</v>
      </c>
      <c r="AK35" t="s">
        <v>139</v>
      </c>
      <c r="AL35" t="s">
        <v>139</v>
      </c>
    </row>
    <row r="36" spans="1:38" ht="12.75">
      <c r="A36" s="1">
        <f>AVERAGE(C36:AH36)</f>
        <v>2.856875</v>
      </c>
      <c r="B36" t="s">
        <v>130</v>
      </c>
      <c r="C36">
        <v>2.72</v>
      </c>
      <c r="D36">
        <v>2.94</v>
      </c>
      <c r="E36">
        <v>2.86</v>
      </c>
      <c r="F36">
        <v>2.8</v>
      </c>
      <c r="G36">
        <v>2.89</v>
      </c>
      <c r="H36">
        <v>2.85</v>
      </c>
      <c r="I36">
        <v>2.83</v>
      </c>
      <c r="J36">
        <v>2.89</v>
      </c>
      <c r="K36">
        <v>2.77</v>
      </c>
      <c r="L36">
        <v>2.88</v>
      </c>
      <c r="M36">
        <v>2.92</v>
      </c>
      <c r="N36">
        <v>2.84</v>
      </c>
      <c r="O36">
        <v>2.82</v>
      </c>
      <c r="P36">
        <v>2.84</v>
      </c>
      <c r="Q36">
        <v>3</v>
      </c>
      <c r="R36">
        <v>2.91</v>
      </c>
      <c r="S36">
        <v>2.85</v>
      </c>
      <c r="T36">
        <v>2.84</v>
      </c>
      <c r="U36">
        <v>2.82</v>
      </c>
      <c r="V36">
        <v>2.89</v>
      </c>
      <c r="W36">
        <v>2.89</v>
      </c>
      <c r="X36">
        <v>2.86</v>
      </c>
      <c r="Y36">
        <v>2.83</v>
      </c>
      <c r="Z36">
        <v>2.8</v>
      </c>
      <c r="AA36">
        <v>2.82</v>
      </c>
      <c r="AB36">
        <v>2.9</v>
      </c>
      <c r="AC36">
        <v>2.73</v>
      </c>
      <c r="AD36">
        <v>2.89</v>
      </c>
      <c r="AE36">
        <v>2.91</v>
      </c>
      <c r="AF36">
        <v>2.92</v>
      </c>
      <c r="AG36">
        <v>2.84</v>
      </c>
      <c r="AH36">
        <v>2.87</v>
      </c>
      <c r="AI36" t="s">
        <v>139</v>
      </c>
      <c r="AJ36" t="s">
        <v>139</v>
      </c>
      <c r="AK36" t="s">
        <v>139</v>
      </c>
      <c r="AL36" t="s">
        <v>139</v>
      </c>
    </row>
    <row r="37" spans="1:38" ht="12.75">
      <c r="A37" s="1">
        <f>AVERAGE(C37:AI37)</f>
        <v>2.897272727272727</v>
      </c>
      <c r="B37" t="s">
        <v>131</v>
      </c>
      <c r="C37">
        <v>2.76</v>
      </c>
      <c r="D37">
        <v>2.98</v>
      </c>
      <c r="E37">
        <v>2.9</v>
      </c>
      <c r="F37">
        <v>2.84</v>
      </c>
      <c r="G37">
        <v>2.94</v>
      </c>
      <c r="H37">
        <v>2.9</v>
      </c>
      <c r="I37">
        <v>2.87</v>
      </c>
      <c r="J37">
        <v>2.9</v>
      </c>
      <c r="K37">
        <v>2.8</v>
      </c>
      <c r="L37">
        <v>2.98</v>
      </c>
      <c r="M37">
        <v>2.95</v>
      </c>
      <c r="N37">
        <v>2.94</v>
      </c>
      <c r="O37">
        <v>2.92</v>
      </c>
      <c r="P37">
        <v>2.84</v>
      </c>
      <c r="Q37">
        <v>3.08</v>
      </c>
      <c r="R37">
        <v>2.95</v>
      </c>
      <c r="S37">
        <v>2.88</v>
      </c>
      <c r="T37">
        <v>2.84</v>
      </c>
      <c r="U37">
        <v>2.87</v>
      </c>
      <c r="V37">
        <v>2.9</v>
      </c>
      <c r="W37">
        <v>2.98</v>
      </c>
      <c r="X37">
        <v>2.89</v>
      </c>
      <c r="Y37">
        <v>2.92</v>
      </c>
      <c r="Z37">
        <v>2.89</v>
      </c>
      <c r="AA37">
        <v>2.93</v>
      </c>
      <c r="AB37">
        <v>2.91</v>
      </c>
      <c r="AC37">
        <v>2.75</v>
      </c>
      <c r="AD37">
        <v>2.9</v>
      </c>
      <c r="AE37">
        <v>2.91</v>
      </c>
      <c r="AF37">
        <v>2.94</v>
      </c>
      <c r="AG37">
        <v>2.88</v>
      </c>
      <c r="AH37">
        <v>2.88</v>
      </c>
      <c r="AI37">
        <v>2.79</v>
      </c>
      <c r="AJ37" t="s">
        <v>139</v>
      </c>
      <c r="AK37" t="s">
        <v>139</v>
      </c>
      <c r="AL37" t="s">
        <v>139</v>
      </c>
    </row>
    <row r="38" spans="1:38" ht="12.75">
      <c r="A38" s="1">
        <f>AVERAGE(C38:AJ38)</f>
        <v>2.8629411764705877</v>
      </c>
      <c r="B38" t="s">
        <v>132</v>
      </c>
      <c r="C38">
        <v>2.75</v>
      </c>
      <c r="D38">
        <v>2.89</v>
      </c>
      <c r="E38">
        <v>2.85</v>
      </c>
      <c r="F38">
        <v>2.79</v>
      </c>
      <c r="G38">
        <v>2.89</v>
      </c>
      <c r="H38">
        <v>2.82</v>
      </c>
      <c r="I38">
        <v>2.86</v>
      </c>
      <c r="J38">
        <v>2.89</v>
      </c>
      <c r="K38">
        <v>2.83</v>
      </c>
      <c r="L38">
        <v>2.9</v>
      </c>
      <c r="M38">
        <v>2.92</v>
      </c>
      <c r="N38">
        <v>2.89</v>
      </c>
      <c r="O38">
        <v>2.87</v>
      </c>
      <c r="P38">
        <v>2.81</v>
      </c>
      <c r="Q38">
        <v>3.07</v>
      </c>
      <c r="R38">
        <v>2.91</v>
      </c>
      <c r="S38">
        <v>2.9</v>
      </c>
      <c r="T38">
        <v>2.85</v>
      </c>
      <c r="U38">
        <v>2.8</v>
      </c>
      <c r="V38">
        <v>2.92</v>
      </c>
      <c r="W38">
        <v>2.89</v>
      </c>
      <c r="X38">
        <v>2.79</v>
      </c>
      <c r="Y38">
        <v>2.81</v>
      </c>
      <c r="Z38">
        <v>2.83</v>
      </c>
      <c r="AA38">
        <v>2.91</v>
      </c>
      <c r="AB38">
        <v>2.93</v>
      </c>
      <c r="AC38">
        <v>2.72</v>
      </c>
      <c r="AD38">
        <v>2.88</v>
      </c>
      <c r="AE38">
        <v>2.84</v>
      </c>
      <c r="AF38">
        <v>2.89</v>
      </c>
      <c r="AG38">
        <v>2.8</v>
      </c>
      <c r="AH38">
        <v>2.94</v>
      </c>
      <c r="AI38">
        <v>2.82</v>
      </c>
      <c r="AJ38">
        <v>2.88</v>
      </c>
      <c r="AK38" t="s">
        <v>139</v>
      </c>
      <c r="AL38" t="s">
        <v>139</v>
      </c>
    </row>
    <row r="39" spans="1:38" ht="12.75">
      <c r="A39" s="1">
        <f>AVERAGE(C39:AK39)</f>
        <v>2.894</v>
      </c>
      <c r="B39" t="s">
        <v>133</v>
      </c>
      <c r="C39">
        <v>2.74</v>
      </c>
      <c r="D39">
        <v>2.98</v>
      </c>
      <c r="E39">
        <v>2.9</v>
      </c>
      <c r="F39">
        <v>2.84</v>
      </c>
      <c r="G39">
        <v>2.91</v>
      </c>
      <c r="H39">
        <v>2.89</v>
      </c>
      <c r="I39">
        <v>2.87</v>
      </c>
      <c r="J39">
        <v>2.92</v>
      </c>
      <c r="K39">
        <v>2.82</v>
      </c>
      <c r="L39">
        <v>2.94</v>
      </c>
      <c r="M39">
        <v>2.94</v>
      </c>
      <c r="N39">
        <v>2.88</v>
      </c>
      <c r="O39">
        <v>2.92</v>
      </c>
      <c r="P39">
        <v>2.85</v>
      </c>
      <c r="Q39">
        <v>3.1</v>
      </c>
      <c r="R39">
        <v>2.93</v>
      </c>
      <c r="S39">
        <v>2.88</v>
      </c>
      <c r="T39">
        <v>2.85</v>
      </c>
      <c r="U39">
        <v>2.84</v>
      </c>
      <c r="V39">
        <v>2.9</v>
      </c>
      <c r="W39">
        <v>2.94</v>
      </c>
      <c r="X39">
        <v>2.83</v>
      </c>
      <c r="Y39">
        <v>2.86</v>
      </c>
      <c r="Z39">
        <v>2.89</v>
      </c>
      <c r="AA39">
        <v>2.94</v>
      </c>
      <c r="AB39">
        <v>2.88</v>
      </c>
      <c r="AC39">
        <v>2.76</v>
      </c>
      <c r="AD39">
        <v>2.97</v>
      </c>
      <c r="AE39">
        <v>2.96</v>
      </c>
      <c r="AF39">
        <v>2.89</v>
      </c>
      <c r="AG39">
        <v>2.98</v>
      </c>
      <c r="AH39">
        <v>2.93</v>
      </c>
      <c r="AI39">
        <v>2.83</v>
      </c>
      <c r="AJ39">
        <v>2.85</v>
      </c>
      <c r="AK39">
        <v>2.88</v>
      </c>
      <c r="AL39" t="s">
        <v>139</v>
      </c>
    </row>
    <row r="40" spans="1:38" ht="12.75">
      <c r="A40" s="1">
        <f aca="true" t="shared" si="0" ref="A40:A59">AVERAGE(C40:AL40)</f>
        <v>2.8536111111111113</v>
      </c>
      <c r="B40" t="s">
        <v>134</v>
      </c>
      <c r="C40">
        <v>2.74</v>
      </c>
      <c r="D40">
        <v>2.92</v>
      </c>
      <c r="E40">
        <v>2.9</v>
      </c>
      <c r="F40">
        <v>2.8</v>
      </c>
      <c r="G40">
        <v>2.91</v>
      </c>
      <c r="H40">
        <v>2.81</v>
      </c>
      <c r="I40">
        <v>2.86</v>
      </c>
      <c r="J40">
        <v>2.87</v>
      </c>
      <c r="K40">
        <v>2.78</v>
      </c>
      <c r="L40">
        <v>2.95</v>
      </c>
      <c r="M40">
        <v>2.93</v>
      </c>
      <c r="N40">
        <v>2.84</v>
      </c>
      <c r="O40">
        <v>2.85</v>
      </c>
      <c r="P40">
        <v>2.81</v>
      </c>
      <c r="Q40">
        <v>3.08</v>
      </c>
      <c r="R40">
        <v>2.91</v>
      </c>
      <c r="S40">
        <v>2.84</v>
      </c>
      <c r="T40">
        <v>2.8</v>
      </c>
      <c r="U40">
        <v>2.85</v>
      </c>
      <c r="V40">
        <v>2.89</v>
      </c>
      <c r="W40">
        <v>2.93</v>
      </c>
      <c r="X40">
        <v>2.81</v>
      </c>
      <c r="Y40">
        <v>2.8</v>
      </c>
      <c r="Z40">
        <v>2.78</v>
      </c>
      <c r="AA40">
        <v>2.88</v>
      </c>
      <c r="AB40">
        <v>2.86</v>
      </c>
      <c r="AC40">
        <v>2.73</v>
      </c>
      <c r="AD40">
        <v>2.87</v>
      </c>
      <c r="AE40">
        <v>2.87</v>
      </c>
      <c r="AF40">
        <v>2.83</v>
      </c>
      <c r="AG40">
        <v>2.83</v>
      </c>
      <c r="AH40">
        <v>2.89</v>
      </c>
      <c r="AI40">
        <v>2.77</v>
      </c>
      <c r="AJ40">
        <v>2.77</v>
      </c>
      <c r="AK40">
        <v>2.83</v>
      </c>
      <c r="AL40">
        <v>2.94</v>
      </c>
    </row>
    <row r="41" spans="1:38" ht="12.75">
      <c r="A41" s="1">
        <f t="shared" si="0"/>
        <v>2.7658333333333336</v>
      </c>
      <c r="B41" t="s">
        <v>135</v>
      </c>
      <c r="C41">
        <v>2.67</v>
      </c>
      <c r="D41">
        <v>2.83</v>
      </c>
      <c r="E41">
        <v>2.79</v>
      </c>
      <c r="F41">
        <v>2.77</v>
      </c>
      <c r="G41">
        <v>2.82</v>
      </c>
      <c r="H41">
        <v>2.72</v>
      </c>
      <c r="I41">
        <v>2.78</v>
      </c>
      <c r="J41">
        <v>2.82</v>
      </c>
      <c r="K41">
        <v>2.73</v>
      </c>
      <c r="L41">
        <v>2.81</v>
      </c>
      <c r="M41">
        <v>2.86</v>
      </c>
      <c r="N41">
        <v>2.78</v>
      </c>
      <c r="O41">
        <v>2.75</v>
      </c>
      <c r="P41">
        <v>2.72</v>
      </c>
      <c r="Q41">
        <v>2.97</v>
      </c>
      <c r="R41">
        <v>2.81</v>
      </c>
      <c r="S41">
        <v>2.77</v>
      </c>
      <c r="T41">
        <v>2.73</v>
      </c>
      <c r="U41">
        <v>2.78</v>
      </c>
      <c r="V41">
        <v>2.78</v>
      </c>
      <c r="W41">
        <v>2.81</v>
      </c>
      <c r="X41">
        <v>2.71</v>
      </c>
      <c r="Y41">
        <v>2.73</v>
      </c>
      <c r="Z41">
        <v>2.73</v>
      </c>
      <c r="AA41">
        <v>2.76</v>
      </c>
      <c r="AB41">
        <v>2.78</v>
      </c>
      <c r="AC41">
        <v>2.6</v>
      </c>
      <c r="AD41">
        <v>2.8</v>
      </c>
      <c r="AE41">
        <v>2.75</v>
      </c>
      <c r="AF41">
        <v>2.79</v>
      </c>
      <c r="AG41">
        <v>2.78</v>
      </c>
      <c r="AH41">
        <v>2.77</v>
      </c>
      <c r="AI41">
        <v>2.66</v>
      </c>
      <c r="AJ41">
        <v>2.68</v>
      </c>
      <c r="AK41">
        <v>2.76</v>
      </c>
      <c r="AL41">
        <v>2.77</v>
      </c>
    </row>
    <row r="42" spans="1:38" ht="12.75">
      <c r="A42" s="1">
        <f t="shared" si="0"/>
        <v>2.713333333333333</v>
      </c>
      <c r="B42" t="s">
        <v>42</v>
      </c>
      <c r="C42">
        <v>2.63</v>
      </c>
      <c r="D42">
        <v>2.81</v>
      </c>
      <c r="E42">
        <v>2.72</v>
      </c>
      <c r="F42">
        <v>2.69</v>
      </c>
      <c r="G42">
        <v>2.74</v>
      </c>
      <c r="H42">
        <v>2.67</v>
      </c>
      <c r="I42">
        <v>2.72</v>
      </c>
      <c r="J42">
        <v>2.74</v>
      </c>
      <c r="K42">
        <v>2.66</v>
      </c>
      <c r="L42">
        <v>2.75</v>
      </c>
      <c r="M42">
        <v>2.75</v>
      </c>
      <c r="N42">
        <v>2.72</v>
      </c>
      <c r="O42">
        <v>2.72</v>
      </c>
      <c r="P42">
        <v>2.72</v>
      </c>
      <c r="Q42">
        <v>2.9</v>
      </c>
      <c r="R42">
        <v>2.76</v>
      </c>
      <c r="S42">
        <v>2.74</v>
      </c>
      <c r="T42">
        <v>2.7</v>
      </c>
      <c r="U42">
        <v>2.73</v>
      </c>
      <c r="V42">
        <v>2.72</v>
      </c>
      <c r="W42">
        <v>2.76</v>
      </c>
      <c r="X42">
        <v>2.66</v>
      </c>
      <c r="Y42">
        <v>2.67</v>
      </c>
      <c r="Z42">
        <v>2.71</v>
      </c>
      <c r="AA42">
        <v>2.7</v>
      </c>
      <c r="AB42">
        <v>2.71</v>
      </c>
      <c r="AC42">
        <v>2.59</v>
      </c>
      <c r="AD42">
        <v>2.75</v>
      </c>
      <c r="AE42">
        <v>2.69</v>
      </c>
      <c r="AF42">
        <v>2.73</v>
      </c>
      <c r="AG42">
        <v>2.71</v>
      </c>
      <c r="AH42">
        <v>2.71</v>
      </c>
      <c r="AI42">
        <v>2.62</v>
      </c>
      <c r="AJ42">
        <v>2.65</v>
      </c>
      <c r="AK42">
        <v>2.71</v>
      </c>
      <c r="AL42">
        <v>2.72</v>
      </c>
    </row>
    <row r="43" spans="1:38" ht="12.75">
      <c r="A43" s="1">
        <f t="shared" si="0"/>
        <v>2.695277777777779</v>
      </c>
      <c r="B43" t="s">
        <v>43</v>
      </c>
      <c r="C43">
        <v>2.61</v>
      </c>
      <c r="D43">
        <v>2.79</v>
      </c>
      <c r="E43">
        <v>2.73</v>
      </c>
      <c r="F43">
        <v>2.68</v>
      </c>
      <c r="G43">
        <v>2.74</v>
      </c>
      <c r="H43">
        <v>2.68</v>
      </c>
      <c r="I43">
        <v>2.73</v>
      </c>
      <c r="J43">
        <v>2.74</v>
      </c>
      <c r="K43">
        <v>2.65</v>
      </c>
      <c r="L43">
        <v>2.73</v>
      </c>
      <c r="M43">
        <v>2.75</v>
      </c>
      <c r="N43">
        <v>2.71</v>
      </c>
      <c r="O43">
        <v>2.68</v>
      </c>
      <c r="P43">
        <v>2.64</v>
      </c>
      <c r="Q43">
        <v>2.84</v>
      </c>
      <c r="R43">
        <v>2.77</v>
      </c>
      <c r="S43">
        <v>2.7</v>
      </c>
      <c r="T43">
        <v>2.66</v>
      </c>
      <c r="U43">
        <v>2.69</v>
      </c>
      <c r="V43">
        <v>2.69</v>
      </c>
      <c r="W43">
        <v>2.74</v>
      </c>
      <c r="X43">
        <v>2.67</v>
      </c>
      <c r="Y43">
        <v>2.64</v>
      </c>
      <c r="Z43">
        <v>2.67</v>
      </c>
      <c r="AA43">
        <v>2.68</v>
      </c>
      <c r="AB43">
        <v>2.68</v>
      </c>
      <c r="AC43">
        <v>2.56</v>
      </c>
      <c r="AD43">
        <v>2.76</v>
      </c>
      <c r="AE43">
        <v>2.7</v>
      </c>
      <c r="AF43">
        <v>2.7</v>
      </c>
      <c r="AG43">
        <v>2.69</v>
      </c>
      <c r="AH43">
        <v>2.71</v>
      </c>
      <c r="AI43">
        <v>2.61</v>
      </c>
      <c r="AJ43">
        <v>2.65</v>
      </c>
      <c r="AK43">
        <v>2.68</v>
      </c>
      <c r="AL43">
        <v>2.68</v>
      </c>
    </row>
    <row r="44" spans="1:38" ht="12.75">
      <c r="A44" s="1">
        <f t="shared" si="0"/>
        <v>2.7147222222222225</v>
      </c>
      <c r="B44" t="s">
        <v>44</v>
      </c>
      <c r="C44">
        <v>2.63</v>
      </c>
      <c r="D44">
        <v>2.78</v>
      </c>
      <c r="E44">
        <v>2.75</v>
      </c>
      <c r="F44">
        <v>2.69</v>
      </c>
      <c r="G44">
        <v>2.76</v>
      </c>
      <c r="H44">
        <v>2.68</v>
      </c>
      <c r="I44">
        <v>2.72</v>
      </c>
      <c r="J44">
        <v>2.75</v>
      </c>
      <c r="K44">
        <v>2.69</v>
      </c>
      <c r="L44">
        <v>2.77</v>
      </c>
      <c r="M44">
        <v>2.77</v>
      </c>
      <c r="N44">
        <v>2.73</v>
      </c>
      <c r="O44">
        <v>2.71</v>
      </c>
      <c r="P44">
        <v>2.71</v>
      </c>
      <c r="Q44">
        <v>2.92</v>
      </c>
      <c r="R44">
        <v>2.77</v>
      </c>
      <c r="S44">
        <v>2.7</v>
      </c>
      <c r="T44">
        <v>2.7</v>
      </c>
      <c r="U44">
        <v>2.73</v>
      </c>
      <c r="V44">
        <v>2.74</v>
      </c>
      <c r="W44">
        <v>2.78</v>
      </c>
      <c r="X44">
        <v>2.68</v>
      </c>
      <c r="Y44">
        <v>2.65</v>
      </c>
      <c r="Z44">
        <v>2.68</v>
      </c>
      <c r="AA44">
        <v>2.72</v>
      </c>
      <c r="AB44">
        <v>2.72</v>
      </c>
      <c r="AC44">
        <v>2.59</v>
      </c>
      <c r="AD44">
        <v>2.75</v>
      </c>
      <c r="AE44">
        <v>2.71</v>
      </c>
      <c r="AF44">
        <v>2.72</v>
      </c>
      <c r="AG44">
        <v>2.71</v>
      </c>
      <c r="AH44">
        <v>2.73</v>
      </c>
      <c r="AI44">
        <v>2.6</v>
      </c>
      <c r="AJ44">
        <v>2.61</v>
      </c>
      <c r="AK44">
        <v>2.68</v>
      </c>
      <c r="AL44">
        <v>2.7</v>
      </c>
    </row>
    <row r="45" spans="1:38" ht="12.75">
      <c r="A45" s="1">
        <f t="shared" si="0"/>
        <v>2.673611111111112</v>
      </c>
      <c r="B45" t="s">
        <v>45</v>
      </c>
      <c r="C45">
        <v>2.62</v>
      </c>
      <c r="D45">
        <v>2.73</v>
      </c>
      <c r="E45">
        <v>2.71</v>
      </c>
      <c r="F45">
        <v>2.63</v>
      </c>
      <c r="G45">
        <v>2.72</v>
      </c>
      <c r="H45">
        <v>2.63</v>
      </c>
      <c r="I45">
        <v>2.67</v>
      </c>
      <c r="J45">
        <v>2.71</v>
      </c>
      <c r="K45">
        <v>2.63</v>
      </c>
      <c r="L45">
        <v>2.72</v>
      </c>
      <c r="M45">
        <v>2.73</v>
      </c>
      <c r="N45">
        <v>2.7</v>
      </c>
      <c r="O45">
        <v>2.68</v>
      </c>
      <c r="P45">
        <v>2.66</v>
      </c>
      <c r="Q45">
        <v>2.83</v>
      </c>
      <c r="R45">
        <v>2.72</v>
      </c>
      <c r="S45">
        <v>2.69</v>
      </c>
      <c r="T45">
        <v>2.64</v>
      </c>
      <c r="U45">
        <v>2.66</v>
      </c>
      <c r="V45">
        <v>2.67</v>
      </c>
      <c r="W45">
        <v>2.73</v>
      </c>
      <c r="X45">
        <v>2.63</v>
      </c>
      <c r="Y45">
        <v>2.67</v>
      </c>
      <c r="Z45">
        <v>2.65</v>
      </c>
      <c r="AA45">
        <v>2.67</v>
      </c>
      <c r="AB45">
        <v>2.69</v>
      </c>
      <c r="AC45">
        <v>2.52</v>
      </c>
      <c r="AD45">
        <v>2.71</v>
      </c>
      <c r="AE45">
        <v>2.65</v>
      </c>
      <c r="AF45">
        <v>2.68</v>
      </c>
      <c r="AG45">
        <v>2.65</v>
      </c>
      <c r="AH45">
        <v>2.68</v>
      </c>
      <c r="AI45">
        <v>2.56</v>
      </c>
      <c r="AJ45">
        <v>2.64</v>
      </c>
      <c r="AK45">
        <v>2.7</v>
      </c>
      <c r="AL45">
        <v>2.67</v>
      </c>
    </row>
    <row r="46" spans="1:38" ht="12.75">
      <c r="A46" s="1">
        <f t="shared" si="0"/>
        <v>0</v>
      </c>
      <c r="B46" t="s">
        <v>46</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row>
    <row r="47" spans="1:38" ht="12.75">
      <c r="A47" s="1">
        <f t="shared" si="0"/>
        <v>2.666944444444445</v>
      </c>
      <c r="B47" t="s">
        <v>47</v>
      </c>
      <c r="C47">
        <v>2.61</v>
      </c>
      <c r="D47">
        <v>2.75</v>
      </c>
      <c r="E47">
        <v>2.71</v>
      </c>
      <c r="F47">
        <v>2.66</v>
      </c>
      <c r="G47">
        <v>2.71</v>
      </c>
      <c r="H47">
        <v>2.62</v>
      </c>
      <c r="I47">
        <v>2.62</v>
      </c>
      <c r="J47">
        <v>2.69</v>
      </c>
      <c r="K47">
        <v>2.61</v>
      </c>
      <c r="L47">
        <v>2.73</v>
      </c>
      <c r="M47">
        <v>2.71</v>
      </c>
      <c r="N47">
        <v>2.67</v>
      </c>
      <c r="O47">
        <v>2.69</v>
      </c>
      <c r="P47">
        <v>2.64</v>
      </c>
      <c r="Q47">
        <v>2.82</v>
      </c>
      <c r="R47">
        <v>2.73</v>
      </c>
      <c r="S47">
        <v>2.69</v>
      </c>
      <c r="T47">
        <v>2.62</v>
      </c>
      <c r="U47">
        <v>2.65</v>
      </c>
      <c r="V47">
        <v>2.67</v>
      </c>
      <c r="W47">
        <v>2.68</v>
      </c>
      <c r="X47">
        <v>2.64</v>
      </c>
      <c r="Y47">
        <v>2.61</v>
      </c>
      <c r="Z47">
        <v>2.65</v>
      </c>
      <c r="AA47">
        <v>2.67</v>
      </c>
      <c r="AB47">
        <v>2.68</v>
      </c>
      <c r="AC47">
        <v>2.54</v>
      </c>
      <c r="AD47">
        <v>2.73</v>
      </c>
      <c r="AE47">
        <v>2.68</v>
      </c>
      <c r="AF47">
        <v>2.68</v>
      </c>
      <c r="AG47">
        <v>2.66</v>
      </c>
      <c r="AH47">
        <v>2.66</v>
      </c>
      <c r="AI47">
        <v>2.59</v>
      </c>
      <c r="AJ47">
        <v>2.62</v>
      </c>
      <c r="AK47">
        <v>2.66</v>
      </c>
      <c r="AL47">
        <v>2.66</v>
      </c>
    </row>
    <row r="48" spans="1:38" ht="12.75">
      <c r="A48" s="1">
        <f t="shared" si="0"/>
        <v>2.7099999999999995</v>
      </c>
      <c r="B48" t="s">
        <v>48</v>
      </c>
      <c r="C48">
        <v>2.62</v>
      </c>
      <c r="D48">
        <v>2.76</v>
      </c>
      <c r="E48">
        <v>2.74</v>
      </c>
      <c r="F48">
        <v>2.71</v>
      </c>
      <c r="G48">
        <v>2.77</v>
      </c>
      <c r="H48">
        <v>2.67</v>
      </c>
      <c r="I48">
        <v>2.71</v>
      </c>
      <c r="J48">
        <v>2.74</v>
      </c>
      <c r="K48">
        <v>2.7</v>
      </c>
      <c r="L48">
        <v>2.75</v>
      </c>
      <c r="M48">
        <v>2.77</v>
      </c>
      <c r="N48">
        <v>2.74</v>
      </c>
      <c r="O48">
        <v>2.7</v>
      </c>
      <c r="P48">
        <v>2.69</v>
      </c>
      <c r="Q48">
        <v>2.85</v>
      </c>
      <c r="R48">
        <v>2.76</v>
      </c>
      <c r="S48">
        <v>2.73</v>
      </c>
      <c r="T48">
        <v>2.69</v>
      </c>
      <c r="U48">
        <v>2.71</v>
      </c>
      <c r="V48">
        <v>2.75</v>
      </c>
      <c r="W48">
        <v>2.74</v>
      </c>
      <c r="X48">
        <v>2.7</v>
      </c>
      <c r="Y48">
        <v>2.69</v>
      </c>
      <c r="Z48">
        <v>2.66</v>
      </c>
      <c r="AA48">
        <v>2.7</v>
      </c>
      <c r="AB48">
        <v>2.71</v>
      </c>
      <c r="AC48">
        <v>2.6</v>
      </c>
      <c r="AD48">
        <v>2.72</v>
      </c>
      <c r="AE48">
        <v>2.68</v>
      </c>
      <c r="AF48">
        <v>2.72</v>
      </c>
      <c r="AG48">
        <v>2.7</v>
      </c>
      <c r="AH48">
        <v>2.74</v>
      </c>
      <c r="AI48">
        <v>2.6</v>
      </c>
      <c r="AJ48">
        <v>2.66</v>
      </c>
      <c r="AK48">
        <v>2.69</v>
      </c>
      <c r="AL48">
        <v>2.69</v>
      </c>
    </row>
    <row r="49" spans="1:38" ht="12.75">
      <c r="A49" s="1">
        <f t="shared" si="0"/>
        <v>2.673611111111112</v>
      </c>
      <c r="B49" t="s">
        <v>49</v>
      </c>
      <c r="C49">
        <v>2.61</v>
      </c>
      <c r="D49">
        <v>2.72</v>
      </c>
      <c r="E49">
        <v>2.67</v>
      </c>
      <c r="F49">
        <v>2.64</v>
      </c>
      <c r="G49">
        <v>2.71</v>
      </c>
      <c r="H49">
        <v>2.64</v>
      </c>
      <c r="I49">
        <v>2.69</v>
      </c>
      <c r="J49">
        <v>2.74</v>
      </c>
      <c r="K49">
        <v>2.65</v>
      </c>
      <c r="L49">
        <v>2.7</v>
      </c>
      <c r="M49">
        <v>2.72</v>
      </c>
      <c r="N49">
        <v>2.7</v>
      </c>
      <c r="O49">
        <v>2.68</v>
      </c>
      <c r="P49">
        <v>2.67</v>
      </c>
      <c r="Q49">
        <v>2.82</v>
      </c>
      <c r="R49">
        <v>2.72</v>
      </c>
      <c r="S49">
        <v>2.69</v>
      </c>
      <c r="T49">
        <v>2.68</v>
      </c>
      <c r="U49">
        <v>2.66</v>
      </c>
      <c r="V49">
        <v>2.7</v>
      </c>
      <c r="W49">
        <v>2.7</v>
      </c>
      <c r="X49">
        <v>2.65</v>
      </c>
      <c r="Y49">
        <v>2.65</v>
      </c>
      <c r="Z49">
        <v>2.62</v>
      </c>
      <c r="AA49">
        <v>2.68</v>
      </c>
      <c r="AB49">
        <v>2.69</v>
      </c>
      <c r="AC49">
        <v>2.56</v>
      </c>
      <c r="AD49">
        <v>2.71</v>
      </c>
      <c r="AE49">
        <v>2.65</v>
      </c>
      <c r="AF49">
        <v>2.68</v>
      </c>
      <c r="AG49">
        <v>2.68</v>
      </c>
      <c r="AH49">
        <v>2.68</v>
      </c>
      <c r="AI49">
        <v>2.58</v>
      </c>
      <c r="AJ49">
        <v>2.6</v>
      </c>
      <c r="AK49">
        <v>2.65</v>
      </c>
      <c r="AL49">
        <v>2.66</v>
      </c>
    </row>
    <row r="50" spans="1:38" ht="12.75">
      <c r="A50" s="1">
        <f t="shared" si="0"/>
        <v>2.703333333333333</v>
      </c>
      <c r="B50" t="s">
        <v>50</v>
      </c>
      <c r="C50">
        <v>2.64</v>
      </c>
      <c r="D50">
        <v>2.76</v>
      </c>
      <c r="E50">
        <v>2.69</v>
      </c>
      <c r="F50">
        <v>2.67</v>
      </c>
      <c r="G50">
        <v>2.73</v>
      </c>
      <c r="H50">
        <v>2.67</v>
      </c>
      <c r="I50">
        <v>2.69</v>
      </c>
      <c r="J50">
        <v>2.75</v>
      </c>
      <c r="K50">
        <v>2.69</v>
      </c>
      <c r="L50">
        <v>2.77</v>
      </c>
      <c r="M50">
        <v>2.75</v>
      </c>
      <c r="N50">
        <v>2.7</v>
      </c>
      <c r="O50">
        <v>2.7</v>
      </c>
      <c r="P50">
        <v>2.7</v>
      </c>
      <c r="Q50">
        <v>2.87</v>
      </c>
      <c r="R50">
        <v>2.75</v>
      </c>
      <c r="S50">
        <v>2.72</v>
      </c>
      <c r="T50">
        <v>2.71</v>
      </c>
      <c r="U50">
        <v>2.71</v>
      </c>
      <c r="V50">
        <v>2.73</v>
      </c>
      <c r="W50">
        <v>2.75</v>
      </c>
      <c r="X50">
        <v>2.67</v>
      </c>
      <c r="Y50">
        <v>2.67</v>
      </c>
      <c r="Z50">
        <v>2.67</v>
      </c>
      <c r="AA50">
        <v>2.72</v>
      </c>
      <c r="AB50">
        <v>2.71</v>
      </c>
      <c r="AC50">
        <v>2.57</v>
      </c>
      <c r="AD50">
        <v>2.75</v>
      </c>
      <c r="AE50">
        <v>2.67</v>
      </c>
      <c r="AF50">
        <v>2.71</v>
      </c>
      <c r="AG50">
        <v>2.69</v>
      </c>
      <c r="AH50">
        <v>2.7</v>
      </c>
      <c r="AI50">
        <v>2.62</v>
      </c>
      <c r="AJ50">
        <v>2.66</v>
      </c>
      <c r="AK50">
        <v>2.67</v>
      </c>
      <c r="AL50">
        <v>2.69</v>
      </c>
    </row>
    <row r="51" spans="1:38" ht="12.75">
      <c r="A51" s="1">
        <f t="shared" si="0"/>
        <v>2.653611111111111</v>
      </c>
      <c r="B51" t="s">
        <v>51</v>
      </c>
      <c r="C51">
        <v>2.59</v>
      </c>
      <c r="D51">
        <v>2.7</v>
      </c>
      <c r="E51">
        <v>2.67</v>
      </c>
      <c r="F51">
        <v>2.62</v>
      </c>
      <c r="G51">
        <v>2.69</v>
      </c>
      <c r="H51">
        <v>2.61</v>
      </c>
      <c r="I51">
        <v>2.63</v>
      </c>
      <c r="J51">
        <v>2.7</v>
      </c>
      <c r="K51">
        <v>2.62</v>
      </c>
      <c r="L51">
        <v>2.7</v>
      </c>
      <c r="M51">
        <v>2.7</v>
      </c>
      <c r="N51">
        <v>2.67</v>
      </c>
      <c r="O51">
        <v>2.65</v>
      </c>
      <c r="P51">
        <v>2.64</v>
      </c>
      <c r="Q51">
        <v>2.78</v>
      </c>
      <c r="R51">
        <v>2.69</v>
      </c>
      <c r="S51">
        <v>2.68</v>
      </c>
      <c r="T51">
        <v>2.63</v>
      </c>
      <c r="U51">
        <v>2.66</v>
      </c>
      <c r="V51">
        <v>2.67</v>
      </c>
      <c r="W51">
        <v>2.68</v>
      </c>
      <c r="X51">
        <v>2.62</v>
      </c>
      <c r="Y51">
        <v>2.65</v>
      </c>
      <c r="Z51">
        <v>2.63</v>
      </c>
      <c r="AA51">
        <v>2.68</v>
      </c>
      <c r="AB51">
        <v>2.64</v>
      </c>
      <c r="AC51">
        <v>2.55</v>
      </c>
      <c r="AD51">
        <v>2.71</v>
      </c>
      <c r="AE51">
        <v>2.67</v>
      </c>
      <c r="AF51">
        <v>2.67</v>
      </c>
      <c r="AG51">
        <v>2.67</v>
      </c>
      <c r="AH51">
        <v>2.63</v>
      </c>
      <c r="AI51">
        <v>2.58</v>
      </c>
      <c r="AJ51">
        <v>2.58</v>
      </c>
      <c r="AK51">
        <v>2.65</v>
      </c>
      <c r="AL51">
        <v>2.62</v>
      </c>
    </row>
    <row r="52" spans="1:38" ht="12.75">
      <c r="A52" s="1">
        <f t="shared" si="0"/>
        <v>2.088611111111111</v>
      </c>
      <c r="B52" t="s">
        <v>52</v>
      </c>
      <c r="C52">
        <v>2.03</v>
      </c>
      <c r="D52">
        <v>2.15</v>
      </c>
      <c r="E52">
        <v>2.1</v>
      </c>
      <c r="F52">
        <v>2.09</v>
      </c>
      <c r="G52">
        <v>2.12</v>
      </c>
      <c r="H52">
        <v>2.06</v>
      </c>
      <c r="I52">
        <v>2.09</v>
      </c>
      <c r="J52">
        <v>2.1</v>
      </c>
      <c r="K52">
        <v>2.05</v>
      </c>
      <c r="L52">
        <v>2.1</v>
      </c>
      <c r="M52">
        <v>2.12</v>
      </c>
      <c r="N52">
        <v>2.08</v>
      </c>
      <c r="O52">
        <v>2.1</v>
      </c>
      <c r="P52">
        <v>2.06</v>
      </c>
      <c r="Q52">
        <v>2.21</v>
      </c>
      <c r="R52">
        <v>2.13</v>
      </c>
      <c r="S52">
        <v>2.12</v>
      </c>
      <c r="T52">
        <v>2.08</v>
      </c>
      <c r="U52">
        <v>2.08</v>
      </c>
      <c r="V52">
        <v>2.1</v>
      </c>
      <c r="W52">
        <v>2.13</v>
      </c>
      <c r="X52">
        <v>2.07</v>
      </c>
      <c r="Y52">
        <v>2.04</v>
      </c>
      <c r="Z52">
        <v>2.05</v>
      </c>
      <c r="AA52">
        <v>2.09</v>
      </c>
      <c r="AB52">
        <v>2.12</v>
      </c>
      <c r="AC52">
        <v>2.02</v>
      </c>
      <c r="AD52">
        <v>2.14</v>
      </c>
      <c r="AE52">
        <v>2.09</v>
      </c>
      <c r="AF52">
        <v>2.12</v>
      </c>
      <c r="AG52">
        <v>2.08</v>
      </c>
      <c r="AH52">
        <v>2.09</v>
      </c>
      <c r="AI52">
        <v>2.02</v>
      </c>
      <c r="AJ52">
        <v>2.02</v>
      </c>
      <c r="AK52">
        <v>2.08</v>
      </c>
      <c r="AL52">
        <v>2.06</v>
      </c>
    </row>
    <row r="53" spans="1:38" ht="12.75">
      <c r="A53" s="1">
        <f t="shared" si="0"/>
        <v>0.6952777777777778</v>
      </c>
      <c r="B53" t="s">
        <v>53</v>
      </c>
      <c r="C53">
        <v>0.69</v>
      </c>
      <c r="D53">
        <v>0.71</v>
      </c>
      <c r="E53">
        <v>0.7</v>
      </c>
      <c r="F53">
        <v>0.69</v>
      </c>
      <c r="G53">
        <v>0.71</v>
      </c>
      <c r="H53">
        <v>0.68</v>
      </c>
      <c r="I53">
        <v>0.69</v>
      </c>
      <c r="J53">
        <v>0.7</v>
      </c>
      <c r="K53">
        <v>0.69</v>
      </c>
      <c r="L53">
        <v>0.69</v>
      </c>
      <c r="M53">
        <v>0.7</v>
      </c>
      <c r="N53">
        <v>0.7</v>
      </c>
      <c r="O53">
        <v>0.69</v>
      </c>
      <c r="P53">
        <v>0.69</v>
      </c>
      <c r="Q53">
        <v>0.74</v>
      </c>
      <c r="R53">
        <v>0.71</v>
      </c>
      <c r="S53">
        <v>0.69</v>
      </c>
      <c r="T53">
        <v>0.69</v>
      </c>
      <c r="U53">
        <v>0.7</v>
      </c>
      <c r="V53">
        <v>0.7</v>
      </c>
      <c r="W53">
        <v>0.7</v>
      </c>
      <c r="X53">
        <v>0.69</v>
      </c>
      <c r="Y53">
        <v>0.69</v>
      </c>
      <c r="Z53">
        <v>0.68</v>
      </c>
      <c r="AA53">
        <v>0.69</v>
      </c>
      <c r="AB53">
        <v>0.71</v>
      </c>
      <c r="AC53">
        <v>0.67</v>
      </c>
      <c r="AD53">
        <v>0.71</v>
      </c>
      <c r="AE53">
        <v>0.7</v>
      </c>
      <c r="AF53">
        <v>0.7</v>
      </c>
      <c r="AG53">
        <v>0.69</v>
      </c>
      <c r="AH53">
        <v>0.7</v>
      </c>
      <c r="AI53">
        <v>0.68</v>
      </c>
      <c r="AJ53">
        <v>0.68</v>
      </c>
      <c r="AK53">
        <v>0.69</v>
      </c>
      <c r="AL53">
        <v>0.69</v>
      </c>
    </row>
    <row r="54" spans="1:38" ht="12.75">
      <c r="A54" s="1">
        <f t="shared" si="0"/>
        <v>0.6855555555555556</v>
      </c>
      <c r="B54" t="s">
        <v>54</v>
      </c>
      <c r="C54">
        <v>0.67</v>
      </c>
      <c r="D54">
        <v>0.7</v>
      </c>
      <c r="E54">
        <v>0.69</v>
      </c>
      <c r="F54">
        <v>0.68</v>
      </c>
      <c r="G54">
        <v>0.69</v>
      </c>
      <c r="H54">
        <v>0.68</v>
      </c>
      <c r="I54">
        <v>0.68</v>
      </c>
      <c r="J54">
        <v>0.68</v>
      </c>
      <c r="K54">
        <v>0.68</v>
      </c>
      <c r="L54">
        <v>0.69</v>
      </c>
      <c r="M54">
        <v>0.69</v>
      </c>
      <c r="N54">
        <v>0.69</v>
      </c>
      <c r="O54">
        <v>0.69</v>
      </c>
      <c r="P54">
        <v>0.68</v>
      </c>
      <c r="Q54">
        <v>0.72</v>
      </c>
      <c r="R54">
        <v>0.7</v>
      </c>
      <c r="S54">
        <v>0.69</v>
      </c>
      <c r="T54">
        <v>0.68</v>
      </c>
      <c r="U54">
        <v>0.68</v>
      </c>
      <c r="V54">
        <v>0.69</v>
      </c>
      <c r="W54">
        <v>0.69</v>
      </c>
      <c r="X54">
        <v>0.69</v>
      </c>
      <c r="Y54">
        <v>0.68</v>
      </c>
      <c r="Z54">
        <v>0.68</v>
      </c>
      <c r="AA54">
        <v>0.68</v>
      </c>
      <c r="AB54">
        <v>0.7</v>
      </c>
      <c r="AC54">
        <v>0.66</v>
      </c>
      <c r="AD54">
        <v>0.7</v>
      </c>
      <c r="AE54">
        <v>0.68</v>
      </c>
      <c r="AF54">
        <v>0.69</v>
      </c>
      <c r="AG54">
        <v>0.68</v>
      </c>
      <c r="AH54">
        <v>0.69</v>
      </c>
      <c r="AI54">
        <v>0.67</v>
      </c>
      <c r="AJ54">
        <v>0.67</v>
      </c>
      <c r="AK54">
        <v>0.68</v>
      </c>
      <c r="AL54">
        <v>0.69</v>
      </c>
    </row>
    <row r="55" spans="1:38" ht="12.75">
      <c r="A55" s="1">
        <f t="shared" si="0"/>
        <v>0.8497222222222223</v>
      </c>
      <c r="B55" t="s">
        <v>55</v>
      </c>
      <c r="C55">
        <v>0.83</v>
      </c>
      <c r="D55">
        <v>0.87</v>
      </c>
      <c r="E55">
        <v>0.85</v>
      </c>
      <c r="F55">
        <v>0.84</v>
      </c>
      <c r="G55">
        <v>0.87</v>
      </c>
      <c r="H55">
        <v>0.84</v>
      </c>
      <c r="I55">
        <v>0.84</v>
      </c>
      <c r="J55">
        <v>0.85</v>
      </c>
      <c r="K55">
        <v>0.83</v>
      </c>
      <c r="L55">
        <v>0.85</v>
      </c>
      <c r="M55">
        <v>0.86</v>
      </c>
      <c r="N55">
        <v>0.86</v>
      </c>
      <c r="O55">
        <v>0.85</v>
      </c>
      <c r="P55">
        <v>0.84</v>
      </c>
      <c r="Q55">
        <v>0.9</v>
      </c>
      <c r="R55">
        <v>0.87</v>
      </c>
      <c r="S55">
        <v>0.84</v>
      </c>
      <c r="T55">
        <v>0.84</v>
      </c>
      <c r="U55">
        <v>0.84</v>
      </c>
      <c r="V55">
        <v>0.85</v>
      </c>
      <c r="W55">
        <v>0.86</v>
      </c>
      <c r="X55">
        <v>0.85</v>
      </c>
      <c r="Y55">
        <v>0.84</v>
      </c>
      <c r="Z55">
        <v>0.84</v>
      </c>
      <c r="AA55">
        <v>0.86</v>
      </c>
      <c r="AB55">
        <v>0.86</v>
      </c>
      <c r="AC55">
        <v>0.81</v>
      </c>
      <c r="AD55">
        <v>0.86</v>
      </c>
      <c r="AE55">
        <v>0.85</v>
      </c>
      <c r="AF55">
        <v>0.86</v>
      </c>
      <c r="AG55">
        <v>0.85</v>
      </c>
      <c r="AH55">
        <v>0.86</v>
      </c>
      <c r="AI55">
        <v>0.83</v>
      </c>
      <c r="AJ55">
        <v>0.84</v>
      </c>
      <c r="AK55">
        <v>0.85</v>
      </c>
      <c r="AL55">
        <v>0.85</v>
      </c>
    </row>
    <row r="56" spans="1:38" ht="12.75">
      <c r="A56" s="1">
        <f t="shared" si="0"/>
        <v>0.8552777777777777</v>
      </c>
      <c r="B56" t="s">
        <v>136</v>
      </c>
      <c r="C56">
        <v>0.84</v>
      </c>
      <c r="D56">
        <v>0.87</v>
      </c>
      <c r="E56">
        <v>0.86</v>
      </c>
      <c r="F56">
        <v>0.86</v>
      </c>
      <c r="G56">
        <v>0.87</v>
      </c>
      <c r="H56">
        <v>0.86</v>
      </c>
      <c r="I56">
        <v>0.85</v>
      </c>
      <c r="J56">
        <v>0.86</v>
      </c>
      <c r="K56">
        <v>0.84</v>
      </c>
      <c r="L56">
        <v>0.86</v>
      </c>
      <c r="M56">
        <v>0.85</v>
      </c>
      <c r="N56">
        <v>0.86</v>
      </c>
      <c r="O56">
        <v>0.86</v>
      </c>
      <c r="P56">
        <v>0.85</v>
      </c>
      <c r="Q56">
        <v>0.91</v>
      </c>
      <c r="R56">
        <v>0.87</v>
      </c>
      <c r="S56">
        <v>0.86</v>
      </c>
      <c r="T56">
        <v>0.86</v>
      </c>
      <c r="U56">
        <v>0.85</v>
      </c>
      <c r="V56">
        <v>0.86</v>
      </c>
      <c r="W56">
        <v>0.86</v>
      </c>
      <c r="X56">
        <v>0.83</v>
      </c>
      <c r="Y56">
        <v>0.84</v>
      </c>
      <c r="Z56">
        <v>0.84</v>
      </c>
      <c r="AA56">
        <v>0.86</v>
      </c>
      <c r="AB56">
        <v>0.85</v>
      </c>
      <c r="AC56">
        <v>0.83</v>
      </c>
      <c r="AD56">
        <v>0.87</v>
      </c>
      <c r="AE56">
        <v>0.85</v>
      </c>
      <c r="AF56">
        <v>0.86</v>
      </c>
      <c r="AG56">
        <v>0.85</v>
      </c>
      <c r="AH56">
        <v>0.86</v>
      </c>
      <c r="AI56">
        <v>0.83</v>
      </c>
      <c r="AJ56">
        <v>0.86</v>
      </c>
      <c r="AK56">
        <v>0.85</v>
      </c>
      <c r="AL56">
        <v>0.85</v>
      </c>
    </row>
    <row r="57" spans="1:38" ht="12.75">
      <c r="A57" s="1">
        <f t="shared" si="0"/>
        <v>0</v>
      </c>
      <c r="B57" t="s">
        <v>57</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row>
    <row r="58" spans="1:38" ht="12.75">
      <c r="A58" s="1">
        <f t="shared" si="0"/>
        <v>0</v>
      </c>
      <c r="B58" t="s">
        <v>58</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row>
    <row r="59" spans="1:38" ht="12.75">
      <c r="A59" s="1">
        <f t="shared" si="0"/>
        <v>0</v>
      </c>
      <c r="B59" t="s">
        <v>59</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row r="77" spans="11:14" ht="12.75">
      <c r="K77" s="10"/>
      <c r="L77" s="10"/>
      <c r="M77" s="10"/>
      <c r="N77" s="10"/>
    </row>
    <row r="78" spans="4:14" ht="12.75">
      <c r="D78" s="10">
        <v>2.67</v>
      </c>
      <c r="E78" s="10"/>
      <c r="F78" s="10"/>
      <c r="K78" s="10">
        <v>2.67</v>
      </c>
      <c r="L78" s="10"/>
      <c r="M78" s="10"/>
      <c r="N78" s="10"/>
    </row>
    <row r="79" spans="4:14" ht="12.75">
      <c r="D79" s="10">
        <v>2.62</v>
      </c>
      <c r="E79" s="10">
        <v>2.53</v>
      </c>
      <c r="F79" s="10">
        <v>2.49</v>
      </c>
      <c r="K79" s="10">
        <v>2.62</v>
      </c>
      <c r="L79" s="10">
        <f>E79*E79*17.97</f>
        <v>115.02417299999998</v>
      </c>
      <c r="M79" s="10">
        <f>F79*F79*11.39</f>
        <v>70.61913900000002</v>
      </c>
      <c r="N79" s="10">
        <f>M79-L79</f>
        <v>-44.40503399999996</v>
      </c>
    </row>
    <row r="80" spans="4:14" ht="12.75">
      <c r="D80" s="10">
        <v>2.64</v>
      </c>
      <c r="E80" s="10" t="s">
        <v>139</v>
      </c>
      <c r="F80" s="10">
        <v>2.64</v>
      </c>
      <c r="K80" s="10">
        <v>2.64</v>
      </c>
      <c r="L80" s="10" t="e">
        <f aca="true" t="shared" si="1" ref="L80:L114">E80*E80*17.97</f>
        <v>#VALUE!</v>
      </c>
      <c r="M80" s="10">
        <f aca="true" t="shared" si="2" ref="M80:M114">F80*F80*11.39</f>
        <v>79.38374400000001</v>
      </c>
      <c r="N80" s="10" t="e">
        <f aca="true" t="shared" si="3" ref="N80:N114">M80-L80</f>
        <v>#VALUE!</v>
      </c>
    </row>
    <row r="81" spans="4:14" ht="12.75">
      <c r="D81" s="10">
        <v>2.65</v>
      </c>
      <c r="E81" s="10" t="s">
        <v>139</v>
      </c>
      <c r="F81" s="10" t="s">
        <v>139</v>
      </c>
      <c r="K81" s="10">
        <v>2.65</v>
      </c>
      <c r="L81" s="10" t="e">
        <f t="shared" si="1"/>
        <v>#VALUE!</v>
      </c>
      <c r="M81" s="10" t="e">
        <f t="shared" si="2"/>
        <v>#VALUE!</v>
      </c>
      <c r="N81" s="10" t="e">
        <f t="shared" si="3"/>
        <v>#VALUE!</v>
      </c>
    </row>
    <row r="82" spans="4:14" ht="12.75">
      <c r="D82" s="10">
        <v>2.67</v>
      </c>
      <c r="E82" s="10" t="s">
        <v>139</v>
      </c>
      <c r="F82" s="10" t="s">
        <v>139</v>
      </c>
      <c r="K82" s="10">
        <v>2.67</v>
      </c>
      <c r="L82" s="10" t="e">
        <f t="shared" si="1"/>
        <v>#VALUE!</v>
      </c>
      <c r="M82" s="10" t="e">
        <f t="shared" si="2"/>
        <v>#VALUE!</v>
      </c>
      <c r="N82" s="10" t="e">
        <f t="shared" si="3"/>
        <v>#VALUE!</v>
      </c>
    </row>
    <row r="83" spans="4:14" ht="12.75">
      <c r="D83" s="10">
        <v>2.68</v>
      </c>
      <c r="E83" s="10" t="s">
        <v>139</v>
      </c>
      <c r="F83" s="10">
        <v>2.59</v>
      </c>
      <c r="K83" s="10">
        <v>2.68</v>
      </c>
      <c r="L83" s="10" t="e">
        <f t="shared" si="1"/>
        <v>#VALUE!</v>
      </c>
      <c r="M83" s="10">
        <f t="shared" si="2"/>
        <v>76.40525899999999</v>
      </c>
      <c r="N83" s="10" t="e">
        <f t="shared" si="3"/>
        <v>#VALUE!</v>
      </c>
    </row>
    <row r="84" spans="4:14" ht="12.75">
      <c r="D84" s="10">
        <v>2.66</v>
      </c>
      <c r="E84" s="10" t="s">
        <v>139</v>
      </c>
      <c r="F84" s="10" t="s">
        <v>139</v>
      </c>
      <c r="K84" s="10">
        <v>2.66</v>
      </c>
      <c r="L84" s="10" t="e">
        <f t="shared" si="1"/>
        <v>#VALUE!</v>
      </c>
      <c r="M84" s="10" t="e">
        <f t="shared" si="2"/>
        <v>#VALUE!</v>
      </c>
      <c r="N84" s="10" t="e">
        <f t="shared" si="3"/>
        <v>#VALUE!</v>
      </c>
    </row>
    <row r="85" spans="4:14" ht="12.75">
      <c r="D85" s="10">
        <v>2.65</v>
      </c>
      <c r="E85" s="10" t="s">
        <v>139</v>
      </c>
      <c r="F85" s="10" t="s">
        <v>139</v>
      </c>
      <c r="K85" s="10">
        <v>2.65</v>
      </c>
      <c r="L85" s="10" t="e">
        <f t="shared" si="1"/>
        <v>#VALUE!</v>
      </c>
      <c r="M85" s="10" t="e">
        <f t="shared" si="2"/>
        <v>#VALUE!</v>
      </c>
      <c r="N85" s="10" t="e">
        <f t="shared" si="3"/>
        <v>#VALUE!</v>
      </c>
    </row>
    <row r="86" spans="4:14" ht="12.75">
      <c r="D86" s="10">
        <v>2.71</v>
      </c>
      <c r="E86" s="10" t="s">
        <v>139</v>
      </c>
      <c r="F86" s="10" t="s">
        <v>139</v>
      </c>
      <c r="K86" s="10">
        <v>2.71</v>
      </c>
      <c r="L86" s="10" t="e">
        <f t="shared" si="1"/>
        <v>#VALUE!</v>
      </c>
      <c r="M86" s="10" t="e">
        <f t="shared" si="2"/>
        <v>#VALUE!</v>
      </c>
      <c r="N86" s="10" t="e">
        <f t="shared" si="3"/>
        <v>#VALUE!</v>
      </c>
    </row>
    <row r="87" spans="4:14" ht="12.75">
      <c r="D87" s="10">
        <v>2.65</v>
      </c>
      <c r="E87" s="10" t="s">
        <v>139</v>
      </c>
      <c r="F87" s="10" t="s">
        <v>139</v>
      </c>
      <c r="K87" s="10">
        <v>2.65</v>
      </c>
      <c r="L87" s="10" t="e">
        <f t="shared" si="1"/>
        <v>#VALUE!</v>
      </c>
      <c r="M87" s="10" t="e">
        <f t="shared" si="2"/>
        <v>#VALUE!</v>
      </c>
      <c r="N87" s="10" t="e">
        <f t="shared" si="3"/>
        <v>#VALUE!</v>
      </c>
    </row>
    <row r="88" spans="4:14" ht="12.75">
      <c r="D88" s="10">
        <v>2.68</v>
      </c>
      <c r="E88" s="10" t="s">
        <v>139</v>
      </c>
      <c r="F88" s="10" t="s">
        <v>139</v>
      </c>
      <c r="K88" s="10">
        <v>2.68</v>
      </c>
      <c r="L88" s="10" t="e">
        <f t="shared" si="1"/>
        <v>#VALUE!</v>
      </c>
      <c r="M88" s="10" t="e">
        <f t="shared" si="2"/>
        <v>#VALUE!</v>
      </c>
      <c r="N88" s="10" t="e">
        <f t="shared" si="3"/>
        <v>#VALUE!</v>
      </c>
    </row>
    <row r="89" spans="4:14" ht="12.75">
      <c r="D89" s="10">
        <v>2.69</v>
      </c>
      <c r="E89" s="10" t="s">
        <v>139</v>
      </c>
      <c r="F89" s="10" t="s">
        <v>139</v>
      </c>
      <c r="K89" s="10">
        <v>2.69</v>
      </c>
      <c r="L89" s="10" t="e">
        <f t="shared" si="1"/>
        <v>#VALUE!</v>
      </c>
      <c r="M89" s="10" t="e">
        <f t="shared" si="2"/>
        <v>#VALUE!</v>
      </c>
      <c r="N89" s="10" t="e">
        <f t="shared" si="3"/>
        <v>#VALUE!</v>
      </c>
    </row>
    <row r="90" spans="4:14" ht="12.75">
      <c r="D90" s="10">
        <v>2.68</v>
      </c>
      <c r="E90" s="10" t="s">
        <v>139</v>
      </c>
      <c r="F90" s="10" t="s">
        <v>139</v>
      </c>
      <c r="K90" s="10">
        <v>2.68</v>
      </c>
      <c r="L90" s="10" t="e">
        <f t="shared" si="1"/>
        <v>#VALUE!</v>
      </c>
      <c r="M90" s="10" t="e">
        <f t="shared" si="2"/>
        <v>#VALUE!</v>
      </c>
      <c r="N90" s="10" t="e">
        <f t="shared" si="3"/>
        <v>#VALUE!</v>
      </c>
    </row>
    <row r="91" spans="4:14" ht="12.75">
      <c r="D91" s="10">
        <v>2.61</v>
      </c>
      <c r="E91" s="10" t="s">
        <v>139</v>
      </c>
      <c r="F91" s="10" t="s">
        <v>139</v>
      </c>
      <c r="K91" s="10">
        <v>2.61</v>
      </c>
      <c r="L91" s="10" t="e">
        <f t="shared" si="1"/>
        <v>#VALUE!</v>
      </c>
      <c r="M91" s="10" t="e">
        <f t="shared" si="2"/>
        <v>#VALUE!</v>
      </c>
      <c r="N91" s="10" t="e">
        <f t="shared" si="3"/>
        <v>#VALUE!</v>
      </c>
    </row>
    <row r="92" spans="4:14" ht="12.75">
      <c r="D92" s="10">
        <v>2.61</v>
      </c>
      <c r="E92" s="10" t="s">
        <v>139</v>
      </c>
      <c r="F92" s="10" t="s">
        <v>139</v>
      </c>
      <c r="K92" s="10">
        <v>2.61</v>
      </c>
      <c r="L92" s="10" t="e">
        <f t="shared" si="1"/>
        <v>#VALUE!</v>
      </c>
      <c r="M92" s="10" t="e">
        <f t="shared" si="2"/>
        <v>#VALUE!</v>
      </c>
      <c r="N92" s="10" t="e">
        <f t="shared" si="3"/>
        <v>#VALUE!</v>
      </c>
    </row>
    <row r="93" spans="4:14" ht="12.75">
      <c r="D93" s="10">
        <v>2.58</v>
      </c>
      <c r="E93" s="10" t="s">
        <v>139</v>
      </c>
      <c r="F93" s="10" t="s">
        <v>139</v>
      </c>
      <c r="K93" s="10">
        <v>2.58</v>
      </c>
      <c r="L93" s="10" t="e">
        <f t="shared" si="1"/>
        <v>#VALUE!</v>
      </c>
      <c r="M93" s="10" t="e">
        <f t="shared" si="2"/>
        <v>#VALUE!</v>
      </c>
      <c r="N93" s="10" t="e">
        <f t="shared" si="3"/>
        <v>#VALUE!</v>
      </c>
    </row>
    <row r="94" spans="4:14" ht="12.75">
      <c r="D94" s="10">
        <v>2.62</v>
      </c>
      <c r="E94" s="10" t="s">
        <v>139</v>
      </c>
      <c r="F94" s="10" t="s">
        <v>139</v>
      </c>
      <c r="K94" s="10">
        <v>2.62</v>
      </c>
      <c r="L94" s="10" t="e">
        <f t="shared" si="1"/>
        <v>#VALUE!</v>
      </c>
      <c r="M94" s="10" t="e">
        <f t="shared" si="2"/>
        <v>#VALUE!</v>
      </c>
      <c r="N94" s="10" t="e">
        <f t="shared" si="3"/>
        <v>#VALUE!</v>
      </c>
    </row>
    <row r="95" spans="4:14" ht="12.75">
      <c r="D95" s="10">
        <v>2.55</v>
      </c>
      <c r="E95" s="10" t="s">
        <v>139</v>
      </c>
      <c r="F95" s="10" t="s">
        <v>139</v>
      </c>
      <c r="K95" s="10">
        <v>2.55</v>
      </c>
      <c r="L95" s="10" t="e">
        <f t="shared" si="1"/>
        <v>#VALUE!</v>
      </c>
      <c r="M95" s="10" t="e">
        <f t="shared" si="2"/>
        <v>#VALUE!</v>
      </c>
      <c r="N95" s="10" t="e">
        <f t="shared" si="3"/>
        <v>#VALUE!</v>
      </c>
    </row>
    <row r="96" spans="4:14" ht="12.75">
      <c r="D96" s="10">
        <v>2.61</v>
      </c>
      <c r="E96" s="10" t="s">
        <v>139</v>
      </c>
      <c r="F96" s="10" t="s">
        <v>139</v>
      </c>
      <c r="K96" s="10">
        <v>2.61</v>
      </c>
      <c r="L96" s="10" t="e">
        <f t="shared" si="1"/>
        <v>#VALUE!</v>
      </c>
      <c r="M96" s="10" t="e">
        <f t="shared" si="2"/>
        <v>#VALUE!</v>
      </c>
      <c r="N96" s="10" t="e">
        <f t="shared" si="3"/>
        <v>#VALUE!</v>
      </c>
    </row>
    <row r="97" spans="4:14" ht="12.75">
      <c r="D97" s="10">
        <v>2.59</v>
      </c>
      <c r="E97" s="10" t="s">
        <v>139</v>
      </c>
      <c r="F97" s="10" t="s">
        <v>139</v>
      </c>
      <c r="K97" s="10">
        <v>2.59</v>
      </c>
      <c r="L97" s="10" t="e">
        <f t="shared" si="1"/>
        <v>#VALUE!</v>
      </c>
      <c r="M97" s="10" t="e">
        <f t="shared" si="2"/>
        <v>#VALUE!</v>
      </c>
      <c r="N97" s="10" t="e">
        <f t="shared" si="3"/>
        <v>#VALUE!</v>
      </c>
    </row>
    <row r="98" spans="4:14" ht="12.75">
      <c r="D98" s="10">
        <v>2.61</v>
      </c>
      <c r="E98" s="10" t="s">
        <v>139</v>
      </c>
      <c r="F98" s="10" t="s">
        <v>139</v>
      </c>
      <c r="K98" s="10">
        <v>2.61</v>
      </c>
      <c r="L98" s="10" t="e">
        <f t="shared" si="1"/>
        <v>#VALUE!</v>
      </c>
      <c r="M98" s="10" t="e">
        <f t="shared" si="2"/>
        <v>#VALUE!</v>
      </c>
      <c r="N98" s="10" t="e">
        <f t="shared" si="3"/>
        <v>#VALUE!</v>
      </c>
    </row>
    <row r="99" spans="4:14" ht="12.75">
      <c r="D99" s="10">
        <v>2.56</v>
      </c>
      <c r="E99" s="10" t="s">
        <v>139</v>
      </c>
      <c r="F99" s="10" t="s">
        <v>139</v>
      </c>
      <c r="K99" s="10">
        <v>2.56</v>
      </c>
      <c r="L99" s="10" t="e">
        <f t="shared" si="1"/>
        <v>#VALUE!</v>
      </c>
      <c r="M99" s="10" t="e">
        <f t="shared" si="2"/>
        <v>#VALUE!</v>
      </c>
      <c r="N99" s="10" t="e">
        <f t="shared" si="3"/>
        <v>#VALUE!</v>
      </c>
    </row>
    <row r="100" spans="4:14" ht="12.75">
      <c r="D100" s="10">
        <v>2.62</v>
      </c>
      <c r="E100" s="10" t="s">
        <v>139</v>
      </c>
      <c r="F100" s="10" t="s">
        <v>139</v>
      </c>
      <c r="K100" s="10">
        <v>2.62</v>
      </c>
      <c r="L100" s="10" t="e">
        <f t="shared" si="1"/>
        <v>#VALUE!</v>
      </c>
      <c r="M100" s="10" t="e">
        <f t="shared" si="2"/>
        <v>#VALUE!</v>
      </c>
      <c r="N100" s="10" t="e">
        <f t="shared" si="3"/>
        <v>#VALUE!</v>
      </c>
    </row>
    <row r="101" spans="4:14" ht="12.75">
      <c r="D101" s="10">
        <v>2.57</v>
      </c>
      <c r="E101" s="10" t="s">
        <v>139</v>
      </c>
      <c r="F101" s="10" t="s">
        <v>139</v>
      </c>
      <c r="K101" s="10">
        <v>2.57</v>
      </c>
      <c r="L101" s="10" t="e">
        <f t="shared" si="1"/>
        <v>#VALUE!</v>
      </c>
      <c r="M101" s="10" t="e">
        <f t="shared" si="2"/>
        <v>#VALUE!</v>
      </c>
      <c r="N101" s="10" t="e">
        <f t="shared" si="3"/>
        <v>#VALUE!</v>
      </c>
    </row>
    <row r="102" spans="4:14" ht="12.75">
      <c r="D102" s="10">
        <v>2.07</v>
      </c>
      <c r="E102" s="10" t="s">
        <v>139</v>
      </c>
      <c r="F102" s="10" t="s">
        <v>139</v>
      </c>
      <c r="K102" s="10">
        <v>2.07</v>
      </c>
      <c r="L102" s="10" t="e">
        <f t="shared" si="1"/>
        <v>#VALUE!</v>
      </c>
      <c r="M102" s="10" t="e">
        <f t="shared" si="2"/>
        <v>#VALUE!</v>
      </c>
      <c r="N102" s="10" t="e">
        <f t="shared" si="3"/>
        <v>#VALUE!</v>
      </c>
    </row>
    <row r="103" spans="4:14" ht="12.75">
      <c r="D103" s="10">
        <v>0.7</v>
      </c>
      <c r="E103" s="10" t="s">
        <v>139</v>
      </c>
      <c r="F103" s="10" t="s">
        <v>139</v>
      </c>
      <c r="K103" s="10">
        <v>0.7</v>
      </c>
      <c r="L103" s="10" t="e">
        <f t="shared" si="1"/>
        <v>#VALUE!</v>
      </c>
      <c r="M103" s="10" t="e">
        <f t="shared" si="2"/>
        <v>#VALUE!</v>
      </c>
      <c r="N103" s="10" t="e">
        <f t="shared" si="3"/>
        <v>#VALUE!</v>
      </c>
    </row>
    <row r="104" spans="4:14" ht="12.75">
      <c r="D104" s="10">
        <v>0.9</v>
      </c>
      <c r="E104" s="10" t="s">
        <v>139</v>
      </c>
      <c r="F104" s="10" t="s">
        <v>139</v>
      </c>
      <c r="K104" s="10">
        <v>0.9</v>
      </c>
      <c r="L104" s="10" t="e">
        <f t="shared" si="1"/>
        <v>#VALUE!</v>
      </c>
      <c r="M104" s="10" t="e">
        <f t="shared" si="2"/>
        <v>#VALUE!</v>
      </c>
      <c r="N104" s="10" t="e">
        <f t="shared" si="3"/>
        <v>#VALUE!</v>
      </c>
    </row>
    <row r="105" spans="4:14" ht="12.75">
      <c r="D105" s="10">
        <v>0.88</v>
      </c>
      <c r="E105" s="10" t="s">
        <v>139</v>
      </c>
      <c r="F105" s="10" t="s">
        <v>139</v>
      </c>
      <c r="K105" s="10">
        <v>0.88</v>
      </c>
      <c r="L105" s="10" t="e">
        <f t="shared" si="1"/>
        <v>#VALUE!</v>
      </c>
      <c r="M105" s="10" t="e">
        <f t="shared" si="2"/>
        <v>#VALUE!</v>
      </c>
      <c r="N105" s="10" t="e">
        <f t="shared" si="3"/>
        <v>#VALUE!</v>
      </c>
    </row>
    <row r="106" spans="4:14" ht="12.75">
      <c r="D106" s="10">
        <v>0.89</v>
      </c>
      <c r="E106" s="10" t="s">
        <v>139</v>
      </c>
      <c r="F106" s="10" t="s">
        <v>139</v>
      </c>
      <c r="K106" s="10">
        <v>0.89</v>
      </c>
      <c r="L106" s="10" t="e">
        <f t="shared" si="1"/>
        <v>#VALUE!</v>
      </c>
      <c r="M106" s="10" t="e">
        <f t="shared" si="2"/>
        <v>#VALUE!</v>
      </c>
      <c r="N106" s="10" t="e">
        <f t="shared" si="3"/>
        <v>#VALUE!</v>
      </c>
    </row>
    <row r="107" spans="4:14" ht="12.75">
      <c r="D107" s="10">
        <v>0</v>
      </c>
      <c r="E107" s="10" t="s">
        <v>139</v>
      </c>
      <c r="F107" s="10" t="s">
        <v>139</v>
      </c>
      <c r="K107" s="10">
        <v>0</v>
      </c>
      <c r="L107" s="10" t="e">
        <f t="shared" si="1"/>
        <v>#VALUE!</v>
      </c>
      <c r="M107" s="10" t="e">
        <f t="shared" si="2"/>
        <v>#VALUE!</v>
      </c>
      <c r="N107" s="10" t="e">
        <f t="shared" si="3"/>
        <v>#VALUE!</v>
      </c>
    </row>
    <row r="108" spans="4:14" ht="12.75">
      <c r="D108" s="10">
        <v>0</v>
      </c>
      <c r="E108" s="10" t="s">
        <v>139</v>
      </c>
      <c r="F108" s="10" t="s">
        <v>139</v>
      </c>
      <c r="K108" s="10">
        <v>0</v>
      </c>
      <c r="L108" s="10" t="e">
        <f t="shared" si="1"/>
        <v>#VALUE!</v>
      </c>
      <c r="M108" s="10" t="e">
        <f t="shared" si="2"/>
        <v>#VALUE!</v>
      </c>
      <c r="N108" s="10" t="e">
        <f t="shared" si="3"/>
        <v>#VALUE!</v>
      </c>
    </row>
    <row r="109" spans="4:14" ht="12.75">
      <c r="D109" s="10">
        <v>0</v>
      </c>
      <c r="E109" s="10" t="s">
        <v>139</v>
      </c>
      <c r="F109" s="10" t="s">
        <v>139</v>
      </c>
      <c r="K109" s="10">
        <v>0</v>
      </c>
      <c r="L109" s="10" t="e">
        <f t="shared" si="1"/>
        <v>#VALUE!</v>
      </c>
      <c r="M109" s="10" t="e">
        <f t="shared" si="2"/>
        <v>#VALUE!</v>
      </c>
      <c r="N109" s="10" t="e">
        <f t="shared" si="3"/>
        <v>#VALUE!</v>
      </c>
    </row>
    <row r="110" spans="4:14" ht="12.75">
      <c r="D110" s="10"/>
      <c r="E110" s="10" t="s">
        <v>139</v>
      </c>
      <c r="F110" s="10" t="s">
        <v>139</v>
      </c>
      <c r="K110" s="10"/>
      <c r="L110" s="10" t="e">
        <f t="shared" si="1"/>
        <v>#VALUE!</v>
      </c>
      <c r="M110" s="10" t="e">
        <f t="shared" si="2"/>
        <v>#VALUE!</v>
      </c>
      <c r="N110" s="10" t="e">
        <f t="shared" si="3"/>
        <v>#VALUE!</v>
      </c>
    </row>
    <row r="111" spans="4:14" ht="12.75">
      <c r="D111" s="10"/>
      <c r="E111" s="10" t="s">
        <v>139</v>
      </c>
      <c r="F111" s="10" t="s">
        <v>139</v>
      </c>
      <c r="K111" s="10"/>
      <c r="L111" s="10" t="e">
        <f t="shared" si="1"/>
        <v>#VALUE!</v>
      </c>
      <c r="M111" s="10" t="e">
        <f t="shared" si="2"/>
        <v>#VALUE!</v>
      </c>
      <c r="N111" s="10" t="e">
        <f t="shared" si="3"/>
        <v>#VALUE!</v>
      </c>
    </row>
    <row r="112" spans="4:14" ht="12.75">
      <c r="D112" s="10"/>
      <c r="E112" s="10" t="s">
        <v>139</v>
      </c>
      <c r="F112" s="10" t="s">
        <v>139</v>
      </c>
      <c r="K112" s="10"/>
      <c r="L112" s="10" t="e">
        <f t="shared" si="1"/>
        <v>#VALUE!</v>
      </c>
      <c r="M112" s="10" t="e">
        <f t="shared" si="2"/>
        <v>#VALUE!</v>
      </c>
      <c r="N112" s="10" t="e">
        <f t="shared" si="3"/>
        <v>#VALUE!</v>
      </c>
    </row>
    <row r="113" spans="4:14" ht="12.75">
      <c r="D113" s="10"/>
      <c r="E113" s="10" t="s">
        <v>139</v>
      </c>
      <c r="F113" s="10" t="s">
        <v>139</v>
      </c>
      <c r="K113" s="10"/>
      <c r="L113" s="10" t="e">
        <f t="shared" si="1"/>
        <v>#VALUE!</v>
      </c>
      <c r="M113" s="10" t="e">
        <f t="shared" si="2"/>
        <v>#VALUE!</v>
      </c>
      <c r="N113" s="10" t="e">
        <f t="shared" si="3"/>
        <v>#VALUE!</v>
      </c>
    </row>
    <row r="114" spans="4:14" ht="12.75">
      <c r="D114" s="10"/>
      <c r="E114" s="10" t="s">
        <v>139</v>
      </c>
      <c r="F114" s="10" t="s">
        <v>139</v>
      </c>
      <c r="K114" s="10"/>
      <c r="L114" s="10" t="e">
        <f t="shared" si="1"/>
        <v>#VALUE!</v>
      </c>
      <c r="M114" s="10" t="e">
        <f t="shared" si="2"/>
        <v>#VALUE!</v>
      </c>
      <c r="N114" s="10" t="e">
        <f t="shared" si="3"/>
        <v>#VALUE!</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2"/>
  <dimension ref="A1:AL59"/>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L9" sqref="L9"/>
    </sheetView>
  </sheetViews>
  <sheetFormatPr defaultColWidth="9.140625" defaultRowHeight="12.75"/>
  <cols>
    <col min="2" max="2" width="14.8515625" style="0" bestFit="1" customWidth="1"/>
    <col min="3" max="38" width="5.00390625" style="0" bestFit="1" customWidth="1"/>
  </cols>
  <sheetData>
    <row r="1" spans="1:38" ht="12.75">
      <c r="A1" s="2" t="s">
        <v>0</v>
      </c>
      <c r="B1" t="s">
        <v>223</v>
      </c>
      <c r="C1" t="s">
        <v>60</v>
      </c>
      <c r="D1" t="s">
        <v>61</v>
      </c>
      <c r="E1" t="s">
        <v>62</v>
      </c>
      <c r="F1" t="s">
        <v>63</v>
      </c>
      <c r="G1" t="s">
        <v>64</v>
      </c>
      <c r="H1" t="s">
        <v>65</v>
      </c>
      <c r="I1" t="s">
        <v>66</v>
      </c>
      <c r="J1" t="s">
        <v>67</v>
      </c>
      <c r="K1" t="s">
        <v>68</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90</v>
      </c>
      <c r="AH1" t="s">
        <v>91</v>
      </c>
      <c r="AI1" t="s">
        <v>92</v>
      </c>
      <c r="AJ1" t="s">
        <v>93</v>
      </c>
      <c r="AK1" t="s">
        <v>94</v>
      </c>
      <c r="AL1" t="s">
        <v>95</v>
      </c>
    </row>
    <row r="2" spans="1:38" ht="12.75">
      <c r="A2" s="1" t="e">
        <f>AVERAGE(C2:AL2)</f>
        <v>#DIV/0!</v>
      </c>
      <c r="B2" t="s">
        <v>96</v>
      </c>
      <c r="C2" t="s">
        <v>139</v>
      </c>
      <c r="D2" t="s">
        <v>139</v>
      </c>
      <c r="E2" t="s">
        <v>139</v>
      </c>
      <c r="F2" t="s">
        <v>139</v>
      </c>
      <c r="G2" t="s">
        <v>139</v>
      </c>
      <c r="H2" t="s">
        <v>139</v>
      </c>
      <c r="I2" t="s">
        <v>139</v>
      </c>
      <c r="J2" t="s">
        <v>139</v>
      </c>
      <c r="K2" t="s">
        <v>139</v>
      </c>
      <c r="L2" t="s">
        <v>139</v>
      </c>
      <c r="M2"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row>
    <row r="3" spans="1:38" ht="12.75">
      <c r="A3" s="1" t="e">
        <f>AVERAGE(C3:AL3)</f>
        <v>#DIV/0!</v>
      </c>
      <c r="B3" t="s">
        <v>97</v>
      </c>
      <c r="C3" t="s">
        <v>139</v>
      </c>
      <c r="D3" t="s">
        <v>139</v>
      </c>
      <c r="E3" t="s">
        <v>139</v>
      </c>
      <c r="F3" t="s">
        <v>139</v>
      </c>
      <c r="G3" t="s">
        <v>139</v>
      </c>
      <c r="H3" t="s">
        <v>139</v>
      </c>
      <c r="I3" t="s">
        <v>139</v>
      </c>
      <c r="J3" t="s">
        <v>139</v>
      </c>
      <c r="K3" t="s">
        <v>139</v>
      </c>
      <c r="L3" t="s">
        <v>139</v>
      </c>
      <c r="M3" t="s">
        <v>139</v>
      </c>
      <c r="N3" t="s">
        <v>139</v>
      </c>
      <c r="O3" t="s">
        <v>139</v>
      </c>
      <c r="P3" t="s">
        <v>139</v>
      </c>
      <c r="Q3" t="s">
        <v>139</v>
      </c>
      <c r="R3" t="s">
        <v>139</v>
      </c>
      <c r="S3" t="s">
        <v>139</v>
      </c>
      <c r="T3" t="s">
        <v>139</v>
      </c>
      <c r="U3" t="s">
        <v>139</v>
      </c>
      <c r="V3" t="s">
        <v>139</v>
      </c>
      <c r="W3" t="s">
        <v>139</v>
      </c>
      <c r="X3" t="s">
        <v>139</v>
      </c>
      <c r="Y3" t="s">
        <v>139</v>
      </c>
      <c r="Z3" t="s">
        <v>139</v>
      </c>
      <c r="AA3" t="s">
        <v>139</v>
      </c>
      <c r="AB3" t="s">
        <v>139</v>
      </c>
      <c r="AC3" t="s">
        <v>139</v>
      </c>
      <c r="AD3" t="s">
        <v>139</v>
      </c>
      <c r="AE3" t="s">
        <v>139</v>
      </c>
      <c r="AF3" t="s">
        <v>139</v>
      </c>
      <c r="AG3" t="s">
        <v>139</v>
      </c>
      <c r="AH3" t="s">
        <v>139</v>
      </c>
      <c r="AI3" t="s">
        <v>139</v>
      </c>
      <c r="AJ3" t="s">
        <v>139</v>
      </c>
      <c r="AK3" t="s">
        <v>139</v>
      </c>
      <c r="AL3" t="s">
        <v>139</v>
      </c>
    </row>
    <row r="4" spans="1:38" ht="12.75">
      <c r="A4" s="1">
        <f>AVERAGE(C4:AL4)</f>
        <v>2.5433333333333334</v>
      </c>
      <c r="B4" t="s">
        <v>98</v>
      </c>
      <c r="C4">
        <v>2.41</v>
      </c>
      <c r="D4">
        <v>2.7</v>
      </c>
      <c r="E4">
        <v>2.53</v>
      </c>
      <c r="F4">
        <v>2.47</v>
      </c>
      <c r="G4">
        <v>2.52</v>
      </c>
      <c r="H4">
        <v>2.48</v>
      </c>
      <c r="I4">
        <v>2.5</v>
      </c>
      <c r="J4">
        <v>2.5</v>
      </c>
      <c r="K4">
        <v>2.48</v>
      </c>
      <c r="L4">
        <v>2.55</v>
      </c>
      <c r="M4">
        <v>2.67</v>
      </c>
      <c r="N4">
        <v>2.48</v>
      </c>
      <c r="O4">
        <v>2.49</v>
      </c>
      <c r="P4">
        <v>2.45</v>
      </c>
      <c r="Q4">
        <v>2.82</v>
      </c>
      <c r="R4">
        <v>2.72</v>
      </c>
      <c r="S4">
        <v>2.53</v>
      </c>
      <c r="T4">
        <v>2.48</v>
      </c>
      <c r="U4">
        <v>2.48</v>
      </c>
      <c r="V4">
        <v>2.54</v>
      </c>
      <c r="W4">
        <v>2.7</v>
      </c>
      <c r="X4">
        <v>2.5</v>
      </c>
      <c r="Y4">
        <v>2.5</v>
      </c>
      <c r="Z4">
        <v>2.51</v>
      </c>
      <c r="AA4">
        <v>2.52</v>
      </c>
      <c r="AB4">
        <v>2.52</v>
      </c>
      <c r="AC4">
        <v>2.39</v>
      </c>
      <c r="AD4">
        <v>2.75</v>
      </c>
      <c r="AE4">
        <v>2.5</v>
      </c>
      <c r="AF4">
        <v>2.67</v>
      </c>
      <c r="AG4">
        <v>2.54</v>
      </c>
      <c r="AH4">
        <v>2.53</v>
      </c>
      <c r="AI4">
        <v>2.46</v>
      </c>
      <c r="AJ4">
        <v>2.47</v>
      </c>
      <c r="AK4">
        <v>2.52</v>
      </c>
      <c r="AL4">
        <v>2.68</v>
      </c>
    </row>
    <row r="5" spans="1:38" ht="12.75">
      <c r="A5" s="1">
        <f>AVERAGE(C5:C5)</f>
        <v>2.81</v>
      </c>
      <c r="B5" t="s">
        <v>99</v>
      </c>
      <c r="C5">
        <v>2.81</v>
      </c>
      <c r="D5" t="s">
        <v>139</v>
      </c>
      <c r="E5" t="s">
        <v>139</v>
      </c>
      <c r="F5" t="s">
        <v>139</v>
      </c>
      <c r="G5" t="s">
        <v>139</v>
      </c>
      <c r="H5" t="s">
        <v>139</v>
      </c>
      <c r="I5" t="s">
        <v>139</v>
      </c>
      <c r="J5" t="s">
        <v>139</v>
      </c>
      <c r="K5" t="s">
        <v>139</v>
      </c>
      <c r="L5" t="s">
        <v>139</v>
      </c>
      <c r="M5" t="s">
        <v>139</v>
      </c>
      <c r="N5" t="s">
        <v>139</v>
      </c>
      <c r="O5" t="s">
        <v>139</v>
      </c>
      <c r="P5" t="s">
        <v>139</v>
      </c>
      <c r="Q5" t="s">
        <v>139</v>
      </c>
      <c r="R5" t="s">
        <v>139</v>
      </c>
      <c r="S5" t="s">
        <v>139</v>
      </c>
      <c r="T5" t="s">
        <v>139</v>
      </c>
      <c r="U5" t="s">
        <v>139</v>
      </c>
      <c r="V5" t="s">
        <v>139</v>
      </c>
      <c r="W5" t="s">
        <v>139</v>
      </c>
      <c r="X5" t="s">
        <v>139</v>
      </c>
      <c r="Y5" t="s">
        <v>139</v>
      </c>
      <c r="Z5" t="s">
        <v>139</v>
      </c>
      <c r="AA5" t="s">
        <v>139</v>
      </c>
      <c r="AB5" t="s">
        <v>139</v>
      </c>
      <c r="AC5" t="s">
        <v>139</v>
      </c>
      <c r="AD5" t="s">
        <v>139</v>
      </c>
      <c r="AE5" t="s">
        <v>139</v>
      </c>
      <c r="AF5" t="s">
        <v>139</v>
      </c>
      <c r="AG5" t="s">
        <v>139</v>
      </c>
      <c r="AH5" t="s">
        <v>139</v>
      </c>
      <c r="AI5" t="s">
        <v>139</v>
      </c>
      <c r="AJ5" t="s">
        <v>139</v>
      </c>
      <c r="AK5" t="s">
        <v>139</v>
      </c>
      <c r="AL5" t="s">
        <v>139</v>
      </c>
    </row>
    <row r="6" spans="1:38" ht="12.75">
      <c r="A6" s="1">
        <f>AVERAGE(C6:D6)</f>
        <v>1.395</v>
      </c>
      <c r="B6" t="s">
        <v>100</v>
      </c>
      <c r="C6">
        <v>2.79</v>
      </c>
      <c r="D6">
        <v>0</v>
      </c>
      <c r="E6" t="s">
        <v>139</v>
      </c>
      <c r="F6" t="s">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s="1">
        <f>AVERAGE(C7:E7)</f>
        <v>2.9499999999999997</v>
      </c>
      <c r="B7" t="s">
        <v>101</v>
      </c>
      <c r="C7">
        <v>2.79</v>
      </c>
      <c r="D7">
        <v>3.05</v>
      </c>
      <c r="E7">
        <v>3.01</v>
      </c>
      <c r="F7" t="s">
        <v>139</v>
      </c>
      <c r="G7" t="s">
        <v>139</v>
      </c>
      <c r="H7" t="s">
        <v>139</v>
      </c>
      <c r="I7" t="s">
        <v>139</v>
      </c>
      <c r="J7" t="s">
        <v>139</v>
      </c>
      <c r="K7" t="s">
        <v>139</v>
      </c>
      <c r="L7" t="s">
        <v>139</v>
      </c>
      <c r="M7" t="s">
        <v>139</v>
      </c>
      <c r="N7" t="s">
        <v>139</v>
      </c>
      <c r="O7" t="s">
        <v>139</v>
      </c>
      <c r="P7" t="s">
        <v>139</v>
      </c>
      <c r="Q7" t="s">
        <v>139</v>
      </c>
      <c r="R7" t="s">
        <v>139</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s="1">
        <f>AVERAGE(C8:F8)</f>
        <v>2.91</v>
      </c>
      <c r="B8" t="s">
        <v>102</v>
      </c>
      <c r="C8">
        <v>2.79</v>
      </c>
      <c r="D8">
        <v>3.02</v>
      </c>
      <c r="E8">
        <v>2.97</v>
      </c>
      <c r="F8">
        <v>2.86</v>
      </c>
      <c r="G8" t="s">
        <v>139</v>
      </c>
      <c r="H8" t="s">
        <v>139</v>
      </c>
      <c r="I8" t="s">
        <v>139</v>
      </c>
      <c r="J8" t="s">
        <v>139</v>
      </c>
      <c r="K8" t="s">
        <v>139</v>
      </c>
      <c r="L8" t="s">
        <v>139</v>
      </c>
      <c r="M8" t="s">
        <v>139</v>
      </c>
      <c r="N8" t="s">
        <v>139</v>
      </c>
      <c r="O8" t="s">
        <v>139</v>
      </c>
      <c r="P8" t="s">
        <v>139</v>
      </c>
      <c r="Q8" t="s">
        <v>139</v>
      </c>
      <c r="R8" t="s">
        <v>139</v>
      </c>
      <c r="S8" t="s">
        <v>139</v>
      </c>
      <c r="T8" t="s">
        <v>139</v>
      </c>
      <c r="U8" t="s">
        <v>139</v>
      </c>
      <c r="V8" t="s">
        <v>139</v>
      </c>
      <c r="W8" t="s">
        <v>139</v>
      </c>
      <c r="X8" t="s">
        <v>139</v>
      </c>
      <c r="Y8" t="s">
        <v>139</v>
      </c>
      <c r="Z8" t="s">
        <v>139</v>
      </c>
      <c r="AA8" t="s">
        <v>139</v>
      </c>
      <c r="AB8" t="s">
        <v>139</v>
      </c>
      <c r="AC8" t="s">
        <v>139</v>
      </c>
      <c r="AD8" t="s">
        <v>139</v>
      </c>
      <c r="AE8" t="s">
        <v>139</v>
      </c>
      <c r="AF8" t="s">
        <v>139</v>
      </c>
      <c r="AG8" t="s">
        <v>139</v>
      </c>
      <c r="AH8" t="s">
        <v>139</v>
      </c>
      <c r="AI8" t="s">
        <v>139</v>
      </c>
      <c r="AJ8" t="s">
        <v>139</v>
      </c>
      <c r="AK8" t="s">
        <v>139</v>
      </c>
      <c r="AL8" t="s">
        <v>139</v>
      </c>
    </row>
    <row r="9" spans="1:38" ht="12.75">
      <c r="A9" s="1">
        <f>AVERAGE(C9:G9)</f>
        <v>2.926</v>
      </c>
      <c r="B9" t="s">
        <v>103</v>
      </c>
      <c r="C9">
        <v>2.79</v>
      </c>
      <c r="D9">
        <v>3.04</v>
      </c>
      <c r="E9">
        <v>2.98</v>
      </c>
      <c r="F9">
        <v>2.83</v>
      </c>
      <c r="G9">
        <v>2.99</v>
      </c>
      <c r="H9" t="s">
        <v>139</v>
      </c>
      <c r="I9" t="s">
        <v>139</v>
      </c>
      <c r="J9" t="s">
        <v>139</v>
      </c>
      <c r="K9" t="s">
        <v>139</v>
      </c>
      <c r="L9" t="s">
        <v>139</v>
      </c>
      <c r="M9" t="s">
        <v>139</v>
      </c>
      <c r="N9" t="s">
        <v>139</v>
      </c>
      <c r="O9" t="s">
        <v>139</v>
      </c>
      <c r="P9" t="s">
        <v>139</v>
      </c>
      <c r="Q9" t="s">
        <v>139</v>
      </c>
      <c r="R9" t="s">
        <v>139</v>
      </c>
      <c r="S9" t="s">
        <v>139</v>
      </c>
      <c r="T9" t="s">
        <v>139</v>
      </c>
      <c r="U9" t="s">
        <v>139</v>
      </c>
      <c r="V9" t="s">
        <v>139</v>
      </c>
      <c r="W9" t="s">
        <v>139</v>
      </c>
      <c r="X9" t="s">
        <v>139</v>
      </c>
      <c r="Y9" t="s">
        <v>139</v>
      </c>
      <c r="Z9" t="s">
        <v>139</v>
      </c>
      <c r="AA9" t="s">
        <v>139</v>
      </c>
      <c r="AB9" t="s">
        <v>139</v>
      </c>
      <c r="AC9" t="s">
        <v>139</v>
      </c>
      <c r="AD9" t="s">
        <v>139</v>
      </c>
      <c r="AE9" t="s">
        <v>139</v>
      </c>
      <c r="AF9" t="s">
        <v>139</v>
      </c>
      <c r="AG9" t="s">
        <v>139</v>
      </c>
      <c r="AH9" t="s">
        <v>139</v>
      </c>
      <c r="AI9" t="s">
        <v>139</v>
      </c>
      <c r="AJ9" t="s">
        <v>139</v>
      </c>
      <c r="AK9" t="s">
        <v>139</v>
      </c>
      <c r="AL9" t="s">
        <v>139</v>
      </c>
    </row>
    <row r="10" spans="1:38" ht="12.75">
      <c r="A10" s="1">
        <f>AVERAGE(C10:H10)</f>
        <v>2.9033333333333338</v>
      </c>
      <c r="B10" t="s">
        <v>104</v>
      </c>
      <c r="C10">
        <v>2.78</v>
      </c>
      <c r="D10">
        <v>3.02</v>
      </c>
      <c r="E10">
        <v>2.94</v>
      </c>
      <c r="F10">
        <v>2.82</v>
      </c>
      <c r="G10">
        <v>2.93</v>
      </c>
      <c r="H10">
        <v>2.93</v>
      </c>
      <c r="I10" t="s">
        <v>139</v>
      </c>
      <c r="J10" t="s">
        <v>139</v>
      </c>
      <c r="K10" t="s">
        <v>139</v>
      </c>
      <c r="L10" t="s">
        <v>139</v>
      </c>
      <c r="M10" t="s">
        <v>139</v>
      </c>
      <c r="N10" t="s">
        <v>139</v>
      </c>
      <c r="O10" t="s">
        <v>139</v>
      </c>
      <c r="P10" t="s">
        <v>139</v>
      </c>
      <c r="Q10" t="s">
        <v>139</v>
      </c>
      <c r="R10" t="s">
        <v>139</v>
      </c>
      <c r="S10" t="s">
        <v>139</v>
      </c>
      <c r="T10" t="s">
        <v>139</v>
      </c>
      <c r="U10" t="s">
        <v>139</v>
      </c>
      <c r="V10" t="s">
        <v>139</v>
      </c>
      <c r="W10" t="s">
        <v>139</v>
      </c>
      <c r="X10" t="s">
        <v>139</v>
      </c>
      <c r="Y10" t="s">
        <v>139</v>
      </c>
      <c r="Z10" t="s">
        <v>139</v>
      </c>
      <c r="AA10" t="s">
        <v>139</v>
      </c>
      <c r="AB10" t="s">
        <v>139</v>
      </c>
      <c r="AC10" t="s">
        <v>139</v>
      </c>
      <c r="AD10" t="s">
        <v>139</v>
      </c>
      <c r="AE10" t="s">
        <v>139</v>
      </c>
      <c r="AF10" t="s">
        <v>139</v>
      </c>
      <c r="AG10" t="s">
        <v>139</v>
      </c>
      <c r="AH10" t="s">
        <v>139</v>
      </c>
      <c r="AI10" t="s">
        <v>139</v>
      </c>
      <c r="AJ10" t="s">
        <v>139</v>
      </c>
      <c r="AK10" t="s">
        <v>139</v>
      </c>
      <c r="AL10" t="s">
        <v>139</v>
      </c>
    </row>
    <row r="11" spans="1:38" ht="12.75">
      <c r="A11" s="1">
        <f>AVERAGE(C11:I11)</f>
        <v>2.904285714285714</v>
      </c>
      <c r="B11" t="s">
        <v>105</v>
      </c>
      <c r="C11">
        <v>2.78</v>
      </c>
      <c r="D11">
        <v>3.04</v>
      </c>
      <c r="E11">
        <v>2.94</v>
      </c>
      <c r="F11">
        <v>2.83</v>
      </c>
      <c r="G11">
        <v>2.94</v>
      </c>
      <c r="H11">
        <v>2.89</v>
      </c>
      <c r="I11">
        <v>2.91</v>
      </c>
      <c r="J11" t="s">
        <v>139</v>
      </c>
      <c r="K11" t="s">
        <v>139</v>
      </c>
      <c r="L11" t="s">
        <v>139</v>
      </c>
      <c r="M11" t="s">
        <v>139</v>
      </c>
      <c r="N11" t="s">
        <v>139</v>
      </c>
      <c r="O11" t="s">
        <v>139</v>
      </c>
      <c r="P11" t="s">
        <v>139</v>
      </c>
      <c r="Q11" t="s">
        <v>139</v>
      </c>
      <c r="R11" t="s">
        <v>139</v>
      </c>
      <c r="S11" t="s">
        <v>139</v>
      </c>
      <c r="T11" t="s">
        <v>139</v>
      </c>
      <c r="U11" t="s">
        <v>139</v>
      </c>
      <c r="V11" t="s">
        <v>139</v>
      </c>
      <c r="W11" t="s">
        <v>139</v>
      </c>
      <c r="X11" t="s">
        <v>139</v>
      </c>
      <c r="Y11" t="s">
        <v>139</v>
      </c>
      <c r="Z11" t="s">
        <v>139</v>
      </c>
      <c r="AA11" t="s">
        <v>139</v>
      </c>
      <c r="AB11" t="s">
        <v>139</v>
      </c>
      <c r="AC11" t="s">
        <v>139</v>
      </c>
      <c r="AD11" t="s">
        <v>139</v>
      </c>
      <c r="AE11" t="s">
        <v>139</v>
      </c>
      <c r="AF11" t="s">
        <v>139</v>
      </c>
      <c r="AG11" t="s">
        <v>139</v>
      </c>
      <c r="AH11" t="s">
        <v>139</v>
      </c>
      <c r="AI11" t="s">
        <v>139</v>
      </c>
      <c r="AJ11" t="s">
        <v>139</v>
      </c>
      <c r="AK11" t="s">
        <v>139</v>
      </c>
      <c r="AL11" t="s">
        <v>139</v>
      </c>
    </row>
    <row r="12" spans="1:38" ht="12.75">
      <c r="A12" s="1">
        <f>AVERAGE(C12:J12)</f>
        <v>2.9124999999999996</v>
      </c>
      <c r="B12" t="s">
        <v>106</v>
      </c>
      <c r="C12">
        <v>2.78</v>
      </c>
      <c r="D12">
        <v>3.02</v>
      </c>
      <c r="E12">
        <v>2.94</v>
      </c>
      <c r="F12">
        <v>2.81</v>
      </c>
      <c r="G12">
        <v>2.97</v>
      </c>
      <c r="H12">
        <v>2.91</v>
      </c>
      <c r="I12">
        <v>2.9</v>
      </c>
      <c r="J12">
        <v>2.97</v>
      </c>
      <c r="K12" t="s">
        <v>139</v>
      </c>
      <c r="L12" t="s">
        <v>139</v>
      </c>
      <c r="M12" t="s">
        <v>139</v>
      </c>
      <c r="N12" t="s">
        <v>139</v>
      </c>
      <c r="O12" t="s">
        <v>139</v>
      </c>
      <c r="P12" t="s">
        <v>139</v>
      </c>
      <c r="Q12" t="s">
        <v>139</v>
      </c>
      <c r="R12" t="s">
        <v>139</v>
      </c>
      <c r="S12" t="s">
        <v>139</v>
      </c>
      <c r="T12" t="s">
        <v>139</v>
      </c>
      <c r="U12" t="s">
        <v>139</v>
      </c>
      <c r="V12" t="s">
        <v>139</v>
      </c>
      <c r="W12" t="s">
        <v>139</v>
      </c>
      <c r="X12" t="s">
        <v>139</v>
      </c>
      <c r="Y12" t="s">
        <v>139</v>
      </c>
      <c r="Z12" t="s">
        <v>139</v>
      </c>
      <c r="AA12" t="s">
        <v>139</v>
      </c>
      <c r="AB12" t="s">
        <v>139</v>
      </c>
      <c r="AC12" t="s">
        <v>139</v>
      </c>
      <c r="AD12" t="s">
        <v>139</v>
      </c>
      <c r="AE12" t="s">
        <v>139</v>
      </c>
      <c r="AF12" t="s">
        <v>139</v>
      </c>
      <c r="AG12" t="s">
        <v>139</v>
      </c>
      <c r="AH12" t="s">
        <v>139</v>
      </c>
      <c r="AI12" t="s">
        <v>139</v>
      </c>
      <c r="AJ12" t="s">
        <v>139</v>
      </c>
      <c r="AK12" t="s">
        <v>139</v>
      </c>
      <c r="AL12" t="s">
        <v>139</v>
      </c>
    </row>
    <row r="13" spans="1:38" ht="12.75">
      <c r="A13" s="1">
        <f>AVERAGE(C13:K13)</f>
        <v>2.8966666666666665</v>
      </c>
      <c r="B13" t="s">
        <v>107</v>
      </c>
      <c r="C13">
        <v>2.78</v>
      </c>
      <c r="D13">
        <v>3.02</v>
      </c>
      <c r="E13">
        <v>2.95</v>
      </c>
      <c r="F13">
        <v>2.81</v>
      </c>
      <c r="G13">
        <v>2.96</v>
      </c>
      <c r="H13">
        <v>2.88</v>
      </c>
      <c r="I13">
        <v>2.89</v>
      </c>
      <c r="J13">
        <v>2.91</v>
      </c>
      <c r="K13">
        <v>2.87</v>
      </c>
      <c r="L13" t="s">
        <v>139</v>
      </c>
      <c r="M13" t="s">
        <v>139</v>
      </c>
      <c r="N13" t="s">
        <v>139</v>
      </c>
      <c r="O13" t="s">
        <v>139</v>
      </c>
      <c r="P13" t="s">
        <v>139</v>
      </c>
      <c r="Q13" t="s">
        <v>139</v>
      </c>
      <c r="R13" t="s">
        <v>139</v>
      </c>
      <c r="S13" t="s">
        <v>139</v>
      </c>
      <c r="T13" t="s">
        <v>139</v>
      </c>
      <c r="U13" t="s">
        <v>139</v>
      </c>
      <c r="V13" t="s">
        <v>139</v>
      </c>
      <c r="W13" t="s">
        <v>139</v>
      </c>
      <c r="X13" t="s">
        <v>139</v>
      </c>
      <c r="Y13" t="s">
        <v>139</v>
      </c>
      <c r="Z13" t="s">
        <v>139</v>
      </c>
      <c r="AA13" t="s">
        <v>139</v>
      </c>
      <c r="AB13" t="s">
        <v>139</v>
      </c>
      <c r="AC13" t="s">
        <v>139</v>
      </c>
      <c r="AD13" t="s">
        <v>139</v>
      </c>
      <c r="AE13" t="s">
        <v>139</v>
      </c>
      <c r="AF13" t="s">
        <v>139</v>
      </c>
      <c r="AG13" t="s">
        <v>139</v>
      </c>
      <c r="AH13" t="s">
        <v>139</v>
      </c>
      <c r="AI13" t="s">
        <v>139</v>
      </c>
      <c r="AJ13" t="s">
        <v>139</v>
      </c>
      <c r="AK13" t="s">
        <v>139</v>
      </c>
      <c r="AL13" t="s">
        <v>139</v>
      </c>
    </row>
    <row r="14" spans="1:38" ht="12.75">
      <c r="A14" s="1">
        <f>AVERAGE(C14:L14)</f>
        <v>2.8950000000000005</v>
      </c>
      <c r="B14" t="s">
        <v>108</v>
      </c>
      <c r="C14">
        <v>2.77</v>
      </c>
      <c r="D14">
        <v>3.02</v>
      </c>
      <c r="E14">
        <v>2.94</v>
      </c>
      <c r="F14">
        <v>2.82</v>
      </c>
      <c r="G14">
        <v>2.96</v>
      </c>
      <c r="H14">
        <v>2.87</v>
      </c>
      <c r="I14">
        <v>2.89</v>
      </c>
      <c r="J14">
        <v>2.94</v>
      </c>
      <c r="K14">
        <v>2.82</v>
      </c>
      <c r="L14">
        <v>2.92</v>
      </c>
      <c r="M14" t="s">
        <v>139</v>
      </c>
      <c r="N14" t="s">
        <v>139</v>
      </c>
      <c r="O14" t="s">
        <v>139</v>
      </c>
      <c r="P14" t="s">
        <v>139</v>
      </c>
      <c r="Q14" t="s">
        <v>139</v>
      </c>
      <c r="R14" t="s">
        <v>139</v>
      </c>
      <c r="S14" t="s">
        <v>139</v>
      </c>
      <c r="T14" t="s">
        <v>139</v>
      </c>
      <c r="U14" t="s">
        <v>139</v>
      </c>
      <c r="V14" t="s">
        <v>139</v>
      </c>
      <c r="W14" t="s">
        <v>139</v>
      </c>
      <c r="X14" t="s">
        <v>139</v>
      </c>
      <c r="Y14" t="s">
        <v>139</v>
      </c>
      <c r="Z14" t="s">
        <v>139</v>
      </c>
      <c r="AA14" t="s">
        <v>139</v>
      </c>
      <c r="AB14" t="s">
        <v>139</v>
      </c>
      <c r="AC14" t="s">
        <v>139</v>
      </c>
      <c r="AD14" t="s">
        <v>139</v>
      </c>
      <c r="AE14" t="s">
        <v>139</v>
      </c>
      <c r="AF14" t="s">
        <v>139</v>
      </c>
      <c r="AG14" t="s">
        <v>139</v>
      </c>
      <c r="AH14" t="s">
        <v>139</v>
      </c>
      <c r="AI14" t="s">
        <v>139</v>
      </c>
      <c r="AJ14" t="s">
        <v>139</v>
      </c>
      <c r="AK14" t="s">
        <v>139</v>
      </c>
      <c r="AL14" t="s">
        <v>139</v>
      </c>
    </row>
    <row r="15" spans="1:38" ht="12.75">
      <c r="A15" s="1">
        <f>AVERAGE(C15:M15)</f>
        <v>2.898181818181818</v>
      </c>
      <c r="B15" t="s">
        <v>109</v>
      </c>
      <c r="C15">
        <v>2.77</v>
      </c>
      <c r="D15">
        <v>3.03</v>
      </c>
      <c r="E15">
        <v>2.95</v>
      </c>
      <c r="F15">
        <v>2.82</v>
      </c>
      <c r="G15">
        <v>2.93</v>
      </c>
      <c r="H15">
        <v>2.87</v>
      </c>
      <c r="I15">
        <v>2.88</v>
      </c>
      <c r="J15">
        <v>2.91</v>
      </c>
      <c r="K15">
        <v>2.82</v>
      </c>
      <c r="L15">
        <v>2.93</v>
      </c>
      <c r="M15">
        <v>2.97</v>
      </c>
      <c r="N15" t="s">
        <v>139</v>
      </c>
      <c r="O15" t="s">
        <v>139</v>
      </c>
      <c r="P15" t="s">
        <v>139</v>
      </c>
      <c r="Q15" t="s">
        <v>139</v>
      </c>
      <c r="R15" t="s">
        <v>139</v>
      </c>
      <c r="S15" t="s">
        <v>139</v>
      </c>
      <c r="T15" t="s">
        <v>139</v>
      </c>
      <c r="U15" t="s">
        <v>139</v>
      </c>
      <c r="V15" t="s">
        <v>139</v>
      </c>
      <c r="W15" t="s">
        <v>139</v>
      </c>
      <c r="X15" t="s">
        <v>139</v>
      </c>
      <c r="Y15" t="s">
        <v>139</v>
      </c>
      <c r="Z15" t="s">
        <v>139</v>
      </c>
      <c r="AA15" t="s">
        <v>139</v>
      </c>
      <c r="AB15" t="s">
        <v>139</v>
      </c>
      <c r="AC15" t="s">
        <v>139</v>
      </c>
      <c r="AD15" t="s">
        <v>139</v>
      </c>
      <c r="AE15" t="s">
        <v>139</v>
      </c>
      <c r="AF15" t="s">
        <v>139</v>
      </c>
      <c r="AG15" t="s">
        <v>139</v>
      </c>
      <c r="AH15" t="s">
        <v>139</v>
      </c>
      <c r="AI15" t="s">
        <v>139</v>
      </c>
      <c r="AJ15" t="s">
        <v>139</v>
      </c>
      <c r="AK15" t="s">
        <v>139</v>
      </c>
      <c r="AL15" t="s">
        <v>139</v>
      </c>
    </row>
    <row r="16" spans="1:38" ht="12.75">
      <c r="A16" s="1">
        <f>AVERAGE(C16:N16)</f>
        <v>2.900833333333333</v>
      </c>
      <c r="B16" t="s">
        <v>110</v>
      </c>
      <c r="C16">
        <v>2.77</v>
      </c>
      <c r="D16">
        <v>3.02</v>
      </c>
      <c r="E16">
        <v>2.94</v>
      </c>
      <c r="F16">
        <v>2.8</v>
      </c>
      <c r="G16">
        <v>2.95</v>
      </c>
      <c r="H16">
        <v>2.88</v>
      </c>
      <c r="I16">
        <v>2.87</v>
      </c>
      <c r="J16">
        <v>2.92</v>
      </c>
      <c r="K16">
        <v>2.83</v>
      </c>
      <c r="L16">
        <v>2.9</v>
      </c>
      <c r="M16">
        <v>2.97</v>
      </c>
      <c r="N16">
        <v>2.96</v>
      </c>
      <c r="O16" t="s">
        <v>139</v>
      </c>
      <c r="P16" t="s">
        <v>139</v>
      </c>
      <c r="Q16" t="s">
        <v>139</v>
      </c>
      <c r="R16" t="s">
        <v>139</v>
      </c>
      <c r="S16" t="s">
        <v>139</v>
      </c>
      <c r="T16" t="s">
        <v>139</v>
      </c>
      <c r="U16" t="s">
        <v>139</v>
      </c>
      <c r="V16" t="s">
        <v>139</v>
      </c>
      <c r="W16" t="s">
        <v>139</v>
      </c>
      <c r="X16" t="s">
        <v>139</v>
      </c>
      <c r="Y16" t="s">
        <v>139</v>
      </c>
      <c r="Z16" t="s">
        <v>139</v>
      </c>
      <c r="AA16" t="s">
        <v>139</v>
      </c>
      <c r="AB16" t="s">
        <v>139</v>
      </c>
      <c r="AC16" t="s">
        <v>139</v>
      </c>
      <c r="AD16" t="s">
        <v>139</v>
      </c>
      <c r="AE16" t="s">
        <v>139</v>
      </c>
      <c r="AF16" t="s">
        <v>139</v>
      </c>
      <c r="AG16" t="s">
        <v>139</v>
      </c>
      <c r="AH16" t="s">
        <v>139</v>
      </c>
      <c r="AI16" t="s">
        <v>139</v>
      </c>
      <c r="AJ16" t="s">
        <v>139</v>
      </c>
      <c r="AK16" t="s">
        <v>139</v>
      </c>
      <c r="AL16" t="s">
        <v>139</v>
      </c>
    </row>
    <row r="17" spans="1:38" ht="12.75">
      <c r="A17" s="1">
        <f>AVERAGE(C17:O17)</f>
        <v>2.8992307692307695</v>
      </c>
      <c r="B17" t="s">
        <v>111</v>
      </c>
      <c r="C17">
        <v>2.77</v>
      </c>
      <c r="D17">
        <v>3.02</v>
      </c>
      <c r="E17">
        <v>2.94</v>
      </c>
      <c r="F17">
        <v>2.81</v>
      </c>
      <c r="G17">
        <v>2.95</v>
      </c>
      <c r="H17">
        <v>2.89</v>
      </c>
      <c r="I17">
        <v>2.87</v>
      </c>
      <c r="J17">
        <v>2.9</v>
      </c>
      <c r="K17">
        <v>2.82</v>
      </c>
      <c r="L17">
        <v>2.92</v>
      </c>
      <c r="M17">
        <v>2.95</v>
      </c>
      <c r="N17">
        <v>2.93</v>
      </c>
      <c r="O17">
        <v>2.92</v>
      </c>
      <c r="P17" t="s">
        <v>139</v>
      </c>
      <c r="Q17" t="s">
        <v>139</v>
      </c>
      <c r="R17" t="s">
        <v>139</v>
      </c>
      <c r="S17" t="s">
        <v>139</v>
      </c>
      <c r="T17" t="s">
        <v>139</v>
      </c>
      <c r="U17" t="s">
        <v>139</v>
      </c>
      <c r="V17" t="s">
        <v>139</v>
      </c>
      <c r="W17" t="s">
        <v>139</v>
      </c>
      <c r="X17" t="s">
        <v>139</v>
      </c>
      <c r="Y17" t="s">
        <v>139</v>
      </c>
      <c r="Z17" t="s">
        <v>139</v>
      </c>
      <c r="AA17" t="s">
        <v>139</v>
      </c>
      <c r="AB17" t="s">
        <v>139</v>
      </c>
      <c r="AC17" t="s">
        <v>139</v>
      </c>
      <c r="AD17" t="s">
        <v>139</v>
      </c>
      <c r="AE17" t="s">
        <v>139</v>
      </c>
      <c r="AF17" t="s">
        <v>139</v>
      </c>
      <c r="AG17" t="s">
        <v>139</v>
      </c>
      <c r="AH17" t="s">
        <v>139</v>
      </c>
      <c r="AI17" t="s">
        <v>139</v>
      </c>
      <c r="AJ17" t="s">
        <v>139</v>
      </c>
      <c r="AK17" t="s">
        <v>139</v>
      </c>
      <c r="AL17" t="s">
        <v>139</v>
      </c>
    </row>
    <row r="18" spans="1:38" ht="12.75">
      <c r="A18" s="1">
        <f>AVERAGE(C18:P18)</f>
        <v>2.8957142857142864</v>
      </c>
      <c r="B18" t="s">
        <v>112</v>
      </c>
      <c r="C18">
        <v>2.77</v>
      </c>
      <c r="D18">
        <v>3.02</v>
      </c>
      <c r="E18">
        <v>2.94</v>
      </c>
      <c r="F18">
        <v>2.81</v>
      </c>
      <c r="G18">
        <v>2.95</v>
      </c>
      <c r="H18">
        <v>2.87</v>
      </c>
      <c r="I18">
        <v>2.87</v>
      </c>
      <c r="J18">
        <v>2.91</v>
      </c>
      <c r="K18">
        <v>2.8</v>
      </c>
      <c r="L18">
        <v>2.92</v>
      </c>
      <c r="M18">
        <v>2.96</v>
      </c>
      <c r="N18">
        <v>2.92</v>
      </c>
      <c r="O18">
        <v>2.91</v>
      </c>
      <c r="P18">
        <v>2.89</v>
      </c>
      <c r="Q18" t="s">
        <v>139</v>
      </c>
      <c r="R18" t="s">
        <v>139</v>
      </c>
      <c r="S18" t="s">
        <v>139</v>
      </c>
      <c r="T18" t="s">
        <v>139</v>
      </c>
      <c r="U18" t="s">
        <v>139</v>
      </c>
      <c r="V18" t="s">
        <v>139</v>
      </c>
      <c r="W18" t="s">
        <v>139</v>
      </c>
      <c r="X18" t="s">
        <v>139</v>
      </c>
      <c r="Y18" t="s">
        <v>139</v>
      </c>
      <c r="Z18" t="s">
        <v>139</v>
      </c>
      <c r="AA18" t="s">
        <v>139</v>
      </c>
      <c r="AB18" t="s">
        <v>139</v>
      </c>
      <c r="AC18" t="s">
        <v>139</v>
      </c>
      <c r="AD18" t="s">
        <v>139</v>
      </c>
      <c r="AE18" t="s">
        <v>139</v>
      </c>
      <c r="AF18" t="s">
        <v>139</v>
      </c>
      <c r="AG18" t="s">
        <v>139</v>
      </c>
      <c r="AH18" t="s">
        <v>139</v>
      </c>
      <c r="AI18" t="s">
        <v>139</v>
      </c>
      <c r="AJ18" t="s">
        <v>139</v>
      </c>
      <c r="AK18" t="s">
        <v>139</v>
      </c>
      <c r="AL18" t="s">
        <v>139</v>
      </c>
    </row>
    <row r="19" spans="1:38" ht="12.75">
      <c r="A19" s="1">
        <f>AVERAGE(C19:Q19)</f>
        <v>2.912</v>
      </c>
      <c r="B19" t="s">
        <v>113</v>
      </c>
      <c r="C19">
        <v>2.77</v>
      </c>
      <c r="D19">
        <v>3.01</v>
      </c>
      <c r="E19">
        <v>2.95</v>
      </c>
      <c r="F19">
        <v>2.8</v>
      </c>
      <c r="G19">
        <v>2.93</v>
      </c>
      <c r="H19">
        <v>2.87</v>
      </c>
      <c r="I19">
        <v>2.87</v>
      </c>
      <c r="J19">
        <v>2.9</v>
      </c>
      <c r="K19">
        <v>2.82</v>
      </c>
      <c r="L19">
        <v>2.92</v>
      </c>
      <c r="M19">
        <v>2.97</v>
      </c>
      <c r="N19">
        <v>2.94</v>
      </c>
      <c r="O19">
        <v>2.91</v>
      </c>
      <c r="P19">
        <v>2.85</v>
      </c>
      <c r="Q19">
        <v>3.17</v>
      </c>
      <c r="R19" t="s">
        <v>139</v>
      </c>
      <c r="S19" t="s">
        <v>139</v>
      </c>
      <c r="T19" t="s">
        <v>139</v>
      </c>
      <c r="U19" t="s">
        <v>139</v>
      </c>
      <c r="V19" t="s">
        <v>139</v>
      </c>
      <c r="W19" t="s">
        <v>139</v>
      </c>
      <c r="X19" t="s">
        <v>139</v>
      </c>
      <c r="Y19" t="s">
        <v>139</v>
      </c>
      <c r="Z19" t="s">
        <v>139</v>
      </c>
      <c r="AA19" t="s">
        <v>139</v>
      </c>
      <c r="AB19" t="s">
        <v>139</v>
      </c>
      <c r="AC19" t="s">
        <v>139</v>
      </c>
      <c r="AD19" t="s">
        <v>139</v>
      </c>
      <c r="AE19" t="s">
        <v>139</v>
      </c>
      <c r="AF19" t="s">
        <v>139</v>
      </c>
      <c r="AG19" t="s">
        <v>139</v>
      </c>
      <c r="AH19" t="s">
        <v>139</v>
      </c>
      <c r="AI19" t="s">
        <v>139</v>
      </c>
      <c r="AJ19" t="s">
        <v>139</v>
      </c>
      <c r="AK19" t="s">
        <v>139</v>
      </c>
      <c r="AL19" t="s">
        <v>139</v>
      </c>
    </row>
    <row r="20" spans="1:38" ht="12.75">
      <c r="A20" s="1">
        <f>AVERAGE(C20:R20)</f>
        <v>2.9125</v>
      </c>
      <c r="B20" t="s">
        <v>114</v>
      </c>
      <c r="C20">
        <v>2.77</v>
      </c>
      <c r="D20">
        <v>3.02</v>
      </c>
      <c r="E20">
        <v>2.94</v>
      </c>
      <c r="F20">
        <v>2.81</v>
      </c>
      <c r="G20">
        <v>2.93</v>
      </c>
      <c r="H20">
        <v>2.87</v>
      </c>
      <c r="I20">
        <v>2.87</v>
      </c>
      <c r="J20">
        <v>2.91</v>
      </c>
      <c r="K20">
        <v>2.81</v>
      </c>
      <c r="L20">
        <v>2.91</v>
      </c>
      <c r="M20">
        <v>2.95</v>
      </c>
      <c r="N20">
        <v>2.88</v>
      </c>
      <c r="O20">
        <v>2.91</v>
      </c>
      <c r="P20">
        <v>2.86</v>
      </c>
      <c r="Q20">
        <v>3.13</v>
      </c>
      <c r="R20">
        <v>3.03</v>
      </c>
      <c r="S20" t="s">
        <v>139</v>
      </c>
      <c r="T20" t="s">
        <v>139</v>
      </c>
      <c r="U20" t="s">
        <v>139</v>
      </c>
      <c r="V20" t="s">
        <v>139</v>
      </c>
      <c r="W20" t="s">
        <v>139</v>
      </c>
      <c r="X20" t="s">
        <v>139</v>
      </c>
      <c r="Y20" t="s">
        <v>139</v>
      </c>
      <c r="Z20" t="s">
        <v>139</v>
      </c>
      <c r="AA20" t="s">
        <v>139</v>
      </c>
      <c r="AB20" t="s">
        <v>139</v>
      </c>
      <c r="AC20" t="s">
        <v>139</v>
      </c>
      <c r="AD20" t="s">
        <v>139</v>
      </c>
      <c r="AE20" t="s">
        <v>139</v>
      </c>
      <c r="AF20" t="s">
        <v>139</v>
      </c>
      <c r="AG20" t="s">
        <v>139</v>
      </c>
      <c r="AH20" t="s">
        <v>139</v>
      </c>
      <c r="AI20" t="s">
        <v>139</v>
      </c>
      <c r="AJ20" t="s">
        <v>139</v>
      </c>
      <c r="AK20" t="s">
        <v>139</v>
      </c>
      <c r="AL20" t="s">
        <v>139</v>
      </c>
    </row>
    <row r="21" spans="1:38" ht="12.75">
      <c r="A21" s="1">
        <f>AVERAGE(C21:S21)</f>
        <v>2.9147058823529415</v>
      </c>
      <c r="B21" t="s">
        <v>115</v>
      </c>
      <c r="C21">
        <v>2.77</v>
      </c>
      <c r="D21">
        <v>3.01</v>
      </c>
      <c r="E21">
        <v>2.93</v>
      </c>
      <c r="F21">
        <v>2.81</v>
      </c>
      <c r="G21">
        <v>2.93</v>
      </c>
      <c r="H21">
        <v>2.87</v>
      </c>
      <c r="I21">
        <v>2.87</v>
      </c>
      <c r="J21">
        <v>2.91</v>
      </c>
      <c r="K21">
        <v>2.82</v>
      </c>
      <c r="L21">
        <v>2.9</v>
      </c>
      <c r="M21">
        <v>2.96</v>
      </c>
      <c r="N21">
        <v>2.93</v>
      </c>
      <c r="O21">
        <v>2.85</v>
      </c>
      <c r="P21">
        <v>2.84</v>
      </c>
      <c r="Q21">
        <v>3.12</v>
      </c>
      <c r="R21">
        <v>3.02</v>
      </c>
      <c r="S21">
        <v>3.01</v>
      </c>
      <c r="T21" t="s">
        <v>139</v>
      </c>
      <c r="U21" t="s">
        <v>139</v>
      </c>
      <c r="V21" t="s">
        <v>139</v>
      </c>
      <c r="W21" t="s">
        <v>139</v>
      </c>
      <c r="X21" t="s">
        <v>139</v>
      </c>
      <c r="Y21" t="s">
        <v>139</v>
      </c>
      <c r="Z21" t="s">
        <v>139</v>
      </c>
      <c r="AA21" t="s">
        <v>139</v>
      </c>
      <c r="AB21" t="s">
        <v>139</v>
      </c>
      <c r="AC21" t="s">
        <v>139</v>
      </c>
      <c r="AD21" t="s">
        <v>139</v>
      </c>
      <c r="AE21" t="s">
        <v>139</v>
      </c>
      <c r="AF21" t="s">
        <v>139</v>
      </c>
      <c r="AG21" t="s">
        <v>139</v>
      </c>
      <c r="AH21" t="s">
        <v>139</v>
      </c>
      <c r="AI21" t="s">
        <v>139</v>
      </c>
      <c r="AJ21" t="s">
        <v>139</v>
      </c>
      <c r="AK21" t="s">
        <v>139</v>
      </c>
      <c r="AL21" t="s">
        <v>139</v>
      </c>
    </row>
    <row r="22" spans="1:38" ht="12.75">
      <c r="A22" s="1">
        <f>AVERAGE(C22:T22)</f>
        <v>2.9138888888888888</v>
      </c>
      <c r="B22" t="s">
        <v>116</v>
      </c>
      <c r="C22">
        <v>2.77</v>
      </c>
      <c r="D22">
        <v>3.01</v>
      </c>
      <c r="E22">
        <v>2.93</v>
      </c>
      <c r="F22">
        <v>2.81</v>
      </c>
      <c r="G22">
        <v>2.94</v>
      </c>
      <c r="H22">
        <v>2.87</v>
      </c>
      <c r="I22">
        <v>2.87</v>
      </c>
      <c r="J22">
        <v>2.9</v>
      </c>
      <c r="K22">
        <v>2.82</v>
      </c>
      <c r="L22">
        <v>2.9</v>
      </c>
      <c r="M22">
        <v>2.96</v>
      </c>
      <c r="N22">
        <v>2.91</v>
      </c>
      <c r="O22">
        <v>2.86</v>
      </c>
      <c r="P22">
        <v>2.85</v>
      </c>
      <c r="Q22">
        <v>3.14</v>
      </c>
      <c r="R22">
        <v>3.01</v>
      </c>
      <c r="S22">
        <v>2.96</v>
      </c>
      <c r="T22">
        <v>2.94</v>
      </c>
      <c r="U22" t="s">
        <v>139</v>
      </c>
      <c r="V22" t="s">
        <v>139</v>
      </c>
      <c r="W22" t="s">
        <v>139</v>
      </c>
      <c r="X22" t="s">
        <v>139</v>
      </c>
      <c r="Y22" t="s">
        <v>139</v>
      </c>
      <c r="Z22" t="s">
        <v>139</v>
      </c>
      <c r="AA22" t="s">
        <v>139</v>
      </c>
      <c r="AB22" t="s">
        <v>139</v>
      </c>
      <c r="AC22" t="s">
        <v>139</v>
      </c>
      <c r="AD22" t="s">
        <v>139</v>
      </c>
      <c r="AE22" t="s">
        <v>139</v>
      </c>
      <c r="AF22" t="s">
        <v>139</v>
      </c>
      <c r="AG22" t="s">
        <v>139</v>
      </c>
      <c r="AH22" t="s">
        <v>139</v>
      </c>
      <c r="AI22" t="s">
        <v>139</v>
      </c>
      <c r="AJ22" t="s">
        <v>139</v>
      </c>
      <c r="AK22" t="s">
        <v>139</v>
      </c>
      <c r="AL22" t="s">
        <v>139</v>
      </c>
    </row>
    <row r="23" spans="1:38" ht="12.75">
      <c r="A23" s="1">
        <f>AVERAGE(C23:U23)</f>
        <v>2.914736842105263</v>
      </c>
      <c r="B23" t="s">
        <v>117</v>
      </c>
      <c r="C23">
        <v>2.77</v>
      </c>
      <c r="D23">
        <v>3.01</v>
      </c>
      <c r="E23">
        <v>2.94</v>
      </c>
      <c r="F23">
        <v>2.81</v>
      </c>
      <c r="G23">
        <v>2.93</v>
      </c>
      <c r="H23">
        <v>2.88</v>
      </c>
      <c r="I23">
        <v>2.87</v>
      </c>
      <c r="J23">
        <v>2.9</v>
      </c>
      <c r="K23">
        <v>2.81</v>
      </c>
      <c r="L23">
        <v>2.9</v>
      </c>
      <c r="M23">
        <v>2.96</v>
      </c>
      <c r="N23">
        <v>2.91</v>
      </c>
      <c r="O23">
        <v>2.87</v>
      </c>
      <c r="P23">
        <v>2.84</v>
      </c>
      <c r="Q23">
        <v>3.13</v>
      </c>
      <c r="R23">
        <v>2.99</v>
      </c>
      <c r="S23">
        <v>3</v>
      </c>
      <c r="T23">
        <v>2.96</v>
      </c>
      <c r="U23">
        <v>2.9</v>
      </c>
      <c r="V23" t="s">
        <v>139</v>
      </c>
      <c r="W23" t="s">
        <v>139</v>
      </c>
      <c r="X23" t="s">
        <v>139</v>
      </c>
      <c r="Y23" t="s">
        <v>139</v>
      </c>
      <c r="Z23" t="s">
        <v>139</v>
      </c>
      <c r="AA23" t="s">
        <v>139</v>
      </c>
      <c r="AB23" t="s">
        <v>139</v>
      </c>
      <c r="AC23" t="s">
        <v>139</v>
      </c>
      <c r="AD23" t="s">
        <v>139</v>
      </c>
      <c r="AE23" t="s">
        <v>139</v>
      </c>
      <c r="AF23" t="s">
        <v>139</v>
      </c>
      <c r="AG23" t="s">
        <v>139</v>
      </c>
      <c r="AH23" t="s">
        <v>139</v>
      </c>
      <c r="AI23" t="s">
        <v>139</v>
      </c>
      <c r="AJ23" t="s">
        <v>139</v>
      </c>
      <c r="AK23" t="s">
        <v>139</v>
      </c>
      <c r="AL23" t="s">
        <v>139</v>
      </c>
    </row>
    <row r="24" spans="1:38" ht="12.75">
      <c r="A24" s="1">
        <f>AVERAGE(C24:V24)</f>
        <v>2.9090000000000003</v>
      </c>
      <c r="B24" t="s">
        <v>118</v>
      </c>
      <c r="C24">
        <v>2.77</v>
      </c>
      <c r="D24">
        <v>3.02</v>
      </c>
      <c r="E24">
        <v>2.93</v>
      </c>
      <c r="F24">
        <v>2.8</v>
      </c>
      <c r="G24">
        <v>2.93</v>
      </c>
      <c r="H24">
        <v>2.86</v>
      </c>
      <c r="I24">
        <v>2.86</v>
      </c>
      <c r="J24">
        <v>2.91</v>
      </c>
      <c r="K24">
        <v>2.8</v>
      </c>
      <c r="L24">
        <v>2.9</v>
      </c>
      <c r="M24">
        <v>2.96</v>
      </c>
      <c r="N24">
        <v>2.93</v>
      </c>
      <c r="O24">
        <v>2.86</v>
      </c>
      <c r="P24">
        <v>2.85</v>
      </c>
      <c r="Q24">
        <v>3.12</v>
      </c>
      <c r="R24">
        <v>3</v>
      </c>
      <c r="S24">
        <v>2.95</v>
      </c>
      <c r="T24">
        <v>2.92</v>
      </c>
      <c r="U24">
        <v>2.89</v>
      </c>
      <c r="V24">
        <v>2.92</v>
      </c>
      <c r="W24" t="s">
        <v>139</v>
      </c>
      <c r="X24" t="s">
        <v>139</v>
      </c>
      <c r="Y24" t="s">
        <v>139</v>
      </c>
      <c r="Z24" t="s">
        <v>139</v>
      </c>
      <c r="AA24" t="s">
        <v>139</v>
      </c>
      <c r="AB24" t="s">
        <v>139</v>
      </c>
      <c r="AC24" t="s">
        <v>139</v>
      </c>
      <c r="AD24" t="s">
        <v>139</v>
      </c>
      <c r="AE24" t="s">
        <v>139</v>
      </c>
      <c r="AF24" t="s">
        <v>139</v>
      </c>
      <c r="AG24" t="s">
        <v>139</v>
      </c>
      <c r="AH24" t="s">
        <v>139</v>
      </c>
      <c r="AI24" t="s">
        <v>139</v>
      </c>
      <c r="AJ24" t="s">
        <v>139</v>
      </c>
      <c r="AK24" t="s">
        <v>139</v>
      </c>
      <c r="AL24" t="s">
        <v>139</v>
      </c>
    </row>
    <row r="25" spans="1:38" ht="12.75">
      <c r="A25" s="1">
        <f>AVERAGE(C25:W25)</f>
        <v>2.910952380952381</v>
      </c>
      <c r="B25" t="s">
        <v>119</v>
      </c>
      <c r="C25">
        <v>2.77</v>
      </c>
      <c r="D25">
        <v>3.01</v>
      </c>
      <c r="E25">
        <v>2.94</v>
      </c>
      <c r="F25">
        <v>2.81</v>
      </c>
      <c r="G25">
        <v>2.94</v>
      </c>
      <c r="H25">
        <v>2.87</v>
      </c>
      <c r="I25">
        <v>2.87</v>
      </c>
      <c r="J25">
        <v>2.9</v>
      </c>
      <c r="K25">
        <v>2.82</v>
      </c>
      <c r="L25">
        <v>2.9</v>
      </c>
      <c r="M25">
        <v>2.95</v>
      </c>
      <c r="N25">
        <v>2.87</v>
      </c>
      <c r="O25">
        <v>2.87</v>
      </c>
      <c r="P25">
        <v>2.84</v>
      </c>
      <c r="Q25">
        <v>3.14</v>
      </c>
      <c r="R25">
        <v>2.98</v>
      </c>
      <c r="S25">
        <v>2.93</v>
      </c>
      <c r="T25">
        <v>2.91</v>
      </c>
      <c r="U25">
        <v>2.88</v>
      </c>
      <c r="V25">
        <v>2.91</v>
      </c>
      <c r="W25">
        <v>3.02</v>
      </c>
      <c r="X25" t="s">
        <v>139</v>
      </c>
      <c r="Y25" t="s">
        <v>139</v>
      </c>
      <c r="Z25" t="s">
        <v>139</v>
      </c>
      <c r="AA25" t="s">
        <v>139</v>
      </c>
      <c r="AB25" t="s">
        <v>139</v>
      </c>
      <c r="AC25" t="s">
        <v>139</v>
      </c>
      <c r="AD25" t="s">
        <v>139</v>
      </c>
      <c r="AE25" t="s">
        <v>139</v>
      </c>
      <c r="AF25" t="s">
        <v>139</v>
      </c>
      <c r="AG25" t="s">
        <v>139</v>
      </c>
      <c r="AH25" t="s">
        <v>139</v>
      </c>
      <c r="AI25" t="s">
        <v>139</v>
      </c>
      <c r="AJ25" t="s">
        <v>139</v>
      </c>
      <c r="AK25" t="s">
        <v>139</v>
      </c>
      <c r="AL25" t="s">
        <v>139</v>
      </c>
    </row>
    <row r="26" spans="1:38" ht="12.75">
      <c r="A26" s="1">
        <f>AVERAGE(C26:X26)</f>
        <v>2.911818181818182</v>
      </c>
      <c r="B26" t="s">
        <v>120</v>
      </c>
      <c r="C26">
        <v>2.76</v>
      </c>
      <c r="D26">
        <v>3.02</v>
      </c>
      <c r="E26">
        <v>2.94</v>
      </c>
      <c r="F26">
        <v>2.81</v>
      </c>
      <c r="G26">
        <v>2.93</v>
      </c>
      <c r="H26">
        <v>2.88</v>
      </c>
      <c r="I26">
        <v>2.87</v>
      </c>
      <c r="J26">
        <v>2.9</v>
      </c>
      <c r="K26">
        <v>2.81</v>
      </c>
      <c r="L26">
        <v>2.9</v>
      </c>
      <c r="M26">
        <v>2.96</v>
      </c>
      <c r="N26">
        <v>2.89</v>
      </c>
      <c r="O26">
        <v>2.88</v>
      </c>
      <c r="P26">
        <v>2.84</v>
      </c>
      <c r="Q26">
        <v>3.13</v>
      </c>
      <c r="R26">
        <v>2.97</v>
      </c>
      <c r="S26">
        <v>2.96</v>
      </c>
      <c r="T26">
        <v>2.9</v>
      </c>
      <c r="U26">
        <v>2.88</v>
      </c>
      <c r="V26">
        <v>2.91</v>
      </c>
      <c r="W26">
        <v>2.98</v>
      </c>
      <c r="X26">
        <v>2.94</v>
      </c>
      <c r="Y26" t="s">
        <v>139</v>
      </c>
      <c r="Z26" t="s">
        <v>139</v>
      </c>
      <c r="AA26" t="s">
        <v>139</v>
      </c>
      <c r="AB26" t="s">
        <v>139</v>
      </c>
      <c r="AC26" t="s">
        <v>139</v>
      </c>
      <c r="AD26" t="s">
        <v>139</v>
      </c>
      <c r="AE26" t="s">
        <v>139</v>
      </c>
      <c r="AF26" t="s">
        <v>139</v>
      </c>
      <c r="AG26" t="s">
        <v>139</v>
      </c>
      <c r="AH26" t="s">
        <v>139</v>
      </c>
      <c r="AI26" t="s">
        <v>139</v>
      </c>
      <c r="AJ26" t="s">
        <v>139</v>
      </c>
      <c r="AK26" t="s">
        <v>139</v>
      </c>
      <c r="AL26" t="s">
        <v>139</v>
      </c>
    </row>
    <row r="27" spans="1:38" ht="12.75">
      <c r="A27" s="1">
        <f>AVERAGE(C27:Y27)</f>
        <v>2.9047826086956516</v>
      </c>
      <c r="B27" t="s">
        <v>121</v>
      </c>
      <c r="C27">
        <v>2.76</v>
      </c>
      <c r="D27">
        <v>3.01</v>
      </c>
      <c r="E27">
        <v>2.93</v>
      </c>
      <c r="F27">
        <v>2.81</v>
      </c>
      <c r="G27">
        <v>2.93</v>
      </c>
      <c r="H27">
        <v>2.88</v>
      </c>
      <c r="I27">
        <v>2.87</v>
      </c>
      <c r="J27">
        <v>2.9</v>
      </c>
      <c r="K27">
        <v>2.8</v>
      </c>
      <c r="L27">
        <v>2.9</v>
      </c>
      <c r="M27">
        <v>2.95</v>
      </c>
      <c r="N27">
        <v>2.9</v>
      </c>
      <c r="O27">
        <v>2.85</v>
      </c>
      <c r="P27">
        <v>2.83</v>
      </c>
      <c r="Q27">
        <v>3.12</v>
      </c>
      <c r="R27">
        <v>2.97</v>
      </c>
      <c r="S27">
        <v>2.94</v>
      </c>
      <c r="T27">
        <v>2.87</v>
      </c>
      <c r="U27">
        <v>2.89</v>
      </c>
      <c r="V27">
        <v>2.89</v>
      </c>
      <c r="W27">
        <v>3.01</v>
      </c>
      <c r="X27">
        <v>2.87</v>
      </c>
      <c r="Y27">
        <v>2.93</v>
      </c>
      <c r="Z27" t="s">
        <v>139</v>
      </c>
      <c r="AA27" t="s">
        <v>139</v>
      </c>
      <c r="AB27" t="s">
        <v>139</v>
      </c>
      <c r="AC27" t="s">
        <v>139</v>
      </c>
      <c r="AD27" t="s">
        <v>139</v>
      </c>
      <c r="AE27" t="s">
        <v>139</v>
      </c>
      <c r="AF27" t="s">
        <v>139</v>
      </c>
      <c r="AG27" t="s">
        <v>139</v>
      </c>
      <c r="AH27" t="s">
        <v>139</v>
      </c>
      <c r="AI27" t="s">
        <v>139</v>
      </c>
      <c r="AJ27" t="s">
        <v>139</v>
      </c>
      <c r="AK27" t="s">
        <v>139</v>
      </c>
      <c r="AL27" t="s">
        <v>139</v>
      </c>
    </row>
    <row r="28" spans="1:38" ht="12.75">
      <c r="A28" s="1">
        <f>AVERAGE(C28:Z28)</f>
        <v>2.9083333333333328</v>
      </c>
      <c r="B28" t="s">
        <v>122</v>
      </c>
      <c r="C28">
        <v>2.77</v>
      </c>
      <c r="D28">
        <v>3.01</v>
      </c>
      <c r="E28">
        <v>2.93</v>
      </c>
      <c r="F28">
        <v>2.81</v>
      </c>
      <c r="G28">
        <v>2.93</v>
      </c>
      <c r="H28">
        <v>2.87</v>
      </c>
      <c r="I28">
        <v>2.87</v>
      </c>
      <c r="J28">
        <v>2.91</v>
      </c>
      <c r="K28">
        <v>2.81</v>
      </c>
      <c r="L28">
        <v>2.9</v>
      </c>
      <c r="M28">
        <v>2.95</v>
      </c>
      <c r="N28">
        <v>2.88</v>
      </c>
      <c r="O28">
        <v>2.87</v>
      </c>
      <c r="P28">
        <v>2.84</v>
      </c>
      <c r="Q28">
        <v>3.13</v>
      </c>
      <c r="R28">
        <v>2.97</v>
      </c>
      <c r="S28">
        <v>2.93</v>
      </c>
      <c r="T28">
        <v>2.88</v>
      </c>
      <c r="U28">
        <v>2.88</v>
      </c>
      <c r="V28">
        <v>2.91</v>
      </c>
      <c r="W28">
        <v>2.98</v>
      </c>
      <c r="X28">
        <v>2.93</v>
      </c>
      <c r="Y28">
        <v>2.96</v>
      </c>
      <c r="Z28">
        <v>2.88</v>
      </c>
      <c r="AA28" t="s">
        <v>139</v>
      </c>
      <c r="AB28" t="s">
        <v>139</v>
      </c>
      <c r="AC28" t="s">
        <v>139</v>
      </c>
      <c r="AD28" t="s">
        <v>139</v>
      </c>
      <c r="AE28" t="s">
        <v>139</v>
      </c>
      <c r="AF28" t="s">
        <v>139</v>
      </c>
      <c r="AG28" t="s">
        <v>139</v>
      </c>
      <c r="AH28" t="s">
        <v>139</v>
      </c>
      <c r="AI28" t="s">
        <v>139</v>
      </c>
      <c r="AJ28" t="s">
        <v>139</v>
      </c>
      <c r="AK28" t="s">
        <v>139</v>
      </c>
      <c r="AL28" t="s">
        <v>139</v>
      </c>
    </row>
    <row r="29" spans="1:38" ht="12.75">
      <c r="A29" s="1">
        <f>AVERAGE(C29:AA29)</f>
        <v>2.9071999999999996</v>
      </c>
      <c r="B29" t="s">
        <v>123</v>
      </c>
      <c r="C29">
        <v>2.77</v>
      </c>
      <c r="D29">
        <v>3.01</v>
      </c>
      <c r="E29">
        <v>2.93</v>
      </c>
      <c r="F29">
        <v>2.81</v>
      </c>
      <c r="G29">
        <v>2.93</v>
      </c>
      <c r="H29">
        <v>2.87</v>
      </c>
      <c r="I29">
        <v>2.87</v>
      </c>
      <c r="J29">
        <v>2.91</v>
      </c>
      <c r="K29">
        <v>2.8</v>
      </c>
      <c r="L29">
        <v>2.9</v>
      </c>
      <c r="M29">
        <v>2.95</v>
      </c>
      <c r="N29">
        <v>2.9</v>
      </c>
      <c r="O29">
        <v>2.88</v>
      </c>
      <c r="P29">
        <v>2.83</v>
      </c>
      <c r="Q29">
        <v>3.12</v>
      </c>
      <c r="R29">
        <v>2.98</v>
      </c>
      <c r="S29">
        <v>2.95</v>
      </c>
      <c r="T29">
        <v>2.9</v>
      </c>
      <c r="U29">
        <v>2.87</v>
      </c>
      <c r="V29">
        <v>2.88</v>
      </c>
      <c r="W29">
        <v>2.98</v>
      </c>
      <c r="X29">
        <v>2.89</v>
      </c>
      <c r="Y29">
        <v>2.94</v>
      </c>
      <c r="Z29">
        <v>2.87</v>
      </c>
      <c r="AA29">
        <v>2.94</v>
      </c>
      <c r="AB29" t="s">
        <v>139</v>
      </c>
      <c r="AC29" t="s">
        <v>139</v>
      </c>
      <c r="AD29" t="s">
        <v>139</v>
      </c>
      <c r="AE29" t="s">
        <v>139</v>
      </c>
      <c r="AF29" t="s">
        <v>139</v>
      </c>
      <c r="AG29" t="s">
        <v>139</v>
      </c>
      <c r="AH29" t="s">
        <v>139</v>
      </c>
      <c r="AI29" t="s">
        <v>139</v>
      </c>
      <c r="AJ29" t="s">
        <v>139</v>
      </c>
      <c r="AK29" t="s">
        <v>139</v>
      </c>
      <c r="AL29" t="s">
        <v>139</v>
      </c>
    </row>
    <row r="30" spans="1:38" ht="12.75">
      <c r="A30" s="1">
        <f>AVERAGE(C30:AB30)</f>
        <v>2.908461538461538</v>
      </c>
      <c r="B30" t="s">
        <v>124</v>
      </c>
      <c r="C30">
        <v>2.76</v>
      </c>
      <c r="D30">
        <v>3.01</v>
      </c>
      <c r="E30">
        <v>2.93</v>
      </c>
      <c r="F30">
        <v>2.81</v>
      </c>
      <c r="G30">
        <v>2.93</v>
      </c>
      <c r="H30">
        <v>2.87</v>
      </c>
      <c r="I30">
        <v>2.86</v>
      </c>
      <c r="J30">
        <v>2.9</v>
      </c>
      <c r="K30">
        <v>2.81</v>
      </c>
      <c r="L30">
        <v>2.9</v>
      </c>
      <c r="M30">
        <v>2.95</v>
      </c>
      <c r="N30">
        <v>2.88</v>
      </c>
      <c r="O30">
        <v>2.87</v>
      </c>
      <c r="P30">
        <v>2.84</v>
      </c>
      <c r="Q30">
        <v>3.11</v>
      </c>
      <c r="R30">
        <v>2.96</v>
      </c>
      <c r="S30">
        <v>2.93</v>
      </c>
      <c r="T30">
        <v>2.91</v>
      </c>
      <c r="U30">
        <v>2.84</v>
      </c>
      <c r="V30">
        <v>2.88</v>
      </c>
      <c r="W30">
        <v>2.98</v>
      </c>
      <c r="X30">
        <v>2.91</v>
      </c>
      <c r="Y30">
        <v>2.93</v>
      </c>
      <c r="Z30">
        <v>2.85</v>
      </c>
      <c r="AA30">
        <v>2.96</v>
      </c>
      <c r="AB30">
        <v>3.04</v>
      </c>
      <c r="AC30" t="s">
        <v>139</v>
      </c>
      <c r="AD30" t="s">
        <v>139</v>
      </c>
      <c r="AE30" t="s">
        <v>139</v>
      </c>
      <c r="AF30" t="s">
        <v>139</v>
      </c>
      <c r="AG30" t="s">
        <v>139</v>
      </c>
      <c r="AH30" t="s">
        <v>139</v>
      </c>
      <c r="AI30" t="s">
        <v>139</v>
      </c>
      <c r="AJ30" t="s">
        <v>139</v>
      </c>
      <c r="AK30" t="s">
        <v>139</v>
      </c>
      <c r="AL30" t="s">
        <v>139</v>
      </c>
    </row>
    <row r="31" spans="1:38" ht="12.75">
      <c r="A31" s="1">
        <f>AVERAGE(C31:AC31)</f>
        <v>2.899259259259259</v>
      </c>
      <c r="B31" t="s">
        <v>125</v>
      </c>
      <c r="C31">
        <v>2.76</v>
      </c>
      <c r="D31">
        <v>3.01</v>
      </c>
      <c r="E31">
        <v>2.93</v>
      </c>
      <c r="F31">
        <v>2.8</v>
      </c>
      <c r="G31">
        <v>2.93</v>
      </c>
      <c r="H31">
        <v>2.87</v>
      </c>
      <c r="I31">
        <v>2.87</v>
      </c>
      <c r="J31">
        <v>2.9</v>
      </c>
      <c r="K31">
        <v>2.8</v>
      </c>
      <c r="L31">
        <v>2.9</v>
      </c>
      <c r="M31">
        <v>2.95</v>
      </c>
      <c r="N31">
        <v>2.89</v>
      </c>
      <c r="O31">
        <v>2.86</v>
      </c>
      <c r="P31">
        <v>2.83</v>
      </c>
      <c r="Q31">
        <v>3.11</v>
      </c>
      <c r="R31">
        <v>2.98</v>
      </c>
      <c r="S31">
        <v>2.93</v>
      </c>
      <c r="T31">
        <v>2.88</v>
      </c>
      <c r="U31">
        <v>2.88</v>
      </c>
      <c r="V31">
        <v>2.89</v>
      </c>
      <c r="W31">
        <v>2.96</v>
      </c>
      <c r="X31">
        <v>2.88</v>
      </c>
      <c r="Y31">
        <v>2.92</v>
      </c>
      <c r="Z31">
        <v>2.85</v>
      </c>
      <c r="AA31">
        <v>2.94</v>
      </c>
      <c r="AB31">
        <v>2.98</v>
      </c>
      <c r="AC31">
        <v>2.78</v>
      </c>
      <c r="AD31" t="s">
        <v>139</v>
      </c>
      <c r="AE31" t="s">
        <v>139</v>
      </c>
      <c r="AF31" t="s">
        <v>139</v>
      </c>
      <c r="AG31" t="s">
        <v>139</v>
      </c>
      <c r="AH31" t="s">
        <v>139</v>
      </c>
      <c r="AI31" t="s">
        <v>139</v>
      </c>
      <c r="AJ31" t="s">
        <v>139</v>
      </c>
      <c r="AK31" t="s">
        <v>139</v>
      </c>
      <c r="AL31" t="s">
        <v>139</v>
      </c>
    </row>
    <row r="32" spans="1:38" ht="12.75">
      <c r="A32" s="1">
        <f>AVERAGE(C32:AD32)</f>
        <v>2.9060714285714284</v>
      </c>
      <c r="B32" t="s">
        <v>126</v>
      </c>
      <c r="C32">
        <v>2.77</v>
      </c>
      <c r="D32">
        <v>3.01</v>
      </c>
      <c r="E32">
        <v>2.93</v>
      </c>
      <c r="F32">
        <v>2.8</v>
      </c>
      <c r="G32">
        <v>2.92</v>
      </c>
      <c r="H32">
        <v>2.87</v>
      </c>
      <c r="I32">
        <v>2.86</v>
      </c>
      <c r="J32">
        <v>2.91</v>
      </c>
      <c r="K32">
        <v>2.8</v>
      </c>
      <c r="L32">
        <v>2.9</v>
      </c>
      <c r="M32">
        <v>2.95</v>
      </c>
      <c r="N32">
        <v>2.9</v>
      </c>
      <c r="O32">
        <v>2.85</v>
      </c>
      <c r="P32">
        <v>2.83</v>
      </c>
      <c r="Q32">
        <v>3.12</v>
      </c>
      <c r="R32">
        <v>2.98</v>
      </c>
      <c r="S32">
        <v>2.93</v>
      </c>
      <c r="T32">
        <v>2.89</v>
      </c>
      <c r="U32">
        <v>2.89</v>
      </c>
      <c r="V32">
        <v>2.9</v>
      </c>
      <c r="W32">
        <v>2.99</v>
      </c>
      <c r="X32">
        <v>2.88</v>
      </c>
      <c r="Y32">
        <v>2.9</v>
      </c>
      <c r="Z32">
        <v>2.87</v>
      </c>
      <c r="AA32">
        <v>2.91</v>
      </c>
      <c r="AB32">
        <v>2.99</v>
      </c>
      <c r="AC32">
        <v>2.74</v>
      </c>
      <c r="AD32">
        <v>3.08</v>
      </c>
      <c r="AE32" t="s">
        <v>139</v>
      </c>
      <c r="AF32" t="s">
        <v>139</v>
      </c>
      <c r="AG32" t="s">
        <v>139</v>
      </c>
      <c r="AH32" t="s">
        <v>139</v>
      </c>
      <c r="AI32" t="s">
        <v>139</v>
      </c>
      <c r="AJ32" t="s">
        <v>139</v>
      </c>
      <c r="AK32" t="s">
        <v>139</v>
      </c>
      <c r="AL32" t="s">
        <v>139</v>
      </c>
    </row>
    <row r="33" spans="1:38" ht="12.75">
      <c r="A33" s="1">
        <f>AVERAGE(C33:AE33)</f>
        <v>2.903448275862069</v>
      </c>
      <c r="B33" t="s">
        <v>127</v>
      </c>
      <c r="C33">
        <v>2.77</v>
      </c>
      <c r="D33">
        <v>3.01</v>
      </c>
      <c r="E33">
        <v>2.93</v>
      </c>
      <c r="F33">
        <v>2.81</v>
      </c>
      <c r="G33">
        <v>2.93</v>
      </c>
      <c r="H33">
        <v>2.87</v>
      </c>
      <c r="I33">
        <v>2.87</v>
      </c>
      <c r="J33">
        <v>2.9</v>
      </c>
      <c r="K33">
        <v>2.81</v>
      </c>
      <c r="L33">
        <v>2.9</v>
      </c>
      <c r="M33">
        <v>2.95</v>
      </c>
      <c r="N33">
        <v>2.89</v>
      </c>
      <c r="O33">
        <v>2.85</v>
      </c>
      <c r="P33">
        <v>2.84</v>
      </c>
      <c r="Q33">
        <v>3.1</v>
      </c>
      <c r="R33">
        <v>2.98</v>
      </c>
      <c r="S33">
        <v>2.95</v>
      </c>
      <c r="T33">
        <v>2.88</v>
      </c>
      <c r="U33">
        <v>2.87</v>
      </c>
      <c r="V33">
        <v>2.89</v>
      </c>
      <c r="W33">
        <v>2.96</v>
      </c>
      <c r="X33">
        <v>2.91</v>
      </c>
      <c r="Y33">
        <v>2.93</v>
      </c>
      <c r="Z33">
        <v>2.85</v>
      </c>
      <c r="AA33">
        <v>2.91</v>
      </c>
      <c r="AB33">
        <v>2.97</v>
      </c>
      <c r="AC33">
        <v>2.73</v>
      </c>
      <c r="AD33">
        <v>3.03</v>
      </c>
      <c r="AE33">
        <v>2.91</v>
      </c>
      <c r="AF33" t="s">
        <v>139</v>
      </c>
      <c r="AG33" t="s">
        <v>139</v>
      </c>
      <c r="AH33" t="s">
        <v>139</v>
      </c>
      <c r="AI33" t="s">
        <v>139</v>
      </c>
      <c r="AJ33" t="s">
        <v>139</v>
      </c>
      <c r="AK33" t="s">
        <v>139</v>
      </c>
      <c r="AL33" t="s">
        <v>139</v>
      </c>
    </row>
    <row r="34" spans="1:38" ht="12.75">
      <c r="A34" s="1">
        <f>AVERAGE(C34:AF34)</f>
        <v>2.898666666666666</v>
      </c>
      <c r="B34" t="s">
        <v>128</v>
      </c>
      <c r="C34">
        <v>2.77</v>
      </c>
      <c r="D34">
        <v>3</v>
      </c>
      <c r="E34">
        <v>2.93</v>
      </c>
      <c r="F34">
        <v>2.81</v>
      </c>
      <c r="G34">
        <v>2.93</v>
      </c>
      <c r="H34">
        <v>2.87</v>
      </c>
      <c r="I34">
        <v>2.87</v>
      </c>
      <c r="J34">
        <v>2.9</v>
      </c>
      <c r="K34">
        <v>2.81</v>
      </c>
      <c r="L34">
        <v>2.9</v>
      </c>
      <c r="M34">
        <v>2.95</v>
      </c>
      <c r="N34">
        <v>2.9</v>
      </c>
      <c r="O34">
        <v>2.85</v>
      </c>
      <c r="P34">
        <v>2.83</v>
      </c>
      <c r="Q34">
        <v>3.1</v>
      </c>
      <c r="R34">
        <v>2.98</v>
      </c>
      <c r="S34">
        <v>2.94</v>
      </c>
      <c r="T34">
        <v>2.87</v>
      </c>
      <c r="U34">
        <v>2.85</v>
      </c>
      <c r="V34">
        <v>2.88</v>
      </c>
      <c r="W34">
        <v>2.96</v>
      </c>
      <c r="X34">
        <v>2.87</v>
      </c>
      <c r="Y34">
        <v>2.9</v>
      </c>
      <c r="Z34">
        <v>2.84</v>
      </c>
      <c r="AA34">
        <v>2.91</v>
      </c>
      <c r="AB34">
        <v>2.96</v>
      </c>
      <c r="AC34">
        <v>2.75</v>
      </c>
      <c r="AD34">
        <v>3</v>
      </c>
      <c r="AE34">
        <v>2.89</v>
      </c>
      <c r="AF34">
        <v>2.94</v>
      </c>
      <c r="AG34" t="s">
        <v>139</v>
      </c>
      <c r="AH34" t="s">
        <v>139</v>
      </c>
      <c r="AI34" t="s">
        <v>139</v>
      </c>
      <c r="AJ34" t="s">
        <v>139</v>
      </c>
      <c r="AK34" t="s">
        <v>139</v>
      </c>
      <c r="AL34" t="s">
        <v>139</v>
      </c>
    </row>
    <row r="35" spans="1:38" ht="12.75">
      <c r="A35" s="1">
        <f>AVERAGE(C35:AG35)</f>
        <v>2.904193548387097</v>
      </c>
      <c r="B35" t="s">
        <v>129</v>
      </c>
      <c r="C35">
        <v>2.76</v>
      </c>
      <c r="D35">
        <v>3</v>
      </c>
      <c r="E35">
        <v>2.93</v>
      </c>
      <c r="F35">
        <v>2.8</v>
      </c>
      <c r="G35">
        <v>2.92</v>
      </c>
      <c r="H35">
        <v>2.87</v>
      </c>
      <c r="I35">
        <v>2.86</v>
      </c>
      <c r="J35">
        <v>2.9</v>
      </c>
      <c r="K35">
        <v>2.81</v>
      </c>
      <c r="L35">
        <v>2.9</v>
      </c>
      <c r="M35">
        <v>2.95</v>
      </c>
      <c r="N35">
        <v>2.9</v>
      </c>
      <c r="O35">
        <v>2.86</v>
      </c>
      <c r="P35">
        <v>2.83</v>
      </c>
      <c r="Q35">
        <v>3.1</v>
      </c>
      <c r="R35">
        <v>2.97</v>
      </c>
      <c r="S35">
        <v>2.93</v>
      </c>
      <c r="T35">
        <v>2.87</v>
      </c>
      <c r="U35">
        <v>2.87</v>
      </c>
      <c r="V35">
        <v>2.88</v>
      </c>
      <c r="W35">
        <v>2.97</v>
      </c>
      <c r="X35">
        <v>2.91</v>
      </c>
      <c r="Y35">
        <v>2.93</v>
      </c>
      <c r="Z35">
        <v>2.87</v>
      </c>
      <c r="AA35">
        <v>2.91</v>
      </c>
      <c r="AB35">
        <v>2.96</v>
      </c>
      <c r="AC35">
        <v>2.72</v>
      </c>
      <c r="AD35">
        <v>3.01</v>
      </c>
      <c r="AE35">
        <v>2.93</v>
      </c>
      <c r="AF35">
        <v>2.97</v>
      </c>
      <c r="AG35">
        <v>2.94</v>
      </c>
      <c r="AH35" t="s">
        <v>139</v>
      </c>
      <c r="AI35" t="s">
        <v>139</v>
      </c>
      <c r="AJ35" t="s">
        <v>139</v>
      </c>
      <c r="AK35" t="s">
        <v>139</v>
      </c>
      <c r="AL35" t="s">
        <v>139</v>
      </c>
    </row>
    <row r="36" spans="1:38" ht="12.75">
      <c r="A36" s="1">
        <f>AVERAGE(C36:AH36)</f>
        <v>2.9046875</v>
      </c>
      <c r="B36" t="s">
        <v>130</v>
      </c>
      <c r="C36">
        <v>2.77</v>
      </c>
      <c r="D36">
        <v>3</v>
      </c>
      <c r="E36">
        <v>2.93</v>
      </c>
      <c r="F36">
        <v>2.8</v>
      </c>
      <c r="G36">
        <v>2.93</v>
      </c>
      <c r="H36">
        <v>2.88</v>
      </c>
      <c r="I36">
        <v>2.87</v>
      </c>
      <c r="J36">
        <v>2.9</v>
      </c>
      <c r="K36">
        <v>2.81</v>
      </c>
      <c r="L36">
        <v>2.9</v>
      </c>
      <c r="M36">
        <v>2.95</v>
      </c>
      <c r="N36">
        <v>2.89</v>
      </c>
      <c r="O36">
        <v>2.86</v>
      </c>
      <c r="P36">
        <v>2.83</v>
      </c>
      <c r="Q36">
        <v>3.11</v>
      </c>
      <c r="R36">
        <v>2.97</v>
      </c>
      <c r="S36">
        <v>2.93</v>
      </c>
      <c r="T36">
        <v>2.88</v>
      </c>
      <c r="U36">
        <v>2.87</v>
      </c>
      <c r="V36">
        <v>2.88</v>
      </c>
      <c r="W36">
        <v>2.98</v>
      </c>
      <c r="X36">
        <v>2.9</v>
      </c>
      <c r="Y36">
        <v>2.91</v>
      </c>
      <c r="Z36">
        <v>2.86</v>
      </c>
      <c r="AA36">
        <v>2.9</v>
      </c>
      <c r="AB36">
        <v>2.97</v>
      </c>
      <c r="AC36">
        <v>2.72</v>
      </c>
      <c r="AD36">
        <v>3.03</v>
      </c>
      <c r="AE36">
        <v>2.87</v>
      </c>
      <c r="AF36">
        <v>2.93</v>
      </c>
      <c r="AG36">
        <v>2.93</v>
      </c>
      <c r="AH36">
        <v>2.99</v>
      </c>
      <c r="AI36" t="s">
        <v>139</v>
      </c>
      <c r="AJ36" t="s">
        <v>139</v>
      </c>
      <c r="AK36" t="s">
        <v>139</v>
      </c>
      <c r="AL36" t="s">
        <v>139</v>
      </c>
    </row>
    <row r="37" spans="1:38" ht="12.75">
      <c r="A37" s="1">
        <f>AVERAGE(C37:AI37)</f>
        <v>2.9015151515151514</v>
      </c>
      <c r="B37" t="s">
        <v>131</v>
      </c>
      <c r="C37">
        <v>2.76</v>
      </c>
      <c r="D37">
        <v>3.01</v>
      </c>
      <c r="E37">
        <v>2.93</v>
      </c>
      <c r="F37">
        <v>2.81</v>
      </c>
      <c r="G37">
        <v>2.93</v>
      </c>
      <c r="H37">
        <v>2.88</v>
      </c>
      <c r="I37">
        <v>2.87</v>
      </c>
      <c r="J37">
        <v>2.9</v>
      </c>
      <c r="K37">
        <v>2.81</v>
      </c>
      <c r="L37">
        <v>2.9</v>
      </c>
      <c r="M37">
        <v>2.95</v>
      </c>
      <c r="N37">
        <v>2.89</v>
      </c>
      <c r="O37">
        <v>2.86</v>
      </c>
      <c r="P37">
        <v>2.83</v>
      </c>
      <c r="Q37">
        <v>3.1</v>
      </c>
      <c r="R37">
        <v>2.97</v>
      </c>
      <c r="S37">
        <v>2.93</v>
      </c>
      <c r="T37">
        <v>2.9</v>
      </c>
      <c r="U37">
        <v>2.86</v>
      </c>
      <c r="V37">
        <v>2.88</v>
      </c>
      <c r="W37">
        <v>2.97</v>
      </c>
      <c r="X37">
        <v>2.89</v>
      </c>
      <c r="Y37">
        <v>2.92</v>
      </c>
      <c r="Z37">
        <v>2.84</v>
      </c>
      <c r="AA37">
        <v>2.9</v>
      </c>
      <c r="AB37">
        <v>2.96</v>
      </c>
      <c r="AC37">
        <v>2.72</v>
      </c>
      <c r="AD37">
        <v>3</v>
      </c>
      <c r="AE37">
        <v>2.92</v>
      </c>
      <c r="AF37">
        <v>2.95</v>
      </c>
      <c r="AG37">
        <v>2.94</v>
      </c>
      <c r="AH37">
        <v>2.93</v>
      </c>
      <c r="AI37">
        <v>2.84</v>
      </c>
      <c r="AJ37" t="s">
        <v>139</v>
      </c>
      <c r="AK37" t="s">
        <v>139</v>
      </c>
      <c r="AL37" t="s">
        <v>139</v>
      </c>
    </row>
    <row r="38" spans="1:38" ht="12.75">
      <c r="A38" s="1">
        <f>AVERAGE(C38:AJ38)</f>
        <v>2.8982352941176472</v>
      </c>
      <c r="B38" t="s">
        <v>132</v>
      </c>
      <c r="C38">
        <v>2.77</v>
      </c>
      <c r="D38">
        <v>3</v>
      </c>
      <c r="E38">
        <v>2.93</v>
      </c>
      <c r="F38">
        <v>2.81</v>
      </c>
      <c r="G38">
        <v>2.92</v>
      </c>
      <c r="H38">
        <v>2.87</v>
      </c>
      <c r="I38">
        <v>2.87</v>
      </c>
      <c r="J38">
        <v>2.9</v>
      </c>
      <c r="K38">
        <v>2.8</v>
      </c>
      <c r="L38">
        <v>2.9</v>
      </c>
      <c r="M38">
        <v>2.95</v>
      </c>
      <c r="N38">
        <v>2.89</v>
      </c>
      <c r="O38">
        <v>2.86</v>
      </c>
      <c r="P38">
        <v>2.84</v>
      </c>
      <c r="Q38">
        <v>3.11</v>
      </c>
      <c r="R38">
        <v>2.96</v>
      </c>
      <c r="S38">
        <v>2.93</v>
      </c>
      <c r="T38">
        <v>2.9</v>
      </c>
      <c r="U38">
        <v>2.86</v>
      </c>
      <c r="V38">
        <v>2.88</v>
      </c>
      <c r="W38">
        <v>2.97</v>
      </c>
      <c r="X38">
        <v>2.9</v>
      </c>
      <c r="Y38">
        <v>2.93</v>
      </c>
      <c r="Z38">
        <v>2.85</v>
      </c>
      <c r="AA38">
        <v>2.91</v>
      </c>
      <c r="AB38">
        <v>2.95</v>
      </c>
      <c r="AC38">
        <v>2.71</v>
      </c>
      <c r="AD38">
        <v>3.01</v>
      </c>
      <c r="AE38">
        <v>2.87</v>
      </c>
      <c r="AF38">
        <v>2.91</v>
      </c>
      <c r="AG38">
        <v>2.9</v>
      </c>
      <c r="AH38">
        <v>2.95</v>
      </c>
      <c r="AI38">
        <v>2.84</v>
      </c>
      <c r="AJ38">
        <v>2.89</v>
      </c>
      <c r="AK38" t="s">
        <v>139</v>
      </c>
      <c r="AL38" t="s">
        <v>139</v>
      </c>
    </row>
    <row r="39" spans="1:38" ht="12.75">
      <c r="A39" s="1">
        <f>AVERAGE(C39:AK39)</f>
        <v>2.897142857142857</v>
      </c>
      <c r="B39" t="s">
        <v>133</v>
      </c>
      <c r="C39">
        <v>2.76</v>
      </c>
      <c r="D39">
        <v>3</v>
      </c>
      <c r="E39">
        <v>2.93</v>
      </c>
      <c r="F39">
        <v>2.8</v>
      </c>
      <c r="G39">
        <v>2.92</v>
      </c>
      <c r="H39">
        <v>2.87</v>
      </c>
      <c r="I39">
        <v>2.86</v>
      </c>
      <c r="J39">
        <v>2.9</v>
      </c>
      <c r="K39">
        <v>2.81</v>
      </c>
      <c r="L39">
        <v>2.9</v>
      </c>
      <c r="M39">
        <v>2.95</v>
      </c>
      <c r="N39">
        <v>2.89</v>
      </c>
      <c r="O39">
        <v>2.87</v>
      </c>
      <c r="P39">
        <v>2.83</v>
      </c>
      <c r="Q39">
        <v>3.1</v>
      </c>
      <c r="R39">
        <v>2.96</v>
      </c>
      <c r="S39">
        <v>2.93</v>
      </c>
      <c r="T39">
        <v>2.89</v>
      </c>
      <c r="U39">
        <v>2.86</v>
      </c>
      <c r="V39">
        <v>2.88</v>
      </c>
      <c r="W39">
        <v>2.96</v>
      </c>
      <c r="X39">
        <v>2.87</v>
      </c>
      <c r="Y39">
        <v>2.92</v>
      </c>
      <c r="Z39">
        <v>2.87</v>
      </c>
      <c r="AA39">
        <v>2.91</v>
      </c>
      <c r="AB39">
        <v>2.96</v>
      </c>
      <c r="AC39">
        <v>2.72</v>
      </c>
      <c r="AD39">
        <v>3</v>
      </c>
      <c r="AE39">
        <v>2.87</v>
      </c>
      <c r="AF39">
        <v>2.95</v>
      </c>
      <c r="AG39">
        <v>2.9</v>
      </c>
      <c r="AH39">
        <v>2.91</v>
      </c>
      <c r="AI39">
        <v>2.83</v>
      </c>
      <c r="AJ39">
        <v>2.89</v>
      </c>
      <c r="AK39">
        <v>2.93</v>
      </c>
      <c r="AL39" t="s">
        <v>139</v>
      </c>
    </row>
    <row r="40" spans="1:38" ht="12.75">
      <c r="A40" s="1">
        <f aca="true" t="shared" si="0" ref="A40:A59">AVERAGE(C40:AL40)</f>
        <v>2.8969444444444443</v>
      </c>
      <c r="B40" t="s">
        <v>134</v>
      </c>
      <c r="C40">
        <v>2.76</v>
      </c>
      <c r="D40">
        <v>3</v>
      </c>
      <c r="E40">
        <v>2.92</v>
      </c>
      <c r="F40">
        <v>2.8</v>
      </c>
      <c r="G40">
        <v>2.92</v>
      </c>
      <c r="H40">
        <v>2.87</v>
      </c>
      <c r="I40">
        <v>2.87</v>
      </c>
      <c r="J40">
        <v>2.9</v>
      </c>
      <c r="K40">
        <v>2.81</v>
      </c>
      <c r="L40">
        <v>2.9</v>
      </c>
      <c r="M40">
        <v>2.95</v>
      </c>
      <c r="N40">
        <v>2.9</v>
      </c>
      <c r="O40">
        <v>2.87</v>
      </c>
      <c r="P40">
        <v>2.83</v>
      </c>
      <c r="Q40">
        <v>3.1</v>
      </c>
      <c r="R40">
        <v>2.97</v>
      </c>
      <c r="S40">
        <v>2.92</v>
      </c>
      <c r="T40">
        <v>2.88</v>
      </c>
      <c r="U40">
        <v>2.86</v>
      </c>
      <c r="V40">
        <v>2.88</v>
      </c>
      <c r="W40">
        <v>2.97</v>
      </c>
      <c r="X40">
        <v>2.88</v>
      </c>
      <c r="Y40">
        <v>2.9</v>
      </c>
      <c r="Z40">
        <v>2.86</v>
      </c>
      <c r="AA40">
        <v>2.9</v>
      </c>
      <c r="AB40">
        <v>2.95</v>
      </c>
      <c r="AC40">
        <v>2.71</v>
      </c>
      <c r="AD40">
        <v>3</v>
      </c>
      <c r="AE40">
        <v>2.89</v>
      </c>
      <c r="AF40">
        <v>2.92</v>
      </c>
      <c r="AG40">
        <v>2.9</v>
      </c>
      <c r="AH40">
        <v>2.94</v>
      </c>
      <c r="AI40">
        <v>2.82</v>
      </c>
      <c r="AJ40">
        <v>2.86</v>
      </c>
      <c r="AK40">
        <v>2.94</v>
      </c>
      <c r="AL40">
        <v>2.94</v>
      </c>
    </row>
    <row r="41" spans="1:38" ht="12.75">
      <c r="A41" s="1">
        <f t="shared" si="0"/>
        <v>2.894444444444444</v>
      </c>
      <c r="B41" t="s">
        <v>135</v>
      </c>
      <c r="C41">
        <v>2.76</v>
      </c>
      <c r="D41">
        <v>3</v>
      </c>
      <c r="E41">
        <v>2.93</v>
      </c>
      <c r="F41">
        <v>2.81</v>
      </c>
      <c r="G41">
        <v>2.93</v>
      </c>
      <c r="H41">
        <v>2.87</v>
      </c>
      <c r="I41">
        <v>2.87</v>
      </c>
      <c r="J41">
        <v>2.9</v>
      </c>
      <c r="K41">
        <v>2.81</v>
      </c>
      <c r="L41">
        <v>2.9</v>
      </c>
      <c r="M41">
        <v>2.95</v>
      </c>
      <c r="N41">
        <v>2.89</v>
      </c>
      <c r="O41">
        <v>2.85</v>
      </c>
      <c r="P41">
        <v>2.83</v>
      </c>
      <c r="Q41">
        <v>3.1</v>
      </c>
      <c r="R41">
        <v>2.97</v>
      </c>
      <c r="S41">
        <v>2.93</v>
      </c>
      <c r="T41">
        <v>2.89</v>
      </c>
      <c r="U41">
        <v>2.86</v>
      </c>
      <c r="V41">
        <v>2.87</v>
      </c>
      <c r="W41">
        <v>2.96</v>
      </c>
      <c r="X41">
        <v>2.87</v>
      </c>
      <c r="Y41">
        <v>2.89</v>
      </c>
      <c r="Z41">
        <v>2.84</v>
      </c>
      <c r="AA41">
        <v>2.89</v>
      </c>
      <c r="AB41">
        <v>2.96</v>
      </c>
      <c r="AC41">
        <v>2.72</v>
      </c>
      <c r="AD41">
        <v>3</v>
      </c>
      <c r="AE41">
        <v>2.88</v>
      </c>
      <c r="AF41">
        <v>2.92</v>
      </c>
      <c r="AG41">
        <v>2.9</v>
      </c>
      <c r="AH41">
        <v>2.92</v>
      </c>
      <c r="AI41">
        <v>2.81</v>
      </c>
      <c r="AJ41">
        <v>2.86</v>
      </c>
      <c r="AK41">
        <v>2.92</v>
      </c>
      <c r="AL41">
        <v>2.94</v>
      </c>
    </row>
    <row r="42" spans="1:38" ht="12.75">
      <c r="A42" s="1">
        <f t="shared" si="0"/>
        <v>2.8911111111111114</v>
      </c>
      <c r="B42" t="s">
        <v>42</v>
      </c>
      <c r="C42">
        <v>2.76</v>
      </c>
      <c r="D42">
        <v>2.99</v>
      </c>
      <c r="E42">
        <v>2.92</v>
      </c>
      <c r="F42">
        <v>2.81</v>
      </c>
      <c r="G42">
        <v>2.92</v>
      </c>
      <c r="H42">
        <v>2.86</v>
      </c>
      <c r="I42">
        <v>2.87</v>
      </c>
      <c r="J42">
        <v>2.9</v>
      </c>
      <c r="K42">
        <v>2.81</v>
      </c>
      <c r="L42">
        <v>2.9</v>
      </c>
      <c r="M42">
        <v>2.95</v>
      </c>
      <c r="N42">
        <v>2.89</v>
      </c>
      <c r="O42">
        <v>2.85</v>
      </c>
      <c r="P42">
        <v>2.83</v>
      </c>
      <c r="Q42">
        <v>3.1</v>
      </c>
      <c r="R42">
        <v>2.96</v>
      </c>
      <c r="S42">
        <v>2.93</v>
      </c>
      <c r="T42">
        <v>2.88</v>
      </c>
      <c r="U42">
        <v>2.86</v>
      </c>
      <c r="V42">
        <v>2.87</v>
      </c>
      <c r="W42">
        <v>2.96</v>
      </c>
      <c r="X42">
        <v>2.87</v>
      </c>
      <c r="Y42">
        <v>2.9</v>
      </c>
      <c r="Z42">
        <v>2.84</v>
      </c>
      <c r="AA42">
        <v>2.9</v>
      </c>
      <c r="AB42">
        <v>2.95</v>
      </c>
      <c r="AC42">
        <v>2.72</v>
      </c>
      <c r="AD42">
        <v>3</v>
      </c>
      <c r="AE42">
        <v>2.87</v>
      </c>
      <c r="AF42">
        <v>2.91</v>
      </c>
      <c r="AG42">
        <v>2.9</v>
      </c>
      <c r="AH42">
        <v>2.91</v>
      </c>
      <c r="AI42">
        <v>2.8</v>
      </c>
      <c r="AJ42">
        <v>2.85</v>
      </c>
      <c r="AK42">
        <v>2.92</v>
      </c>
      <c r="AL42">
        <v>2.92</v>
      </c>
    </row>
    <row r="43" spans="1:38" ht="12.75">
      <c r="A43" s="1">
        <f t="shared" si="0"/>
        <v>2.8847222222222224</v>
      </c>
      <c r="B43" t="s">
        <v>43</v>
      </c>
      <c r="C43">
        <v>2.76</v>
      </c>
      <c r="D43">
        <v>2.99</v>
      </c>
      <c r="E43">
        <v>2.92</v>
      </c>
      <c r="F43">
        <v>2.8</v>
      </c>
      <c r="G43">
        <v>2.92</v>
      </c>
      <c r="H43">
        <v>2.86</v>
      </c>
      <c r="I43">
        <v>2.86</v>
      </c>
      <c r="J43">
        <v>2.9</v>
      </c>
      <c r="K43">
        <v>2.81</v>
      </c>
      <c r="L43">
        <v>2.9</v>
      </c>
      <c r="M43">
        <v>2.94</v>
      </c>
      <c r="N43">
        <v>2.89</v>
      </c>
      <c r="O43">
        <v>2.85</v>
      </c>
      <c r="P43">
        <v>2.83</v>
      </c>
      <c r="Q43">
        <v>3.09</v>
      </c>
      <c r="R43">
        <v>2.96</v>
      </c>
      <c r="S43">
        <v>2.92</v>
      </c>
      <c r="T43">
        <v>2.88</v>
      </c>
      <c r="U43">
        <v>2.86</v>
      </c>
      <c r="V43">
        <v>2.87</v>
      </c>
      <c r="W43">
        <v>2.95</v>
      </c>
      <c r="X43">
        <v>2.85</v>
      </c>
      <c r="Y43">
        <v>2.87</v>
      </c>
      <c r="Z43">
        <v>2.82</v>
      </c>
      <c r="AA43">
        <v>2.89</v>
      </c>
      <c r="AB43">
        <v>2.95</v>
      </c>
      <c r="AC43">
        <v>2.72</v>
      </c>
      <c r="AD43">
        <v>2.99</v>
      </c>
      <c r="AE43">
        <v>2.86</v>
      </c>
      <c r="AF43">
        <v>2.91</v>
      </c>
      <c r="AG43">
        <v>2.89</v>
      </c>
      <c r="AH43">
        <v>2.91</v>
      </c>
      <c r="AI43">
        <v>2.79</v>
      </c>
      <c r="AJ43">
        <v>2.84</v>
      </c>
      <c r="AK43">
        <v>2.9</v>
      </c>
      <c r="AL43">
        <v>2.9</v>
      </c>
    </row>
    <row r="44" spans="1:38" ht="12.75">
      <c r="A44" s="1">
        <f t="shared" si="0"/>
        <v>2.874722222222223</v>
      </c>
      <c r="B44" t="s">
        <v>44</v>
      </c>
      <c r="C44">
        <v>2.75</v>
      </c>
      <c r="D44">
        <v>2.98</v>
      </c>
      <c r="E44">
        <v>2.92</v>
      </c>
      <c r="F44">
        <v>2.79</v>
      </c>
      <c r="G44">
        <v>2.91</v>
      </c>
      <c r="H44">
        <v>2.85</v>
      </c>
      <c r="I44">
        <v>2.85</v>
      </c>
      <c r="J44">
        <v>2.89</v>
      </c>
      <c r="K44">
        <v>2.8</v>
      </c>
      <c r="L44">
        <v>2.89</v>
      </c>
      <c r="M44">
        <v>2.93</v>
      </c>
      <c r="N44">
        <v>2.87</v>
      </c>
      <c r="O44">
        <v>2.84</v>
      </c>
      <c r="P44">
        <v>2.83</v>
      </c>
      <c r="Q44">
        <v>3.09</v>
      </c>
      <c r="R44">
        <v>2.95</v>
      </c>
      <c r="S44">
        <v>2.92</v>
      </c>
      <c r="T44">
        <v>2.88</v>
      </c>
      <c r="U44">
        <v>2.85</v>
      </c>
      <c r="V44">
        <v>2.86</v>
      </c>
      <c r="W44">
        <v>2.94</v>
      </c>
      <c r="X44">
        <v>2.83</v>
      </c>
      <c r="Y44">
        <v>2.85</v>
      </c>
      <c r="Z44">
        <v>2.82</v>
      </c>
      <c r="AA44">
        <v>2.89</v>
      </c>
      <c r="AB44">
        <v>2.94</v>
      </c>
      <c r="AC44">
        <v>2.71</v>
      </c>
      <c r="AD44">
        <v>2.98</v>
      </c>
      <c r="AE44">
        <v>2.86</v>
      </c>
      <c r="AF44">
        <v>2.9</v>
      </c>
      <c r="AG44">
        <v>2.89</v>
      </c>
      <c r="AH44">
        <v>2.9</v>
      </c>
      <c r="AI44">
        <v>2.78</v>
      </c>
      <c r="AJ44">
        <v>2.81</v>
      </c>
      <c r="AK44">
        <v>2.87</v>
      </c>
      <c r="AL44">
        <v>2.87</v>
      </c>
    </row>
    <row r="45" spans="1:38" ht="12.75">
      <c r="A45" s="1">
        <f t="shared" si="0"/>
        <v>2.8580555555555556</v>
      </c>
      <c r="B45" t="s">
        <v>45</v>
      </c>
      <c r="C45">
        <v>2.74</v>
      </c>
      <c r="D45">
        <v>2.96</v>
      </c>
      <c r="E45">
        <v>2.9</v>
      </c>
      <c r="F45">
        <v>2.79</v>
      </c>
      <c r="G45">
        <v>2.89</v>
      </c>
      <c r="H45">
        <v>2.82</v>
      </c>
      <c r="I45">
        <v>2.82</v>
      </c>
      <c r="J45">
        <v>2.87</v>
      </c>
      <c r="K45">
        <v>2.79</v>
      </c>
      <c r="L45">
        <v>2.88</v>
      </c>
      <c r="M45">
        <v>2.91</v>
      </c>
      <c r="N45">
        <v>2.86</v>
      </c>
      <c r="O45">
        <v>2.84</v>
      </c>
      <c r="P45">
        <v>2.82</v>
      </c>
      <c r="Q45">
        <v>3.07</v>
      </c>
      <c r="R45">
        <v>2.94</v>
      </c>
      <c r="S45">
        <v>2.9</v>
      </c>
      <c r="T45">
        <v>2.86</v>
      </c>
      <c r="U45">
        <v>2.83</v>
      </c>
      <c r="V45">
        <v>2.84</v>
      </c>
      <c r="W45">
        <v>2.91</v>
      </c>
      <c r="X45">
        <v>2.82</v>
      </c>
      <c r="Y45">
        <v>2.83</v>
      </c>
      <c r="Z45">
        <v>2.81</v>
      </c>
      <c r="AA45">
        <v>2.88</v>
      </c>
      <c r="AB45">
        <v>2.93</v>
      </c>
      <c r="AC45">
        <v>2.7</v>
      </c>
      <c r="AD45">
        <v>2.97</v>
      </c>
      <c r="AE45">
        <v>2.84</v>
      </c>
      <c r="AF45">
        <v>2.88</v>
      </c>
      <c r="AG45">
        <v>2.85</v>
      </c>
      <c r="AH45">
        <v>2.87</v>
      </c>
      <c r="AI45">
        <v>2.76</v>
      </c>
      <c r="AJ45">
        <v>2.8</v>
      </c>
      <c r="AK45">
        <v>2.85</v>
      </c>
      <c r="AL45">
        <v>2.86</v>
      </c>
    </row>
    <row r="46" spans="1:38" ht="12.75">
      <c r="A46" s="1">
        <f t="shared" si="0"/>
        <v>2.845833333333333</v>
      </c>
      <c r="B46" t="s">
        <v>46</v>
      </c>
      <c r="C46">
        <v>2.74</v>
      </c>
      <c r="D46">
        <v>2.96</v>
      </c>
      <c r="E46">
        <v>2.89</v>
      </c>
      <c r="F46">
        <v>2.78</v>
      </c>
      <c r="G46">
        <v>2.88</v>
      </c>
      <c r="H46">
        <v>2.81</v>
      </c>
      <c r="I46">
        <v>2.8</v>
      </c>
      <c r="J46">
        <v>2.86</v>
      </c>
      <c r="K46">
        <v>2.78</v>
      </c>
      <c r="L46">
        <v>2.88</v>
      </c>
      <c r="M46">
        <v>2.89</v>
      </c>
      <c r="N46">
        <v>2.84</v>
      </c>
      <c r="O46">
        <v>2.83</v>
      </c>
      <c r="P46">
        <v>2.81</v>
      </c>
      <c r="Q46">
        <v>3.06</v>
      </c>
      <c r="R46">
        <v>2.93</v>
      </c>
      <c r="S46">
        <v>2.89</v>
      </c>
      <c r="T46">
        <v>2.85</v>
      </c>
      <c r="U46">
        <v>2.82</v>
      </c>
      <c r="V46">
        <v>2.83</v>
      </c>
      <c r="W46">
        <v>2.9</v>
      </c>
      <c r="X46">
        <v>2.81</v>
      </c>
      <c r="Y46">
        <v>2.82</v>
      </c>
      <c r="Z46">
        <v>2.78</v>
      </c>
      <c r="AA46">
        <v>2.87</v>
      </c>
      <c r="AB46">
        <v>2.91</v>
      </c>
      <c r="AC46">
        <v>2.69</v>
      </c>
      <c r="AD46">
        <v>2.96</v>
      </c>
      <c r="AE46">
        <v>2.82</v>
      </c>
      <c r="AF46">
        <v>2.86</v>
      </c>
      <c r="AG46">
        <v>2.83</v>
      </c>
      <c r="AH46">
        <v>2.86</v>
      </c>
      <c r="AI46">
        <v>2.74</v>
      </c>
      <c r="AJ46">
        <v>2.79</v>
      </c>
      <c r="AK46">
        <v>2.84</v>
      </c>
      <c r="AL46">
        <v>2.84</v>
      </c>
    </row>
    <row r="47" spans="1:38" ht="12.75">
      <c r="A47" s="1">
        <f t="shared" si="0"/>
        <v>2.835555555555555</v>
      </c>
      <c r="B47" t="s">
        <v>47</v>
      </c>
      <c r="C47">
        <v>2.73</v>
      </c>
      <c r="D47">
        <v>2.95</v>
      </c>
      <c r="E47">
        <v>2.88</v>
      </c>
      <c r="F47">
        <v>2.77</v>
      </c>
      <c r="G47">
        <v>2.86</v>
      </c>
      <c r="H47">
        <v>2.79</v>
      </c>
      <c r="I47">
        <v>2.78</v>
      </c>
      <c r="J47">
        <v>2.85</v>
      </c>
      <c r="K47">
        <v>2.77</v>
      </c>
      <c r="L47">
        <v>2.87</v>
      </c>
      <c r="M47">
        <v>2.88</v>
      </c>
      <c r="N47">
        <v>2.83</v>
      </c>
      <c r="O47">
        <v>2.83</v>
      </c>
      <c r="P47">
        <v>2.81</v>
      </c>
      <c r="Q47">
        <v>3.05</v>
      </c>
      <c r="R47">
        <v>2.92</v>
      </c>
      <c r="S47">
        <v>2.88</v>
      </c>
      <c r="T47">
        <v>2.84</v>
      </c>
      <c r="U47">
        <v>2.8</v>
      </c>
      <c r="V47">
        <v>2.82</v>
      </c>
      <c r="W47">
        <v>2.89</v>
      </c>
      <c r="X47">
        <v>2.8</v>
      </c>
      <c r="Y47">
        <v>2.81</v>
      </c>
      <c r="Z47">
        <v>2.77</v>
      </c>
      <c r="AA47">
        <v>2.86</v>
      </c>
      <c r="AB47">
        <v>2.91</v>
      </c>
      <c r="AC47">
        <v>2.68</v>
      </c>
      <c r="AD47">
        <v>2.95</v>
      </c>
      <c r="AE47">
        <v>2.81</v>
      </c>
      <c r="AF47">
        <v>2.85</v>
      </c>
      <c r="AG47">
        <v>2.82</v>
      </c>
      <c r="AH47">
        <v>2.85</v>
      </c>
      <c r="AI47">
        <v>2.73</v>
      </c>
      <c r="AJ47">
        <v>2.78</v>
      </c>
      <c r="AK47">
        <v>2.83</v>
      </c>
      <c r="AL47">
        <v>2.83</v>
      </c>
    </row>
    <row r="48" spans="1:38" ht="12.75">
      <c r="A48" s="1">
        <f t="shared" si="0"/>
        <v>2.817500000000001</v>
      </c>
      <c r="B48" t="s">
        <v>48</v>
      </c>
      <c r="C48">
        <v>2.72</v>
      </c>
      <c r="D48">
        <v>2.93</v>
      </c>
      <c r="E48">
        <v>2.86</v>
      </c>
      <c r="F48">
        <v>2.75</v>
      </c>
      <c r="G48">
        <v>2.84</v>
      </c>
      <c r="H48">
        <v>2.77</v>
      </c>
      <c r="I48">
        <v>2.77</v>
      </c>
      <c r="J48">
        <v>2.84</v>
      </c>
      <c r="K48">
        <v>2.75</v>
      </c>
      <c r="L48">
        <v>2.85</v>
      </c>
      <c r="M48">
        <v>2.86</v>
      </c>
      <c r="N48">
        <v>2.81</v>
      </c>
      <c r="O48">
        <v>2.81</v>
      </c>
      <c r="P48">
        <v>2.79</v>
      </c>
      <c r="Q48">
        <v>3.02</v>
      </c>
      <c r="R48">
        <v>2.9</v>
      </c>
      <c r="S48">
        <v>2.86</v>
      </c>
      <c r="T48">
        <v>2.82</v>
      </c>
      <c r="U48">
        <v>2.79</v>
      </c>
      <c r="V48">
        <v>2.81</v>
      </c>
      <c r="W48">
        <v>2.86</v>
      </c>
      <c r="X48">
        <v>2.78</v>
      </c>
      <c r="Y48">
        <v>2.8</v>
      </c>
      <c r="Z48">
        <v>2.76</v>
      </c>
      <c r="AA48">
        <v>2.84</v>
      </c>
      <c r="AB48">
        <v>2.89</v>
      </c>
      <c r="AC48">
        <v>2.66</v>
      </c>
      <c r="AD48">
        <v>2.93</v>
      </c>
      <c r="AE48">
        <v>2.79</v>
      </c>
      <c r="AF48">
        <v>2.83</v>
      </c>
      <c r="AG48">
        <v>2.8</v>
      </c>
      <c r="AH48">
        <v>2.84</v>
      </c>
      <c r="AI48">
        <v>2.71</v>
      </c>
      <c r="AJ48">
        <v>2.76</v>
      </c>
      <c r="AK48">
        <v>2.82</v>
      </c>
      <c r="AL48">
        <v>2.81</v>
      </c>
    </row>
    <row r="49" spans="1:38" ht="12.75">
      <c r="A49" s="1">
        <f t="shared" si="0"/>
        <v>2.803611111111111</v>
      </c>
      <c r="B49" t="s">
        <v>49</v>
      </c>
      <c r="C49">
        <v>2.7</v>
      </c>
      <c r="D49">
        <v>2.91</v>
      </c>
      <c r="E49">
        <v>2.84</v>
      </c>
      <c r="F49">
        <v>2.73</v>
      </c>
      <c r="G49">
        <v>2.82</v>
      </c>
      <c r="H49">
        <v>2.75</v>
      </c>
      <c r="I49">
        <v>2.76</v>
      </c>
      <c r="J49">
        <v>2.83</v>
      </c>
      <c r="K49">
        <v>2.74</v>
      </c>
      <c r="L49">
        <v>2.83</v>
      </c>
      <c r="M49">
        <v>2.84</v>
      </c>
      <c r="N49">
        <v>2.8</v>
      </c>
      <c r="O49">
        <v>2.8</v>
      </c>
      <c r="P49">
        <v>2.78</v>
      </c>
      <c r="Q49">
        <v>3</v>
      </c>
      <c r="R49">
        <v>2.89</v>
      </c>
      <c r="S49">
        <v>2.85</v>
      </c>
      <c r="T49">
        <v>2.81</v>
      </c>
      <c r="U49">
        <v>2.78</v>
      </c>
      <c r="V49">
        <v>2.8</v>
      </c>
      <c r="W49">
        <v>2.85</v>
      </c>
      <c r="X49">
        <v>2.77</v>
      </c>
      <c r="Y49">
        <v>2.79</v>
      </c>
      <c r="Z49">
        <v>2.74</v>
      </c>
      <c r="AA49">
        <v>2.83</v>
      </c>
      <c r="AB49">
        <v>2.87</v>
      </c>
      <c r="AC49">
        <v>2.64</v>
      </c>
      <c r="AD49">
        <v>2.92</v>
      </c>
      <c r="AE49">
        <v>2.78</v>
      </c>
      <c r="AF49">
        <v>2.82</v>
      </c>
      <c r="AG49">
        <v>2.79</v>
      </c>
      <c r="AH49">
        <v>2.82</v>
      </c>
      <c r="AI49">
        <v>2.7</v>
      </c>
      <c r="AJ49">
        <v>2.74</v>
      </c>
      <c r="AK49">
        <v>2.81</v>
      </c>
      <c r="AL49">
        <v>2.8</v>
      </c>
    </row>
    <row r="50" spans="1:38" ht="12.75">
      <c r="A50" s="1">
        <f t="shared" si="0"/>
        <v>2.791666666666667</v>
      </c>
      <c r="B50" t="s">
        <v>50</v>
      </c>
      <c r="C50">
        <v>2.69</v>
      </c>
      <c r="D50">
        <v>2.89</v>
      </c>
      <c r="E50">
        <v>2.82</v>
      </c>
      <c r="F50">
        <v>2.72</v>
      </c>
      <c r="G50">
        <v>2.8</v>
      </c>
      <c r="H50">
        <v>2.74</v>
      </c>
      <c r="I50">
        <v>2.75</v>
      </c>
      <c r="J50">
        <v>2.81</v>
      </c>
      <c r="K50">
        <v>2.73</v>
      </c>
      <c r="L50">
        <v>2.82</v>
      </c>
      <c r="M50">
        <v>2.83</v>
      </c>
      <c r="N50">
        <v>2.79</v>
      </c>
      <c r="O50">
        <v>2.8</v>
      </c>
      <c r="P50">
        <v>2.77</v>
      </c>
      <c r="Q50">
        <v>2.99</v>
      </c>
      <c r="R50">
        <v>2.88</v>
      </c>
      <c r="S50">
        <v>2.83</v>
      </c>
      <c r="T50">
        <v>2.81</v>
      </c>
      <c r="U50">
        <v>2.77</v>
      </c>
      <c r="V50">
        <v>2.79</v>
      </c>
      <c r="W50">
        <v>2.84</v>
      </c>
      <c r="X50">
        <v>2.76</v>
      </c>
      <c r="Y50">
        <v>2.79</v>
      </c>
      <c r="Z50">
        <v>2.73</v>
      </c>
      <c r="AA50">
        <v>2.81</v>
      </c>
      <c r="AB50">
        <v>2.84</v>
      </c>
      <c r="AC50">
        <v>2.63</v>
      </c>
      <c r="AD50">
        <v>2.91</v>
      </c>
      <c r="AE50">
        <v>2.77</v>
      </c>
      <c r="AF50">
        <v>2.81</v>
      </c>
      <c r="AG50">
        <v>2.78</v>
      </c>
      <c r="AH50">
        <v>2.81</v>
      </c>
      <c r="AI50">
        <v>2.69</v>
      </c>
      <c r="AJ50">
        <v>2.73</v>
      </c>
      <c r="AK50">
        <v>2.79</v>
      </c>
      <c r="AL50">
        <v>2.78</v>
      </c>
    </row>
    <row r="51" spans="1:38" ht="12.75">
      <c r="A51" s="1">
        <f t="shared" si="0"/>
        <v>2.795555555555555</v>
      </c>
      <c r="B51" t="s">
        <v>51</v>
      </c>
      <c r="C51">
        <v>2.69</v>
      </c>
      <c r="D51">
        <v>2.89</v>
      </c>
      <c r="E51">
        <v>2.82</v>
      </c>
      <c r="F51">
        <v>2.72</v>
      </c>
      <c r="G51">
        <v>2.8</v>
      </c>
      <c r="H51">
        <v>2.74</v>
      </c>
      <c r="I51">
        <v>2.75</v>
      </c>
      <c r="J51">
        <v>2.82</v>
      </c>
      <c r="K51">
        <v>2.73</v>
      </c>
      <c r="L51">
        <v>2.83</v>
      </c>
      <c r="M51">
        <v>2.84</v>
      </c>
      <c r="N51">
        <v>2.8</v>
      </c>
      <c r="O51">
        <v>2.8</v>
      </c>
      <c r="P51">
        <v>2.77</v>
      </c>
      <c r="Q51">
        <v>2.99</v>
      </c>
      <c r="R51">
        <v>2.88</v>
      </c>
      <c r="S51">
        <v>2.84</v>
      </c>
      <c r="T51">
        <v>2.81</v>
      </c>
      <c r="U51">
        <v>2.78</v>
      </c>
      <c r="V51">
        <v>2.8</v>
      </c>
      <c r="W51">
        <v>2.85</v>
      </c>
      <c r="X51">
        <v>2.76</v>
      </c>
      <c r="Y51">
        <v>2.79</v>
      </c>
      <c r="Z51">
        <v>2.74</v>
      </c>
      <c r="AA51">
        <v>2.81</v>
      </c>
      <c r="AB51">
        <v>2.85</v>
      </c>
      <c r="AC51">
        <v>2.63</v>
      </c>
      <c r="AD51">
        <v>2.91</v>
      </c>
      <c r="AE51">
        <v>2.77</v>
      </c>
      <c r="AF51">
        <v>2.82</v>
      </c>
      <c r="AG51">
        <v>2.78</v>
      </c>
      <c r="AH51">
        <v>2.82</v>
      </c>
      <c r="AI51">
        <v>2.69</v>
      </c>
      <c r="AJ51">
        <v>2.73</v>
      </c>
      <c r="AK51">
        <v>2.8</v>
      </c>
      <c r="AL51">
        <v>2.79</v>
      </c>
    </row>
    <row r="52" spans="1:38" ht="12.75">
      <c r="A52" s="1">
        <f t="shared" si="0"/>
        <v>2.5558333333333336</v>
      </c>
      <c r="B52" t="s">
        <v>52</v>
      </c>
      <c r="C52">
        <v>2.47</v>
      </c>
      <c r="D52">
        <v>2.64</v>
      </c>
      <c r="E52">
        <v>2.59</v>
      </c>
      <c r="F52">
        <v>2.51</v>
      </c>
      <c r="G52">
        <v>2.58</v>
      </c>
      <c r="H52">
        <v>2.51</v>
      </c>
      <c r="I52">
        <v>2.52</v>
      </c>
      <c r="J52">
        <v>2.57</v>
      </c>
      <c r="K52">
        <v>2.5</v>
      </c>
      <c r="L52">
        <v>2.57</v>
      </c>
      <c r="M52">
        <v>2.57</v>
      </c>
      <c r="N52">
        <v>2.54</v>
      </c>
      <c r="O52">
        <v>2.57</v>
      </c>
      <c r="P52">
        <v>2.54</v>
      </c>
      <c r="Q52">
        <v>2.74</v>
      </c>
      <c r="R52">
        <v>2.64</v>
      </c>
      <c r="S52">
        <v>2.61</v>
      </c>
      <c r="T52">
        <v>2.57</v>
      </c>
      <c r="U52">
        <v>2.55</v>
      </c>
      <c r="V52">
        <v>2.56</v>
      </c>
      <c r="W52">
        <v>2.59</v>
      </c>
      <c r="X52">
        <v>2.52</v>
      </c>
      <c r="Y52">
        <v>2.54</v>
      </c>
      <c r="Z52">
        <v>2.49</v>
      </c>
      <c r="AA52">
        <v>2.57</v>
      </c>
      <c r="AB52">
        <v>2.6</v>
      </c>
      <c r="AC52">
        <v>2.43</v>
      </c>
      <c r="AD52">
        <v>2.67</v>
      </c>
      <c r="AE52">
        <v>2.55</v>
      </c>
      <c r="AF52">
        <v>2.58</v>
      </c>
      <c r="AG52">
        <v>2.54</v>
      </c>
      <c r="AH52">
        <v>2.57</v>
      </c>
      <c r="AI52">
        <v>2.46</v>
      </c>
      <c r="AJ52">
        <v>2.48</v>
      </c>
      <c r="AK52">
        <v>2.54</v>
      </c>
      <c r="AL52">
        <v>2.53</v>
      </c>
    </row>
    <row r="53" spans="1:38" ht="12.75">
      <c r="A53" s="1">
        <f t="shared" si="0"/>
        <v>1.6788888888888889</v>
      </c>
      <c r="B53" t="s">
        <v>53</v>
      </c>
      <c r="C53">
        <v>1.63</v>
      </c>
      <c r="D53">
        <v>1.72</v>
      </c>
      <c r="E53">
        <v>1.7</v>
      </c>
      <c r="F53">
        <v>1.66</v>
      </c>
      <c r="G53">
        <v>1.7</v>
      </c>
      <c r="H53">
        <v>1.66</v>
      </c>
      <c r="I53">
        <v>1.66</v>
      </c>
      <c r="J53">
        <v>1.69</v>
      </c>
      <c r="K53">
        <v>1.65</v>
      </c>
      <c r="L53">
        <v>1.69</v>
      </c>
      <c r="M53">
        <v>1.68</v>
      </c>
      <c r="N53">
        <v>1.67</v>
      </c>
      <c r="O53">
        <v>1.69</v>
      </c>
      <c r="P53">
        <v>1.67</v>
      </c>
      <c r="Q53">
        <v>1.78</v>
      </c>
      <c r="R53">
        <v>1.73</v>
      </c>
      <c r="S53">
        <v>1.71</v>
      </c>
      <c r="T53">
        <v>1.69</v>
      </c>
      <c r="U53">
        <v>1.68</v>
      </c>
      <c r="V53">
        <v>1.68</v>
      </c>
      <c r="W53">
        <v>1.7</v>
      </c>
      <c r="X53">
        <v>1.65</v>
      </c>
      <c r="Y53">
        <v>1.66</v>
      </c>
      <c r="Z53">
        <v>1.64</v>
      </c>
      <c r="AA53">
        <v>1.69</v>
      </c>
      <c r="AB53">
        <v>1.7</v>
      </c>
      <c r="AC53">
        <v>1.61</v>
      </c>
      <c r="AD53">
        <v>1.74</v>
      </c>
      <c r="AE53">
        <v>1.68</v>
      </c>
      <c r="AF53">
        <v>1.69</v>
      </c>
      <c r="AG53">
        <v>1.67</v>
      </c>
      <c r="AH53">
        <v>1.69</v>
      </c>
      <c r="AI53">
        <v>1.62</v>
      </c>
      <c r="AJ53">
        <v>1.64</v>
      </c>
      <c r="AK53">
        <v>1.67</v>
      </c>
      <c r="AL53">
        <v>1.65</v>
      </c>
    </row>
    <row r="54" spans="1:38" ht="12.75">
      <c r="A54" s="1">
        <f t="shared" si="0"/>
        <v>1.6919444444444445</v>
      </c>
      <c r="B54" t="s">
        <v>54</v>
      </c>
      <c r="C54">
        <v>1.63</v>
      </c>
      <c r="D54">
        <v>1.73</v>
      </c>
      <c r="E54">
        <v>1.71</v>
      </c>
      <c r="F54">
        <v>1.67</v>
      </c>
      <c r="G54">
        <v>1.71</v>
      </c>
      <c r="H54">
        <v>1.67</v>
      </c>
      <c r="I54">
        <v>1.67</v>
      </c>
      <c r="J54">
        <v>1.69</v>
      </c>
      <c r="K54">
        <v>1.66</v>
      </c>
      <c r="L54">
        <v>1.71</v>
      </c>
      <c r="M54">
        <v>1.71</v>
      </c>
      <c r="N54">
        <v>1.69</v>
      </c>
      <c r="O54">
        <v>1.7</v>
      </c>
      <c r="P54">
        <v>1.69</v>
      </c>
      <c r="Q54">
        <v>1.78</v>
      </c>
      <c r="R54">
        <v>1.73</v>
      </c>
      <c r="S54">
        <v>1.71</v>
      </c>
      <c r="T54">
        <v>1.69</v>
      </c>
      <c r="U54">
        <v>1.68</v>
      </c>
      <c r="V54">
        <v>1.68</v>
      </c>
      <c r="W54">
        <v>1.7</v>
      </c>
      <c r="X54">
        <v>1.68</v>
      </c>
      <c r="Y54">
        <v>1.69</v>
      </c>
      <c r="Z54">
        <v>1.67</v>
      </c>
      <c r="AA54">
        <v>1.69</v>
      </c>
      <c r="AB54">
        <v>1.71</v>
      </c>
      <c r="AC54">
        <v>1.62</v>
      </c>
      <c r="AD54">
        <v>1.75</v>
      </c>
      <c r="AE54">
        <v>1.69</v>
      </c>
      <c r="AF54">
        <v>1.7</v>
      </c>
      <c r="AG54">
        <v>1.68</v>
      </c>
      <c r="AH54">
        <v>1.69</v>
      </c>
      <c r="AI54">
        <v>1.64</v>
      </c>
      <c r="AJ54">
        <v>1.69</v>
      </c>
      <c r="AK54">
        <v>1.7</v>
      </c>
      <c r="AL54">
        <v>1.7</v>
      </c>
    </row>
    <row r="55" spans="1:38" ht="12.75">
      <c r="A55" s="1">
        <f t="shared" si="0"/>
        <v>1.6919444444444445</v>
      </c>
      <c r="B55" t="s">
        <v>55</v>
      </c>
      <c r="C55">
        <v>1.63</v>
      </c>
      <c r="D55">
        <v>1.73</v>
      </c>
      <c r="E55">
        <v>1.71</v>
      </c>
      <c r="F55">
        <v>1.67</v>
      </c>
      <c r="G55">
        <v>1.71</v>
      </c>
      <c r="H55">
        <v>1.67</v>
      </c>
      <c r="I55">
        <v>1.67</v>
      </c>
      <c r="J55">
        <v>1.69</v>
      </c>
      <c r="K55">
        <v>1.66</v>
      </c>
      <c r="L55">
        <v>1.71</v>
      </c>
      <c r="M55">
        <v>1.71</v>
      </c>
      <c r="N55">
        <v>1.69</v>
      </c>
      <c r="O55">
        <v>1.69</v>
      </c>
      <c r="P55">
        <v>1.69</v>
      </c>
      <c r="Q55">
        <v>1.78</v>
      </c>
      <c r="R55">
        <v>1.73</v>
      </c>
      <c r="S55">
        <v>1.71</v>
      </c>
      <c r="T55">
        <v>1.69</v>
      </c>
      <c r="U55">
        <v>1.69</v>
      </c>
      <c r="V55">
        <v>1.69</v>
      </c>
      <c r="W55">
        <v>1.7</v>
      </c>
      <c r="X55">
        <v>1.68</v>
      </c>
      <c r="Y55">
        <v>1.69</v>
      </c>
      <c r="Z55">
        <v>1.67</v>
      </c>
      <c r="AA55">
        <v>1.69</v>
      </c>
      <c r="AB55">
        <v>1.71</v>
      </c>
      <c r="AC55">
        <v>1.62</v>
      </c>
      <c r="AD55">
        <v>1.75</v>
      </c>
      <c r="AE55">
        <v>1.69</v>
      </c>
      <c r="AF55">
        <v>1.7</v>
      </c>
      <c r="AG55">
        <v>1.68</v>
      </c>
      <c r="AH55">
        <v>1.7</v>
      </c>
      <c r="AI55">
        <v>1.64</v>
      </c>
      <c r="AJ55">
        <v>1.68</v>
      </c>
      <c r="AK55">
        <v>1.7</v>
      </c>
      <c r="AL55">
        <v>1.69</v>
      </c>
    </row>
    <row r="56" spans="1:38" ht="12.75">
      <c r="A56" s="1">
        <f t="shared" si="0"/>
        <v>1.6936111111111112</v>
      </c>
      <c r="B56" t="s">
        <v>136</v>
      </c>
      <c r="C56">
        <v>1.65</v>
      </c>
      <c r="D56">
        <v>1.72</v>
      </c>
      <c r="E56">
        <v>1.7</v>
      </c>
      <c r="F56">
        <v>1.66</v>
      </c>
      <c r="G56">
        <v>1.72</v>
      </c>
      <c r="H56">
        <v>1.68</v>
      </c>
      <c r="I56">
        <v>1.67</v>
      </c>
      <c r="J56">
        <v>1.7</v>
      </c>
      <c r="K56">
        <v>1.67</v>
      </c>
      <c r="L56">
        <v>1.7</v>
      </c>
      <c r="M56">
        <v>1.72</v>
      </c>
      <c r="N56">
        <v>1.68</v>
      </c>
      <c r="O56">
        <v>1.71</v>
      </c>
      <c r="P56">
        <v>1.69</v>
      </c>
      <c r="Q56">
        <v>1.78</v>
      </c>
      <c r="R56">
        <v>1.72</v>
      </c>
      <c r="S56">
        <v>1.71</v>
      </c>
      <c r="T56">
        <v>1.69</v>
      </c>
      <c r="U56">
        <v>1.69</v>
      </c>
      <c r="V56">
        <v>1.7</v>
      </c>
      <c r="W56">
        <v>1.7</v>
      </c>
      <c r="X56">
        <v>1.68</v>
      </c>
      <c r="Y56">
        <v>1.69</v>
      </c>
      <c r="Z56">
        <v>1.65</v>
      </c>
      <c r="AA56">
        <v>1.71</v>
      </c>
      <c r="AB56">
        <v>1.7</v>
      </c>
      <c r="AC56">
        <v>1.62</v>
      </c>
      <c r="AD56">
        <v>1.73</v>
      </c>
      <c r="AE56">
        <v>1.7</v>
      </c>
      <c r="AF56">
        <v>1.71</v>
      </c>
      <c r="AG56">
        <v>1.69</v>
      </c>
      <c r="AH56">
        <v>1.71</v>
      </c>
      <c r="AI56">
        <v>1.65</v>
      </c>
      <c r="AJ56">
        <v>1.68</v>
      </c>
      <c r="AK56">
        <v>1.71</v>
      </c>
      <c r="AL56">
        <v>1.68</v>
      </c>
    </row>
    <row r="57" spans="1:38" ht="12.75">
      <c r="A57" s="1">
        <f t="shared" si="0"/>
        <v>1.6969444444444441</v>
      </c>
      <c r="B57" t="s">
        <v>57</v>
      </c>
      <c r="C57">
        <v>1.65</v>
      </c>
      <c r="D57">
        <v>1.73</v>
      </c>
      <c r="E57">
        <v>1.71</v>
      </c>
      <c r="F57">
        <v>1.67</v>
      </c>
      <c r="G57">
        <v>1.72</v>
      </c>
      <c r="H57">
        <v>1.68</v>
      </c>
      <c r="I57">
        <v>1.68</v>
      </c>
      <c r="J57">
        <v>1.7</v>
      </c>
      <c r="K57">
        <v>1.67</v>
      </c>
      <c r="L57">
        <v>1.7</v>
      </c>
      <c r="M57">
        <v>1.72</v>
      </c>
      <c r="N57">
        <v>1.68</v>
      </c>
      <c r="O57">
        <v>1.72</v>
      </c>
      <c r="P57">
        <v>1.69</v>
      </c>
      <c r="Q57">
        <v>1.78</v>
      </c>
      <c r="R57">
        <v>1.72</v>
      </c>
      <c r="S57">
        <v>1.72</v>
      </c>
      <c r="T57">
        <v>1.7</v>
      </c>
      <c r="U57">
        <v>1.69</v>
      </c>
      <c r="V57">
        <v>1.7</v>
      </c>
      <c r="W57">
        <v>1.71</v>
      </c>
      <c r="X57">
        <v>1.68</v>
      </c>
      <c r="Y57">
        <v>1.69</v>
      </c>
      <c r="Z57">
        <v>1.66</v>
      </c>
      <c r="AA57">
        <v>1.72</v>
      </c>
      <c r="AB57">
        <v>1.7</v>
      </c>
      <c r="AC57">
        <v>1.62</v>
      </c>
      <c r="AD57">
        <v>1.73</v>
      </c>
      <c r="AE57">
        <v>1.71</v>
      </c>
      <c r="AF57">
        <v>1.71</v>
      </c>
      <c r="AG57">
        <v>1.69</v>
      </c>
      <c r="AH57">
        <v>1.71</v>
      </c>
      <c r="AI57">
        <v>1.66</v>
      </c>
      <c r="AJ57">
        <v>1.68</v>
      </c>
      <c r="AK57">
        <v>1.71</v>
      </c>
      <c r="AL57">
        <v>1.68</v>
      </c>
    </row>
    <row r="58" spans="1:38" ht="12.75">
      <c r="A58" s="1">
        <f t="shared" si="0"/>
        <v>1.7174999999999998</v>
      </c>
      <c r="B58" t="s">
        <v>58</v>
      </c>
      <c r="C58">
        <v>1.68</v>
      </c>
      <c r="D58">
        <v>1.75</v>
      </c>
      <c r="E58">
        <v>1.72</v>
      </c>
      <c r="F58">
        <v>1.68</v>
      </c>
      <c r="G58">
        <v>1.74</v>
      </c>
      <c r="H58">
        <v>1.7</v>
      </c>
      <c r="I58">
        <v>1.7</v>
      </c>
      <c r="J58">
        <v>1.73</v>
      </c>
      <c r="K58">
        <v>1.69</v>
      </c>
      <c r="L58">
        <v>1.73</v>
      </c>
      <c r="M58">
        <v>1.74</v>
      </c>
      <c r="N58">
        <v>1.7</v>
      </c>
      <c r="O58">
        <v>1.74</v>
      </c>
      <c r="P58">
        <v>1.71</v>
      </c>
      <c r="Q58">
        <v>1.8</v>
      </c>
      <c r="R58">
        <v>1.73</v>
      </c>
      <c r="S58">
        <v>1.74</v>
      </c>
      <c r="T58">
        <v>1.72</v>
      </c>
      <c r="U58">
        <v>1.72</v>
      </c>
      <c r="V58">
        <v>1.72</v>
      </c>
      <c r="W58">
        <v>1.73</v>
      </c>
      <c r="X58">
        <v>1.7</v>
      </c>
      <c r="Y58">
        <v>1.72</v>
      </c>
      <c r="Z58">
        <v>1.67</v>
      </c>
      <c r="AA58">
        <v>1.74</v>
      </c>
      <c r="AB58">
        <v>1.71</v>
      </c>
      <c r="AC58">
        <v>1.64</v>
      </c>
      <c r="AD58">
        <v>1.74</v>
      </c>
      <c r="AE58">
        <v>1.73</v>
      </c>
      <c r="AF58">
        <v>1.74</v>
      </c>
      <c r="AG58">
        <v>1.72</v>
      </c>
      <c r="AH58">
        <v>1.73</v>
      </c>
      <c r="AI58">
        <v>1.68</v>
      </c>
      <c r="AJ58">
        <v>1.71</v>
      </c>
      <c r="AK58">
        <v>1.73</v>
      </c>
      <c r="AL58">
        <v>1.7</v>
      </c>
    </row>
    <row r="59" spans="1:38" ht="12.75">
      <c r="A59" s="1">
        <f t="shared" si="0"/>
        <v>0</v>
      </c>
      <c r="B59" t="s">
        <v>59</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0"/>
  <dimension ref="A1:AM114"/>
  <sheetViews>
    <sheetView workbookViewId="0" topLeftCell="A1">
      <pane xSplit="2" ySplit="1" topLeftCell="C23" activePane="bottomRight" state="frozen"/>
      <selection pane="topLeft" activeCell="A1" sqref="A1"/>
      <selection pane="topRight" activeCell="C1" sqref="C1"/>
      <selection pane="bottomLeft" activeCell="A2" sqref="A2"/>
      <selection pane="bottomRight" activeCell="T82" sqref="T82"/>
    </sheetView>
  </sheetViews>
  <sheetFormatPr defaultColWidth="9.140625" defaultRowHeight="12.75"/>
  <cols>
    <col min="2" max="2" width="14.8515625" style="0" bestFit="1" customWidth="1"/>
    <col min="3" max="19" width="5.00390625" style="0" customWidth="1"/>
    <col min="20" max="20" width="6.00390625" style="0" customWidth="1"/>
    <col min="21" max="33" width="5.00390625" style="0" customWidth="1"/>
    <col min="34" max="34" width="5.57421875" style="0" customWidth="1"/>
    <col min="35" max="38" width="5.00390625" style="0" customWidth="1"/>
  </cols>
  <sheetData>
    <row r="1" spans="1:38" ht="12.75">
      <c r="A1" t="s">
        <v>0</v>
      </c>
      <c r="B1" t="s">
        <v>223</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ht="12.75">
      <c r="A2">
        <f>AVERAGE(C2:AL2)</f>
        <v>1.157777777777778</v>
      </c>
      <c r="B2" t="s">
        <v>38</v>
      </c>
      <c r="C2">
        <v>1.07</v>
      </c>
      <c r="D2">
        <v>1.07</v>
      </c>
      <c r="E2">
        <v>1.07</v>
      </c>
      <c r="F2">
        <v>1.07</v>
      </c>
      <c r="G2">
        <v>1.19</v>
      </c>
      <c r="H2">
        <v>1.19</v>
      </c>
      <c r="I2">
        <v>1.19</v>
      </c>
      <c r="J2">
        <v>1.19</v>
      </c>
      <c r="K2">
        <v>1.12</v>
      </c>
      <c r="L2">
        <v>1.12</v>
      </c>
      <c r="M2">
        <v>1.12</v>
      </c>
      <c r="N2">
        <v>1.12</v>
      </c>
      <c r="O2">
        <v>1.19</v>
      </c>
      <c r="P2">
        <v>1.19</v>
      </c>
      <c r="Q2">
        <v>1.19</v>
      </c>
      <c r="R2">
        <v>1.19</v>
      </c>
      <c r="S2">
        <v>1.26</v>
      </c>
      <c r="T2">
        <v>1.26</v>
      </c>
      <c r="U2">
        <v>1.26</v>
      </c>
      <c r="V2">
        <v>1.26</v>
      </c>
      <c r="W2">
        <v>1.15</v>
      </c>
      <c r="X2">
        <v>1.15</v>
      </c>
      <c r="Y2">
        <v>1.15</v>
      </c>
      <c r="Z2">
        <v>1.15</v>
      </c>
      <c r="AA2">
        <v>1.12</v>
      </c>
      <c r="AB2">
        <v>1.12</v>
      </c>
      <c r="AC2">
        <v>1.12</v>
      </c>
      <c r="AD2">
        <v>1.12</v>
      </c>
      <c r="AE2">
        <v>1.18</v>
      </c>
      <c r="AF2">
        <v>1.18</v>
      </c>
      <c r="AG2">
        <v>1.18</v>
      </c>
      <c r="AH2">
        <v>1.18</v>
      </c>
      <c r="AI2">
        <v>1.14</v>
      </c>
      <c r="AJ2">
        <v>1.14</v>
      </c>
      <c r="AK2">
        <v>1.14</v>
      </c>
      <c r="AL2">
        <v>1.14</v>
      </c>
    </row>
    <row r="3" spans="1:38" ht="12.75">
      <c r="A3">
        <f>AVERAGE(C3:AL3)</f>
        <v>0.7957142857142856</v>
      </c>
      <c r="B3" t="s">
        <v>39</v>
      </c>
      <c r="C3">
        <v>0.52</v>
      </c>
      <c r="D3">
        <v>0.58</v>
      </c>
      <c r="E3">
        <v>0.36</v>
      </c>
      <c r="F3">
        <v>0.33</v>
      </c>
      <c r="G3">
        <v>0.62</v>
      </c>
      <c r="H3">
        <v>1.11</v>
      </c>
      <c r="I3">
        <v>1.03</v>
      </c>
      <c r="J3">
        <v>0.87</v>
      </c>
      <c r="K3">
        <v>0.54</v>
      </c>
      <c r="L3">
        <v>0.07</v>
      </c>
      <c r="M3">
        <v>0.29</v>
      </c>
      <c r="N3">
        <v>0.39</v>
      </c>
      <c r="O3">
        <v>0.17</v>
      </c>
      <c r="P3">
        <v>0.27</v>
      </c>
      <c r="Q3">
        <v>0.09</v>
      </c>
      <c r="R3">
        <v>0.64</v>
      </c>
      <c r="S3">
        <v>0.19</v>
      </c>
      <c r="T3">
        <v>14.65</v>
      </c>
      <c r="U3">
        <v>0.16</v>
      </c>
      <c r="V3">
        <v>1.12</v>
      </c>
      <c r="W3">
        <v>0.28</v>
      </c>
      <c r="X3">
        <v>0.49</v>
      </c>
      <c r="Y3">
        <v>0.29</v>
      </c>
      <c r="Z3">
        <v>0.26</v>
      </c>
      <c r="AA3">
        <v>0.61</v>
      </c>
      <c r="AB3">
        <v>0.32</v>
      </c>
      <c r="AC3">
        <v>0.39</v>
      </c>
      <c r="AD3">
        <v>0.08</v>
      </c>
      <c r="AE3">
        <v>0.27</v>
      </c>
      <c r="AF3">
        <v>0.22</v>
      </c>
      <c r="AG3">
        <v>0.13</v>
      </c>
      <c r="AH3">
        <v>-0.03</v>
      </c>
      <c r="AI3">
        <v>0.24</v>
      </c>
      <c r="AJ3">
        <v>0.13</v>
      </c>
      <c r="AK3">
        <v>0.17</v>
      </c>
      <c r="AL3" t="s">
        <v>139</v>
      </c>
    </row>
    <row r="4" spans="1:38" ht="12.75">
      <c r="A4">
        <f>AVERAGE(C4:AL4)</f>
        <v>0.17749999999999996</v>
      </c>
      <c r="B4" t="s">
        <v>40</v>
      </c>
      <c r="C4">
        <v>0.04</v>
      </c>
      <c r="D4">
        <v>0.12</v>
      </c>
      <c r="E4">
        <v>0.1</v>
      </c>
      <c r="F4">
        <v>0.08</v>
      </c>
      <c r="G4">
        <v>0.76</v>
      </c>
      <c r="H4">
        <v>0.11</v>
      </c>
      <c r="I4">
        <v>0.4</v>
      </c>
      <c r="J4">
        <v>0.21</v>
      </c>
      <c r="K4">
        <v>0.21</v>
      </c>
      <c r="L4">
        <v>0.27</v>
      </c>
      <c r="M4">
        <v>0.16</v>
      </c>
      <c r="N4">
        <v>0.24</v>
      </c>
      <c r="O4">
        <v>0.17</v>
      </c>
      <c r="P4">
        <v>0.13</v>
      </c>
      <c r="Q4">
        <v>0.17</v>
      </c>
      <c r="R4">
        <v>0.15</v>
      </c>
      <c r="S4">
        <v>0.26</v>
      </c>
      <c r="T4">
        <v>0.11</v>
      </c>
      <c r="U4">
        <v>0.05</v>
      </c>
      <c r="V4">
        <v>0.09</v>
      </c>
      <c r="W4">
        <v>0.39</v>
      </c>
      <c r="X4">
        <v>0.24</v>
      </c>
      <c r="Y4">
        <v>0.06</v>
      </c>
      <c r="Z4">
        <v>0.13</v>
      </c>
      <c r="AA4">
        <v>0.18</v>
      </c>
      <c r="AB4">
        <v>0.2</v>
      </c>
      <c r="AC4">
        <v>0.11</v>
      </c>
      <c r="AD4">
        <v>0.18</v>
      </c>
      <c r="AE4">
        <v>0.09</v>
      </c>
      <c r="AF4">
        <v>0.1</v>
      </c>
      <c r="AG4">
        <v>0.12</v>
      </c>
      <c r="AH4">
        <v>0.04</v>
      </c>
      <c r="AI4">
        <v>0.29</v>
      </c>
      <c r="AJ4">
        <v>0.13</v>
      </c>
      <c r="AK4">
        <v>0.2</v>
      </c>
      <c r="AL4">
        <v>0.1</v>
      </c>
    </row>
    <row r="5" spans="1:38" ht="12.75">
      <c r="A5">
        <f>AVERAGE(C5:AL5)</f>
        <v>0.26400000000000007</v>
      </c>
      <c r="B5" t="s">
        <v>41</v>
      </c>
      <c r="C5">
        <v>0.06</v>
      </c>
      <c r="D5">
        <v>0.12</v>
      </c>
      <c r="E5">
        <v>0.17</v>
      </c>
      <c r="F5">
        <v>0.1</v>
      </c>
      <c r="G5">
        <v>0.77</v>
      </c>
      <c r="H5">
        <v>0.31</v>
      </c>
      <c r="I5">
        <v>0.65</v>
      </c>
      <c r="J5">
        <v>0.33</v>
      </c>
      <c r="K5">
        <v>0.21</v>
      </c>
      <c r="L5">
        <v>0.13</v>
      </c>
      <c r="M5">
        <v>0.75</v>
      </c>
      <c r="N5">
        <v>0.04</v>
      </c>
      <c r="O5">
        <v>0.28</v>
      </c>
      <c r="P5">
        <v>0.25</v>
      </c>
      <c r="Q5">
        <v>0.19</v>
      </c>
      <c r="R5">
        <v>0.82</v>
      </c>
      <c r="S5">
        <v>0.12</v>
      </c>
      <c r="T5">
        <v>0.08</v>
      </c>
      <c r="U5" t="s">
        <v>139</v>
      </c>
      <c r="V5">
        <v>0.12</v>
      </c>
      <c r="W5">
        <v>0.38</v>
      </c>
      <c r="X5">
        <v>0.21</v>
      </c>
      <c r="Y5">
        <v>0.47</v>
      </c>
      <c r="Z5">
        <v>0.36</v>
      </c>
      <c r="AA5">
        <v>0.2</v>
      </c>
      <c r="AB5">
        <v>0.24</v>
      </c>
      <c r="AC5">
        <v>0.36</v>
      </c>
      <c r="AD5">
        <v>0.37</v>
      </c>
      <c r="AE5">
        <v>0.09</v>
      </c>
      <c r="AF5">
        <v>0.2</v>
      </c>
      <c r="AG5">
        <v>0.09</v>
      </c>
      <c r="AH5">
        <v>0.06</v>
      </c>
      <c r="AI5">
        <v>0.16</v>
      </c>
      <c r="AJ5">
        <v>0.16</v>
      </c>
      <c r="AK5">
        <v>0.17</v>
      </c>
      <c r="AL5">
        <v>0.22</v>
      </c>
    </row>
    <row r="6" spans="1:38" ht="12.75">
      <c r="A6">
        <f>AVERAGE(C6:F6)</f>
        <v>0.5825</v>
      </c>
      <c r="B6" t="s">
        <v>42</v>
      </c>
      <c r="C6">
        <v>0.59</v>
      </c>
      <c r="D6">
        <v>0.59</v>
      </c>
      <c r="E6">
        <v>0.57</v>
      </c>
      <c r="F6">
        <v>0.58</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f>AVERAGE(AVERAGE(C7:F7),AVERAGE(O7:R7))</f>
        <v>0.585</v>
      </c>
      <c r="B7" t="s">
        <v>43</v>
      </c>
      <c r="C7">
        <v>0.58</v>
      </c>
      <c r="D7">
        <v>0.58</v>
      </c>
      <c r="E7">
        <v>0.59</v>
      </c>
      <c r="F7">
        <v>0.58</v>
      </c>
      <c r="G7" t="s">
        <v>139</v>
      </c>
      <c r="H7" t="s">
        <v>139</v>
      </c>
      <c r="I7" t="s">
        <v>139</v>
      </c>
      <c r="J7" t="s">
        <v>139</v>
      </c>
      <c r="K7" t="s">
        <v>139</v>
      </c>
      <c r="L7" t="s">
        <v>139</v>
      </c>
      <c r="M7" t="s">
        <v>139</v>
      </c>
      <c r="N7" t="s">
        <v>139</v>
      </c>
      <c r="O7">
        <v>0.61</v>
      </c>
      <c r="P7">
        <v>0.59</v>
      </c>
      <c r="Q7">
        <v>0.57</v>
      </c>
      <c r="R7">
        <v>0.58</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AVERAGE(AVERAGE(C8:F8),AVERAGE(O8:R8),AVERAGE(AA8:AD8))</f>
        <v>0.5750000000000001</v>
      </c>
      <c r="B8" t="s">
        <v>44</v>
      </c>
      <c r="C8">
        <v>0.6</v>
      </c>
      <c r="D8">
        <v>0.63</v>
      </c>
      <c r="E8">
        <v>0.61</v>
      </c>
      <c r="F8">
        <v>0.57</v>
      </c>
      <c r="G8" t="s">
        <v>139</v>
      </c>
      <c r="H8" t="s">
        <v>139</v>
      </c>
      <c r="I8" t="s">
        <v>139</v>
      </c>
      <c r="J8" t="s">
        <v>139</v>
      </c>
      <c r="K8" t="s">
        <v>139</v>
      </c>
      <c r="L8" t="s">
        <v>139</v>
      </c>
      <c r="M8" t="s">
        <v>139</v>
      </c>
      <c r="N8" t="s">
        <v>139</v>
      </c>
      <c r="O8">
        <v>0.57</v>
      </c>
      <c r="P8">
        <v>0.53</v>
      </c>
      <c r="Q8">
        <v>0.53</v>
      </c>
      <c r="R8">
        <v>0.54</v>
      </c>
      <c r="S8" t="s">
        <v>139</v>
      </c>
      <c r="T8" t="s">
        <v>139</v>
      </c>
      <c r="U8" t="s">
        <v>139</v>
      </c>
      <c r="V8" t="s">
        <v>139</v>
      </c>
      <c r="W8" t="s">
        <v>139</v>
      </c>
      <c r="X8" t="s">
        <v>139</v>
      </c>
      <c r="Y8" t="s">
        <v>139</v>
      </c>
      <c r="Z8" t="s">
        <v>139</v>
      </c>
      <c r="AA8">
        <v>0.59</v>
      </c>
      <c r="AB8">
        <v>0.57</v>
      </c>
      <c r="AC8">
        <v>0.58</v>
      </c>
      <c r="AD8">
        <v>0.58</v>
      </c>
      <c r="AE8" t="s">
        <v>139</v>
      </c>
      <c r="AF8" t="s">
        <v>139</v>
      </c>
      <c r="AG8" t="s">
        <v>139</v>
      </c>
      <c r="AH8" t="s">
        <v>139</v>
      </c>
      <c r="AI8" t="s">
        <v>139</v>
      </c>
      <c r="AJ8" t="s">
        <v>139</v>
      </c>
      <c r="AK8" t="s">
        <v>139</v>
      </c>
      <c r="AL8" t="s">
        <v>139</v>
      </c>
    </row>
    <row r="9" spans="1:38" ht="12.75">
      <c r="A9">
        <f>AVERAGE(AVERAGE(C9:F9),AVERAGE(G9:J9),AVERAGE(O9:R9),AVERAGE(AA9:AD9))</f>
        <v>0.6125</v>
      </c>
      <c r="B9" t="s">
        <v>45</v>
      </c>
      <c r="C9">
        <v>0.67</v>
      </c>
      <c r="D9">
        <v>0.68</v>
      </c>
      <c r="E9">
        <v>0.67</v>
      </c>
      <c r="F9">
        <v>0.65</v>
      </c>
      <c r="G9">
        <v>0.65</v>
      </c>
      <c r="H9">
        <v>0.64</v>
      </c>
      <c r="I9">
        <v>0.62</v>
      </c>
      <c r="J9">
        <v>0.63</v>
      </c>
      <c r="K9" t="s">
        <v>139</v>
      </c>
      <c r="L9" t="s">
        <v>139</v>
      </c>
      <c r="M9" t="s">
        <v>139</v>
      </c>
      <c r="N9" t="s">
        <v>139</v>
      </c>
      <c r="O9">
        <v>0.65</v>
      </c>
      <c r="P9">
        <v>0.59</v>
      </c>
      <c r="Q9">
        <v>0.58</v>
      </c>
      <c r="R9">
        <v>0.57</v>
      </c>
      <c r="S9" t="s">
        <v>139</v>
      </c>
      <c r="T9" t="s">
        <v>139</v>
      </c>
      <c r="U9" t="s">
        <v>139</v>
      </c>
      <c r="V9" t="s">
        <v>139</v>
      </c>
      <c r="W9" t="s">
        <v>139</v>
      </c>
      <c r="X9" t="s">
        <v>139</v>
      </c>
      <c r="Y9" t="s">
        <v>139</v>
      </c>
      <c r="Z9" t="s">
        <v>139</v>
      </c>
      <c r="AA9">
        <v>0.57</v>
      </c>
      <c r="AB9">
        <v>0.55</v>
      </c>
      <c r="AC9">
        <v>0.54</v>
      </c>
      <c r="AD9">
        <v>0.54</v>
      </c>
      <c r="AE9" t="s">
        <v>139</v>
      </c>
      <c r="AF9" t="s">
        <v>139</v>
      </c>
      <c r="AG9" t="s">
        <v>139</v>
      </c>
      <c r="AH9" t="s">
        <v>139</v>
      </c>
      <c r="AI9" t="s">
        <v>139</v>
      </c>
      <c r="AJ9" t="s">
        <v>139</v>
      </c>
      <c r="AK9" t="s">
        <v>139</v>
      </c>
      <c r="AL9" t="s">
        <v>139</v>
      </c>
    </row>
    <row r="10" spans="1:38" ht="12.75">
      <c r="A10">
        <f>AVERAGE(AVERAGE(C10:F10),AVERAGE(G10:J10),AVERAGE(S10:V10),AVERAGE(O10:R10),AVERAGE(AA10:AD10))</f>
        <v>0</v>
      </c>
      <c r="B10" t="s">
        <v>46</v>
      </c>
      <c r="C10">
        <v>0</v>
      </c>
      <c r="D10">
        <v>0</v>
      </c>
      <c r="E10">
        <v>0</v>
      </c>
      <c r="F10">
        <v>0</v>
      </c>
      <c r="G10">
        <v>0</v>
      </c>
      <c r="H10">
        <v>0</v>
      </c>
      <c r="I10">
        <v>0</v>
      </c>
      <c r="J10">
        <v>0</v>
      </c>
      <c r="K10" t="s">
        <v>139</v>
      </c>
      <c r="L10" t="s">
        <v>139</v>
      </c>
      <c r="M10" t="s">
        <v>139</v>
      </c>
      <c r="N10" t="s">
        <v>139</v>
      </c>
      <c r="O10">
        <v>0</v>
      </c>
      <c r="P10">
        <v>0</v>
      </c>
      <c r="Q10">
        <v>0</v>
      </c>
      <c r="R10">
        <v>0</v>
      </c>
      <c r="S10">
        <v>0</v>
      </c>
      <c r="T10">
        <v>0</v>
      </c>
      <c r="U10">
        <v>0</v>
      </c>
      <c r="V10">
        <v>0</v>
      </c>
      <c r="W10" t="s">
        <v>139</v>
      </c>
      <c r="X10" t="s">
        <v>139</v>
      </c>
      <c r="Y10" t="s">
        <v>139</v>
      </c>
      <c r="Z10" t="s">
        <v>139</v>
      </c>
      <c r="AA10">
        <v>0</v>
      </c>
      <c r="AB10">
        <v>0</v>
      </c>
      <c r="AC10">
        <v>0</v>
      </c>
      <c r="AD10">
        <v>0</v>
      </c>
      <c r="AE10" t="s">
        <v>139</v>
      </c>
      <c r="AF10" t="s">
        <v>139</v>
      </c>
      <c r="AG10" t="s">
        <v>139</v>
      </c>
      <c r="AH10" t="s">
        <v>139</v>
      </c>
      <c r="AI10" t="s">
        <v>139</v>
      </c>
      <c r="AJ10" t="s">
        <v>139</v>
      </c>
      <c r="AK10" t="s">
        <v>139</v>
      </c>
      <c r="AL10" t="s">
        <v>139</v>
      </c>
    </row>
    <row r="11" spans="1:38" ht="12.75">
      <c r="A11">
        <f>AVERAGE(AVERAGE(C11:J11),AVERAGE(O11:V11),AVERAGE(AA11:AH11))</f>
        <v>0.62125</v>
      </c>
      <c r="B11" t="s">
        <v>47</v>
      </c>
      <c r="C11">
        <v>0.67</v>
      </c>
      <c r="D11">
        <v>0.67</v>
      </c>
      <c r="E11">
        <v>0.64</v>
      </c>
      <c r="F11">
        <v>0.63</v>
      </c>
      <c r="G11">
        <v>0.67</v>
      </c>
      <c r="H11">
        <v>0.62</v>
      </c>
      <c r="I11">
        <v>0.63</v>
      </c>
      <c r="J11">
        <v>0.65</v>
      </c>
      <c r="K11" t="s">
        <v>139</v>
      </c>
      <c r="L11" t="s">
        <v>139</v>
      </c>
      <c r="M11" t="s">
        <v>139</v>
      </c>
      <c r="N11" t="s">
        <v>139</v>
      </c>
      <c r="O11">
        <v>0.66</v>
      </c>
      <c r="P11">
        <v>0.62</v>
      </c>
      <c r="Q11">
        <v>0.58</v>
      </c>
      <c r="R11">
        <v>0.59</v>
      </c>
      <c r="S11">
        <v>0.7</v>
      </c>
      <c r="T11">
        <v>0.62</v>
      </c>
      <c r="U11">
        <v>0.62</v>
      </c>
      <c r="V11">
        <v>0.63</v>
      </c>
      <c r="W11" t="s">
        <v>139</v>
      </c>
      <c r="X11" t="s">
        <v>139</v>
      </c>
      <c r="Y11" t="s">
        <v>139</v>
      </c>
      <c r="Z11" t="s">
        <v>139</v>
      </c>
      <c r="AA11">
        <v>0.64</v>
      </c>
      <c r="AB11">
        <v>0.61</v>
      </c>
      <c r="AC11">
        <v>0.59</v>
      </c>
      <c r="AD11">
        <v>0.6</v>
      </c>
      <c r="AE11">
        <v>0.59</v>
      </c>
      <c r="AF11">
        <v>0.56</v>
      </c>
      <c r="AG11">
        <v>0.57</v>
      </c>
      <c r="AH11">
        <v>0.55</v>
      </c>
      <c r="AI11" t="s">
        <v>139</v>
      </c>
      <c r="AJ11" t="s">
        <v>139</v>
      </c>
      <c r="AK11" t="s">
        <v>139</v>
      </c>
      <c r="AL11" t="s">
        <v>139</v>
      </c>
    </row>
    <row r="12" spans="1:38" ht="12.75">
      <c r="A12">
        <f>(SUM(C12:V12)+SUM(AA12:AH12))/28</f>
        <v>0.6146428571428572</v>
      </c>
      <c r="B12" t="s">
        <v>48</v>
      </c>
      <c r="C12">
        <v>0.66</v>
      </c>
      <c r="D12">
        <v>0.65</v>
      </c>
      <c r="E12">
        <v>0.64</v>
      </c>
      <c r="F12">
        <v>0.61</v>
      </c>
      <c r="G12">
        <v>0.7</v>
      </c>
      <c r="H12">
        <v>0.6</v>
      </c>
      <c r="I12">
        <v>0.58</v>
      </c>
      <c r="J12">
        <v>0.6</v>
      </c>
      <c r="K12">
        <v>0.54</v>
      </c>
      <c r="L12">
        <v>0.51</v>
      </c>
      <c r="M12">
        <v>0.51</v>
      </c>
      <c r="N12">
        <v>0.54</v>
      </c>
      <c r="O12">
        <v>0.69</v>
      </c>
      <c r="P12">
        <v>0.64</v>
      </c>
      <c r="Q12">
        <v>0.61</v>
      </c>
      <c r="R12">
        <v>0.63</v>
      </c>
      <c r="S12">
        <v>0.75</v>
      </c>
      <c r="T12">
        <v>0.64</v>
      </c>
      <c r="U12">
        <v>0.64</v>
      </c>
      <c r="V12">
        <v>0.65</v>
      </c>
      <c r="W12" t="s">
        <v>139</v>
      </c>
      <c r="X12" t="s">
        <v>139</v>
      </c>
      <c r="Y12" t="s">
        <v>139</v>
      </c>
      <c r="Z12" t="s">
        <v>139</v>
      </c>
      <c r="AA12">
        <v>0.68</v>
      </c>
      <c r="AB12">
        <v>0.62</v>
      </c>
      <c r="AC12">
        <v>0.61</v>
      </c>
      <c r="AD12">
        <v>0.62</v>
      </c>
      <c r="AE12">
        <v>0.6</v>
      </c>
      <c r="AF12">
        <v>0.58</v>
      </c>
      <c r="AG12">
        <v>0.56</v>
      </c>
      <c r="AH12">
        <v>0.55</v>
      </c>
      <c r="AI12" t="s">
        <v>139</v>
      </c>
      <c r="AJ12" t="s">
        <v>139</v>
      </c>
      <c r="AK12" t="s">
        <v>139</v>
      </c>
      <c r="AL12" t="s">
        <v>139</v>
      </c>
    </row>
    <row r="13" spans="1:38" ht="12.75">
      <c r="A13">
        <f>(SUM(C13:AH13))/32</f>
        <v>0.6387499999999999</v>
      </c>
      <c r="B13" t="s">
        <v>49</v>
      </c>
      <c r="C13">
        <v>0.69</v>
      </c>
      <c r="D13">
        <v>0.68</v>
      </c>
      <c r="E13">
        <v>0.64</v>
      </c>
      <c r="F13">
        <v>0.64</v>
      </c>
      <c r="G13">
        <v>0.72</v>
      </c>
      <c r="H13">
        <v>0.62</v>
      </c>
      <c r="I13">
        <v>0.61</v>
      </c>
      <c r="J13">
        <v>0.65</v>
      </c>
      <c r="K13">
        <v>0.6</v>
      </c>
      <c r="L13">
        <v>0.56</v>
      </c>
      <c r="M13">
        <v>0.57</v>
      </c>
      <c r="N13">
        <v>0.6</v>
      </c>
      <c r="O13">
        <v>0.71</v>
      </c>
      <c r="P13">
        <v>0.67</v>
      </c>
      <c r="Q13">
        <v>0.66</v>
      </c>
      <c r="R13">
        <v>0.65</v>
      </c>
      <c r="S13">
        <v>0.8</v>
      </c>
      <c r="T13">
        <v>0.7</v>
      </c>
      <c r="U13">
        <v>0.68</v>
      </c>
      <c r="V13">
        <v>0.69</v>
      </c>
      <c r="W13">
        <v>0.62</v>
      </c>
      <c r="X13">
        <v>0.59</v>
      </c>
      <c r="Y13">
        <v>0.58</v>
      </c>
      <c r="Z13">
        <v>0.58</v>
      </c>
      <c r="AA13">
        <v>0.7</v>
      </c>
      <c r="AB13">
        <v>0.65</v>
      </c>
      <c r="AC13">
        <v>0.62</v>
      </c>
      <c r="AD13">
        <v>0.62</v>
      </c>
      <c r="AE13">
        <v>0.62</v>
      </c>
      <c r="AF13">
        <v>0.58</v>
      </c>
      <c r="AG13">
        <v>0.57</v>
      </c>
      <c r="AH13">
        <v>0.57</v>
      </c>
      <c r="AI13" t="s">
        <v>139</v>
      </c>
      <c r="AJ13" t="s">
        <v>139</v>
      </c>
      <c r="AK13" t="s">
        <v>139</v>
      </c>
      <c r="AL13" t="s">
        <v>139</v>
      </c>
    </row>
    <row r="14" spans="1:38" ht="12.75">
      <c r="A14">
        <f aca="true" t="shared" si="0" ref="A14:A23">AVERAGE(C14:AL14)</f>
        <v>0.6230555555555556</v>
      </c>
      <c r="B14" t="s">
        <v>50</v>
      </c>
      <c r="C14">
        <v>0.65</v>
      </c>
      <c r="D14">
        <v>0.68</v>
      </c>
      <c r="E14">
        <v>0.64</v>
      </c>
      <c r="F14">
        <v>0.63</v>
      </c>
      <c r="G14">
        <v>0.74</v>
      </c>
      <c r="H14">
        <v>0.66</v>
      </c>
      <c r="I14">
        <v>0.64</v>
      </c>
      <c r="J14">
        <v>0.66</v>
      </c>
      <c r="K14">
        <v>0.66</v>
      </c>
      <c r="L14">
        <v>0.59</v>
      </c>
      <c r="M14">
        <v>0.61</v>
      </c>
      <c r="N14">
        <v>0.62</v>
      </c>
      <c r="O14">
        <v>0.76</v>
      </c>
      <c r="P14">
        <v>0.69</v>
      </c>
      <c r="Q14">
        <v>0.66</v>
      </c>
      <c r="R14">
        <v>0.66</v>
      </c>
      <c r="S14">
        <v>0.85</v>
      </c>
      <c r="T14">
        <v>0.74</v>
      </c>
      <c r="U14">
        <v>0.66</v>
      </c>
      <c r="V14">
        <v>0.7</v>
      </c>
      <c r="W14">
        <v>0.62</v>
      </c>
      <c r="X14">
        <v>0.56</v>
      </c>
      <c r="Y14">
        <v>0.57</v>
      </c>
      <c r="Z14">
        <v>0.55</v>
      </c>
      <c r="AA14">
        <v>0.63</v>
      </c>
      <c r="AB14">
        <v>0.59</v>
      </c>
      <c r="AC14">
        <v>0.58</v>
      </c>
      <c r="AD14">
        <v>0.58</v>
      </c>
      <c r="AE14">
        <v>0.56</v>
      </c>
      <c r="AF14">
        <v>0.56</v>
      </c>
      <c r="AG14">
        <v>0.55</v>
      </c>
      <c r="AH14">
        <v>0.55</v>
      </c>
      <c r="AI14">
        <v>0.51</v>
      </c>
      <c r="AJ14">
        <v>0.5</v>
      </c>
      <c r="AK14">
        <v>0.51</v>
      </c>
      <c r="AL14">
        <v>0.51</v>
      </c>
    </row>
    <row r="15" spans="1:38" ht="12.75">
      <c r="A15">
        <f t="shared" si="0"/>
        <v>0.65</v>
      </c>
      <c r="B15" t="s">
        <v>51</v>
      </c>
      <c r="C15">
        <v>0.74</v>
      </c>
      <c r="D15">
        <v>0.73</v>
      </c>
      <c r="E15">
        <v>0.69</v>
      </c>
      <c r="F15">
        <v>0.69</v>
      </c>
      <c r="G15">
        <v>0.77</v>
      </c>
      <c r="H15">
        <v>0.67</v>
      </c>
      <c r="I15">
        <v>0.66</v>
      </c>
      <c r="J15">
        <v>0.66</v>
      </c>
      <c r="K15">
        <v>0.63</v>
      </c>
      <c r="L15">
        <v>0.57</v>
      </c>
      <c r="M15">
        <v>0.55</v>
      </c>
      <c r="N15">
        <v>0.57</v>
      </c>
      <c r="O15">
        <v>0.72</v>
      </c>
      <c r="P15">
        <v>0.66</v>
      </c>
      <c r="Q15">
        <v>0.64</v>
      </c>
      <c r="R15">
        <v>0.65</v>
      </c>
      <c r="S15">
        <v>0.84</v>
      </c>
      <c r="T15">
        <v>0.69</v>
      </c>
      <c r="U15">
        <v>0.67</v>
      </c>
      <c r="V15">
        <v>0.69</v>
      </c>
      <c r="W15">
        <v>0.63</v>
      </c>
      <c r="X15">
        <v>0.58</v>
      </c>
      <c r="Y15">
        <v>0.59</v>
      </c>
      <c r="Z15">
        <v>0.59</v>
      </c>
      <c r="AA15">
        <v>0.71</v>
      </c>
      <c r="AB15">
        <v>0.66</v>
      </c>
      <c r="AC15">
        <v>0.67</v>
      </c>
      <c r="AD15">
        <v>0.66</v>
      </c>
      <c r="AE15">
        <v>0.67</v>
      </c>
      <c r="AF15">
        <v>0.64</v>
      </c>
      <c r="AG15">
        <v>0.63</v>
      </c>
      <c r="AH15">
        <v>0.64</v>
      </c>
      <c r="AI15">
        <v>0.57</v>
      </c>
      <c r="AJ15">
        <v>0.56</v>
      </c>
      <c r="AK15">
        <v>0.56</v>
      </c>
      <c r="AL15">
        <v>0.55</v>
      </c>
    </row>
    <row r="16" spans="1:38" ht="12.75">
      <c r="A16">
        <f t="shared" si="0"/>
        <v>0.5563888888888889</v>
      </c>
      <c r="B16" t="s">
        <v>52</v>
      </c>
      <c r="C16">
        <v>0.6</v>
      </c>
      <c r="D16">
        <v>0.59</v>
      </c>
      <c r="E16">
        <v>0.58</v>
      </c>
      <c r="F16">
        <v>0.56</v>
      </c>
      <c r="G16">
        <v>0.61</v>
      </c>
      <c r="H16">
        <v>0.56</v>
      </c>
      <c r="I16">
        <v>0.53</v>
      </c>
      <c r="J16">
        <v>0.56</v>
      </c>
      <c r="K16">
        <v>0.56</v>
      </c>
      <c r="L16">
        <v>0.5</v>
      </c>
      <c r="M16">
        <v>0.49</v>
      </c>
      <c r="N16">
        <v>0.51</v>
      </c>
      <c r="O16">
        <v>0.62</v>
      </c>
      <c r="P16">
        <v>0.57</v>
      </c>
      <c r="Q16">
        <v>0.56</v>
      </c>
      <c r="R16">
        <v>0.56</v>
      </c>
      <c r="S16">
        <v>0.71</v>
      </c>
      <c r="T16">
        <v>0.61</v>
      </c>
      <c r="U16">
        <v>0.61</v>
      </c>
      <c r="V16">
        <v>0.61</v>
      </c>
      <c r="W16">
        <v>0.59</v>
      </c>
      <c r="X16">
        <v>0.52</v>
      </c>
      <c r="Y16">
        <v>0.53</v>
      </c>
      <c r="Z16">
        <v>0.54</v>
      </c>
      <c r="AA16">
        <v>0.61</v>
      </c>
      <c r="AB16">
        <v>0.58</v>
      </c>
      <c r="AC16">
        <v>0.57</v>
      </c>
      <c r="AD16">
        <v>0.57</v>
      </c>
      <c r="AE16">
        <v>0.57</v>
      </c>
      <c r="AF16">
        <v>0.52</v>
      </c>
      <c r="AG16">
        <v>0.54</v>
      </c>
      <c r="AH16">
        <v>0.53</v>
      </c>
      <c r="AI16">
        <v>0.48</v>
      </c>
      <c r="AJ16">
        <v>0.46</v>
      </c>
      <c r="AK16">
        <v>0.46</v>
      </c>
      <c r="AL16">
        <v>0.46</v>
      </c>
    </row>
    <row r="17" spans="1:38" ht="12.75">
      <c r="A17">
        <f t="shared" si="0"/>
        <v>0.26333333333333336</v>
      </c>
      <c r="B17" t="s">
        <v>53</v>
      </c>
      <c r="C17">
        <v>0.32</v>
      </c>
      <c r="D17">
        <v>0.31</v>
      </c>
      <c r="E17">
        <v>0.31</v>
      </c>
      <c r="F17">
        <v>0.3</v>
      </c>
      <c r="G17">
        <v>0.33</v>
      </c>
      <c r="H17">
        <v>0.3</v>
      </c>
      <c r="I17">
        <v>0.29</v>
      </c>
      <c r="J17">
        <v>0.3</v>
      </c>
      <c r="K17">
        <v>0.29</v>
      </c>
      <c r="L17">
        <v>0.26</v>
      </c>
      <c r="M17">
        <v>0.25</v>
      </c>
      <c r="N17">
        <v>0.26</v>
      </c>
      <c r="O17">
        <v>0.28</v>
      </c>
      <c r="P17">
        <v>0.26</v>
      </c>
      <c r="Q17">
        <v>0.25</v>
      </c>
      <c r="R17">
        <v>0.25</v>
      </c>
      <c r="S17">
        <v>0.29</v>
      </c>
      <c r="T17">
        <v>0.26</v>
      </c>
      <c r="U17">
        <v>0.25</v>
      </c>
      <c r="V17">
        <v>0.26</v>
      </c>
      <c r="W17">
        <v>0.24</v>
      </c>
      <c r="X17">
        <v>0.22</v>
      </c>
      <c r="Y17">
        <v>0.22</v>
      </c>
      <c r="Z17">
        <v>0.22</v>
      </c>
      <c r="AA17">
        <v>0.28</v>
      </c>
      <c r="AB17">
        <v>0.26</v>
      </c>
      <c r="AC17">
        <v>0.26</v>
      </c>
      <c r="AD17">
        <v>0.25</v>
      </c>
      <c r="AE17">
        <v>0.26</v>
      </c>
      <c r="AF17">
        <v>0.24</v>
      </c>
      <c r="AG17">
        <v>0.24</v>
      </c>
      <c r="AH17">
        <v>0.25</v>
      </c>
      <c r="AI17">
        <v>0.23</v>
      </c>
      <c r="AJ17">
        <v>0.23</v>
      </c>
      <c r="AK17">
        <v>0.23</v>
      </c>
      <c r="AL17">
        <v>0.23</v>
      </c>
    </row>
    <row r="18" spans="1:38" ht="12.75">
      <c r="A18">
        <f t="shared" si="0"/>
        <v>0.2650000000000001</v>
      </c>
      <c r="B18" t="s">
        <v>54</v>
      </c>
      <c r="C18">
        <v>0.29</v>
      </c>
      <c r="D18">
        <v>0.28</v>
      </c>
      <c r="E18">
        <v>0.28</v>
      </c>
      <c r="F18">
        <v>0.28</v>
      </c>
      <c r="G18">
        <v>0.3</v>
      </c>
      <c r="H18">
        <v>0.28</v>
      </c>
      <c r="I18">
        <v>0.27</v>
      </c>
      <c r="J18">
        <v>0.29</v>
      </c>
      <c r="K18">
        <v>0.29</v>
      </c>
      <c r="L18">
        <v>0.26</v>
      </c>
      <c r="M18">
        <v>0.26</v>
      </c>
      <c r="N18">
        <v>0.28</v>
      </c>
      <c r="O18">
        <v>0.33</v>
      </c>
      <c r="P18">
        <v>0.29</v>
      </c>
      <c r="Q18">
        <v>0.28</v>
      </c>
      <c r="R18">
        <v>0.27</v>
      </c>
      <c r="S18">
        <v>0.34</v>
      </c>
      <c r="T18">
        <v>0.29</v>
      </c>
      <c r="U18">
        <v>0.28</v>
      </c>
      <c r="V18">
        <v>0.28</v>
      </c>
      <c r="W18">
        <v>0.26</v>
      </c>
      <c r="X18">
        <v>0.22</v>
      </c>
      <c r="Y18">
        <v>0.22</v>
      </c>
      <c r="Z18">
        <v>0.23</v>
      </c>
      <c r="AA18">
        <v>0.28</v>
      </c>
      <c r="AB18">
        <v>0.25</v>
      </c>
      <c r="AC18">
        <v>0.25</v>
      </c>
      <c r="AD18">
        <v>0.25</v>
      </c>
      <c r="AE18">
        <v>0.25</v>
      </c>
      <c r="AF18">
        <v>0.24</v>
      </c>
      <c r="AG18">
        <v>0.24</v>
      </c>
      <c r="AH18">
        <v>0.24</v>
      </c>
      <c r="AI18">
        <v>0.23</v>
      </c>
      <c r="AJ18">
        <v>0.22</v>
      </c>
      <c r="AK18">
        <v>0.21</v>
      </c>
      <c r="AL18">
        <v>0.23</v>
      </c>
    </row>
    <row r="19" spans="1:38" ht="12.75">
      <c r="A19">
        <f t="shared" si="0"/>
        <v>0.2958333333333332</v>
      </c>
      <c r="B19" t="s">
        <v>55</v>
      </c>
      <c r="C19">
        <v>0.31</v>
      </c>
      <c r="D19">
        <v>0.33</v>
      </c>
      <c r="E19">
        <v>0.34</v>
      </c>
      <c r="F19">
        <v>0.33</v>
      </c>
      <c r="G19">
        <v>0.36</v>
      </c>
      <c r="H19">
        <v>0.34</v>
      </c>
      <c r="I19">
        <v>0.34</v>
      </c>
      <c r="J19">
        <v>0.35</v>
      </c>
      <c r="K19">
        <v>0.34</v>
      </c>
      <c r="L19">
        <v>0.31</v>
      </c>
      <c r="M19">
        <v>0.31</v>
      </c>
      <c r="N19">
        <v>0.32</v>
      </c>
      <c r="O19">
        <v>0.32</v>
      </c>
      <c r="P19">
        <v>0.3</v>
      </c>
      <c r="Q19">
        <v>0.31</v>
      </c>
      <c r="R19">
        <v>0.3</v>
      </c>
      <c r="S19">
        <v>0.35</v>
      </c>
      <c r="T19">
        <v>0.31</v>
      </c>
      <c r="U19">
        <v>0.3</v>
      </c>
      <c r="V19">
        <v>0.3</v>
      </c>
      <c r="W19">
        <v>0.28</v>
      </c>
      <c r="X19">
        <v>0.25</v>
      </c>
      <c r="Y19">
        <v>0.25</v>
      </c>
      <c r="Z19">
        <v>0.24</v>
      </c>
      <c r="AA19">
        <v>0.28</v>
      </c>
      <c r="AB19">
        <v>0.28</v>
      </c>
      <c r="AC19">
        <v>0.28</v>
      </c>
      <c r="AD19">
        <v>0.27</v>
      </c>
      <c r="AE19">
        <v>0.27</v>
      </c>
      <c r="AF19">
        <v>0.27</v>
      </c>
      <c r="AG19">
        <v>0.27</v>
      </c>
      <c r="AH19">
        <v>0.26</v>
      </c>
      <c r="AI19">
        <v>0.25</v>
      </c>
      <c r="AJ19">
        <v>0.24</v>
      </c>
      <c r="AK19">
        <v>0.25</v>
      </c>
      <c r="AL19">
        <v>0.24</v>
      </c>
    </row>
    <row r="20" spans="1:38" ht="12.75">
      <c r="A20">
        <f t="shared" si="0"/>
        <v>0.32722222222222225</v>
      </c>
      <c r="B20" t="s">
        <v>56</v>
      </c>
      <c r="C20">
        <v>0.3</v>
      </c>
      <c r="D20">
        <v>0.35</v>
      </c>
      <c r="E20">
        <v>0.35</v>
      </c>
      <c r="F20">
        <v>0.35</v>
      </c>
      <c r="G20">
        <v>0.37</v>
      </c>
      <c r="H20">
        <v>0.37</v>
      </c>
      <c r="I20">
        <v>0.36</v>
      </c>
      <c r="J20">
        <v>0.35</v>
      </c>
      <c r="K20">
        <v>0.34</v>
      </c>
      <c r="L20">
        <v>0.33</v>
      </c>
      <c r="M20">
        <v>0.33</v>
      </c>
      <c r="N20">
        <v>0.3</v>
      </c>
      <c r="O20">
        <v>0.3</v>
      </c>
      <c r="P20">
        <v>0.31</v>
      </c>
      <c r="Q20">
        <v>0.34</v>
      </c>
      <c r="R20">
        <v>0.33</v>
      </c>
      <c r="S20">
        <v>0.37</v>
      </c>
      <c r="T20">
        <v>0.35</v>
      </c>
      <c r="U20">
        <v>0.34</v>
      </c>
      <c r="V20">
        <v>0.34</v>
      </c>
      <c r="W20">
        <v>0.33</v>
      </c>
      <c r="X20">
        <v>0.31</v>
      </c>
      <c r="Y20">
        <v>0.3</v>
      </c>
      <c r="Z20">
        <v>0.27</v>
      </c>
      <c r="AA20">
        <v>0.3</v>
      </c>
      <c r="AB20">
        <v>0.32</v>
      </c>
      <c r="AC20">
        <v>0.33</v>
      </c>
      <c r="AD20">
        <v>0.32</v>
      </c>
      <c r="AE20">
        <v>0.34</v>
      </c>
      <c r="AF20">
        <v>0.34</v>
      </c>
      <c r="AG20">
        <v>0.34</v>
      </c>
      <c r="AH20">
        <v>0.32</v>
      </c>
      <c r="AI20">
        <v>0.32</v>
      </c>
      <c r="AJ20">
        <v>0.3</v>
      </c>
      <c r="AK20">
        <v>0.3</v>
      </c>
      <c r="AL20">
        <v>0.26</v>
      </c>
    </row>
    <row r="21" spans="1:38" ht="12.75">
      <c r="A21">
        <f t="shared" si="0"/>
        <v>0.35361111111111104</v>
      </c>
      <c r="B21" t="s">
        <v>57</v>
      </c>
      <c r="C21">
        <v>0.35</v>
      </c>
      <c r="D21">
        <v>0.34</v>
      </c>
      <c r="E21">
        <v>0.37</v>
      </c>
      <c r="F21">
        <v>0.35</v>
      </c>
      <c r="G21">
        <v>0.36</v>
      </c>
      <c r="H21">
        <v>0.38</v>
      </c>
      <c r="I21">
        <v>0.37</v>
      </c>
      <c r="J21">
        <v>0.37</v>
      </c>
      <c r="K21">
        <v>0.37</v>
      </c>
      <c r="L21">
        <v>0.35</v>
      </c>
      <c r="M21">
        <v>0.35</v>
      </c>
      <c r="N21">
        <v>0.35</v>
      </c>
      <c r="O21">
        <v>0.33</v>
      </c>
      <c r="P21">
        <v>0.34</v>
      </c>
      <c r="Q21">
        <v>0.34</v>
      </c>
      <c r="R21">
        <v>0.37</v>
      </c>
      <c r="S21">
        <v>0.36</v>
      </c>
      <c r="T21">
        <v>0.39</v>
      </c>
      <c r="U21">
        <v>0.37</v>
      </c>
      <c r="V21">
        <v>0.36</v>
      </c>
      <c r="W21">
        <v>0.36</v>
      </c>
      <c r="X21">
        <v>0.35</v>
      </c>
      <c r="Y21">
        <v>0.35</v>
      </c>
      <c r="Z21">
        <v>0.34</v>
      </c>
      <c r="AA21">
        <v>0.32</v>
      </c>
      <c r="AB21">
        <v>0.33</v>
      </c>
      <c r="AC21">
        <v>0.36</v>
      </c>
      <c r="AD21">
        <v>0.36</v>
      </c>
      <c r="AE21">
        <v>0.35</v>
      </c>
      <c r="AF21">
        <v>0.36</v>
      </c>
      <c r="AG21">
        <v>0.36</v>
      </c>
      <c r="AH21">
        <v>0.35</v>
      </c>
      <c r="AI21">
        <v>0.35</v>
      </c>
      <c r="AJ21">
        <v>0.35</v>
      </c>
      <c r="AK21">
        <v>0.34</v>
      </c>
      <c r="AL21">
        <v>0.33</v>
      </c>
    </row>
    <row r="22" spans="1:38" ht="12.75">
      <c r="A22">
        <f t="shared" si="0"/>
        <v>0.36138888888888876</v>
      </c>
      <c r="B22" t="s">
        <v>58</v>
      </c>
      <c r="C22">
        <v>0.36</v>
      </c>
      <c r="D22">
        <v>0.36</v>
      </c>
      <c r="E22">
        <v>0.37</v>
      </c>
      <c r="F22">
        <v>0.37</v>
      </c>
      <c r="G22">
        <v>0.36</v>
      </c>
      <c r="H22">
        <v>0.38</v>
      </c>
      <c r="I22">
        <v>0.39</v>
      </c>
      <c r="J22">
        <v>0.38</v>
      </c>
      <c r="K22">
        <v>0.37</v>
      </c>
      <c r="L22">
        <v>0.37</v>
      </c>
      <c r="M22">
        <v>0.36</v>
      </c>
      <c r="N22">
        <v>0.35</v>
      </c>
      <c r="O22">
        <v>0.34</v>
      </c>
      <c r="P22">
        <v>0.33</v>
      </c>
      <c r="Q22">
        <v>0.35</v>
      </c>
      <c r="R22">
        <v>0.37</v>
      </c>
      <c r="S22">
        <v>0.37</v>
      </c>
      <c r="T22">
        <v>0.39</v>
      </c>
      <c r="U22">
        <v>0.38</v>
      </c>
      <c r="V22">
        <v>0.38</v>
      </c>
      <c r="W22">
        <v>0.38</v>
      </c>
      <c r="X22">
        <v>0.37</v>
      </c>
      <c r="Y22">
        <v>0.36</v>
      </c>
      <c r="Z22">
        <v>0.34</v>
      </c>
      <c r="AA22">
        <v>0.33</v>
      </c>
      <c r="AB22">
        <v>0.34</v>
      </c>
      <c r="AC22">
        <v>0.36</v>
      </c>
      <c r="AD22">
        <v>0.36</v>
      </c>
      <c r="AE22">
        <v>0.35</v>
      </c>
      <c r="AF22">
        <v>0.35</v>
      </c>
      <c r="AG22">
        <v>0.38</v>
      </c>
      <c r="AH22">
        <v>0.37</v>
      </c>
      <c r="AI22">
        <v>0.35</v>
      </c>
      <c r="AJ22">
        <v>0.35</v>
      </c>
      <c r="AK22">
        <v>0.35</v>
      </c>
      <c r="AL22">
        <v>0.34</v>
      </c>
    </row>
    <row r="23" spans="1:38" ht="12.75">
      <c r="A23">
        <f t="shared" si="0"/>
        <v>0</v>
      </c>
      <c r="B23" t="s">
        <v>59</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row>
    <row r="26" ht="13.5" thickBot="1">
      <c r="B26">
        <v>0.938</v>
      </c>
    </row>
    <row r="27" spans="1:24" ht="12.75">
      <c r="A27" t="s">
        <v>197</v>
      </c>
      <c r="B27">
        <f>150/protonRM</f>
        <v>159.91471215351814</v>
      </c>
      <c r="D27" s="20" t="s">
        <v>189</v>
      </c>
      <c r="E27" s="20"/>
      <c r="F27" s="20"/>
      <c r="G27" s="20"/>
      <c r="H27" s="20"/>
      <c r="I27" s="20"/>
      <c r="J27" s="20"/>
      <c r="K27" s="20"/>
      <c r="O27" s="21" t="s">
        <v>190</v>
      </c>
      <c r="P27" s="22"/>
      <c r="Q27" s="22"/>
      <c r="R27" s="22"/>
      <c r="S27" s="22"/>
      <c r="T27" s="22"/>
      <c r="U27" s="22"/>
      <c r="V27" s="22"/>
      <c r="W27" s="23" t="s">
        <v>191</v>
      </c>
      <c r="X27" s="23"/>
    </row>
    <row r="28" spans="1:39" ht="12.75">
      <c r="A28" t="s">
        <v>198</v>
      </c>
      <c r="B28">
        <f>193/protonRM</f>
        <v>205.75692963752667</v>
      </c>
      <c r="D28" s="10" t="s">
        <v>223</v>
      </c>
      <c r="E28" s="10" t="s">
        <v>51</v>
      </c>
      <c r="F28" s="10" t="s">
        <v>52</v>
      </c>
      <c r="G28" s="10" t="s">
        <v>53</v>
      </c>
      <c r="H28" s="10" t="s">
        <v>54</v>
      </c>
      <c r="I28" s="10" t="s">
        <v>55</v>
      </c>
      <c r="J28" s="10" t="s">
        <v>56</v>
      </c>
      <c r="K28" s="10" t="s">
        <v>58</v>
      </c>
      <c r="O28" s="10" t="s">
        <v>223</v>
      </c>
      <c r="P28" s="10" t="s">
        <v>51</v>
      </c>
      <c r="Q28" s="10" t="s">
        <v>52</v>
      </c>
      <c r="R28" s="10" t="s">
        <v>53</v>
      </c>
      <c r="S28" s="10" t="s">
        <v>54</v>
      </c>
      <c r="T28" s="10" t="s">
        <v>55</v>
      </c>
      <c r="U28" s="10" t="s">
        <v>56</v>
      </c>
      <c r="V28" s="10" t="s">
        <v>58</v>
      </c>
      <c r="W28" s="13" t="s">
        <v>185</v>
      </c>
      <c r="X28" s="13" t="s">
        <v>188</v>
      </c>
      <c r="Z28" t="s">
        <v>183</v>
      </c>
      <c r="AA28" t="s">
        <v>52</v>
      </c>
      <c r="AB28" t="s">
        <v>53</v>
      </c>
      <c r="AC28" t="s">
        <v>54</v>
      </c>
      <c r="AD28" t="s">
        <v>55</v>
      </c>
      <c r="AE28" t="s">
        <v>56</v>
      </c>
      <c r="AF28" t="s">
        <v>57</v>
      </c>
      <c r="AJ28" t="str">
        <f>D28</f>
        <v>Shot #5974</v>
      </c>
      <c r="AK28" t="str">
        <f>G28</f>
        <v>flattop</v>
      </c>
      <c r="AL28" t="str">
        <f>J28</f>
        <v>Remove halo</v>
      </c>
      <c r="AM28" t="s">
        <v>184</v>
      </c>
    </row>
    <row r="29" spans="1:39" ht="12.75">
      <c r="A29" t="s">
        <v>196</v>
      </c>
      <c r="B29">
        <f>980/protonRM</f>
        <v>1044.7761194029852</v>
      </c>
      <c r="D29" s="10" t="s">
        <v>2</v>
      </c>
      <c r="E29" s="10">
        <v>0.74</v>
      </c>
      <c r="F29" s="10">
        <v>0.6</v>
      </c>
      <c r="G29" s="10">
        <v>0.32</v>
      </c>
      <c r="H29" s="10">
        <v>0.29</v>
      </c>
      <c r="I29" s="10">
        <v>0.31</v>
      </c>
      <c r="J29" s="10">
        <v>0.3</v>
      </c>
      <c r="K29" s="10">
        <v>0.36</v>
      </c>
      <c r="O29" s="11" t="str">
        <f>D29</f>
        <v>A1</v>
      </c>
      <c r="P29" s="12">
        <f>6*gamma150/betaInj*E29*E29</f>
        <v>6.312817232387349</v>
      </c>
      <c r="Q29" s="12">
        <f>6*gamma193/betaInj*F29*F29</f>
        <v>5.339841019068335</v>
      </c>
      <c r="R29" s="12">
        <f>6*gamma980/betaFT*G29*G29</f>
        <v>7.712488859319885</v>
      </c>
      <c r="S29" s="12">
        <f>6*gamma980/betaLB*H29*H29</f>
        <v>6.526697986391162</v>
      </c>
      <c r="T29" s="12">
        <f>6*gamma980/betaLB*I29*I29</f>
        <v>7.457974750204409</v>
      </c>
      <c r="U29" s="12">
        <f>6*gamma980/betaLB*J29*J29</f>
        <v>6.984575728599342</v>
      </c>
      <c r="V29" s="12">
        <f>scaleSL*6*gamma980/betaLB*K29*K29</f>
        <v>5.028894524591526</v>
      </c>
      <c r="W29" s="13">
        <f>U29-R29</f>
        <v>-0.7279131307205429</v>
      </c>
      <c r="X29" s="13">
        <f>U29-S29</f>
        <v>0.4578777422081801</v>
      </c>
      <c r="Z29" t="str">
        <f>D29</f>
        <v>A1</v>
      </c>
      <c r="AA29">
        <f aca="true" t="shared" si="1" ref="AA29:AF29">Q29-P29</f>
        <v>-0.9729762133190141</v>
      </c>
      <c r="AB29">
        <f t="shared" si="1"/>
        <v>2.37264784025155</v>
      </c>
      <c r="AC29">
        <f t="shared" si="1"/>
        <v>-1.185790872928723</v>
      </c>
      <c r="AD29">
        <f t="shared" si="1"/>
        <v>0.9312767638132469</v>
      </c>
      <c r="AE29">
        <f t="shared" si="1"/>
        <v>-0.47339902160506675</v>
      </c>
      <c r="AF29">
        <f t="shared" si="1"/>
        <v>-1.9556812040078162</v>
      </c>
      <c r="AJ29" t="str">
        <f aca="true" t="shared" si="2" ref="AJ29:AJ64">D29</f>
        <v>A1</v>
      </c>
      <c r="AK29">
        <f aca="true" t="shared" si="3" ref="AK29:AK64">G29</f>
        <v>0.32</v>
      </c>
      <c r="AL29">
        <f aca="true" t="shared" si="4" ref="AL29:AL64">J29</f>
        <v>0.3</v>
      </c>
      <c r="AM29">
        <f>AL29-AK29</f>
        <v>-0.020000000000000018</v>
      </c>
    </row>
    <row r="30" spans="4:39" ht="12.75">
      <c r="D30" s="10" t="s">
        <v>3</v>
      </c>
      <c r="E30" s="10">
        <v>0.73</v>
      </c>
      <c r="F30" s="10">
        <v>0.59</v>
      </c>
      <c r="G30" s="10">
        <v>0.31</v>
      </c>
      <c r="H30" s="10">
        <v>0.28</v>
      </c>
      <c r="I30" s="10">
        <v>0.33</v>
      </c>
      <c r="J30" s="10">
        <v>0.35</v>
      </c>
      <c r="K30" s="10">
        <v>0.36</v>
      </c>
      <c r="O30" s="11" t="str">
        <f aca="true" t="shared" si="5" ref="O30:O64">D30</f>
        <v>A2</v>
      </c>
      <c r="P30" s="12">
        <f>6*gamma150/betaInj*E30*E30</f>
        <v>6.143353365849559</v>
      </c>
      <c r="Q30" s="12">
        <f>6*gamma193/betaInj*F30*F30</f>
        <v>5.163329607604687</v>
      </c>
      <c r="R30" s="12">
        <f>6*gamma980/betaFT*G30*G30</f>
        <v>7.237990033014071</v>
      </c>
      <c r="S30" s="12">
        <f>6*gamma980/betaLB*H30*H30</f>
        <v>6.084341523579873</v>
      </c>
      <c r="T30" s="12">
        <f>6*gamma980/betaLB*I30*I30</f>
        <v>8.451336631605205</v>
      </c>
      <c r="U30" s="12">
        <f>6*gamma980/betaLB*J30*J30</f>
        <v>9.506783630593548</v>
      </c>
      <c r="V30" s="12">
        <f>scaleSL*6*gamma980/betaLB*K30*K30</f>
        <v>5.028894524591526</v>
      </c>
      <c r="W30" s="13">
        <f aca="true" t="shared" si="6" ref="W30:W64">U30-R30</f>
        <v>2.268793597579476</v>
      </c>
      <c r="X30" s="13">
        <f aca="true" t="shared" si="7" ref="X30:X64">U30-S30</f>
        <v>3.4224421070136746</v>
      </c>
      <c r="Z30" t="str">
        <f aca="true" t="shared" si="8" ref="Z30:Z64">D30</f>
        <v>A2</v>
      </c>
      <c r="AA30">
        <f aca="true" t="shared" si="9" ref="AA30:AA64">Q30-P30</f>
        <v>-0.9800237582448723</v>
      </c>
      <c r="AB30">
        <f aca="true" t="shared" si="10" ref="AB30:AB64">R30-Q30</f>
        <v>2.074660425409385</v>
      </c>
      <c r="AC30">
        <f aca="true" t="shared" si="11" ref="AC30:AC64">S30-R30</f>
        <v>-1.1536485094341984</v>
      </c>
      <c r="AD30">
        <f aca="true" t="shared" si="12" ref="AD30:AD64">T30-S30</f>
        <v>2.366995108025332</v>
      </c>
      <c r="AE30">
        <f aca="true" t="shared" si="13" ref="AE30:AE64">U30-T30</f>
        <v>1.0554469989883426</v>
      </c>
      <c r="AF30">
        <f aca="true" t="shared" si="14" ref="AF30:AF64">V30-U30</f>
        <v>-4.477889106002022</v>
      </c>
      <c r="AJ30" t="str">
        <f t="shared" si="2"/>
        <v>A2</v>
      </c>
      <c r="AK30">
        <f t="shared" si="3"/>
        <v>0.31</v>
      </c>
      <c r="AL30">
        <f t="shared" si="4"/>
        <v>0.35</v>
      </c>
      <c r="AM30">
        <f aca="true" t="shared" si="15" ref="AM30:AM64">AL30-AK30</f>
        <v>0.03999999999999998</v>
      </c>
    </row>
    <row r="31" spans="1:39" ht="12.75">
      <c r="A31" t="s">
        <v>199</v>
      </c>
      <c r="B31">
        <v>1</v>
      </c>
      <c r="D31" s="10" t="s">
        <v>4</v>
      </c>
      <c r="E31" s="10">
        <v>0.69</v>
      </c>
      <c r="F31" s="10">
        <v>0.58</v>
      </c>
      <c r="G31" s="10">
        <v>0.31</v>
      </c>
      <c r="H31" s="10">
        <v>0.28</v>
      </c>
      <c r="I31" s="10">
        <v>0.34</v>
      </c>
      <c r="J31" s="10">
        <v>0.35</v>
      </c>
      <c r="K31" s="10">
        <v>0.37</v>
      </c>
      <c r="O31" s="11" t="str">
        <f t="shared" si="5"/>
        <v>A3</v>
      </c>
      <c r="P31" s="12">
        <f>6*gamma150/betaInj*E31*E31</f>
        <v>5.488554208070886</v>
      </c>
      <c r="Q31" s="12">
        <f>6*gamma193/betaInj*F31*F31</f>
        <v>4.989784774484966</v>
      </c>
      <c r="R31" s="12">
        <f>6*gamma980/betaFT*G31*G31</f>
        <v>7.237990033014071</v>
      </c>
      <c r="S31" s="12">
        <f>6*gamma980/betaLB*H31*H31</f>
        <v>6.084341523579873</v>
      </c>
      <c r="T31" s="12">
        <f>6*gamma980/betaLB*I31*I31</f>
        <v>8.971299491400934</v>
      </c>
      <c r="U31" s="12">
        <f>6*gamma980/betaLB*J31*J31</f>
        <v>9.506783630593548</v>
      </c>
      <c r="V31" s="12">
        <f>scaleSL*6*gamma980/betaLB*K31*K31</f>
        <v>5.312157873584722</v>
      </c>
      <c r="W31" s="13">
        <f t="shared" si="6"/>
        <v>2.268793597579476</v>
      </c>
      <c r="X31" s="13">
        <f t="shared" si="7"/>
        <v>3.4224421070136746</v>
      </c>
      <c r="Z31" t="str">
        <f t="shared" si="8"/>
        <v>A3</v>
      </c>
      <c r="AA31">
        <f t="shared" si="9"/>
        <v>-0.4987694335859194</v>
      </c>
      <c r="AB31">
        <f t="shared" si="10"/>
        <v>2.2482052585291052</v>
      </c>
      <c r="AC31">
        <f t="shared" si="11"/>
        <v>-1.1536485094341984</v>
      </c>
      <c r="AD31">
        <f t="shared" si="12"/>
        <v>2.8869579678210613</v>
      </c>
      <c r="AE31">
        <f t="shared" si="13"/>
        <v>0.5354841391926133</v>
      </c>
      <c r="AF31">
        <f t="shared" si="14"/>
        <v>-4.194625757008826</v>
      </c>
      <c r="AJ31" t="str">
        <f t="shared" si="2"/>
        <v>A3</v>
      </c>
      <c r="AK31">
        <f t="shared" si="3"/>
        <v>0.31</v>
      </c>
      <c r="AL31">
        <f t="shared" si="4"/>
        <v>0.35</v>
      </c>
      <c r="AM31">
        <f t="shared" si="15"/>
        <v>0.03999999999999998</v>
      </c>
    </row>
    <row r="32" spans="1:39" ht="12.75">
      <c r="A32" t="s">
        <v>200</v>
      </c>
      <c r="B32">
        <v>0.5</v>
      </c>
      <c r="D32" s="10" t="s">
        <v>5</v>
      </c>
      <c r="E32" s="10">
        <v>0.69</v>
      </c>
      <c r="F32" s="10">
        <v>0.56</v>
      </c>
      <c r="G32" s="10">
        <v>0.3</v>
      </c>
      <c r="H32" s="10">
        <v>0.28</v>
      </c>
      <c r="I32" s="10">
        <v>0.33</v>
      </c>
      <c r="J32" s="10">
        <v>0.35</v>
      </c>
      <c r="K32" s="10">
        <v>0.37</v>
      </c>
      <c r="O32" s="11" t="str">
        <f t="shared" si="5"/>
        <v>A4</v>
      </c>
      <c r="P32" s="12">
        <f>6*gamma150/betaInj*E32*E32</f>
        <v>5.488554208070886</v>
      </c>
      <c r="Q32" s="12">
        <f>6*gamma193/betaInj*F32*F32</f>
        <v>4.651594843277307</v>
      </c>
      <c r="R32" s="12">
        <f>6*gamma980/betaFT*G32*G32</f>
        <v>6.778554661511618</v>
      </c>
      <c r="S32" s="12">
        <f>6*gamma980/betaLB*H32*H32</f>
        <v>6.084341523579873</v>
      </c>
      <c r="T32" s="12">
        <f>6*gamma980/betaLB*I32*I32</f>
        <v>8.451336631605205</v>
      </c>
      <c r="U32" s="12">
        <f>6*gamma980/betaLB*J32*J32</f>
        <v>9.506783630593548</v>
      </c>
      <c r="V32" s="12">
        <f>scaleSL*6*gamma980/betaLB*K32*K32</f>
        <v>5.312157873584722</v>
      </c>
      <c r="W32" s="13">
        <f t="shared" si="6"/>
        <v>2.72822896908193</v>
      </c>
      <c r="X32" s="13">
        <f>U32-S32</f>
        <v>3.4224421070136746</v>
      </c>
      <c r="Z32" t="str">
        <f t="shared" si="8"/>
        <v>A4</v>
      </c>
      <c r="AA32">
        <f t="shared" si="9"/>
        <v>-0.8369593647935787</v>
      </c>
      <c r="AB32">
        <f t="shared" si="10"/>
        <v>2.126959818234311</v>
      </c>
      <c r="AC32">
        <f t="shared" si="11"/>
        <v>-0.6942131379317447</v>
      </c>
      <c r="AD32">
        <f t="shared" si="12"/>
        <v>2.366995108025332</v>
      </c>
      <c r="AE32">
        <f t="shared" si="13"/>
        <v>1.0554469989883426</v>
      </c>
      <c r="AF32">
        <f t="shared" si="14"/>
        <v>-4.194625757008826</v>
      </c>
      <c r="AJ32" t="str">
        <f t="shared" si="2"/>
        <v>A4</v>
      </c>
      <c r="AK32">
        <f t="shared" si="3"/>
        <v>0.3</v>
      </c>
      <c r="AL32">
        <f t="shared" si="4"/>
        <v>0.35</v>
      </c>
      <c r="AM32">
        <f t="shared" si="15"/>
        <v>0.04999999999999999</v>
      </c>
    </row>
    <row r="33" spans="4:39" ht="12.75">
      <c r="D33" s="10" t="s">
        <v>6</v>
      </c>
      <c r="E33" s="10">
        <v>0.77</v>
      </c>
      <c r="F33" s="10">
        <v>0.61</v>
      </c>
      <c r="G33" s="10">
        <v>0.33</v>
      </c>
      <c r="H33" s="10">
        <v>0.3</v>
      </c>
      <c r="I33" s="10">
        <v>0.36</v>
      </c>
      <c r="J33" s="10">
        <v>0.37</v>
      </c>
      <c r="K33" s="10">
        <v>0.36</v>
      </c>
      <c r="O33" s="11" t="str">
        <f t="shared" si="5"/>
        <v>A5</v>
      </c>
      <c r="P33" s="12">
        <f>6*gamma150/betaInj*E33*E33</f>
        <v>6.835042617024215</v>
      </c>
      <c r="Q33" s="12">
        <f>6*gamma193/betaInj*F33*F33</f>
        <v>5.51931900887591</v>
      </c>
      <c r="R33" s="12">
        <f>6*gamma980/betaFT*G33*G33</f>
        <v>8.202051140429058</v>
      </c>
      <c r="S33" s="12">
        <f>6*gamma980/betaLB*H33*H33</f>
        <v>6.984575728599342</v>
      </c>
      <c r="T33" s="12">
        <f>6*gamma980/betaLB*I33*I33</f>
        <v>10.057789049183052</v>
      </c>
      <c r="U33" s="12">
        <f>6*gamma980/betaLB*J33*J33</f>
        <v>10.624315747169444</v>
      </c>
      <c r="V33" s="12">
        <f>scaleSL*6*gamma980/betaLB*K33*K33</f>
        <v>5.028894524591526</v>
      </c>
      <c r="W33" s="13">
        <f t="shared" si="6"/>
        <v>2.422264606740386</v>
      </c>
      <c r="X33" s="13">
        <f t="shared" si="7"/>
        <v>3.6397400185701017</v>
      </c>
      <c r="Z33" t="str">
        <f t="shared" si="8"/>
        <v>A5</v>
      </c>
      <c r="AA33">
        <f t="shared" si="9"/>
        <v>-1.3157236081483052</v>
      </c>
      <c r="AB33">
        <f t="shared" si="10"/>
        <v>2.6827321315531476</v>
      </c>
      <c r="AC33">
        <f t="shared" si="11"/>
        <v>-1.2174754118297155</v>
      </c>
      <c r="AD33">
        <f t="shared" si="12"/>
        <v>3.0732133205837098</v>
      </c>
      <c r="AE33">
        <f t="shared" si="13"/>
        <v>0.5665266979863919</v>
      </c>
      <c r="AF33">
        <f t="shared" si="14"/>
        <v>-5.595421222577918</v>
      </c>
      <c r="AJ33" t="str">
        <f t="shared" si="2"/>
        <v>A5</v>
      </c>
      <c r="AK33">
        <f t="shared" si="3"/>
        <v>0.33</v>
      </c>
      <c r="AL33">
        <f t="shared" si="4"/>
        <v>0.37</v>
      </c>
      <c r="AM33">
        <f t="shared" si="15"/>
        <v>0.03999999999999998</v>
      </c>
    </row>
    <row r="34" spans="1:39" ht="12.75">
      <c r="A34" t="s">
        <v>201</v>
      </c>
      <c r="B34">
        <v>83.23</v>
      </c>
      <c r="D34" s="10" t="s">
        <v>7</v>
      </c>
      <c r="E34" s="10">
        <v>0.67</v>
      </c>
      <c r="F34" s="10">
        <v>0.56</v>
      </c>
      <c r="G34" s="10">
        <v>0.3</v>
      </c>
      <c r="H34" s="10">
        <v>0.28</v>
      </c>
      <c r="I34" s="10">
        <v>0.34</v>
      </c>
      <c r="J34" s="10">
        <v>0.37</v>
      </c>
      <c r="K34" s="10">
        <v>0.38</v>
      </c>
      <c r="O34" s="11" t="str">
        <f t="shared" si="5"/>
        <v>A6</v>
      </c>
      <c r="P34" s="12">
        <f>6*gamma150/betaInj*E34*E34</f>
        <v>5.1749884142050435</v>
      </c>
      <c r="Q34" s="12">
        <f>6*gamma193/betaInj*F34*F34</f>
        <v>4.651594843277307</v>
      </c>
      <c r="R34" s="12">
        <f>6*gamma980/betaFT*G34*G34</f>
        <v>6.778554661511618</v>
      </c>
      <c r="S34" s="12">
        <f>6*gamma980/betaLB*H34*H34</f>
        <v>6.084341523579873</v>
      </c>
      <c r="T34" s="12">
        <f>6*gamma980/betaLB*I34*I34</f>
        <v>8.971299491400934</v>
      </c>
      <c r="U34" s="12">
        <f>6*gamma980/betaLB*J34*J34</f>
        <v>10.624315747169444</v>
      </c>
      <c r="V34" s="12">
        <f>scaleSL*6*gamma980/betaLB*K34*K34</f>
        <v>5.603181862276362</v>
      </c>
      <c r="W34" s="13">
        <f t="shared" si="6"/>
        <v>3.845761085657826</v>
      </c>
      <c r="X34" s="13">
        <f t="shared" si="7"/>
        <v>4.539974223589571</v>
      </c>
      <c r="Z34" t="str">
        <f t="shared" si="8"/>
        <v>A6</v>
      </c>
      <c r="AA34">
        <f t="shared" si="9"/>
        <v>-0.5233935709277366</v>
      </c>
      <c r="AB34">
        <f t="shared" si="10"/>
        <v>2.126959818234311</v>
      </c>
      <c r="AC34">
        <f t="shared" si="11"/>
        <v>-0.6942131379317447</v>
      </c>
      <c r="AD34">
        <f t="shared" si="12"/>
        <v>2.8869579678210613</v>
      </c>
      <c r="AE34">
        <f t="shared" si="13"/>
        <v>1.6530162557685095</v>
      </c>
      <c r="AF34">
        <f t="shared" si="14"/>
        <v>-5.021133884893082</v>
      </c>
      <c r="AJ34" t="str">
        <f t="shared" si="2"/>
        <v>A6</v>
      </c>
      <c r="AK34">
        <f t="shared" si="3"/>
        <v>0.3</v>
      </c>
      <c r="AL34">
        <f t="shared" si="4"/>
        <v>0.37</v>
      </c>
      <c r="AM34">
        <f t="shared" si="15"/>
        <v>0.07</v>
      </c>
    </row>
    <row r="35" spans="4:39" ht="12.75">
      <c r="D35" s="10" t="s">
        <v>8</v>
      </c>
      <c r="E35" s="10">
        <v>0.66</v>
      </c>
      <c r="F35" s="10">
        <v>0.53</v>
      </c>
      <c r="G35" s="10">
        <v>0.29</v>
      </c>
      <c r="H35" s="10">
        <v>0.27</v>
      </c>
      <c r="I35" s="10">
        <v>0.34</v>
      </c>
      <c r="J35" s="10">
        <v>0.36</v>
      </c>
      <c r="K35" s="10">
        <v>0.39</v>
      </c>
      <c r="O35" s="11" t="str">
        <f t="shared" si="5"/>
        <v>A7</v>
      </c>
      <c r="P35" s="12">
        <f>6*gamma150/betaInj*E35*E35</f>
        <v>5.0216639635279945</v>
      </c>
      <c r="Q35" s="12">
        <f>6*gamma193/betaInj*F35*F35</f>
        <v>4.166559284045266</v>
      </c>
      <c r="R35" s="12">
        <f>6*gamma980/betaFT*G35*G35</f>
        <v>6.334182744812522</v>
      </c>
      <c r="S35" s="12">
        <f>6*gamma980/betaLB*H35*H35</f>
        <v>5.657506340165469</v>
      </c>
      <c r="T35" s="12">
        <f>6*gamma980/betaLB*I35*I35</f>
        <v>8.971299491400934</v>
      </c>
      <c r="U35" s="12">
        <f>6*gamma980/betaLB*J35*J35</f>
        <v>10.057789049183052</v>
      </c>
      <c r="V35" s="12">
        <f>scaleSL*6*gamma980/betaLB*K35*K35</f>
        <v>5.901966490666445</v>
      </c>
      <c r="W35" s="13">
        <f t="shared" si="6"/>
        <v>3.72360630437053</v>
      </c>
      <c r="X35" s="13">
        <f t="shared" si="7"/>
        <v>4.400282709017583</v>
      </c>
      <c r="Z35" t="str">
        <f t="shared" si="8"/>
        <v>A7</v>
      </c>
      <c r="AA35">
        <f t="shared" si="9"/>
        <v>-0.8551046794827286</v>
      </c>
      <c r="AB35">
        <f t="shared" si="10"/>
        <v>2.167623460767256</v>
      </c>
      <c r="AC35">
        <f t="shared" si="11"/>
        <v>-0.6766764046470533</v>
      </c>
      <c r="AD35">
        <f t="shared" si="12"/>
        <v>3.3137931512354655</v>
      </c>
      <c r="AE35">
        <f t="shared" si="13"/>
        <v>1.0864895577821176</v>
      </c>
      <c r="AF35">
        <f t="shared" si="14"/>
        <v>-4.155822558516607</v>
      </c>
      <c r="AJ35" t="str">
        <f t="shared" si="2"/>
        <v>A7</v>
      </c>
      <c r="AK35">
        <f t="shared" si="3"/>
        <v>0.29</v>
      </c>
      <c r="AL35">
        <f t="shared" si="4"/>
        <v>0.36</v>
      </c>
      <c r="AM35">
        <f t="shared" si="15"/>
        <v>0.07</v>
      </c>
    </row>
    <row r="36" spans="1:39" ht="12.75">
      <c r="A36" t="s">
        <v>202</v>
      </c>
      <c r="B36">
        <v>83.23</v>
      </c>
      <c r="D36" s="10" t="s">
        <v>9</v>
      </c>
      <c r="E36" s="10">
        <v>0.66</v>
      </c>
      <c r="F36" s="10">
        <v>0.56</v>
      </c>
      <c r="G36" s="10">
        <v>0.3</v>
      </c>
      <c r="H36" s="10">
        <v>0.29</v>
      </c>
      <c r="I36" s="10">
        <v>0.35</v>
      </c>
      <c r="J36" s="10">
        <v>0.35</v>
      </c>
      <c r="K36" s="10">
        <v>0.38</v>
      </c>
      <c r="O36" s="11" t="str">
        <f t="shared" si="5"/>
        <v>A8</v>
      </c>
      <c r="P36" s="12">
        <f>6*gamma150/betaInj*E36*E36</f>
        <v>5.0216639635279945</v>
      </c>
      <c r="Q36" s="12">
        <f>6*gamma193/betaInj*F36*F36</f>
        <v>4.651594843277307</v>
      </c>
      <c r="R36" s="12">
        <f>6*gamma980/betaFT*G36*G36</f>
        <v>6.778554661511618</v>
      </c>
      <c r="S36" s="12">
        <f>6*gamma980/betaLB*H36*H36</f>
        <v>6.526697986391162</v>
      </c>
      <c r="T36" s="12">
        <f>6*gamma980/betaLB*I36*I36</f>
        <v>9.506783630593548</v>
      </c>
      <c r="U36" s="12">
        <f>6*gamma980/betaLB*J36*J36</f>
        <v>9.506783630593548</v>
      </c>
      <c r="V36" s="12">
        <f>scaleSL*6*gamma980/betaLB*K36*K36</f>
        <v>5.603181862276362</v>
      </c>
      <c r="W36" s="13">
        <f t="shared" si="6"/>
        <v>2.72822896908193</v>
      </c>
      <c r="X36" s="13">
        <f t="shared" si="7"/>
        <v>2.9800856442023855</v>
      </c>
      <c r="Z36" t="str">
        <f t="shared" si="8"/>
        <v>A8</v>
      </c>
      <c r="AA36">
        <f t="shared" si="9"/>
        <v>-0.3700691202506876</v>
      </c>
      <c r="AB36">
        <f t="shared" si="10"/>
        <v>2.126959818234311</v>
      </c>
      <c r="AC36">
        <f t="shared" si="11"/>
        <v>-0.2518566751204556</v>
      </c>
      <c r="AD36">
        <f t="shared" si="12"/>
        <v>2.9800856442023855</v>
      </c>
      <c r="AE36">
        <f t="shared" si="13"/>
        <v>0</v>
      </c>
      <c r="AF36">
        <f t="shared" si="14"/>
        <v>-3.903601768317186</v>
      </c>
      <c r="AJ36" t="str">
        <f t="shared" si="2"/>
        <v>A8</v>
      </c>
      <c r="AK36">
        <f t="shared" si="3"/>
        <v>0.3</v>
      </c>
      <c r="AL36">
        <f t="shared" si="4"/>
        <v>0.35</v>
      </c>
      <c r="AM36">
        <f t="shared" si="15"/>
        <v>0.04999999999999999</v>
      </c>
    </row>
    <row r="37" spans="1:39" ht="12.75">
      <c r="A37" t="s">
        <v>203</v>
      </c>
      <c r="B37">
        <v>80.775</v>
      </c>
      <c r="D37" s="10" t="s">
        <v>10</v>
      </c>
      <c r="E37" s="10">
        <v>0.63</v>
      </c>
      <c r="F37" s="10">
        <v>0.56</v>
      </c>
      <c r="G37" s="10">
        <v>0.29</v>
      </c>
      <c r="H37" s="10">
        <v>0.29</v>
      </c>
      <c r="I37" s="10">
        <v>0.34</v>
      </c>
      <c r="J37" s="10">
        <v>0.34</v>
      </c>
      <c r="K37" s="10">
        <v>0.37</v>
      </c>
      <c r="O37" s="11" t="str">
        <f t="shared" si="5"/>
        <v>A9</v>
      </c>
      <c r="P37" s="12">
        <f>6*gamma150/betaInj*E37*E37</f>
        <v>4.5755243965203425</v>
      </c>
      <c r="Q37" s="12">
        <f>6*gamma193/betaInj*F37*F37</f>
        <v>4.651594843277307</v>
      </c>
      <c r="R37" s="12">
        <f>6*gamma980/betaFT*G37*G37</f>
        <v>6.334182744812522</v>
      </c>
      <c r="S37" s="12">
        <f>6*gamma980/betaLB*H37*H37</f>
        <v>6.526697986391162</v>
      </c>
      <c r="T37" s="12">
        <f>6*gamma980/betaLB*I37*I37</f>
        <v>8.971299491400934</v>
      </c>
      <c r="U37" s="12">
        <f>6*gamma980/betaLB*J37*J37</f>
        <v>8.971299491400934</v>
      </c>
      <c r="V37" s="12">
        <f>scaleSL*6*gamma980/betaLB*K37*K37</f>
        <v>5.312157873584722</v>
      </c>
      <c r="W37" s="13">
        <f t="shared" si="6"/>
        <v>2.637116746588412</v>
      </c>
      <c r="X37" s="13">
        <f t="shared" si="7"/>
        <v>2.4446015050097722</v>
      </c>
      <c r="Z37" t="str">
        <f t="shared" si="8"/>
        <v>A9</v>
      </c>
      <c r="AA37">
        <f t="shared" si="9"/>
        <v>0.0760704467569644</v>
      </c>
      <c r="AB37">
        <f t="shared" si="10"/>
        <v>1.6825879015352152</v>
      </c>
      <c r="AC37">
        <f t="shared" si="11"/>
        <v>0.19251524157863997</v>
      </c>
      <c r="AD37">
        <f t="shared" si="12"/>
        <v>2.4446015050097722</v>
      </c>
      <c r="AE37">
        <f t="shared" si="13"/>
        <v>0</v>
      </c>
      <c r="AF37">
        <f t="shared" si="14"/>
        <v>-3.6591416178162124</v>
      </c>
      <c r="AJ37" t="str">
        <f t="shared" si="2"/>
        <v>A9</v>
      </c>
      <c r="AK37">
        <f t="shared" si="3"/>
        <v>0.29</v>
      </c>
      <c r="AL37">
        <f t="shared" si="4"/>
        <v>0.34</v>
      </c>
      <c r="AM37">
        <f t="shared" si="15"/>
        <v>0.050000000000000044</v>
      </c>
    </row>
    <row r="38" spans="1:39" ht="12.75">
      <c r="A38" t="s">
        <v>204</v>
      </c>
      <c r="B38">
        <v>103.08</v>
      </c>
      <c r="D38" s="10" t="s">
        <v>11</v>
      </c>
      <c r="E38" s="10">
        <v>0.57</v>
      </c>
      <c r="F38" s="10">
        <v>0.5</v>
      </c>
      <c r="G38" s="10">
        <v>0.26</v>
      </c>
      <c r="H38" s="10">
        <v>0.26</v>
      </c>
      <c r="I38" s="10">
        <v>0.31</v>
      </c>
      <c r="J38" s="10">
        <v>0.33</v>
      </c>
      <c r="K38" s="10">
        <v>0.37</v>
      </c>
      <c r="O38" s="11" t="str">
        <f t="shared" si="5"/>
        <v>A10</v>
      </c>
      <c r="P38" s="12">
        <f>6*gamma150/betaInj*E38*E38</f>
        <v>3.7454972951107557</v>
      </c>
      <c r="Q38" s="12">
        <f>6*gamma193/betaInj*F38*F38</f>
        <v>3.7082229299085663</v>
      </c>
      <c r="R38" s="12">
        <f>6*gamma980/betaFT*G38*G38</f>
        <v>5.091447723535393</v>
      </c>
      <c r="S38" s="12">
        <f>6*gamma980/betaLB*H38*H38</f>
        <v>5.246192436147951</v>
      </c>
      <c r="T38" s="12">
        <f>6*gamma980/betaLB*I38*I38</f>
        <v>7.457974750204409</v>
      </c>
      <c r="U38" s="12">
        <f>6*gamma980/betaLB*J38*J38</f>
        <v>8.451336631605205</v>
      </c>
      <c r="V38" s="12">
        <f>scaleSL*6*gamma980/betaLB*K38*K38</f>
        <v>5.312157873584722</v>
      </c>
      <c r="W38" s="13">
        <f t="shared" si="6"/>
        <v>3.359888908069812</v>
      </c>
      <c r="X38" s="13">
        <f t="shared" si="7"/>
        <v>3.2051441954572537</v>
      </c>
      <c r="Z38" t="str">
        <f t="shared" si="8"/>
        <v>A10</v>
      </c>
      <c r="AA38">
        <f t="shared" si="9"/>
        <v>-0.03727436520218941</v>
      </c>
      <c r="AB38">
        <f t="shared" si="10"/>
        <v>1.3832247936268267</v>
      </c>
      <c r="AC38">
        <f t="shared" si="11"/>
        <v>0.1547447126125583</v>
      </c>
      <c r="AD38">
        <f t="shared" si="12"/>
        <v>2.2117823140564576</v>
      </c>
      <c r="AE38">
        <f t="shared" si="13"/>
        <v>0.9933618814007961</v>
      </c>
      <c r="AF38">
        <f t="shared" si="14"/>
        <v>-3.139178758020483</v>
      </c>
      <c r="AJ38" t="str">
        <f t="shared" si="2"/>
        <v>A10</v>
      </c>
      <c r="AK38">
        <f t="shared" si="3"/>
        <v>0.26</v>
      </c>
      <c r="AL38">
        <f t="shared" si="4"/>
        <v>0.33</v>
      </c>
      <c r="AM38">
        <f t="shared" si="15"/>
        <v>0.07</v>
      </c>
    </row>
    <row r="39" spans="4:39" ht="12.75">
      <c r="D39" s="10" t="s">
        <v>12</v>
      </c>
      <c r="E39" s="10">
        <v>0.55</v>
      </c>
      <c r="F39" s="10">
        <v>0.49</v>
      </c>
      <c r="G39" s="10">
        <v>0.25</v>
      </c>
      <c r="H39" s="10">
        <v>0.26</v>
      </c>
      <c r="I39" s="10">
        <v>0.31</v>
      </c>
      <c r="J39" s="10">
        <v>0.33</v>
      </c>
      <c r="K39" s="10">
        <v>0.36</v>
      </c>
      <c r="O39" s="11" t="str">
        <f t="shared" si="5"/>
        <v>A11</v>
      </c>
      <c r="P39" s="12">
        <f>6*gamma150/betaInj*E39*E39</f>
        <v>3.4872666413388855</v>
      </c>
      <c r="Q39" s="12">
        <f>6*gamma193/betaInj*F39*F39</f>
        <v>3.5613773018841868</v>
      </c>
      <c r="R39" s="12">
        <f>6*gamma980/betaFT*G39*G39</f>
        <v>4.707329626049734</v>
      </c>
      <c r="S39" s="12">
        <f>6*gamma980/betaLB*H39*H39</f>
        <v>5.246192436147951</v>
      </c>
      <c r="T39" s="12">
        <f>6*gamma980/betaLB*I39*I39</f>
        <v>7.457974750204409</v>
      </c>
      <c r="U39" s="12">
        <f>6*gamma980/betaLB*J39*J39</f>
        <v>8.451336631605205</v>
      </c>
      <c r="V39" s="12">
        <f>scaleSL*6*gamma980/betaLB*K39*K39</f>
        <v>5.028894524591526</v>
      </c>
      <c r="W39" s="13">
        <f t="shared" si="6"/>
        <v>3.7440070055554706</v>
      </c>
      <c r="X39" s="13">
        <f>U39-S39</f>
        <v>3.2051441954572537</v>
      </c>
      <c r="Z39" t="str">
        <f t="shared" si="8"/>
        <v>A11</v>
      </c>
      <c r="AA39">
        <f t="shared" si="9"/>
        <v>0.07411066054530124</v>
      </c>
      <c r="AB39">
        <f t="shared" si="10"/>
        <v>1.1459523241655476</v>
      </c>
      <c r="AC39">
        <f t="shared" si="11"/>
        <v>0.5388628100982169</v>
      </c>
      <c r="AD39">
        <f t="shared" si="12"/>
        <v>2.2117823140564576</v>
      </c>
      <c r="AE39">
        <f t="shared" si="13"/>
        <v>0.9933618814007961</v>
      </c>
      <c r="AF39">
        <f t="shared" si="14"/>
        <v>-3.422442107013679</v>
      </c>
      <c r="AJ39" t="str">
        <f t="shared" si="2"/>
        <v>A11</v>
      </c>
      <c r="AK39">
        <f t="shared" si="3"/>
        <v>0.25</v>
      </c>
      <c r="AL39">
        <f t="shared" si="4"/>
        <v>0.33</v>
      </c>
      <c r="AM39">
        <f t="shared" si="15"/>
        <v>0.08000000000000002</v>
      </c>
    </row>
    <row r="40" spans="4:39" ht="12.75">
      <c r="D40" s="10" t="s">
        <v>13</v>
      </c>
      <c r="E40" s="10">
        <v>0.57</v>
      </c>
      <c r="F40" s="10">
        <v>0.51</v>
      </c>
      <c r="G40" s="10">
        <v>0.26</v>
      </c>
      <c r="H40" s="10">
        <v>0.28</v>
      </c>
      <c r="I40" s="10">
        <v>0.32</v>
      </c>
      <c r="J40" s="10">
        <v>0.3</v>
      </c>
      <c r="K40" s="10">
        <v>0.35</v>
      </c>
      <c r="O40" s="11" t="str">
        <f t="shared" si="5"/>
        <v>A12</v>
      </c>
      <c r="P40" s="12">
        <f>6*gamma150/betaInj*E40*E40</f>
        <v>3.7454972951107557</v>
      </c>
      <c r="Q40" s="12">
        <f>6*gamma193/betaInj*F40*F40</f>
        <v>3.8580351362768726</v>
      </c>
      <c r="R40" s="12">
        <f>6*gamma980/betaFT*G40*G40</f>
        <v>5.091447723535393</v>
      </c>
      <c r="S40" s="12">
        <f>6*gamma980/betaLB*H40*H40</f>
        <v>6.084341523579873</v>
      </c>
      <c r="T40" s="12">
        <f>6*gamma980/betaLB*I40*I40</f>
        <v>7.946895051206363</v>
      </c>
      <c r="U40" s="12">
        <f>6*gamma980/betaLB*J40*J40</f>
        <v>6.984575728599342</v>
      </c>
      <c r="V40" s="12">
        <f>scaleSL*6*gamma980/betaLB*K40*K40</f>
        <v>4.753391815296774</v>
      </c>
      <c r="W40" s="13">
        <f t="shared" si="6"/>
        <v>1.8931280050639492</v>
      </c>
      <c r="X40" s="13">
        <f t="shared" si="7"/>
        <v>0.9002342050194692</v>
      </c>
      <c r="Z40" t="str">
        <f t="shared" si="8"/>
        <v>A12</v>
      </c>
      <c r="AA40">
        <f t="shared" si="9"/>
        <v>0.11253784116611687</v>
      </c>
      <c r="AB40">
        <f t="shared" si="10"/>
        <v>1.2334125872585204</v>
      </c>
      <c r="AC40">
        <f t="shared" si="11"/>
        <v>0.99289380004448</v>
      </c>
      <c r="AD40">
        <f t="shared" si="12"/>
        <v>1.8625535276264902</v>
      </c>
      <c r="AE40">
        <f t="shared" si="13"/>
        <v>-0.962319322607021</v>
      </c>
      <c r="AF40">
        <f t="shared" si="14"/>
        <v>-2.2311839133025684</v>
      </c>
      <c r="AJ40" t="str">
        <f t="shared" si="2"/>
        <v>A12</v>
      </c>
      <c r="AK40">
        <f t="shared" si="3"/>
        <v>0.26</v>
      </c>
      <c r="AL40">
        <f t="shared" si="4"/>
        <v>0.3</v>
      </c>
      <c r="AM40">
        <f t="shared" si="15"/>
        <v>0.03999999999999998</v>
      </c>
    </row>
    <row r="41" spans="4:39" ht="12.75">
      <c r="D41" s="10" t="s">
        <v>14</v>
      </c>
      <c r="E41" s="10">
        <v>0.72</v>
      </c>
      <c r="F41" s="10">
        <v>0.62</v>
      </c>
      <c r="G41" s="10">
        <v>0.28</v>
      </c>
      <c r="H41" s="10">
        <v>0.33</v>
      </c>
      <c r="I41" s="10">
        <v>0.32</v>
      </c>
      <c r="J41" s="10">
        <v>0.3</v>
      </c>
      <c r="K41" s="10">
        <v>0.34</v>
      </c>
      <c r="O41" s="11" t="str">
        <f t="shared" si="5"/>
        <v>A13</v>
      </c>
      <c r="P41" s="12">
        <f>6*gamma150/betaInj*E41*E41</f>
        <v>5.9761951301490175</v>
      </c>
      <c r="Q41" s="12">
        <f>6*gamma193/betaInj*F41*F41</f>
        <v>5.701763577027411</v>
      </c>
      <c r="R41" s="12">
        <f>6*gamma980/betaFT*G41*G41</f>
        <v>5.904874282916788</v>
      </c>
      <c r="S41" s="12">
        <f>6*gamma980/betaLB*H41*H41</f>
        <v>8.451336631605205</v>
      </c>
      <c r="T41" s="12">
        <f>6*gamma980/betaLB*I41*I41</f>
        <v>7.946895051206363</v>
      </c>
      <c r="U41" s="12">
        <f>6*gamma980/betaLB*J41*J41</f>
        <v>6.984575728599342</v>
      </c>
      <c r="V41" s="12">
        <f>scaleSL*6*gamma980/betaLB*K41*K41</f>
        <v>4.485649745700467</v>
      </c>
      <c r="W41" s="13">
        <f t="shared" si="6"/>
        <v>1.079701445682554</v>
      </c>
      <c r="X41" s="13">
        <f t="shared" si="7"/>
        <v>-1.4667609030058628</v>
      </c>
      <c r="Z41" t="str">
        <f t="shared" si="8"/>
        <v>A13</v>
      </c>
      <c r="AA41">
        <f t="shared" si="9"/>
        <v>-0.27443155312160616</v>
      </c>
      <c r="AB41">
        <f t="shared" si="10"/>
        <v>0.20311070588937685</v>
      </c>
      <c r="AC41">
        <f t="shared" si="11"/>
        <v>2.546462348688417</v>
      </c>
      <c r="AD41">
        <f t="shared" si="12"/>
        <v>-0.5044415803988418</v>
      </c>
      <c r="AE41">
        <f t="shared" si="13"/>
        <v>-0.962319322607021</v>
      </c>
      <c r="AF41">
        <f t="shared" si="14"/>
        <v>-2.498925982898875</v>
      </c>
      <c r="AJ41" t="str">
        <f t="shared" si="2"/>
        <v>A13</v>
      </c>
      <c r="AK41">
        <f t="shared" si="3"/>
        <v>0.28</v>
      </c>
      <c r="AL41">
        <f t="shared" si="4"/>
        <v>0.3</v>
      </c>
      <c r="AM41">
        <f t="shared" si="15"/>
        <v>0.019999999999999962</v>
      </c>
    </row>
    <row r="42" spans="4:39" ht="12.75">
      <c r="D42" s="10" t="s">
        <v>15</v>
      </c>
      <c r="E42" s="10">
        <v>0.66</v>
      </c>
      <c r="F42" s="10">
        <v>0.57</v>
      </c>
      <c r="G42" s="10">
        <v>0.26</v>
      </c>
      <c r="H42" s="10">
        <v>0.29</v>
      </c>
      <c r="I42" s="10">
        <v>0.3</v>
      </c>
      <c r="J42" s="10">
        <v>0.31</v>
      </c>
      <c r="K42" s="10">
        <v>0.33</v>
      </c>
      <c r="O42" s="11" t="str">
        <f t="shared" si="5"/>
        <v>A14</v>
      </c>
      <c r="P42" s="12">
        <f>6*gamma150/betaInj*E42*E42</f>
        <v>5.0216639635279945</v>
      </c>
      <c r="Q42" s="12">
        <f>6*gamma193/betaInj*F42*F42</f>
        <v>4.819206519709172</v>
      </c>
      <c r="R42" s="12">
        <f>6*gamma980/betaFT*G42*G42</f>
        <v>5.091447723535393</v>
      </c>
      <c r="S42" s="12">
        <f>6*gamma980/betaLB*H42*H42</f>
        <v>6.526697986391162</v>
      </c>
      <c r="T42" s="12">
        <f>6*gamma980/betaLB*I42*I42</f>
        <v>6.984575728599342</v>
      </c>
      <c r="U42" s="12">
        <f>6*gamma980/betaLB*J42*J42</f>
        <v>7.457974750204409</v>
      </c>
      <c r="V42" s="12">
        <f>scaleSL*6*gamma980/betaLB*K42*K42</f>
        <v>4.2256683158026025</v>
      </c>
      <c r="W42" s="13">
        <f t="shared" si="6"/>
        <v>2.366527026669016</v>
      </c>
      <c r="X42" s="13">
        <f t="shared" si="7"/>
        <v>0.9312767638132469</v>
      </c>
      <c r="Z42" t="str">
        <f t="shared" si="8"/>
        <v>A14</v>
      </c>
      <c r="AA42">
        <f t="shared" si="9"/>
        <v>-0.20245744381882247</v>
      </c>
      <c r="AB42">
        <f t="shared" si="10"/>
        <v>0.27224120382622097</v>
      </c>
      <c r="AC42">
        <f t="shared" si="11"/>
        <v>1.435250262855769</v>
      </c>
      <c r="AD42">
        <f t="shared" si="12"/>
        <v>0.4578777422081801</v>
      </c>
      <c r="AE42">
        <f t="shared" si="13"/>
        <v>0.47339902160506675</v>
      </c>
      <c r="AF42">
        <f t="shared" si="14"/>
        <v>-3.2323064344018064</v>
      </c>
      <c r="AJ42" t="str">
        <f t="shared" si="2"/>
        <v>A14</v>
      </c>
      <c r="AK42">
        <f t="shared" si="3"/>
        <v>0.26</v>
      </c>
      <c r="AL42">
        <f t="shared" si="4"/>
        <v>0.31</v>
      </c>
      <c r="AM42">
        <f t="shared" si="15"/>
        <v>0.04999999999999999</v>
      </c>
    </row>
    <row r="43" spans="4:39" ht="12.75">
      <c r="D43" s="10" t="s">
        <v>16</v>
      </c>
      <c r="E43" s="10">
        <v>0.64</v>
      </c>
      <c r="F43" s="10">
        <v>0.56</v>
      </c>
      <c r="G43" s="10">
        <v>0.25</v>
      </c>
      <c r="H43" s="10">
        <v>0.28</v>
      </c>
      <c r="I43" s="10">
        <v>0.31</v>
      </c>
      <c r="J43" s="10">
        <v>0.34</v>
      </c>
      <c r="K43" s="10">
        <v>0.35</v>
      </c>
      <c r="O43" s="11" t="str">
        <f t="shared" si="5"/>
        <v>A15</v>
      </c>
      <c r="P43" s="12">
        <f>6*gamma150/betaInj*E43*E43</f>
        <v>4.721931954685644</v>
      </c>
      <c r="Q43" s="12">
        <f>6*gamma193/betaInj*F43*F43</f>
        <v>4.651594843277307</v>
      </c>
      <c r="R43" s="12">
        <f>6*gamma980/betaFT*G43*G43</f>
        <v>4.707329626049734</v>
      </c>
      <c r="S43" s="12">
        <f>6*gamma980/betaLB*H43*H43</f>
        <v>6.084341523579873</v>
      </c>
      <c r="T43" s="12">
        <f>6*gamma980/betaLB*I43*I43</f>
        <v>7.457974750204409</v>
      </c>
      <c r="U43" s="12">
        <f>6*gamma980/betaLB*J43*J43</f>
        <v>8.971299491400934</v>
      </c>
      <c r="V43" s="12">
        <f>scaleSL*6*gamma980/betaLB*K43*K43</f>
        <v>4.753391815296774</v>
      </c>
      <c r="W43" s="13">
        <f t="shared" si="6"/>
        <v>4.2639698653512</v>
      </c>
      <c r="X43" s="13">
        <f t="shared" si="7"/>
        <v>2.8869579678210613</v>
      </c>
      <c r="Z43" t="str">
        <f t="shared" si="8"/>
        <v>A15</v>
      </c>
      <c r="AA43">
        <f t="shared" si="9"/>
        <v>-0.0703371114083371</v>
      </c>
      <c r="AB43">
        <f t="shared" si="10"/>
        <v>0.055734782772427494</v>
      </c>
      <c r="AC43">
        <f t="shared" si="11"/>
        <v>1.3770118975301386</v>
      </c>
      <c r="AD43">
        <f t="shared" si="12"/>
        <v>1.373633226624536</v>
      </c>
      <c r="AE43">
        <f t="shared" si="13"/>
        <v>1.5133247411965254</v>
      </c>
      <c r="AF43">
        <f t="shared" si="14"/>
        <v>-4.2179076761041605</v>
      </c>
      <c r="AJ43" t="str">
        <f t="shared" si="2"/>
        <v>A15</v>
      </c>
      <c r="AK43">
        <f t="shared" si="3"/>
        <v>0.25</v>
      </c>
      <c r="AL43">
        <f t="shared" si="4"/>
        <v>0.34</v>
      </c>
      <c r="AM43">
        <f t="shared" si="15"/>
        <v>0.09000000000000002</v>
      </c>
    </row>
    <row r="44" spans="4:39" ht="12.75">
      <c r="D44" s="10" t="s">
        <v>17</v>
      </c>
      <c r="E44" s="10">
        <v>0.65</v>
      </c>
      <c r="F44" s="10">
        <v>0.56</v>
      </c>
      <c r="G44" s="10">
        <v>0.25</v>
      </c>
      <c r="H44" s="10">
        <v>0.27</v>
      </c>
      <c r="I44" s="10">
        <v>0.3</v>
      </c>
      <c r="J44" s="10">
        <v>0.33</v>
      </c>
      <c r="K44" s="10">
        <v>0.37</v>
      </c>
      <c r="O44" s="11" t="str">
        <f t="shared" si="5"/>
        <v>A16</v>
      </c>
      <c r="P44" s="12">
        <f>6*gamma150/betaInj*E44*E44</f>
        <v>4.870645143688195</v>
      </c>
      <c r="Q44" s="12">
        <f>6*gamma193/betaInj*F44*F44</f>
        <v>4.651594843277307</v>
      </c>
      <c r="R44" s="12">
        <f>6*gamma980/betaFT*G44*G44</f>
        <v>4.707329626049734</v>
      </c>
      <c r="S44" s="12">
        <f>6*gamma980/betaLB*H44*H44</f>
        <v>5.657506340165469</v>
      </c>
      <c r="T44" s="12">
        <f>6*gamma980/betaLB*I44*I44</f>
        <v>6.984575728599342</v>
      </c>
      <c r="U44" s="12">
        <f>6*gamma980/betaLB*J44*J44</f>
        <v>8.451336631605205</v>
      </c>
      <c r="V44" s="12">
        <f>scaleSL*6*gamma980/betaLB*K44*K44</f>
        <v>5.312157873584722</v>
      </c>
      <c r="W44" s="13">
        <f t="shared" si="6"/>
        <v>3.7440070055554706</v>
      </c>
      <c r="X44" s="13">
        <f t="shared" si="7"/>
        <v>2.793830291439736</v>
      </c>
      <c r="Z44" t="str">
        <f t="shared" si="8"/>
        <v>A16</v>
      </c>
      <c r="AA44">
        <f t="shared" si="9"/>
        <v>-0.21905030041088835</v>
      </c>
      <c r="AB44">
        <f t="shared" si="10"/>
        <v>0.055734782772427494</v>
      </c>
      <c r="AC44">
        <f t="shared" si="11"/>
        <v>0.9501767141157345</v>
      </c>
      <c r="AD44">
        <f t="shared" si="12"/>
        <v>1.3270693884338733</v>
      </c>
      <c r="AE44">
        <f t="shared" si="13"/>
        <v>1.4667609030058628</v>
      </c>
      <c r="AF44">
        <f t="shared" si="14"/>
        <v>-3.139178758020483</v>
      </c>
      <c r="AJ44" t="str">
        <f t="shared" si="2"/>
        <v>A16</v>
      </c>
      <c r="AK44">
        <f t="shared" si="3"/>
        <v>0.25</v>
      </c>
      <c r="AL44">
        <f t="shared" si="4"/>
        <v>0.33</v>
      </c>
      <c r="AM44">
        <f t="shared" si="15"/>
        <v>0.08000000000000002</v>
      </c>
    </row>
    <row r="45" spans="4:39" ht="12.75">
      <c r="D45" s="10" t="s">
        <v>18</v>
      </c>
      <c r="E45" s="10">
        <v>0.84</v>
      </c>
      <c r="F45" s="10">
        <v>0.71</v>
      </c>
      <c r="G45" s="10">
        <v>0.29</v>
      </c>
      <c r="H45" s="10">
        <v>0.34</v>
      </c>
      <c r="I45" s="10">
        <v>0.35</v>
      </c>
      <c r="J45" s="10">
        <v>0.37</v>
      </c>
      <c r="K45" s="10">
        <v>0.37</v>
      </c>
      <c r="O45" s="11" t="str">
        <f t="shared" si="5"/>
        <v>A17</v>
      </c>
      <c r="P45" s="12">
        <f>6*gamma150/betaInj*E45*E45</f>
        <v>8.13426559381394</v>
      </c>
      <c r="Q45" s="12">
        <f>6*gamma193/betaInj*F45*F45</f>
        <v>7.477260715867632</v>
      </c>
      <c r="R45" s="12">
        <f>6*gamma980/betaFT*G45*G45</f>
        <v>6.334182744812522</v>
      </c>
      <c r="S45" s="12">
        <f>6*gamma980/betaLB*H45*H45</f>
        <v>8.971299491400934</v>
      </c>
      <c r="T45" s="12">
        <f>6*gamma980/betaLB*I45*I45</f>
        <v>9.506783630593548</v>
      </c>
      <c r="U45" s="12">
        <f>6*gamma980/betaLB*J45*J45</f>
        <v>10.624315747169444</v>
      </c>
      <c r="V45" s="12">
        <f>scaleSL*6*gamma980/betaLB*K45*K45</f>
        <v>5.312157873584722</v>
      </c>
      <c r="W45" s="13">
        <f t="shared" si="6"/>
        <v>4.290133002356922</v>
      </c>
      <c r="X45" s="13">
        <f t="shared" si="7"/>
        <v>1.6530162557685095</v>
      </c>
      <c r="Z45" t="str">
        <f t="shared" si="8"/>
        <v>A17</v>
      </c>
      <c r="AA45">
        <f t="shared" si="9"/>
        <v>-0.6570048779463074</v>
      </c>
      <c r="AB45">
        <f t="shared" si="10"/>
        <v>-1.14307797105511</v>
      </c>
      <c r="AC45">
        <f t="shared" si="11"/>
        <v>2.637116746588412</v>
      </c>
      <c r="AD45">
        <f t="shared" si="12"/>
        <v>0.5354841391926133</v>
      </c>
      <c r="AE45">
        <f t="shared" si="13"/>
        <v>1.1175321165758962</v>
      </c>
      <c r="AF45">
        <f t="shared" si="14"/>
        <v>-5.312157873584722</v>
      </c>
      <c r="AJ45" t="str">
        <f t="shared" si="2"/>
        <v>A17</v>
      </c>
      <c r="AK45">
        <f t="shared" si="3"/>
        <v>0.29</v>
      </c>
      <c r="AL45">
        <f t="shared" si="4"/>
        <v>0.37</v>
      </c>
      <c r="AM45">
        <f t="shared" si="15"/>
        <v>0.08000000000000002</v>
      </c>
    </row>
    <row r="46" spans="4:39" ht="12.75">
      <c r="D46" s="10" t="s">
        <v>19</v>
      </c>
      <c r="E46" s="10">
        <v>0.69</v>
      </c>
      <c r="F46" s="10">
        <v>0.61</v>
      </c>
      <c r="G46" s="10">
        <v>0.26</v>
      </c>
      <c r="H46" s="10">
        <v>0.29</v>
      </c>
      <c r="I46" s="10">
        <v>0.31</v>
      </c>
      <c r="J46" s="10">
        <v>0.35</v>
      </c>
      <c r="K46" s="10">
        <v>0.39</v>
      </c>
      <c r="O46" s="11" t="str">
        <f t="shared" si="5"/>
        <v>A18</v>
      </c>
      <c r="P46" s="12">
        <f>6*gamma150/betaInj*E46*E46</f>
        <v>5.488554208070886</v>
      </c>
      <c r="Q46" s="12">
        <f>6*gamma193/betaInj*F46*F46</f>
        <v>5.51931900887591</v>
      </c>
      <c r="R46" s="12">
        <f>6*gamma980/betaFT*G46*G46</f>
        <v>5.091447723535393</v>
      </c>
      <c r="S46" s="12">
        <f>6*gamma980/betaLB*H46*H46</f>
        <v>6.526697986391162</v>
      </c>
      <c r="T46" s="12">
        <f>6*gamma980/betaLB*I46*I46</f>
        <v>7.457974750204409</v>
      </c>
      <c r="U46" s="12">
        <f>6*gamma980/betaLB*J46*J46</f>
        <v>9.506783630593548</v>
      </c>
      <c r="V46" s="12">
        <f>scaleSL*6*gamma980/betaLB*K46*K46</f>
        <v>5.901966490666445</v>
      </c>
      <c r="W46" s="13">
        <f t="shared" si="6"/>
        <v>4.415335907058155</v>
      </c>
      <c r="X46" s="13">
        <f t="shared" si="7"/>
        <v>2.9800856442023855</v>
      </c>
      <c r="Z46" t="str">
        <f t="shared" si="8"/>
        <v>A18</v>
      </c>
      <c r="AA46">
        <f t="shared" si="9"/>
        <v>0.030764800805024528</v>
      </c>
      <c r="AB46">
        <f t="shared" si="10"/>
        <v>-0.4278712853405171</v>
      </c>
      <c r="AC46">
        <f t="shared" si="11"/>
        <v>1.435250262855769</v>
      </c>
      <c r="AD46">
        <f t="shared" si="12"/>
        <v>0.9312767638132469</v>
      </c>
      <c r="AE46">
        <f t="shared" si="13"/>
        <v>2.0488088803891387</v>
      </c>
      <c r="AF46">
        <f t="shared" si="14"/>
        <v>-3.6048171399271025</v>
      </c>
      <c r="AJ46" t="str">
        <f t="shared" si="2"/>
        <v>A18</v>
      </c>
      <c r="AK46">
        <f t="shared" si="3"/>
        <v>0.26</v>
      </c>
      <c r="AL46">
        <f t="shared" si="4"/>
        <v>0.35</v>
      </c>
      <c r="AM46">
        <f t="shared" si="15"/>
        <v>0.08999999999999997</v>
      </c>
    </row>
    <row r="47" spans="4:39" ht="12.75">
      <c r="D47" s="10" t="s">
        <v>20</v>
      </c>
      <c r="E47" s="10">
        <v>0.67</v>
      </c>
      <c r="F47" s="10">
        <v>0.61</v>
      </c>
      <c r="G47" s="10">
        <v>0.25</v>
      </c>
      <c r="H47" s="10">
        <v>0.28</v>
      </c>
      <c r="I47" s="10">
        <v>0.3</v>
      </c>
      <c r="J47" s="10">
        <v>0.34</v>
      </c>
      <c r="K47" s="10">
        <v>0.38</v>
      </c>
      <c r="O47" s="11" t="str">
        <f t="shared" si="5"/>
        <v>A19</v>
      </c>
      <c r="P47" s="12">
        <f>6*gamma150/betaInj*E47*E47</f>
        <v>5.1749884142050435</v>
      </c>
      <c r="Q47" s="12">
        <f>6*gamma193/betaInj*F47*F47</f>
        <v>5.51931900887591</v>
      </c>
      <c r="R47" s="12">
        <f>6*gamma980/betaFT*G47*G47</f>
        <v>4.707329626049734</v>
      </c>
      <c r="S47" s="12">
        <f>6*gamma980/betaLB*H47*H47</f>
        <v>6.084341523579873</v>
      </c>
      <c r="T47" s="12">
        <f>6*gamma980/betaLB*I47*I47</f>
        <v>6.984575728599342</v>
      </c>
      <c r="U47" s="12">
        <f>6*gamma980/betaLB*J47*J47</f>
        <v>8.971299491400934</v>
      </c>
      <c r="V47" s="12">
        <f>scaleSL*6*gamma980/betaLB*K47*K47</f>
        <v>5.603181862276362</v>
      </c>
      <c r="W47" s="13">
        <f t="shared" si="6"/>
        <v>4.2639698653512</v>
      </c>
      <c r="X47" s="13">
        <f t="shared" si="7"/>
        <v>2.8869579678210613</v>
      </c>
      <c r="Z47" t="str">
        <f t="shared" si="8"/>
        <v>A19</v>
      </c>
      <c r="AA47">
        <f t="shared" si="9"/>
        <v>0.3443305946708666</v>
      </c>
      <c r="AB47">
        <f t="shared" si="10"/>
        <v>-0.8119893828261757</v>
      </c>
      <c r="AC47">
        <f t="shared" si="11"/>
        <v>1.3770118975301386</v>
      </c>
      <c r="AD47">
        <f t="shared" si="12"/>
        <v>0.9002342050194692</v>
      </c>
      <c r="AE47">
        <f t="shared" si="13"/>
        <v>1.9867237628015921</v>
      </c>
      <c r="AF47">
        <f t="shared" si="14"/>
        <v>-3.3681176291245727</v>
      </c>
      <c r="AJ47" t="str">
        <f t="shared" si="2"/>
        <v>A19</v>
      </c>
      <c r="AK47">
        <f t="shared" si="3"/>
        <v>0.25</v>
      </c>
      <c r="AL47">
        <f t="shared" si="4"/>
        <v>0.34</v>
      </c>
      <c r="AM47">
        <f t="shared" si="15"/>
        <v>0.09000000000000002</v>
      </c>
    </row>
    <row r="48" spans="4:39" ht="12.75">
      <c r="D48" s="10" t="s">
        <v>21</v>
      </c>
      <c r="E48" s="10">
        <v>0.69</v>
      </c>
      <c r="F48" s="10">
        <v>0.61</v>
      </c>
      <c r="G48" s="10">
        <v>0.26</v>
      </c>
      <c r="H48" s="10">
        <v>0.28</v>
      </c>
      <c r="I48" s="10">
        <v>0.3</v>
      </c>
      <c r="J48" s="10">
        <v>0.34</v>
      </c>
      <c r="K48" s="10">
        <v>0.38</v>
      </c>
      <c r="O48" s="11" t="str">
        <f t="shared" si="5"/>
        <v>A20</v>
      </c>
      <c r="P48" s="12">
        <f>6*gamma150/betaInj*E48*E48</f>
        <v>5.488554208070886</v>
      </c>
      <c r="Q48" s="12">
        <f>6*gamma193/betaInj*F48*F48</f>
        <v>5.51931900887591</v>
      </c>
      <c r="R48" s="12">
        <f>6*gamma980/betaFT*G48*G48</f>
        <v>5.091447723535393</v>
      </c>
      <c r="S48" s="12">
        <f>6*gamma980/betaLB*H48*H48</f>
        <v>6.084341523579873</v>
      </c>
      <c r="T48" s="12">
        <f>6*gamma980/betaLB*I48*I48</f>
        <v>6.984575728599342</v>
      </c>
      <c r="U48" s="12">
        <f>6*gamma980/betaLB*J48*J48</f>
        <v>8.971299491400934</v>
      </c>
      <c r="V48" s="12">
        <f>scaleSL*6*gamma980/betaLB*K48*K48</f>
        <v>5.603181862276362</v>
      </c>
      <c r="W48" s="13">
        <f t="shared" si="6"/>
        <v>3.8798517678655413</v>
      </c>
      <c r="X48" s="13">
        <f t="shared" si="7"/>
        <v>2.8869579678210613</v>
      </c>
      <c r="Z48" t="str">
        <f t="shared" si="8"/>
        <v>A20</v>
      </c>
      <c r="AA48">
        <f t="shared" si="9"/>
        <v>0.030764800805024528</v>
      </c>
      <c r="AB48">
        <f t="shared" si="10"/>
        <v>-0.4278712853405171</v>
      </c>
      <c r="AC48">
        <f t="shared" si="11"/>
        <v>0.99289380004448</v>
      </c>
      <c r="AD48">
        <f t="shared" si="12"/>
        <v>0.9002342050194692</v>
      </c>
      <c r="AE48">
        <f t="shared" si="13"/>
        <v>1.9867237628015921</v>
      </c>
      <c r="AF48">
        <f t="shared" si="14"/>
        <v>-3.3681176291245727</v>
      </c>
      <c r="AJ48" t="str">
        <f t="shared" si="2"/>
        <v>A20</v>
      </c>
      <c r="AK48">
        <f t="shared" si="3"/>
        <v>0.26</v>
      </c>
      <c r="AL48">
        <f t="shared" si="4"/>
        <v>0.34</v>
      </c>
      <c r="AM48">
        <f t="shared" si="15"/>
        <v>0.08000000000000002</v>
      </c>
    </row>
    <row r="49" spans="4:39" ht="12.75">
      <c r="D49" s="10" t="s">
        <v>22</v>
      </c>
      <c r="E49" s="10">
        <v>0.63</v>
      </c>
      <c r="F49" s="10">
        <v>0.59</v>
      </c>
      <c r="G49" s="10">
        <v>0.24</v>
      </c>
      <c r="H49" s="10">
        <v>0.26</v>
      </c>
      <c r="I49" s="10">
        <v>0.28</v>
      </c>
      <c r="J49" s="10">
        <v>0.33</v>
      </c>
      <c r="K49" s="10">
        <v>0.38</v>
      </c>
      <c r="O49" s="11" t="str">
        <f t="shared" si="5"/>
        <v>A21</v>
      </c>
      <c r="P49" s="12">
        <f>6*gamma150/betaInj*E49*E49</f>
        <v>4.5755243965203425</v>
      </c>
      <c r="Q49" s="12">
        <f>6*gamma193/betaInj*F49*F49</f>
        <v>5.163329607604687</v>
      </c>
      <c r="R49" s="12">
        <f>6*gamma980/betaFT*G49*G49</f>
        <v>4.338274983367435</v>
      </c>
      <c r="S49" s="12">
        <f>6*gamma980/betaLB*H49*H49</f>
        <v>5.246192436147951</v>
      </c>
      <c r="T49" s="12">
        <f>6*gamma980/betaLB*I49*I49</f>
        <v>6.084341523579873</v>
      </c>
      <c r="U49" s="12">
        <f>6*gamma980/betaLB*J49*J49</f>
        <v>8.451336631605205</v>
      </c>
      <c r="V49" s="12">
        <f>scaleSL*6*gamma980/betaLB*K49*K49</f>
        <v>5.603181862276362</v>
      </c>
      <c r="W49" s="13">
        <f t="shared" si="6"/>
        <v>4.11306164823777</v>
      </c>
      <c r="X49" s="13">
        <f t="shared" si="7"/>
        <v>3.2051441954572537</v>
      </c>
      <c r="Z49" t="str">
        <f t="shared" si="8"/>
        <v>A21</v>
      </c>
      <c r="AA49">
        <f t="shared" si="9"/>
        <v>0.5878052110843441</v>
      </c>
      <c r="AB49">
        <f t="shared" si="10"/>
        <v>-0.8250546242372518</v>
      </c>
      <c r="AC49">
        <f t="shared" si="11"/>
        <v>0.9079174527805165</v>
      </c>
      <c r="AD49">
        <f t="shared" si="12"/>
        <v>0.8381490874319217</v>
      </c>
      <c r="AE49">
        <f t="shared" si="13"/>
        <v>2.366995108025332</v>
      </c>
      <c r="AF49">
        <f t="shared" si="14"/>
        <v>-2.8481547693288434</v>
      </c>
      <c r="AJ49" t="str">
        <f t="shared" si="2"/>
        <v>A21</v>
      </c>
      <c r="AK49">
        <f t="shared" si="3"/>
        <v>0.24</v>
      </c>
      <c r="AL49">
        <f t="shared" si="4"/>
        <v>0.33</v>
      </c>
      <c r="AM49">
        <f t="shared" si="15"/>
        <v>0.09000000000000002</v>
      </c>
    </row>
    <row r="50" spans="4:39" ht="12.75">
      <c r="D50" s="10" t="s">
        <v>23</v>
      </c>
      <c r="E50" s="10">
        <v>0.58</v>
      </c>
      <c r="F50" s="10">
        <v>0.52</v>
      </c>
      <c r="G50" s="10">
        <v>0.22</v>
      </c>
      <c r="H50" s="10">
        <v>0.22</v>
      </c>
      <c r="I50" s="10">
        <v>0.25</v>
      </c>
      <c r="J50" s="10">
        <v>0.31</v>
      </c>
      <c r="K50" s="10">
        <v>0.37</v>
      </c>
      <c r="O50" s="11" t="str">
        <f t="shared" si="5"/>
        <v>A22</v>
      </c>
      <c r="P50" s="12">
        <f>6*gamma150/betaInj*E50*E50</f>
        <v>3.8780710682525643</v>
      </c>
      <c r="Q50" s="12">
        <f>6*gamma193/betaInj*F50*F50</f>
        <v>4.010813920989105</v>
      </c>
      <c r="R50" s="12">
        <f>6*gamma980/betaFT*G50*G50</f>
        <v>3.6453560624129144</v>
      </c>
      <c r="S50" s="12">
        <f>6*gamma980/betaLB*H50*H50</f>
        <v>3.7561496140467576</v>
      </c>
      <c r="T50" s="12">
        <f>6*gamma980/betaLB*I50*I50</f>
        <v>4.850399811527321</v>
      </c>
      <c r="U50" s="12">
        <f>6*gamma980/betaLB*J50*J50</f>
        <v>7.457974750204409</v>
      </c>
      <c r="V50" s="12">
        <f>scaleSL*6*gamma980/betaLB*K50*K50</f>
        <v>5.312157873584722</v>
      </c>
      <c r="W50" s="13">
        <f t="shared" si="6"/>
        <v>3.8126186877914945</v>
      </c>
      <c r="X50" s="13">
        <f t="shared" si="7"/>
        <v>3.7018251361576513</v>
      </c>
      <c r="Z50" t="str">
        <f t="shared" si="8"/>
        <v>A22</v>
      </c>
      <c r="AA50">
        <f t="shared" si="9"/>
        <v>0.13274285273654085</v>
      </c>
      <c r="AB50">
        <f t="shared" si="10"/>
        <v>-0.36545785857619073</v>
      </c>
      <c r="AC50">
        <f t="shared" si="11"/>
        <v>0.11079355163384319</v>
      </c>
      <c r="AD50">
        <f t="shared" si="12"/>
        <v>1.0942501974805636</v>
      </c>
      <c r="AE50">
        <f t="shared" si="13"/>
        <v>2.6075749386770877</v>
      </c>
      <c r="AF50">
        <f t="shared" si="14"/>
        <v>-2.145816876619687</v>
      </c>
      <c r="AJ50" t="str">
        <f t="shared" si="2"/>
        <v>A22</v>
      </c>
      <c r="AK50">
        <f t="shared" si="3"/>
        <v>0.22</v>
      </c>
      <c r="AL50">
        <f t="shared" si="4"/>
        <v>0.31</v>
      </c>
      <c r="AM50">
        <f t="shared" si="15"/>
        <v>0.09</v>
      </c>
    </row>
    <row r="51" spans="4:39" ht="12.75">
      <c r="D51" s="10" t="s">
        <v>24</v>
      </c>
      <c r="E51" s="10">
        <v>0.59</v>
      </c>
      <c r="F51" s="10">
        <v>0.53</v>
      </c>
      <c r="G51" s="10">
        <v>0.22</v>
      </c>
      <c r="H51" s="10">
        <v>0.22</v>
      </c>
      <c r="I51" s="10">
        <v>0.25</v>
      </c>
      <c r="J51" s="10">
        <v>0.3</v>
      </c>
      <c r="K51" s="10">
        <v>0.36</v>
      </c>
      <c r="O51" s="11" t="str">
        <f t="shared" si="5"/>
        <v>A23</v>
      </c>
      <c r="P51" s="12">
        <f>6*gamma150/betaInj*E51*E51</f>
        <v>4.012950472231622</v>
      </c>
      <c r="Q51" s="12">
        <f>6*gamma193/betaInj*F51*F51</f>
        <v>4.166559284045266</v>
      </c>
      <c r="R51" s="12">
        <f>6*gamma980/betaFT*G51*G51</f>
        <v>3.6453560624129144</v>
      </c>
      <c r="S51" s="12">
        <f>6*gamma980/betaLB*H51*H51</f>
        <v>3.7561496140467576</v>
      </c>
      <c r="T51" s="12">
        <f>6*gamma980/betaLB*I51*I51</f>
        <v>4.850399811527321</v>
      </c>
      <c r="U51" s="12">
        <f>6*gamma980/betaLB*J51*J51</f>
        <v>6.984575728599342</v>
      </c>
      <c r="V51" s="12">
        <f>scaleSL*6*gamma980/betaLB*K51*K51</f>
        <v>5.028894524591526</v>
      </c>
      <c r="W51" s="13">
        <f t="shared" si="6"/>
        <v>3.3392196661864277</v>
      </c>
      <c r="X51" s="13">
        <f t="shared" si="7"/>
        <v>3.2284261145525845</v>
      </c>
      <c r="Z51" t="str">
        <f t="shared" si="8"/>
        <v>A23</v>
      </c>
      <c r="AA51">
        <f t="shared" si="9"/>
        <v>0.15360881181364405</v>
      </c>
      <c r="AB51">
        <f t="shared" si="10"/>
        <v>-0.5212032216323514</v>
      </c>
      <c r="AC51">
        <f t="shared" si="11"/>
        <v>0.11079355163384319</v>
      </c>
      <c r="AD51">
        <f t="shared" si="12"/>
        <v>1.0942501974805636</v>
      </c>
      <c r="AE51">
        <f t="shared" si="13"/>
        <v>2.134175917072021</v>
      </c>
      <c r="AF51">
        <f t="shared" si="14"/>
        <v>-1.9556812040078162</v>
      </c>
      <c r="AJ51" t="str">
        <f t="shared" si="2"/>
        <v>A23</v>
      </c>
      <c r="AK51">
        <f t="shared" si="3"/>
        <v>0.22</v>
      </c>
      <c r="AL51">
        <f t="shared" si="4"/>
        <v>0.3</v>
      </c>
      <c r="AM51">
        <f t="shared" si="15"/>
        <v>0.07999999999999999</v>
      </c>
    </row>
    <row r="52" spans="4:39" ht="12.75">
      <c r="D52" s="10" t="s">
        <v>25</v>
      </c>
      <c r="E52" s="10">
        <v>0.59</v>
      </c>
      <c r="F52" s="10">
        <v>0.54</v>
      </c>
      <c r="G52" s="10">
        <v>0.22</v>
      </c>
      <c r="H52" s="10">
        <v>0.23</v>
      </c>
      <c r="I52" s="10">
        <v>0.24</v>
      </c>
      <c r="J52" s="10">
        <v>0.27</v>
      </c>
      <c r="K52" s="10">
        <v>0.34</v>
      </c>
      <c r="O52" s="11" t="str">
        <f t="shared" si="5"/>
        <v>A24</v>
      </c>
      <c r="P52" s="12">
        <f>6*gamma150/betaInj*E52*E52</f>
        <v>4.012950472231622</v>
      </c>
      <c r="Q52" s="12">
        <f>6*gamma193/betaInj*F52*F52</f>
        <v>4.325271225445352</v>
      </c>
      <c r="R52" s="12">
        <f>6*gamma980/betaFT*G52*G52</f>
        <v>3.6453560624129144</v>
      </c>
      <c r="S52" s="12">
        <f>6*gamma980/betaLB*H52*H52</f>
        <v>4.1053784004767255</v>
      </c>
      <c r="T52" s="12">
        <f>6*gamma980/betaLB*I52*I52</f>
        <v>4.470128466303579</v>
      </c>
      <c r="U52" s="12">
        <f>6*gamma980/betaLB*J52*J52</f>
        <v>5.657506340165469</v>
      </c>
      <c r="V52" s="12">
        <f>scaleSL*6*gamma980/betaLB*K52*K52</f>
        <v>4.485649745700467</v>
      </c>
      <c r="W52" s="13">
        <f t="shared" si="6"/>
        <v>2.0121502777525544</v>
      </c>
      <c r="X52" s="13">
        <f t="shared" si="7"/>
        <v>1.5521279396887433</v>
      </c>
      <c r="Z52" t="str">
        <f t="shared" si="8"/>
        <v>A24</v>
      </c>
      <c r="AA52">
        <f t="shared" si="9"/>
        <v>0.3123207532137302</v>
      </c>
      <c r="AB52">
        <f t="shared" si="10"/>
        <v>-0.6799151630324376</v>
      </c>
      <c r="AC52">
        <f t="shared" si="11"/>
        <v>0.4600223380638111</v>
      </c>
      <c r="AD52">
        <f t="shared" si="12"/>
        <v>0.3647500658268532</v>
      </c>
      <c r="AE52">
        <f t="shared" si="13"/>
        <v>1.18737787386189</v>
      </c>
      <c r="AF52">
        <f t="shared" si="14"/>
        <v>-1.1718565944650017</v>
      </c>
      <c r="AJ52" t="str">
        <f t="shared" si="2"/>
        <v>A24</v>
      </c>
      <c r="AK52">
        <f t="shared" si="3"/>
        <v>0.22</v>
      </c>
      <c r="AL52">
        <f t="shared" si="4"/>
        <v>0.27</v>
      </c>
      <c r="AM52">
        <f t="shared" si="15"/>
        <v>0.05000000000000002</v>
      </c>
    </row>
    <row r="53" spans="4:39" ht="12.75">
      <c r="D53" s="10" t="s">
        <v>26</v>
      </c>
      <c r="E53" s="10">
        <v>0.71</v>
      </c>
      <c r="F53" s="10">
        <v>0.61</v>
      </c>
      <c r="G53" s="10">
        <v>0.28</v>
      </c>
      <c r="H53" s="10">
        <v>0.28</v>
      </c>
      <c r="I53" s="10">
        <v>0.28</v>
      </c>
      <c r="J53" s="10">
        <v>0.3</v>
      </c>
      <c r="K53" s="10">
        <v>0.33</v>
      </c>
      <c r="O53" s="11" t="str">
        <f t="shared" si="5"/>
        <v>A25</v>
      </c>
      <c r="P53" s="12">
        <f>6*gamma150/betaInj*E53*E53</f>
        <v>5.811342525285724</v>
      </c>
      <c r="Q53" s="12">
        <f>6*gamma193/betaInj*F53*F53</f>
        <v>5.51931900887591</v>
      </c>
      <c r="R53" s="12">
        <f>6*gamma980/betaFT*G53*G53</f>
        <v>5.904874282916788</v>
      </c>
      <c r="S53" s="12">
        <f>6*gamma980/betaLB*H53*H53</f>
        <v>6.084341523579873</v>
      </c>
      <c r="T53" s="12">
        <f>6*gamma980/betaLB*I53*I53</f>
        <v>6.084341523579873</v>
      </c>
      <c r="U53" s="12">
        <f>6*gamma980/betaLB*J53*J53</f>
        <v>6.984575728599342</v>
      </c>
      <c r="V53" s="12">
        <f>scaleSL*6*gamma980/betaLB*K53*K53</f>
        <v>4.2256683158026025</v>
      </c>
      <c r="W53" s="13">
        <f t="shared" si="6"/>
        <v>1.079701445682554</v>
      </c>
      <c r="X53" s="13">
        <f t="shared" si="7"/>
        <v>0.9002342050194692</v>
      </c>
      <c r="Z53" t="str">
        <f t="shared" si="8"/>
        <v>A25</v>
      </c>
      <c r="AA53">
        <f t="shared" si="9"/>
        <v>-0.29202351640981394</v>
      </c>
      <c r="AB53">
        <f t="shared" si="10"/>
        <v>0.3855552740408781</v>
      </c>
      <c r="AC53">
        <f t="shared" si="11"/>
        <v>0.17946724066308484</v>
      </c>
      <c r="AD53">
        <f t="shared" si="12"/>
        <v>0</v>
      </c>
      <c r="AE53">
        <f t="shared" si="13"/>
        <v>0.9002342050194692</v>
      </c>
      <c r="AF53">
        <f t="shared" si="14"/>
        <v>-2.7589074127967397</v>
      </c>
      <c r="AJ53" t="str">
        <f t="shared" si="2"/>
        <v>A25</v>
      </c>
      <c r="AK53">
        <f t="shared" si="3"/>
        <v>0.28</v>
      </c>
      <c r="AL53">
        <f t="shared" si="4"/>
        <v>0.3</v>
      </c>
      <c r="AM53">
        <f t="shared" si="15"/>
        <v>0.019999999999999962</v>
      </c>
    </row>
    <row r="54" spans="4:39" ht="12.75">
      <c r="D54" s="10" t="s">
        <v>27</v>
      </c>
      <c r="E54" s="10">
        <v>0.66</v>
      </c>
      <c r="F54" s="10">
        <v>0.58</v>
      </c>
      <c r="G54" s="10">
        <v>0.26</v>
      </c>
      <c r="H54" s="10">
        <v>0.25</v>
      </c>
      <c r="I54" s="10">
        <v>0.28</v>
      </c>
      <c r="J54" s="10">
        <v>0.32</v>
      </c>
      <c r="K54" s="10">
        <v>0.34</v>
      </c>
      <c r="O54" s="11" t="str">
        <f t="shared" si="5"/>
        <v>A26</v>
      </c>
      <c r="P54" s="12">
        <f>6*gamma150/betaInj*E54*E54</f>
        <v>5.0216639635279945</v>
      </c>
      <c r="Q54" s="12">
        <f>6*gamma193/betaInj*F54*F54</f>
        <v>4.989784774484966</v>
      </c>
      <c r="R54" s="12">
        <f>6*gamma980/betaFT*G54*G54</f>
        <v>5.091447723535393</v>
      </c>
      <c r="S54" s="12">
        <f>6*gamma980/betaLB*H54*H54</f>
        <v>4.850399811527321</v>
      </c>
      <c r="T54" s="12">
        <f>6*gamma980/betaLB*I54*I54</f>
        <v>6.084341523579873</v>
      </c>
      <c r="U54" s="12">
        <f>6*gamma980/betaLB*J54*J54</f>
        <v>7.946895051206363</v>
      </c>
      <c r="V54" s="12">
        <f>scaleSL*6*gamma980/betaLB*K54*K54</f>
        <v>4.485649745700467</v>
      </c>
      <c r="W54" s="13">
        <f t="shared" si="6"/>
        <v>2.85544732767097</v>
      </c>
      <c r="X54" s="13">
        <f t="shared" si="7"/>
        <v>3.096495239679042</v>
      </c>
      <c r="Z54" t="str">
        <f t="shared" si="8"/>
        <v>A26</v>
      </c>
      <c r="AA54">
        <f t="shared" si="9"/>
        <v>-0.03187918904302833</v>
      </c>
      <c r="AB54">
        <f t="shared" si="10"/>
        <v>0.10166294905042683</v>
      </c>
      <c r="AC54">
        <f t="shared" si="11"/>
        <v>-0.24104791200807174</v>
      </c>
      <c r="AD54">
        <f t="shared" si="12"/>
        <v>1.2339417120525518</v>
      </c>
      <c r="AE54">
        <f t="shared" si="13"/>
        <v>1.8625535276264902</v>
      </c>
      <c r="AF54">
        <f t="shared" si="14"/>
        <v>-3.461245305505896</v>
      </c>
      <c r="AJ54" t="str">
        <f t="shared" si="2"/>
        <v>A26</v>
      </c>
      <c r="AK54">
        <f t="shared" si="3"/>
        <v>0.26</v>
      </c>
      <c r="AL54">
        <f t="shared" si="4"/>
        <v>0.32</v>
      </c>
      <c r="AM54">
        <f t="shared" si="15"/>
        <v>0.06</v>
      </c>
    </row>
    <row r="55" spans="4:39" ht="12.75">
      <c r="D55" s="10" t="s">
        <v>28</v>
      </c>
      <c r="E55" s="10">
        <v>0.67</v>
      </c>
      <c r="F55" s="10">
        <v>0.57</v>
      </c>
      <c r="G55" s="10">
        <v>0.26</v>
      </c>
      <c r="H55" s="10">
        <v>0.25</v>
      </c>
      <c r="I55" s="10">
        <v>0.28</v>
      </c>
      <c r="J55" s="10">
        <v>0.33</v>
      </c>
      <c r="K55" s="10">
        <v>0.36</v>
      </c>
      <c r="O55" s="11" t="str">
        <f t="shared" si="5"/>
        <v>A27</v>
      </c>
      <c r="P55" s="12">
        <f>6*gamma150/betaInj*E55*E55</f>
        <v>5.1749884142050435</v>
      </c>
      <c r="Q55" s="12">
        <f>6*gamma193/betaInj*F55*F55</f>
        <v>4.819206519709172</v>
      </c>
      <c r="R55" s="12">
        <f>6*gamma980/betaFT*G55*G55</f>
        <v>5.091447723535393</v>
      </c>
      <c r="S55" s="12">
        <f>6*gamma980/betaLB*H55*H55</f>
        <v>4.850399811527321</v>
      </c>
      <c r="T55" s="12">
        <f>6*gamma980/betaLB*I55*I55</f>
        <v>6.084341523579873</v>
      </c>
      <c r="U55" s="12">
        <f>6*gamma980/betaLB*J55*J55</f>
        <v>8.451336631605205</v>
      </c>
      <c r="V55" s="12">
        <f>scaleSL*6*gamma980/betaLB*K55*K55</f>
        <v>5.028894524591526</v>
      </c>
      <c r="W55" s="13">
        <f t="shared" si="6"/>
        <v>3.359888908069812</v>
      </c>
      <c r="X55" s="13">
        <f t="shared" si="7"/>
        <v>3.6009368200778837</v>
      </c>
      <c r="Z55" t="str">
        <f t="shared" si="8"/>
        <v>A27</v>
      </c>
      <c r="AA55">
        <f t="shared" si="9"/>
        <v>-0.3557818944958715</v>
      </c>
      <c r="AB55">
        <f t="shared" si="10"/>
        <v>0.27224120382622097</v>
      </c>
      <c r="AC55">
        <f t="shared" si="11"/>
        <v>-0.24104791200807174</v>
      </c>
      <c r="AD55">
        <f t="shared" si="12"/>
        <v>1.2339417120525518</v>
      </c>
      <c r="AE55">
        <f t="shared" si="13"/>
        <v>2.366995108025332</v>
      </c>
      <c r="AF55">
        <f t="shared" si="14"/>
        <v>-3.422442107013679</v>
      </c>
      <c r="AJ55" t="str">
        <f t="shared" si="2"/>
        <v>A27</v>
      </c>
      <c r="AK55">
        <f t="shared" si="3"/>
        <v>0.26</v>
      </c>
      <c r="AL55">
        <f t="shared" si="4"/>
        <v>0.33</v>
      </c>
      <c r="AM55">
        <f t="shared" si="15"/>
        <v>0.07</v>
      </c>
    </row>
    <row r="56" spans="4:39" ht="12.75">
      <c r="D56" s="10" t="s">
        <v>29</v>
      </c>
      <c r="E56" s="10">
        <v>0.66</v>
      </c>
      <c r="F56" s="10">
        <v>0.57</v>
      </c>
      <c r="G56" s="10">
        <v>0.25</v>
      </c>
      <c r="H56" s="10">
        <v>0.25</v>
      </c>
      <c r="I56" s="10">
        <v>0.27</v>
      </c>
      <c r="J56" s="10">
        <v>0.32</v>
      </c>
      <c r="K56" s="10">
        <v>0.36</v>
      </c>
      <c r="O56" s="11" t="str">
        <f t="shared" si="5"/>
        <v>A28</v>
      </c>
      <c r="P56" s="12">
        <f>6*gamma150/betaInj*E56*E56</f>
        <v>5.0216639635279945</v>
      </c>
      <c r="Q56" s="12">
        <f>6*gamma193/betaInj*F56*F56</f>
        <v>4.819206519709172</v>
      </c>
      <c r="R56" s="12">
        <f>6*gamma980/betaFT*G56*G56</f>
        <v>4.707329626049734</v>
      </c>
      <c r="S56" s="12">
        <f>6*gamma980/betaLB*H56*H56</f>
        <v>4.850399811527321</v>
      </c>
      <c r="T56" s="12">
        <f>6*gamma980/betaLB*I56*I56</f>
        <v>5.657506340165469</v>
      </c>
      <c r="U56" s="12">
        <f>6*gamma980/betaLB*J56*J56</f>
        <v>7.946895051206363</v>
      </c>
      <c r="V56" s="12">
        <f>scaleSL*6*gamma980/betaLB*K56*K56</f>
        <v>5.028894524591526</v>
      </c>
      <c r="W56" s="13">
        <f t="shared" si="6"/>
        <v>3.239565425156629</v>
      </c>
      <c r="X56" s="13">
        <f t="shared" si="7"/>
        <v>3.096495239679042</v>
      </c>
      <c r="Z56" t="str">
        <f t="shared" si="8"/>
        <v>A28</v>
      </c>
      <c r="AA56">
        <f t="shared" si="9"/>
        <v>-0.20245744381882247</v>
      </c>
      <c r="AB56">
        <f t="shared" si="10"/>
        <v>-0.11187689365943765</v>
      </c>
      <c r="AC56">
        <f t="shared" si="11"/>
        <v>0.14307018547758688</v>
      </c>
      <c r="AD56">
        <f t="shared" si="12"/>
        <v>0.8071065286381476</v>
      </c>
      <c r="AE56">
        <f t="shared" si="13"/>
        <v>2.2893887110408944</v>
      </c>
      <c r="AF56">
        <f t="shared" si="14"/>
        <v>-2.918000526614837</v>
      </c>
      <c r="AJ56" t="str">
        <f t="shared" si="2"/>
        <v>A28</v>
      </c>
      <c r="AK56">
        <f t="shared" si="3"/>
        <v>0.25</v>
      </c>
      <c r="AL56">
        <f t="shared" si="4"/>
        <v>0.32</v>
      </c>
      <c r="AM56">
        <f t="shared" si="15"/>
        <v>0.07</v>
      </c>
    </row>
    <row r="57" spans="4:39" ht="12.75">
      <c r="D57" s="10" t="s">
        <v>30</v>
      </c>
      <c r="E57" s="10">
        <v>0.67</v>
      </c>
      <c r="F57" s="10">
        <v>0.57</v>
      </c>
      <c r="G57" s="10">
        <v>0.26</v>
      </c>
      <c r="H57" s="10">
        <v>0.25</v>
      </c>
      <c r="I57" s="10">
        <v>0.27</v>
      </c>
      <c r="J57" s="10">
        <v>0.34</v>
      </c>
      <c r="K57" s="10">
        <v>0.35</v>
      </c>
      <c r="O57" s="11" t="str">
        <f t="shared" si="5"/>
        <v>A29</v>
      </c>
      <c r="P57" s="12">
        <f>6*gamma150/betaInj*E57*E57</f>
        <v>5.1749884142050435</v>
      </c>
      <c r="Q57" s="12">
        <f>6*gamma193/betaInj*F57*F57</f>
        <v>4.819206519709172</v>
      </c>
      <c r="R57" s="12">
        <f>6*gamma980/betaFT*G57*G57</f>
        <v>5.091447723535393</v>
      </c>
      <c r="S57" s="12">
        <f>6*gamma980/betaLB*H57*H57</f>
        <v>4.850399811527321</v>
      </c>
      <c r="T57" s="12">
        <f>6*gamma980/betaLB*I57*I57</f>
        <v>5.657506340165469</v>
      </c>
      <c r="U57" s="12">
        <f>6*gamma980/betaLB*J57*J57</f>
        <v>8.971299491400934</v>
      </c>
      <c r="V57" s="12">
        <f>scaleSL*6*gamma980/betaLB*K57*K57</f>
        <v>4.753391815296774</v>
      </c>
      <c r="W57" s="13">
        <f t="shared" si="6"/>
        <v>3.8798517678655413</v>
      </c>
      <c r="X57" s="13">
        <f t="shared" si="7"/>
        <v>4.120899679873613</v>
      </c>
      <c r="Z57" t="str">
        <f t="shared" si="8"/>
        <v>A29</v>
      </c>
      <c r="AA57">
        <f t="shared" si="9"/>
        <v>-0.3557818944958715</v>
      </c>
      <c r="AB57">
        <f t="shared" si="10"/>
        <v>0.27224120382622097</v>
      </c>
      <c r="AC57">
        <f t="shared" si="11"/>
        <v>-0.24104791200807174</v>
      </c>
      <c r="AD57">
        <f t="shared" si="12"/>
        <v>0.8071065286381476</v>
      </c>
      <c r="AE57">
        <f t="shared" si="13"/>
        <v>3.3137931512354655</v>
      </c>
      <c r="AF57">
        <f t="shared" si="14"/>
        <v>-4.2179076761041605</v>
      </c>
      <c r="AJ57" t="str">
        <f t="shared" si="2"/>
        <v>A29</v>
      </c>
      <c r="AK57">
        <f t="shared" si="3"/>
        <v>0.26</v>
      </c>
      <c r="AL57">
        <f t="shared" si="4"/>
        <v>0.34</v>
      </c>
      <c r="AM57">
        <f t="shared" si="15"/>
        <v>0.08000000000000002</v>
      </c>
    </row>
    <row r="58" spans="4:39" ht="12.75">
      <c r="D58" s="10" t="s">
        <v>31</v>
      </c>
      <c r="E58" s="10">
        <v>0.64</v>
      </c>
      <c r="F58" s="10">
        <v>0.52</v>
      </c>
      <c r="G58" s="10">
        <v>0.24</v>
      </c>
      <c r="H58" s="10">
        <v>0.24</v>
      </c>
      <c r="I58" s="10">
        <v>0.27</v>
      </c>
      <c r="J58" s="10">
        <v>0.34</v>
      </c>
      <c r="K58" s="10">
        <v>0.35</v>
      </c>
      <c r="O58" s="11" t="str">
        <f t="shared" si="5"/>
        <v>A30</v>
      </c>
      <c r="P58" s="12">
        <f>6*gamma150/betaInj*E58*E58</f>
        <v>4.721931954685644</v>
      </c>
      <c r="Q58" s="12">
        <f>6*gamma193/betaInj*F58*F58</f>
        <v>4.010813920989105</v>
      </c>
      <c r="R58" s="12">
        <f>6*gamma980/betaFT*G58*G58</f>
        <v>4.338274983367435</v>
      </c>
      <c r="S58" s="12">
        <f>6*gamma980/betaLB*H58*H58</f>
        <v>4.470128466303579</v>
      </c>
      <c r="T58" s="12">
        <f>6*gamma980/betaLB*I58*I58</f>
        <v>5.657506340165469</v>
      </c>
      <c r="U58" s="12">
        <f>6*gamma980/betaLB*J58*J58</f>
        <v>8.971299491400934</v>
      </c>
      <c r="V58" s="12">
        <f>scaleSL*6*gamma980/betaLB*K58*K58</f>
        <v>4.753391815296774</v>
      </c>
      <c r="W58" s="13">
        <f t="shared" si="6"/>
        <v>4.6330245080334995</v>
      </c>
      <c r="X58" s="13">
        <f t="shared" si="7"/>
        <v>4.501171025097356</v>
      </c>
      <c r="Z58" t="str">
        <f t="shared" si="8"/>
        <v>A30</v>
      </c>
      <c r="AA58">
        <f t="shared" si="9"/>
        <v>-0.7111180336965388</v>
      </c>
      <c r="AB58">
        <f t="shared" si="10"/>
        <v>0.3274610623783296</v>
      </c>
      <c r="AC58">
        <f t="shared" si="11"/>
        <v>0.13185348293614396</v>
      </c>
      <c r="AD58">
        <f t="shared" si="12"/>
        <v>1.18737787386189</v>
      </c>
      <c r="AE58">
        <f t="shared" si="13"/>
        <v>3.3137931512354655</v>
      </c>
      <c r="AF58">
        <f t="shared" si="14"/>
        <v>-4.2179076761041605</v>
      </c>
      <c r="AJ58" t="str">
        <f t="shared" si="2"/>
        <v>A30</v>
      </c>
      <c r="AK58">
        <f t="shared" si="3"/>
        <v>0.24</v>
      </c>
      <c r="AL58">
        <f t="shared" si="4"/>
        <v>0.34</v>
      </c>
      <c r="AM58">
        <f t="shared" si="15"/>
        <v>0.10000000000000003</v>
      </c>
    </row>
    <row r="59" spans="4:39" ht="12.75">
      <c r="D59" s="10" t="s">
        <v>32</v>
      </c>
      <c r="E59" s="10">
        <v>0.63</v>
      </c>
      <c r="F59" s="10">
        <v>0.54</v>
      </c>
      <c r="G59" s="10">
        <v>0.24</v>
      </c>
      <c r="H59" s="10">
        <v>0.24</v>
      </c>
      <c r="I59" s="10">
        <v>0.27</v>
      </c>
      <c r="J59" s="10">
        <v>0.34</v>
      </c>
      <c r="K59" s="10">
        <v>0.38</v>
      </c>
      <c r="O59" s="11" t="str">
        <f t="shared" si="5"/>
        <v>A31</v>
      </c>
      <c r="P59" s="12">
        <f>6*gamma150/betaInj*E59*E59</f>
        <v>4.5755243965203425</v>
      </c>
      <c r="Q59" s="12">
        <f>6*gamma193/betaInj*F59*F59</f>
        <v>4.325271225445352</v>
      </c>
      <c r="R59" s="12">
        <f>6*gamma980/betaFT*G59*G59</f>
        <v>4.338274983367435</v>
      </c>
      <c r="S59" s="12">
        <f>6*gamma980/betaLB*H59*H59</f>
        <v>4.470128466303579</v>
      </c>
      <c r="T59" s="12">
        <f>6*gamma980/betaLB*I59*I59</f>
        <v>5.657506340165469</v>
      </c>
      <c r="U59" s="12">
        <f>6*gamma980/betaLB*J59*J59</f>
        <v>8.971299491400934</v>
      </c>
      <c r="V59" s="12">
        <f>scaleSL*6*gamma980/betaLB*K59*K59</f>
        <v>5.603181862276362</v>
      </c>
      <c r="W59" s="13">
        <f t="shared" si="6"/>
        <v>4.6330245080334995</v>
      </c>
      <c r="X59" s="13">
        <f t="shared" si="7"/>
        <v>4.501171025097356</v>
      </c>
      <c r="Z59" t="str">
        <f t="shared" si="8"/>
        <v>A31</v>
      </c>
      <c r="AA59">
        <f t="shared" si="9"/>
        <v>-0.25025317107499045</v>
      </c>
      <c r="AB59">
        <f t="shared" si="10"/>
        <v>0.013003757922082748</v>
      </c>
      <c r="AC59">
        <f t="shared" si="11"/>
        <v>0.13185348293614396</v>
      </c>
      <c r="AD59">
        <f t="shared" si="12"/>
        <v>1.18737787386189</v>
      </c>
      <c r="AE59">
        <f t="shared" si="13"/>
        <v>3.3137931512354655</v>
      </c>
      <c r="AF59">
        <f t="shared" si="14"/>
        <v>-3.3681176291245727</v>
      </c>
      <c r="AJ59" t="str">
        <f t="shared" si="2"/>
        <v>A31</v>
      </c>
      <c r="AK59">
        <f t="shared" si="3"/>
        <v>0.24</v>
      </c>
      <c r="AL59">
        <f t="shared" si="4"/>
        <v>0.34</v>
      </c>
      <c r="AM59">
        <f t="shared" si="15"/>
        <v>0.10000000000000003</v>
      </c>
    </row>
    <row r="60" spans="4:39" ht="12.75">
      <c r="D60" s="10" t="s">
        <v>33</v>
      </c>
      <c r="E60" s="10">
        <v>0.64</v>
      </c>
      <c r="F60" s="10">
        <v>0.53</v>
      </c>
      <c r="G60" s="10">
        <v>0.25</v>
      </c>
      <c r="H60" s="10">
        <v>0.24</v>
      </c>
      <c r="I60" s="10">
        <v>0.26</v>
      </c>
      <c r="J60" s="10">
        <v>0.32</v>
      </c>
      <c r="K60" s="10">
        <v>0.37</v>
      </c>
      <c r="O60" s="11" t="str">
        <f t="shared" si="5"/>
        <v>A32</v>
      </c>
      <c r="P60" s="12">
        <f>6*gamma150/betaInj*E60*E60</f>
        <v>4.721931954685644</v>
      </c>
      <c r="Q60" s="12">
        <f>6*gamma193/betaInj*F60*F60</f>
        <v>4.166559284045266</v>
      </c>
      <c r="R60" s="12">
        <f>6*gamma980/betaFT*G60*G60</f>
        <v>4.707329626049734</v>
      </c>
      <c r="S60" s="12">
        <f>6*gamma980/betaLB*H60*H60</f>
        <v>4.470128466303579</v>
      </c>
      <c r="T60" s="12">
        <f>6*gamma980/betaLB*I60*I60</f>
        <v>5.246192436147951</v>
      </c>
      <c r="U60" s="12">
        <f>6*gamma980/betaLB*J60*J60</f>
        <v>7.946895051206363</v>
      </c>
      <c r="V60" s="12">
        <f>scaleSL*6*gamma980/betaLB*K60*K60</f>
        <v>5.312157873584722</v>
      </c>
      <c r="W60" s="13">
        <f t="shared" si="6"/>
        <v>3.239565425156629</v>
      </c>
      <c r="X60" s="13">
        <f t="shared" si="7"/>
        <v>3.4767665849027845</v>
      </c>
      <c r="Z60" t="str">
        <f t="shared" si="8"/>
        <v>A32</v>
      </c>
      <c r="AA60">
        <f t="shared" si="9"/>
        <v>-0.5553726706403781</v>
      </c>
      <c r="AB60">
        <f t="shared" si="10"/>
        <v>0.5407703420044685</v>
      </c>
      <c r="AC60">
        <f t="shared" si="11"/>
        <v>-0.23720115974615563</v>
      </c>
      <c r="AD60">
        <f t="shared" si="12"/>
        <v>0.7760639698443725</v>
      </c>
      <c r="AE60">
        <f t="shared" si="13"/>
        <v>2.700702615058412</v>
      </c>
      <c r="AF60">
        <f t="shared" si="14"/>
        <v>-2.6347371776216413</v>
      </c>
      <c r="AJ60" t="str">
        <f t="shared" si="2"/>
        <v>A32</v>
      </c>
      <c r="AK60">
        <f t="shared" si="3"/>
        <v>0.25</v>
      </c>
      <c r="AL60">
        <f t="shared" si="4"/>
        <v>0.32</v>
      </c>
      <c r="AM60">
        <f t="shared" si="15"/>
        <v>0.07</v>
      </c>
    </row>
    <row r="61" spans="4:39" ht="12.75">
      <c r="D61" s="10" t="s">
        <v>34</v>
      </c>
      <c r="E61" s="10">
        <v>0.57</v>
      </c>
      <c r="F61" s="10">
        <v>0.48</v>
      </c>
      <c r="G61" s="10">
        <v>0.23</v>
      </c>
      <c r="H61" s="10">
        <v>0.23</v>
      </c>
      <c r="I61" s="10">
        <v>0.25</v>
      </c>
      <c r="J61" s="10">
        <v>0.32</v>
      </c>
      <c r="K61" s="10">
        <v>0.35</v>
      </c>
      <c r="O61" s="11" t="str">
        <f t="shared" si="5"/>
        <v>A33</v>
      </c>
      <c r="P61" s="12">
        <f>6*gamma150/betaInj*E61*E61</f>
        <v>3.7454972951107557</v>
      </c>
      <c r="Q61" s="12">
        <f>6*gamma193/betaInj*F61*F61</f>
        <v>3.4174982522037345</v>
      </c>
      <c r="R61" s="12">
        <f>6*gamma980/betaFT*G61*G61</f>
        <v>3.984283795488496</v>
      </c>
      <c r="S61" s="12">
        <f>6*gamma980/betaLB*H61*H61</f>
        <v>4.1053784004767255</v>
      </c>
      <c r="T61" s="12">
        <f>6*gamma980/betaLB*I61*I61</f>
        <v>4.850399811527321</v>
      </c>
      <c r="U61" s="12">
        <f>6*gamma980/betaLB*J61*J61</f>
        <v>7.946895051206363</v>
      </c>
      <c r="V61" s="12">
        <f>scaleSL*6*gamma980/betaLB*K61*K61</f>
        <v>4.753391815296774</v>
      </c>
      <c r="W61" s="13">
        <f t="shared" si="6"/>
        <v>3.962611255717867</v>
      </c>
      <c r="X61" s="13">
        <f t="shared" si="7"/>
        <v>3.8415166507296377</v>
      </c>
      <c r="Z61" t="str">
        <f t="shared" si="8"/>
        <v>A33</v>
      </c>
      <c r="AA61">
        <f t="shared" si="9"/>
        <v>-0.3279990429070212</v>
      </c>
      <c r="AB61">
        <f t="shared" si="10"/>
        <v>0.5667855432847615</v>
      </c>
      <c r="AC61">
        <f t="shared" si="11"/>
        <v>0.12109460498822955</v>
      </c>
      <c r="AD61">
        <f t="shared" si="12"/>
        <v>0.7450214110505957</v>
      </c>
      <c r="AE61">
        <f t="shared" si="13"/>
        <v>3.096495239679042</v>
      </c>
      <c r="AF61">
        <f t="shared" si="14"/>
        <v>-3.1935032359095894</v>
      </c>
      <c r="AJ61" t="str">
        <f t="shared" si="2"/>
        <v>A33</v>
      </c>
      <c r="AK61">
        <f t="shared" si="3"/>
        <v>0.23</v>
      </c>
      <c r="AL61">
        <f t="shared" si="4"/>
        <v>0.32</v>
      </c>
      <c r="AM61">
        <f t="shared" si="15"/>
        <v>0.09</v>
      </c>
    </row>
    <row r="62" spans="4:39" ht="12.75">
      <c r="D62" s="10" t="s">
        <v>35</v>
      </c>
      <c r="E62" s="10">
        <v>0.56</v>
      </c>
      <c r="F62" s="10">
        <v>0.46</v>
      </c>
      <c r="G62" s="10">
        <v>0.23</v>
      </c>
      <c r="H62" s="10">
        <v>0.22</v>
      </c>
      <c r="I62" s="10">
        <v>0.24</v>
      </c>
      <c r="J62" s="10">
        <v>0.3</v>
      </c>
      <c r="K62" s="10">
        <v>0.35</v>
      </c>
      <c r="O62" s="11" t="str">
        <f t="shared" si="5"/>
        <v>A34</v>
      </c>
      <c r="P62" s="12">
        <f>6*gamma150/betaInj*E62*E62</f>
        <v>3.615229152806197</v>
      </c>
      <c r="Q62" s="12">
        <f>6*gamma193/betaInj*F62*F62</f>
        <v>3.1386398878746107</v>
      </c>
      <c r="R62" s="12">
        <f>6*gamma980/betaFT*G62*G62</f>
        <v>3.984283795488496</v>
      </c>
      <c r="S62" s="12">
        <f>6*gamma980/betaLB*H62*H62</f>
        <v>3.7561496140467576</v>
      </c>
      <c r="T62" s="12">
        <f>6*gamma980/betaLB*I62*I62</f>
        <v>4.470128466303579</v>
      </c>
      <c r="U62" s="12">
        <f>6*gamma980/betaLB*J62*J62</f>
        <v>6.984575728599342</v>
      </c>
      <c r="V62" s="12">
        <f>scaleSL*6*gamma980/betaLB*K62*K62</f>
        <v>4.753391815296774</v>
      </c>
      <c r="W62" s="13">
        <f t="shared" si="6"/>
        <v>3.000291933110846</v>
      </c>
      <c r="X62" s="13">
        <f t="shared" si="7"/>
        <v>3.2284261145525845</v>
      </c>
      <c r="Z62" t="str">
        <f t="shared" si="8"/>
        <v>A34</v>
      </c>
      <c r="AA62">
        <f t="shared" si="9"/>
        <v>-0.47658926493158615</v>
      </c>
      <c r="AB62">
        <f t="shared" si="10"/>
        <v>0.8456439076138853</v>
      </c>
      <c r="AC62">
        <f t="shared" si="11"/>
        <v>-0.22813418144173836</v>
      </c>
      <c r="AD62">
        <f t="shared" si="12"/>
        <v>0.7139788522568211</v>
      </c>
      <c r="AE62">
        <f t="shared" si="13"/>
        <v>2.5144472622957634</v>
      </c>
      <c r="AF62">
        <f t="shared" si="14"/>
        <v>-2.2311839133025684</v>
      </c>
      <c r="AJ62" t="str">
        <f t="shared" si="2"/>
        <v>A34</v>
      </c>
      <c r="AK62">
        <f t="shared" si="3"/>
        <v>0.23</v>
      </c>
      <c r="AL62">
        <f t="shared" si="4"/>
        <v>0.3</v>
      </c>
      <c r="AM62">
        <f t="shared" si="15"/>
        <v>0.06999999999999998</v>
      </c>
    </row>
    <row r="63" spans="4:39" ht="12.75">
      <c r="D63" s="10" t="s">
        <v>36</v>
      </c>
      <c r="E63" s="10">
        <v>0.56</v>
      </c>
      <c r="F63" s="10">
        <v>0.46</v>
      </c>
      <c r="G63" s="10">
        <v>0.23</v>
      </c>
      <c r="H63" s="10">
        <v>0.21</v>
      </c>
      <c r="I63" s="10">
        <v>0.25</v>
      </c>
      <c r="J63" s="10">
        <v>0.3</v>
      </c>
      <c r="K63" s="10">
        <v>0.35</v>
      </c>
      <c r="O63" s="11" t="str">
        <f t="shared" si="5"/>
        <v>A35</v>
      </c>
      <c r="P63" s="12">
        <f>6*gamma150/betaInj*E63*E63</f>
        <v>3.615229152806197</v>
      </c>
      <c r="Q63" s="12">
        <f>6*gamma193/betaInj*F63*F63</f>
        <v>3.1386398878746107</v>
      </c>
      <c r="R63" s="12">
        <f>6*gamma980/betaFT*G63*G63</f>
        <v>3.984283795488496</v>
      </c>
      <c r="S63" s="12">
        <f>6*gamma980/betaLB*H63*H63</f>
        <v>3.4224421070136777</v>
      </c>
      <c r="T63" s="12">
        <f>6*gamma980/betaLB*I63*I63</f>
        <v>4.850399811527321</v>
      </c>
      <c r="U63" s="12">
        <f>6*gamma980/betaLB*J63*J63</f>
        <v>6.984575728599342</v>
      </c>
      <c r="V63" s="12">
        <f>scaleSL*6*gamma980/betaLB*K63*K63</f>
        <v>4.753391815296774</v>
      </c>
      <c r="W63" s="13">
        <f t="shared" si="6"/>
        <v>3.000291933110846</v>
      </c>
      <c r="X63" s="13">
        <f t="shared" si="7"/>
        <v>3.5621336215856645</v>
      </c>
      <c r="Z63" t="str">
        <f t="shared" si="8"/>
        <v>A35</v>
      </c>
      <c r="AA63">
        <f t="shared" si="9"/>
        <v>-0.47658926493158615</v>
      </c>
      <c r="AB63">
        <f t="shared" si="10"/>
        <v>0.8456439076138853</v>
      </c>
      <c r="AC63">
        <f t="shared" si="11"/>
        <v>-0.5618416884748183</v>
      </c>
      <c r="AD63">
        <f t="shared" si="12"/>
        <v>1.4279577045136436</v>
      </c>
      <c r="AE63">
        <f t="shared" si="13"/>
        <v>2.134175917072021</v>
      </c>
      <c r="AF63">
        <f t="shared" si="14"/>
        <v>-2.2311839133025684</v>
      </c>
      <c r="AJ63" t="str">
        <f t="shared" si="2"/>
        <v>A35</v>
      </c>
      <c r="AK63">
        <f t="shared" si="3"/>
        <v>0.23</v>
      </c>
      <c r="AL63">
        <f t="shared" si="4"/>
        <v>0.3</v>
      </c>
      <c r="AM63">
        <f t="shared" si="15"/>
        <v>0.06999999999999998</v>
      </c>
    </row>
    <row r="64" spans="4:39" ht="12.75">
      <c r="D64" s="10" t="s">
        <v>37</v>
      </c>
      <c r="E64" s="10">
        <v>0.55</v>
      </c>
      <c r="F64" s="10">
        <v>0.46</v>
      </c>
      <c r="G64" s="10">
        <v>0.23</v>
      </c>
      <c r="H64" s="10">
        <v>0.23</v>
      </c>
      <c r="I64" s="10">
        <v>0.24</v>
      </c>
      <c r="J64" s="10">
        <v>0.26</v>
      </c>
      <c r="K64" s="10">
        <v>0.34</v>
      </c>
      <c r="O64" s="11" t="str">
        <f t="shared" si="5"/>
        <v>A36</v>
      </c>
      <c r="P64" s="12">
        <f>6*gamma150/betaInj*E64*E64</f>
        <v>3.4872666413388855</v>
      </c>
      <c r="Q64" s="12">
        <f>6*gamma193/betaInj*F64*F64</f>
        <v>3.1386398878746107</v>
      </c>
      <c r="R64" s="12">
        <f>6*gamma980/betaFT*G64*G64</f>
        <v>3.984283795488496</v>
      </c>
      <c r="S64" s="12">
        <f>6*gamma980/betaLB*H64*H64</f>
        <v>4.1053784004767255</v>
      </c>
      <c r="T64" s="12">
        <f>6*gamma980/betaLB*I64*I64</f>
        <v>4.470128466303579</v>
      </c>
      <c r="U64" s="12">
        <f>6*gamma980/betaLB*J64*J64</f>
        <v>5.246192436147951</v>
      </c>
      <c r="V64" s="12">
        <f>scaleSL*6*gamma980/betaLB*K64*K64</f>
        <v>4.485649745700467</v>
      </c>
      <c r="W64" s="13">
        <f t="shared" si="6"/>
        <v>1.2619086406594553</v>
      </c>
      <c r="X64" s="13">
        <f t="shared" si="7"/>
        <v>1.1408140356712257</v>
      </c>
      <c r="Z64" t="str">
        <f t="shared" si="8"/>
        <v>A36</v>
      </c>
      <c r="AA64">
        <f t="shared" si="9"/>
        <v>-0.34862675346427485</v>
      </c>
      <c r="AB64">
        <f t="shared" si="10"/>
        <v>0.8456439076138853</v>
      </c>
      <c r="AC64">
        <f t="shared" si="11"/>
        <v>0.12109460498822955</v>
      </c>
      <c r="AD64">
        <f t="shared" si="12"/>
        <v>0.3647500658268532</v>
      </c>
      <c r="AE64">
        <f t="shared" si="13"/>
        <v>0.7760639698443725</v>
      </c>
      <c r="AF64">
        <f t="shared" si="14"/>
        <v>-0.7605426904474841</v>
      </c>
      <c r="AJ64" t="str">
        <f t="shared" si="2"/>
        <v>A36</v>
      </c>
      <c r="AK64">
        <f t="shared" si="3"/>
        <v>0.23</v>
      </c>
      <c r="AL64">
        <f t="shared" si="4"/>
        <v>0.26</v>
      </c>
      <c r="AM64">
        <f t="shared" si="15"/>
        <v>0.03</v>
      </c>
    </row>
    <row r="77" spans="4:14" ht="12.75">
      <c r="D77" s="24"/>
      <c r="E77" s="24"/>
      <c r="F77" s="24"/>
      <c r="G77" s="24"/>
      <c r="K77" s="20"/>
      <c r="L77" s="20"/>
      <c r="M77" s="20"/>
      <c r="N77" s="20"/>
    </row>
    <row r="78" spans="4:14" ht="12.75">
      <c r="D78" s="10" t="s">
        <v>223</v>
      </c>
      <c r="E78" s="10"/>
      <c r="F78" s="10"/>
      <c r="K78" s="10" t="s">
        <v>223</v>
      </c>
      <c r="L78" s="10" t="s">
        <v>207</v>
      </c>
      <c r="M78" s="10" t="s">
        <v>208</v>
      </c>
      <c r="N78" s="10" t="s">
        <v>184</v>
      </c>
    </row>
    <row r="79" spans="4:14" ht="12.75">
      <c r="D79" s="10" t="s">
        <v>2</v>
      </c>
      <c r="E79" s="10">
        <v>0.06</v>
      </c>
      <c r="F79" s="10">
        <v>0.59</v>
      </c>
      <c r="K79" s="10" t="s">
        <v>2</v>
      </c>
      <c r="L79" s="10">
        <f>E79*E79*17.97</f>
        <v>0.064692</v>
      </c>
      <c r="M79" s="10">
        <f>F79*F79*11.39</f>
        <v>3.9648589999999997</v>
      </c>
      <c r="N79" s="10">
        <f>M79-L79</f>
        <v>3.9001669999999997</v>
      </c>
    </row>
    <row r="80" spans="4:14" ht="12.75">
      <c r="D80" s="10" t="s">
        <v>3</v>
      </c>
      <c r="E80" s="10">
        <v>0.12</v>
      </c>
      <c r="F80" s="10">
        <v>0.59</v>
      </c>
      <c r="K80" s="10" t="s">
        <v>3</v>
      </c>
      <c r="L80" s="10">
        <f aca="true" t="shared" si="16" ref="L80:L114">E80*E80*17.97</f>
        <v>0.258768</v>
      </c>
      <c r="M80" s="10">
        <f aca="true" t="shared" si="17" ref="M80:M114">F80*F80*11.39</f>
        <v>3.9648589999999997</v>
      </c>
      <c r="N80" s="10">
        <f aca="true" t="shared" si="18" ref="N80:N114">M80-L80</f>
        <v>3.706091</v>
      </c>
    </row>
    <row r="81" spans="4:14" ht="12.75">
      <c r="D81" s="10" t="s">
        <v>4</v>
      </c>
      <c r="E81" s="10">
        <v>0.17</v>
      </c>
      <c r="F81" s="10">
        <v>0.57</v>
      </c>
      <c r="K81" s="10" t="s">
        <v>4</v>
      </c>
      <c r="L81" s="10">
        <f t="shared" si="16"/>
        <v>0.519333</v>
      </c>
      <c r="M81" s="10">
        <f t="shared" si="17"/>
        <v>3.700611</v>
      </c>
      <c r="N81" s="10">
        <f t="shared" si="18"/>
        <v>3.181278</v>
      </c>
    </row>
    <row r="82" spans="4:14" ht="12.75">
      <c r="D82" s="10" t="s">
        <v>5</v>
      </c>
      <c r="E82" s="10">
        <v>0.1</v>
      </c>
      <c r="F82" s="10">
        <v>0.58</v>
      </c>
      <c r="K82" s="10" t="s">
        <v>5</v>
      </c>
      <c r="L82" s="10">
        <f t="shared" si="16"/>
        <v>0.17970000000000003</v>
      </c>
      <c r="M82" s="10">
        <f t="shared" si="17"/>
        <v>3.831596</v>
      </c>
      <c r="N82" s="10">
        <f t="shared" si="18"/>
        <v>3.651896</v>
      </c>
    </row>
    <row r="83" spans="4:14" ht="12.75">
      <c r="D83" s="10" t="s">
        <v>6</v>
      </c>
      <c r="E83" s="10">
        <v>0.77</v>
      </c>
      <c r="F83" s="10">
        <v>0.65</v>
      </c>
      <c r="K83" s="10" t="s">
        <v>6</v>
      </c>
      <c r="L83" s="10">
        <f t="shared" si="16"/>
        <v>10.654412999999998</v>
      </c>
      <c r="M83" s="10">
        <f t="shared" si="17"/>
        <v>4.8122750000000005</v>
      </c>
      <c r="N83" s="10">
        <f t="shared" si="18"/>
        <v>-5.842137999999998</v>
      </c>
    </row>
    <row r="84" spans="4:14" ht="12.75">
      <c r="D84" s="10" t="s">
        <v>7</v>
      </c>
      <c r="E84" s="10">
        <v>0.31</v>
      </c>
      <c r="F84" s="10">
        <v>0.64</v>
      </c>
      <c r="K84" s="10" t="s">
        <v>7</v>
      </c>
      <c r="L84" s="10">
        <f t="shared" si="16"/>
        <v>1.726917</v>
      </c>
      <c r="M84" s="10">
        <f t="shared" si="17"/>
        <v>4.665344</v>
      </c>
      <c r="N84" s="10">
        <f t="shared" si="18"/>
        <v>2.938427</v>
      </c>
    </row>
    <row r="85" spans="4:14" ht="12.75">
      <c r="D85" s="10" t="s">
        <v>8</v>
      </c>
      <c r="E85" s="10">
        <v>0.65</v>
      </c>
      <c r="F85" s="10">
        <v>0.62</v>
      </c>
      <c r="K85" s="10" t="s">
        <v>8</v>
      </c>
      <c r="L85" s="10">
        <f t="shared" si="16"/>
        <v>7.592325000000001</v>
      </c>
      <c r="M85" s="10">
        <f t="shared" si="17"/>
        <v>4.378316000000001</v>
      </c>
      <c r="N85" s="10">
        <f t="shared" si="18"/>
        <v>-3.214009</v>
      </c>
    </row>
    <row r="86" spans="4:14" ht="12.75">
      <c r="D86" s="10" t="s">
        <v>9</v>
      </c>
      <c r="E86" s="10">
        <v>0.33</v>
      </c>
      <c r="F86" s="10">
        <v>0.63</v>
      </c>
      <c r="K86" s="10" t="s">
        <v>9</v>
      </c>
      <c r="L86" s="10">
        <f t="shared" si="16"/>
        <v>1.956933</v>
      </c>
      <c r="M86" s="10">
        <f t="shared" si="17"/>
        <v>4.520691</v>
      </c>
      <c r="N86" s="10">
        <f t="shared" si="18"/>
        <v>2.563758</v>
      </c>
    </row>
    <row r="87" spans="4:14" ht="12.75">
      <c r="D87" s="10" t="s">
        <v>10</v>
      </c>
      <c r="E87" s="10">
        <v>0.21</v>
      </c>
      <c r="F87" s="10">
        <v>0.54</v>
      </c>
      <c r="K87" s="10" t="s">
        <v>10</v>
      </c>
      <c r="L87" s="10">
        <f t="shared" si="16"/>
        <v>0.7924769999999999</v>
      </c>
      <c r="M87" s="10">
        <f t="shared" si="17"/>
        <v>3.3213240000000006</v>
      </c>
      <c r="N87" s="10">
        <f t="shared" si="18"/>
        <v>2.5288470000000007</v>
      </c>
    </row>
    <row r="88" spans="4:14" ht="12.75">
      <c r="D88" s="10" t="s">
        <v>11</v>
      </c>
      <c r="E88" s="10">
        <v>0.13</v>
      </c>
      <c r="F88" s="10">
        <v>0.51</v>
      </c>
      <c r="K88" s="10" t="s">
        <v>11</v>
      </c>
      <c r="L88" s="10">
        <f t="shared" si="16"/>
        <v>0.303693</v>
      </c>
      <c r="M88" s="10">
        <f t="shared" si="17"/>
        <v>2.962539</v>
      </c>
      <c r="N88" s="10">
        <f t="shared" si="18"/>
        <v>2.658846</v>
      </c>
    </row>
    <row r="89" spans="4:14" ht="12.75">
      <c r="D89" s="10" t="s">
        <v>12</v>
      </c>
      <c r="E89" s="10">
        <v>0.75</v>
      </c>
      <c r="F89" s="10">
        <v>0.51</v>
      </c>
      <c r="K89" s="10" t="s">
        <v>12</v>
      </c>
      <c r="L89" s="10">
        <f t="shared" si="16"/>
        <v>10.108125</v>
      </c>
      <c r="M89" s="10">
        <f t="shared" si="17"/>
        <v>2.962539</v>
      </c>
      <c r="N89" s="10">
        <f t="shared" si="18"/>
        <v>-7.145586</v>
      </c>
    </row>
    <row r="90" spans="4:14" ht="12.75">
      <c r="D90" s="10" t="s">
        <v>13</v>
      </c>
      <c r="E90" s="10">
        <v>0.04</v>
      </c>
      <c r="F90" s="10">
        <v>0.54</v>
      </c>
      <c r="K90" s="10" t="s">
        <v>13</v>
      </c>
      <c r="L90" s="10">
        <f t="shared" si="16"/>
        <v>0.028752</v>
      </c>
      <c r="M90" s="10">
        <f t="shared" si="17"/>
        <v>3.3213240000000006</v>
      </c>
      <c r="N90" s="10">
        <f t="shared" si="18"/>
        <v>3.2925720000000007</v>
      </c>
    </row>
    <row r="91" spans="4:14" ht="12.75">
      <c r="D91" s="10" t="s">
        <v>14</v>
      </c>
      <c r="E91" s="10">
        <v>0.28</v>
      </c>
      <c r="F91" s="10">
        <v>0.61</v>
      </c>
      <c r="K91" s="10" t="s">
        <v>14</v>
      </c>
      <c r="L91" s="10">
        <f t="shared" si="16"/>
        <v>1.408848</v>
      </c>
      <c r="M91" s="10">
        <f t="shared" si="17"/>
        <v>4.238219</v>
      </c>
      <c r="N91" s="10">
        <f t="shared" si="18"/>
        <v>2.829371</v>
      </c>
    </row>
    <row r="92" spans="4:14" ht="12.75">
      <c r="D92" s="10" t="s">
        <v>15</v>
      </c>
      <c r="E92" s="10">
        <v>0.25</v>
      </c>
      <c r="F92" s="10">
        <v>0.59</v>
      </c>
      <c r="K92" s="10" t="s">
        <v>15</v>
      </c>
      <c r="L92" s="10">
        <f t="shared" si="16"/>
        <v>1.123125</v>
      </c>
      <c r="M92" s="10">
        <f t="shared" si="17"/>
        <v>3.9648589999999997</v>
      </c>
      <c r="N92" s="10">
        <f t="shared" si="18"/>
        <v>2.8417339999999998</v>
      </c>
    </row>
    <row r="93" spans="4:14" ht="12.75">
      <c r="D93" s="10" t="s">
        <v>16</v>
      </c>
      <c r="E93" s="10">
        <v>0.19</v>
      </c>
      <c r="F93" s="10">
        <v>0.57</v>
      </c>
      <c r="K93" s="10" t="s">
        <v>16</v>
      </c>
      <c r="L93" s="10">
        <f t="shared" si="16"/>
        <v>0.648717</v>
      </c>
      <c r="M93" s="10">
        <f t="shared" si="17"/>
        <v>3.700611</v>
      </c>
      <c r="N93" s="10">
        <f t="shared" si="18"/>
        <v>3.051894</v>
      </c>
    </row>
    <row r="94" spans="4:14" ht="12.75">
      <c r="D94" s="10" t="s">
        <v>17</v>
      </c>
      <c r="E94" s="10">
        <v>0.82</v>
      </c>
      <c r="F94" s="10">
        <v>0.58</v>
      </c>
      <c r="K94" s="10" t="s">
        <v>17</v>
      </c>
      <c r="L94" s="10">
        <f t="shared" si="16"/>
        <v>12.083027999999997</v>
      </c>
      <c r="M94" s="10">
        <f t="shared" si="17"/>
        <v>3.831596</v>
      </c>
      <c r="N94" s="10">
        <f t="shared" si="18"/>
        <v>-8.251431999999998</v>
      </c>
    </row>
    <row r="95" spans="4:14" ht="12.75">
      <c r="D95" s="10" t="s">
        <v>18</v>
      </c>
      <c r="E95" s="10">
        <v>0.12</v>
      </c>
      <c r="F95" s="10">
        <v>0</v>
      </c>
      <c r="K95" s="10" t="s">
        <v>18</v>
      </c>
      <c r="L95" s="10">
        <f t="shared" si="16"/>
        <v>0.258768</v>
      </c>
      <c r="M95" s="10">
        <f t="shared" si="17"/>
        <v>0</v>
      </c>
      <c r="N95" s="10">
        <f t="shared" si="18"/>
        <v>-0.258768</v>
      </c>
    </row>
    <row r="96" spans="4:14" ht="12.75">
      <c r="D96" s="10" t="s">
        <v>19</v>
      </c>
      <c r="E96" s="10">
        <v>0.08</v>
      </c>
      <c r="F96" s="10">
        <v>0</v>
      </c>
      <c r="K96" s="10" t="s">
        <v>19</v>
      </c>
      <c r="L96" s="10">
        <f t="shared" si="16"/>
        <v>0.115008</v>
      </c>
      <c r="M96" s="10">
        <f t="shared" si="17"/>
        <v>0</v>
      </c>
      <c r="N96" s="10">
        <f t="shared" si="18"/>
        <v>-0.115008</v>
      </c>
    </row>
    <row r="97" spans="4:14" ht="12.75">
      <c r="D97" s="10" t="s">
        <v>20</v>
      </c>
      <c r="E97" s="10" t="s">
        <v>139</v>
      </c>
      <c r="F97" s="10">
        <v>0</v>
      </c>
      <c r="K97" s="10" t="s">
        <v>20</v>
      </c>
      <c r="L97" s="10" t="e">
        <f t="shared" si="16"/>
        <v>#VALUE!</v>
      </c>
      <c r="M97" s="10">
        <f t="shared" si="17"/>
        <v>0</v>
      </c>
      <c r="N97" s="10" t="e">
        <f t="shared" si="18"/>
        <v>#VALUE!</v>
      </c>
    </row>
    <row r="98" spans="4:14" ht="12.75">
      <c r="D98" s="10" t="s">
        <v>21</v>
      </c>
      <c r="E98" s="10">
        <v>0.12</v>
      </c>
      <c r="F98" s="10">
        <v>0</v>
      </c>
      <c r="K98" s="10" t="s">
        <v>21</v>
      </c>
      <c r="L98" s="10">
        <f t="shared" si="16"/>
        <v>0.258768</v>
      </c>
      <c r="M98" s="10">
        <f t="shared" si="17"/>
        <v>0</v>
      </c>
      <c r="N98" s="10">
        <f t="shared" si="18"/>
        <v>-0.258768</v>
      </c>
    </row>
    <row r="99" spans="4:26" ht="12.75">
      <c r="D99" s="10" t="s">
        <v>22</v>
      </c>
      <c r="E99" s="10">
        <v>0.38</v>
      </c>
      <c r="F99" s="10">
        <v>0.62</v>
      </c>
      <c r="K99" s="10" t="s">
        <v>22</v>
      </c>
      <c r="L99" s="10">
        <f t="shared" si="16"/>
        <v>2.594868</v>
      </c>
      <c r="M99" s="10">
        <f t="shared" si="17"/>
        <v>4.378316000000001</v>
      </c>
      <c r="N99" s="10">
        <f t="shared" si="18"/>
        <v>1.7834480000000008</v>
      </c>
      <c r="Z99" s="15"/>
    </row>
    <row r="100" spans="4:26" ht="12.75">
      <c r="D100" s="10" t="s">
        <v>23</v>
      </c>
      <c r="E100" s="10">
        <v>0.21</v>
      </c>
      <c r="F100" s="10">
        <v>0.59</v>
      </c>
      <c r="K100" s="10" t="s">
        <v>23</v>
      </c>
      <c r="L100" s="10">
        <f t="shared" si="16"/>
        <v>0.7924769999999999</v>
      </c>
      <c r="M100" s="10">
        <f t="shared" si="17"/>
        <v>3.9648589999999997</v>
      </c>
      <c r="N100" s="10">
        <f t="shared" si="18"/>
        <v>3.172382</v>
      </c>
      <c r="Z100" s="15"/>
    </row>
    <row r="101" spans="4:14" ht="12.75">
      <c r="D101" s="10" t="s">
        <v>24</v>
      </c>
      <c r="E101" s="10">
        <v>0.47</v>
      </c>
      <c r="F101" s="10">
        <v>0.58</v>
      </c>
      <c r="K101" s="10" t="s">
        <v>24</v>
      </c>
      <c r="L101" s="10">
        <f t="shared" si="16"/>
        <v>3.9695729999999996</v>
      </c>
      <c r="M101" s="10">
        <f t="shared" si="17"/>
        <v>3.831596</v>
      </c>
      <c r="N101" s="10">
        <f t="shared" si="18"/>
        <v>-0.1379769999999998</v>
      </c>
    </row>
    <row r="102" spans="4:14" ht="12.75">
      <c r="D102" s="10" t="s">
        <v>25</v>
      </c>
      <c r="E102" s="10">
        <v>0.36</v>
      </c>
      <c r="F102" s="10">
        <v>0.58</v>
      </c>
      <c r="K102" s="10" t="s">
        <v>25</v>
      </c>
      <c r="L102" s="10">
        <f t="shared" si="16"/>
        <v>2.328912</v>
      </c>
      <c r="M102" s="10">
        <f t="shared" si="17"/>
        <v>3.831596</v>
      </c>
      <c r="N102" s="10">
        <f t="shared" si="18"/>
        <v>1.502684</v>
      </c>
    </row>
    <row r="103" spans="4:26" ht="12.75">
      <c r="D103" s="10" t="s">
        <v>26</v>
      </c>
      <c r="E103" s="10">
        <v>0.2</v>
      </c>
      <c r="F103" s="10">
        <v>0.59</v>
      </c>
      <c r="K103" s="10" t="s">
        <v>26</v>
      </c>
      <c r="L103" s="10">
        <f t="shared" si="16"/>
        <v>0.7188000000000001</v>
      </c>
      <c r="M103" s="10">
        <f t="shared" si="17"/>
        <v>3.9648589999999997</v>
      </c>
      <c r="N103" s="10">
        <f t="shared" si="18"/>
        <v>3.246059</v>
      </c>
      <c r="Z103" s="15"/>
    </row>
    <row r="104" spans="4:14" ht="12.75">
      <c r="D104" s="10" t="s">
        <v>27</v>
      </c>
      <c r="E104" s="10">
        <v>0.24</v>
      </c>
      <c r="F104" s="10">
        <v>0.57</v>
      </c>
      <c r="K104" s="10" t="s">
        <v>27</v>
      </c>
      <c r="L104" s="10">
        <f t="shared" si="16"/>
        <v>1.035072</v>
      </c>
      <c r="M104" s="10">
        <f t="shared" si="17"/>
        <v>3.700611</v>
      </c>
      <c r="N104" s="10">
        <f t="shared" si="18"/>
        <v>2.665539</v>
      </c>
    </row>
    <row r="105" spans="4:14" ht="12.75">
      <c r="D105" s="10" t="s">
        <v>28</v>
      </c>
      <c r="E105" s="10">
        <v>0.36</v>
      </c>
      <c r="F105" s="10">
        <v>0.58</v>
      </c>
      <c r="K105" s="10" t="s">
        <v>28</v>
      </c>
      <c r="L105" s="10">
        <f t="shared" si="16"/>
        <v>2.328912</v>
      </c>
      <c r="M105" s="10">
        <f t="shared" si="17"/>
        <v>3.831596</v>
      </c>
      <c r="N105" s="10">
        <f t="shared" si="18"/>
        <v>1.502684</v>
      </c>
    </row>
    <row r="106" spans="4:14" ht="12.75">
      <c r="D106" s="10" t="s">
        <v>29</v>
      </c>
      <c r="E106" s="10">
        <v>0.37</v>
      </c>
      <c r="F106" s="10">
        <v>0.58</v>
      </c>
      <c r="K106" s="10" t="s">
        <v>29</v>
      </c>
      <c r="L106" s="10">
        <f t="shared" si="16"/>
        <v>2.4600929999999996</v>
      </c>
      <c r="M106" s="10">
        <f t="shared" si="17"/>
        <v>3.831596</v>
      </c>
      <c r="N106" s="10">
        <f t="shared" si="18"/>
        <v>1.3715030000000001</v>
      </c>
    </row>
    <row r="107" spans="4:14" ht="12.75">
      <c r="D107" s="10" t="s">
        <v>30</v>
      </c>
      <c r="E107" s="10">
        <v>0.09</v>
      </c>
      <c r="F107" s="10">
        <v>0.59</v>
      </c>
      <c r="K107" s="10" t="s">
        <v>30</v>
      </c>
      <c r="L107" s="10">
        <f t="shared" si="16"/>
        <v>0.145557</v>
      </c>
      <c r="M107" s="10">
        <f t="shared" si="17"/>
        <v>3.9648589999999997</v>
      </c>
      <c r="N107" s="10">
        <f t="shared" si="18"/>
        <v>3.8193019999999995</v>
      </c>
    </row>
    <row r="108" spans="4:14" ht="12.75">
      <c r="D108" s="10" t="s">
        <v>31</v>
      </c>
      <c r="E108" s="10">
        <v>0.2</v>
      </c>
      <c r="F108" s="10">
        <v>0.56</v>
      </c>
      <c r="K108" s="10" t="s">
        <v>31</v>
      </c>
      <c r="L108" s="10">
        <f t="shared" si="16"/>
        <v>0.7188000000000001</v>
      </c>
      <c r="M108" s="10">
        <f t="shared" si="17"/>
        <v>3.571904000000001</v>
      </c>
      <c r="N108" s="10">
        <f t="shared" si="18"/>
        <v>2.853104000000001</v>
      </c>
    </row>
    <row r="109" spans="4:14" ht="12.75">
      <c r="D109" s="10" t="s">
        <v>32</v>
      </c>
      <c r="E109" s="10">
        <v>0.09</v>
      </c>
      <c r="F109" s="10">
        <v>0.57</v>
      </c>
      <c r="K109" s="10" t="s">
        <v>32</v>
      </c>
      <c r="L109" s="10">
        <f t="shared" si="16"/>
        <v>0.145557</v>
      </c>
      <c r="M109" s="10">
        <f t="shared" si="17"/>
        <v>3.700611</v>
      </c>
      <c r="N109" s="10">
        <f t="shared" si="18"/>
        <v>3.5550539999999997</v>
      </c>
    </row>
    <row r="110" spans="4:14" ht="12.75">
      <c r="D110" s="10" t="s">
        <v>33</v>
      </c>
      <c r="E110" s="10">
        <v>0.06</v>
      </c>
      <c r="F110" s="10">
        <v>0.55</v>
      </c>
      <c r="K110" s="10" t="s">
        <v>33</v>
      </c>
      <c r="L110" s="10">
        <f t="shared" si="16"/>
        <v>0.064692</v>
      </c>
      <c r="M110" s="10">
        <f t="shared" si="17"/>
        <v>3.4454750000000005</v>
      </c>
      <c r="N110" s="10">
        <f t="shared" si="18"/>
        <v>3.3807830000000005</v>
      </c>
    </row>
    <row r="111" spans="4:26" ht="12.75">
      <c r="D111" s="10" t="s">
        <v>34</v>
      </c>
      <c r="E111" s="10">
        <v>0.16</v>
      </c>
      <c r="F111" s="10">
        <v>0.51</v>
      </c>
      <c r="K111" s="10" t="s">
        <v>34</v>
      </c>
      <c r="L111" s="10">
        <f t="shared" si="16"/>
        <v>0.460032</v>
      </c>
      <c r="M111" s="10">
        <f t="shared" si="17"/>
        <v>2.962539</v>
      </c>
      <c r="N111" s="10">
        <f t="shared" si="18"/>
        <v>2.502507</v>
      </c>
      <c r="Z111" s="15"/>
    </row>
    <row r="112" spans="4:14" ht="12.75">
      <c r="D112" s="10" t="s">
        <v>35</v>
      </c>
      <c r="E112" s="10">
        <v>0.16</v>
      </c>
      <c r="F112" s="10">
        <v>0.5</v>
      </c>
      <c r="K112" s="10" t="s">
        <v>35</v>
      </c>
      <c r="L112" s="10">
        <f t="shared" si="16"/>
        <v>0.460032</v>
      </c>
      <c r="M112" s="10">
        <f t="shared" si="17"/>
        <v>2.8475</v>
      </c>
      <c r="N112" s="10">
        <f t="shared" si="18"/>
        <v>2.387468</v>
      </c>
    </row>
    <row r="113" spans="4:14" ht="12.75">
      <c r="D113" s="10" t="s">
        <v>36</v>
      </c>
      <c r="E113" s="10">
        <v>0.17</v>
      </c>
      <c r="F113" s="10">
        <v>0.51</v>
      </c>
      <c r="K113" s="10" t="s">
        <v>36</v>
      </c>
      <c r="L113" s="10">
        <f t="shared" si="16"/>
        <v>0.519333</v>
      </c>
      <c r="M113" s="10">
        <f t="shared" si="17"/>
        <v>2.962539</v>
      </c>
      <c r="N113" s="10">
        <f t="shared" si="18"/>
        <v>2.443206</v>
      </c>
    </row>
    <row r="114" spans="4:14" ht="12.75">
      <c r="D114" s="10" t="s">
        <v>37</v>
      </c>
      <c r="E114" s="10">
        <v>0.22</v>
      </c>
      <c r="F114" s="10">
        <v>0.51</v>
      </c>
      <c r="K114" s="10" t="s">
        <v>37</v>
      </c>
      <c r="L114" s="10">
        <f t="shared" si="16"/>
        <v>0.869748</v>
      </c>
      <c r="M114" s="10">
        <f t="shared" si="17"/>
        <v>2.962539</v>
      </c>
      <c r="N114" s="10">
        <f t="shared" si="18"/>
        <v>2.092791</v>
      </c>
    </row>
  </sheetData>
  <mergeCells count="5">
    <mergeCell ref="D27:K27"/>
    <mergeCell ref="O27:V27"/>
    <mergeCell ref="W27:X27"/>
    <mergeCell ref="D77:G77"/>
    <mergeCell ref="K77:N77"/>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L51"/>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Q18" sqref="Q17:Q18"/>
    </sheetView>
  </sheetViews>
  <sheetFormatPr defaultColWidth="9.140625" defaultRowHeight="12.75"/>
  <cols>
    <col min="2" max="2" width="14.8515625" style="0" bestFit="1" customWidth="1"/>
    <col min="3" max="38" width="5.00390625" style="0" customWidth="1"/>
  </cols>
  <sheetData>
    <row r="1" spans="1:38" ht="12.75">
      <c r="A1" t="s">
        <v>0</v>
      </c>
      <c r="B1" t="s">
        <v>223</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ht="12.75">
      <c r="A2">
        <f>AVERAGE(C2:AL2)</f>
        <v>1.3099999999999996</v>
      </c>
      <c r="B2" t="s">
        <v>38</v>
      </c>
      <c r="C2">
        <v>1.2</v>
      </c>
      <c r="D2">
        <v>1.2</v>
      </c>
      <c r="E2">
        <v>1.2</v>
      </c>
      <c r="F2">
        <v>1.2</v>
      </c>
      <c r="G2">
        <v>1.32</v>
      </c>
      <c r="H2">
        <v>1.32</v>
      </c>
      <c r="I2">
        <v>1.32</v>
      </c>
      <c r="J2">
        <v>1.32</v>
      </c>
      <c r="K2">
        <v>1.39</v>
      </c>
      <c r="L2">
        <v>1.39</v>
      </c>
      <c r="M2">
        <v>1.39</v>
      </c>
      <c r="N2">
        <v>1.39</v>
      </c>
      <c r="O2">
        <v>1.24</v>
      </c>
      <c r="P2">
        <v>1.24</v>
      </c>
      <c r="Q2">
        <v>1.24</v>
      </c>
      <c r="R2">
        <v>1.24</v>
      </c>
      <c r="S2">
        <v>1.41</v>
      </c>
      <c r="T2">
        <v>1.41</v>
      </c>
      <c r="U2">
        <v>1.41</v>
      </c>
      <c r="V2">
        <v>1.41</v>
      </c>
      <c r="W2">
        <v>1.25</v>
      </c>
      <c r="X2">
        <v>1.25</v>
      </c>
      <c r="Y2">
        <v>1.25</v>
      </c>
      <c r="Z2">
        <v>1.25</v>
      </c>
      <c r="AA2">
        <v>1.36</v>
      </c>
      <c r="AB2">
        <v>1.36</v>
      </c>
      <c r="AC2">
        <v>1.36</v>
      </c>
      <c r="AD2">
        <v>1.36</v>
      </c>
      <c r="AE2">
        <v>1.26</v>
      </c>
      <c r="AF2">
        <v>1.26</v>
      </c>
      <c r="AG2">
        <v>1.26</v>
      </c>
      <c r="AH2">
        <v>1.26</v>
      </c>
      <c r="AI2">
        <v>1.36</v>
      </c>
      <c r="AJ2">
        <v>1.36</v>
      </c>
      <c r="AK2">
        <v>1.36</v>
      </c>
      <c r="AL2">
        <v>1.36</v>
      </c>
    </row>
    <row r="3" spans="1:38" ht="12.75">
      <c r="A3">
        <f aca="true" t="shared" si="0" ref="A3:A23">AVERAGE(C3:AL3)</f>
        <v>1.4588888888888887</v>
      </c>
      <c r="B3" t="s">
        <v>39</v>
      </c>
      <c r="C3">
        <v>1.47</v>
      </c>
      <c r="D3">
        <v>1.46</v>
      </c>
      <c r="E3">
        <v>1.47</v>
      </c>
      <c r="F3">
        <v>1.46</v>
      </c>
      <c r="G3">
        <v>1.44</v>
      </c>
      <c r="H3">
        <v>1.45</v>
      </c>
      <c r="I3">
        <v>1.45</v>
      </c>
      <c r="J3">
        <v>1.45</v>
      </c>
      <c r="K3">
        <v>1.44</v>
      </c>
      <c r="L3">
        <v>1.45</v>
      </c>
      <c r="M3">
        <v>1.46</v>
      </c>
      <c r="N3">
        <v>1.46</v>
      </c>
      <c r="O3">
        <v>1.45</v>
      </c>
      <c r="P3">
        <v>1.46</v>
      </c>
      <c r="Q3">
        <v>1.45</v>
      </c>
      <c r="R3">
        <v>1.45</v>
      </c>
      <c r="S3">
        <v>1.45</v>
      </c>
      <c r="T3">
        <v>1.45</v>
      </c>
      <c r="U3">
        <v>1.45</v>
      </c>
      <c r="V3">
        <v>1.46</v>
      </c>
      <c r="W3">
        <v>1.44</v>
      </c>
      <c r="X3">
        <v>1.47</v>
      </c>
      <c r="Y3">
        <v>1.49</v>
      </c>
      <c r="Z3">
        <v>1.47</v>
      </c>
      <c r="AA3">
        <v>1.45</v>
      </c>
      <c r="AB3">
        <v>1.45</v>
      </c>
      <c r="AC3">
        <v>1.45</v>
      </c>
      <c r="AD3">
        <v>1.45</v>
      </c>
      <c r="AE3">
        <v>1.47</v>
      </c>
      <c r="AF3">
        <v>1.48</v>
      </c>
      <c r="AG3">
        <v>1.48</v>
      </c>
      <c r="AH3">
        <v>1.48</v>
      </c>
      <c r="AI3">
        <v>1.45</v>
      </c>
      <c r="AJ3">
        <v>1.47</v>
      </c>
      <c r="AK3">
        <v>1.47</v>
      </c>
      <c r="AL3">
        <v>1.47</v>
      </c>
    </row>
    <row r="4" spans="1:38" ht="12.75">
      <c r="A4">
        <f t="shared" si="0"/>
        <v>0.3980555555555557</v>
      </c>
      <c r="B4" t="s">
        <v>40</v>
      </c>
      <c r="C4">
        <v>0.42</v>
      </c>
      <c r="D4">
        <v>0.43</v>
      </c>
      <c r="E4">
        <v>0.42</v>
      </c>
      <c r="F4">
        <v>0.42</v>
      </c>
      <c r="G4">
        <v>0.4</v>
      </c>
      <c r="H4">
        <v>0.4</v>
      </c>
      <c r="I4">
        <v>0.4</v>
      </c>
      <c r="J4">
        <v>0.4</v>
      </c>
      <c r="K4">
        <v>0.38</v>
      </c>
      <c r="L4">
        <v>0.39</v>
      </c>
      <c r="M4">
        <v>0.39</v>
      </c>
      <c r="N4">
        <v>0.39</v>
      </c>
      <c r="O4">
        <v>0.39</v>
      </c>
      <c r="P4">
        <v>0.4</v>
      </c>
      <c r="Q4">
        <v>0.4</v>
      </c>
      <c r="R4">
        <v>0.39</v>
      </c>
      <c r="S4">
        <v>0.39</v>
      </c>
      <c r="T4">
        <v>0.4</v>
      </c>
      <c r="U4">
        <v>0.39</v>
      </c>
      <c r="V4">
        <v>0.39</v>
      </c>
      <c r="W4">
        <v>0.4</v>
      </c>
      <c r="X4">
        <v>0.41</v>
      </c>
      <c r="Y4">
        <v>0.42</v>
      </c>
      <c r="Z4">
        <v>0.41</v>
      </c>
      <c r="AA4">
        <v>0.39</v>
      </c>
      <c r="AB4">
        <v>0.39</v>
      </c>
      <c r="AC4">
        <v>0.39</v>
      </c>
      <c r="AD4">
        <v>0.39</v>
      </c>
      <c r="AE4">
        <v>0.39</v>
      </c>
      <c r="AF4">
        <v>0.39</v>
      </c>
      <c r="AG4">
        <v>0.4</v>
      </c>
      <c r="AH4">
        <v>0.4</v>
      </c>
      <c r="AI4">
        <v>0.39</v>
      </c>
      <c r="AJ4">
        <v>0.39</v>
      </c>
      <c r="AK4">
        <v>0.39</v>
      </c>
      <c r="AL4">
        <v>0.39</v>
      </c>
    </row>
    <row r="5" spans="1:38" ht="12.75">
      <c r="A5">
        <f t="shared" si="0"/>
        <v>0.411388888888889</v>
      </c>
      <c r="B5" t="s">
        <v>41</v>
      </c>
      <c r="C5">
        <v>0.44</v>
      </c>
      <c r="D5">
        <v>0.43</v>
      </c>
      <c r="E5">
        <v>0.43</v>
      </c>
      <c r="F5">
        <v>0.43</v>
      </c>
      <c r="G5">
        <v>0.41</v>
      </c>
      <c r="H5">
        <v>0.41</v>
      </c>
      <c r="I5">
        <v>0.41</v>
      </c>
      <c r="J5">
        <v>0.42</v>
      </c>
      <c r="K5">
        <v>0.39</v>
      </c>
      <c r="L5">
        <v>0.4</v>
      </c>
      <c r="M5">
        <v>0.4</v>
      </c>
      <c r="N5">
        <v>0.4</v>
      </c>
      <c r="O5">
        <v>0.41</v>
      </c>
      <c r="P5">
        <v>0.41</v>
      </c>
      <c r="Q5">
        <v>0.41</v>
      </c>
      <c r="R5">
        <v>0.41</v>
      </c>
      <c r="S5">
        <v>0.41</v>
      </c>
      <c r="T5">
        <v>0.42</v>
      </c>
      <c r="U5">
        <v>0.42</v>
      </c>
      <c r="V5">
        <v>0.42</v>
      </c>
      <c r="W5">
        <v>0.41</v>
      </c>
      <c r="X5">
        <v>0.42</v>
      </c>
      <c r="Y5">
        <v>0.43</v>
      </c>
      <c r="Z5">
        <v>0.42</v>
      </c>
      <c r="AA5">
        <v>0.4</v>
      </c>
      <c r="AB5">
        <v>0.4</v>
      </c>
      <c r="AC5">
        <v>0.41</v>
      </c>
      <c r="AD5">
        <v>0.41</v>
      </c>
      <c r="AE5">
        <v>0.4</v>
      </c>
      <c r="AF5">
        <v>0.41</v>
      </c>
      <c r="AG5">
        <v>0.41</v>
      </c>
      <c r="AH5">
        <v>0.41</v>
      </c>
      <c r="AI5">
        <v>0.4</v>
      </c>
      <c r="AJ5">
        <v>0.4</v>
      </c>
      <c r="AK5">
        <v>0.4</v>
      </c>
      <c r="AL5">
        <v>0.4</v>
      </c>
    </row>
    <row r="6" spans="1:38" ht="12.75">
      <c r="A6">
        <f>AVERAGE(C6:F6)</f>
        <v>1.3499999999999999</v>
      </c>
      <c r="B6" t="s">
        <v>42</v>
      </c>
      <c r="C6">
        <v>1.33</v>
      </c>
      <c r="D6">
        <v>1.33</v>
      </c>
      <c r="E6">
        <v>1.35</v>
      </c>
      <c r="F6">
        <v>1.39</v>
      </c>
      <c r="G6" t="s">
        <v>139</v>
      </c>
      <c r="H6" t="s">
        <v>139</v>
      </c>
      <c r="I6" t="s">
        <v>139</v>
      </c>
      <c r="J6" t="s">
        <v>139</v>
      </c>
      <c r="K6" t="s">
        <v>139</v>
      </c>
      <c r="L6" t="s">
        <v>139</v>
      </c>
      <c r="M6" t="s">
        <v>139</v>
      </c>
      <c r="N6" t="s">
        <v>139</v>
      </c>
      <c r="O6" t="s">
        <v>139</v>
      </c>
      <c r="P6" t="s">
        <v>139</v>
      </c>
      <c r="Q6" t="s">
        <v>139</v>
      </c>
      <c r="R6" t="s">
        <v>139</v>
      </c>
      <c r="S6" t="s">
        <v>139</v>
      </c>
      <c r="T6" t="s">
        <v>139</v>
      </c>
      <c r="U6" t="s">
        <v>139</v>
      </c>
      <c r="V6" t="s">
        <v>139</v>
      </c>
      <c r="W6" t="s">
        <v>139</v>
      </c>
      <c r="X6" t="s">
        <v>139</v>
      </c>
      <c r="Y6" t="s">
        <v>139</v>
      </c>
      <c r="Z6" t="s">
        <v>139</v>
      </c>
      <c r="AA6" t="s">
        <v>139</v>
      </c>
      <c r="AB6" t="s">
        <v>139</v>
      </c>
      <c r="AC6" t="s">
        <v>139</v>
      </c>
      <c r="AD6" t="s">
        <v>139</v>
      </c>
      <c r="AE6" t="s">
        <v>139</v>
      </c>
      <c r="AF6" t="s">
        <v>139</v>
      </c>
      <c r="AG6" t="s">
        <v>139</v>
      </c>
      <c r="AH6" t="s">
        <v>139</v>
      </c>
      <c r="AI6" t="s">
        <v>139</v>
      </c>
      <c r="AJ6" t="s">
        <v>139</v>
      </c>
      <c r="AK6" t="s">
        <v>139</v>
      </c>
      <c r="AL6" t="s">
        <v>139</v>
      </c>
    </row>
    <row r="7" spans="1:38" ht="12.75">
      <c r="A7">
        <f>AVERAGE(AVERAGE(C7:F7),AVERAGE(O7:R7))</f>
        <v>1.34125</v>
      </c>
      <c r="B7" t="s">
        <v>43</v>
      </c>
      <c r="C7">
        <v>1.39</v>
      </c>
      <c r="D7">
        <v>1.41</v>
      </c>
      <c r="E7">
        <v>1.36</v>
      </c>
      <c r="F7">
        <v>1.41</v>
      </c>
      <c r="G7" t="s">
        <v>139</v>
      </c>
      <c r="H7" t="s">
        <v>139</v>
      </c>
      <c r="I7" t="s">
        <v>139</v>
      </c>
      <c r="J7" t="s">
        <v>139</v>
      </c>
      <c r="K7" t="s">
        <v>139</v>
      </c>
      <c r="L7" t="s">
        <v>139</v>
      </c>
      <c r="M7" t="s">
        <v>139</v>
      </c>
      <c r="N7" t="s">
        <v>139</v>
      </c>
      <c r="O7">
        <v>1.31</v>
      </c>
      <c r="P7">
        <v>1.27</v>
      </c>
      <c r="Q7">
        <v>1.28</v>
      </c>
      <c r="R7">
        <v>1.3</v>
      </c>
      <c r="S7" t="s">
        <v>139</v>
      </c>
      <c r="T7" t="s">
        <v>139</v>
      </c>
      <c r="U7" t="s">
        <v>139</v>
      </c>
      <c r="V7" t="s">
        <v>139</v>
      </c>
      <c r="W7" t="s">
        <v>139</v>
      </c>
      <c r="X7" t="s">
        <v>139</v>
      </c>
      <c r="Y7" t="s">
        <v>139</v>
      </c>
      <c r="Z7" t="s">
        <v>139</v>
      </c>
      <c r="AA7" t="s">
        <v>139</v>
      </c>
      <c r="AB7" t="s">
        <v>139</v>
      </c>
      <c r="AC7" t="s">
        <v>139</v>
      </c>
      <c r="AD7" t="s">
        <v>139</v>
      </c>
      <c r="AE7" t="s">
        <v>139</v>
      </c>
      <c r="AF7" t="s">
        <v>139</v>
      </c>
      <c r="AG7" t="s">
        <v>139</v>
      </c>
      <c r="AH7" t="s">
        <v>139</v>
      </c>
      <c r="AI7" t="s">
        <v>139</v>
      </c>
      <c r="AJ7" t="s">
        <v>139</v>
      </c>
      <c r="AK7" t="s">
        <v>139</v>
      </c>
      <c r="AL7" t="s">
        <v>139</v>
      </c>
    </row>
    <row r="8" spans="1:38" ht="12.75">
      <c r="A8">
        <f>AVERAGE(AVERAGE(C8:F8),AVERAGE(O8:R8),AVERAGE(AA8:AD8))</f>
        <v>1.3525</v>
      </c>
      <c r="B8" t="s">
        <v>44</v>
      </c>
      <c r="C8">
        <v>1.39</v>
      </c>
      <c r="D8">
        <v>1.38</v>
      </c>
      <c r="E8">
        <v>1.39</v>
      </c>
      <c r="F8">
        <v>1.42</v>
      </c>
      <c r="G8" t="s">
        <v>139</v>
      </c>
      <c r="H8" t="s">
        <v>139</v>
      </c>
      <c r="I8" t="s">
        <v>139</v>
      </c>
      <c r="J8" t="s">
        <v>139</v>
      </c>
      <c r="K8" t="s">
        <v>139</v>
      </c>
      <c r="L8" t="s">
        <v>139</v>
      </c>
      <c r="M8" t="s">
        <v>139</v>
      </c>
      <c r="N8" t="s">
        <v>139</v>
      </c>
      <c r="O8">
        <v>1.36</v>
      </c>
      <c r="P8">
        <v>1.34</v>
      </c>
      <c r="Q8">
        <v>1.33</v>
      </c>
      <c r="R8">
        <v>1.35</v>
      </c>
      <c r="S8" t="s">
        <v>139</v>
      </c>
      <c r="T8" t="s">
        <v>139</v>
      </c>
      <c r="U8" t="s">
        <v>139</v>
      </c>
      <c r="V8" t="s">
        <v>139</v>
      </c>
      <c r="W8" t="s">
        <v>139</v>
      </c>
      <c r="X8" t="s">
        <v>139</v>
      </c>
      <c r="Y8" t="s">
        <v>139</v>
      </c>
      <c r="Z8" t="s">
        <v>139</v>
      </c>
      <c r="AA8">
        <v>1.3</v>
      </c>
      <c r="AB8">
        <v>1.33</v>
      </c>
      <c r="AC8">
        <v>1.3</v>
      </c>
      <c r="AD8">
        <v>1.34</v>
      </c>
      <c r="AE8" t="s">
        <v>139</v>
      </c>
      <c r="AF8" t="s">
        <v>139</v>
      </c>
      <c r="AG8" t="s">
        <v>139</v>
      </c>
      <c r="AH8" t="s">
        <v>139</v>
      </c>
      <c r="AI8" t="s">
        <v>139</v>
      </c>
      <c r="AJ8" t="s">
        <v>139</v>
      </c>
      <c r="AK8" t="s">
        <v>139</v>
      </c>
      <c r="AL8" t="s">
        <v>139</v>
      </c>
    </row>
    <row r="9" spans="1:38" ht="12.75">
      <c r="A9">
        <f>AVERAGE(AVERAGE(C9:F9),AVERAGE(G9:J9),AVERAGE(O9:R9),AVERAGE(AA9:AD9))</f>
        <v>1.33875</v>
      </c>
      <c r="B9" t="s">
        <v>45</v>
      </c>
      <c r="C9">
        <v>1.37</v>
      </c>
      <c r="D9">
        <v>1.36</v>
      </c>
      <c r="E9">
        <v>1.39</v>
      </c>
      <c r="F9">
        <v>1.42</v>
      </c>
      <c r="G9">
        <v>1.34</v>
      </c>
      <c r="H9">
        <v>1.33</v>
      </c>
      <c r="I9">
        <v>1.28</v>
      </c>
      <c r="J9">
        <v>1.34</v>
      </c>
      <c r="K9" t="s">
        <v>139</v>
      </c>
      <c r="L9" t="s">
        <v>139</v>
      </c>
      <c r="M9" t="s">
        <v>139</v>
      </c>
      <c r="N9" t="s">
        <v>139</v>
      </c>
      <c r="O9">
        <v>1.35</v>
      </c>
      <c r="P9">
        <v>1.35</v>
      </c>
      <c r="Q9">
        <v>1.35</v>
      </c>
      <c r="R9">
        <v>1.36</v>
      </c>
      <c r="S9" t="s">
        <v>139</v>
      </c>
      <c r="T9" t="s">
        <v>139</v>
      </c>
      <c r="U9" t="s">
        <v>139</v>
      </c>
      <c r="V9" t="s">
        <v>139</v>
      </c>
      <c r="W9" t="s">
        <v>139</v>
      </c>
      <c r="X9" t="s">
        <v>139</v>
      </c>
      <c r="Y9" t="s">
        <v>139</v>
      </c>
      <c r="Z9" t="s">
        <v>139</v>
      </c>
      <c r="AA9">
        <v>1.29</v>
      </c>
      <c r="AB9">
        <v>1.28</v>
      </c>
      <c r="AC9">
        <v>1.29</v>
      </c>
      <c r="AD9">
        <v>1.32</v>
      </c>
      <c r="AE9" t="s">
        <v>139</v>
      </c>
      <c r="AF9" t="s">
        <v>139</v>
      </c>
      <c r="AG9" t="s">
        <v>139</v>
      </c>
      <c r="AH9" t="s">
        <v>139</v>
      </c>
      <c r="AI9" t="s">
        <v>139</v>
      </c>
      <c r="AJ9" t="s">
        <v>139</v>
      </c>
      <c r="AK9" t="s">
        <v>139</v>
      </c>
      <c r="AL9" t="s">
        <v>139</v>
      </c>
    </row>
    <row r="10" spans="1:38" ht="12.75">
      <c r="A10">
        <f>AVERAGE(AVERAGE(C10:F10),AVERAGE(G10:J10),AVERAGE(S10:V10),AVERAGE(O10:R10),AVERAGE(AA10:AD10))</f>
        <v>0</v>
      </c>
      <c r="B10" t="s">
        <v>46</v>
      </c>
      <c r="C10">
        <v>0</v>
      </c>
      <c r="D10">
        <v>0</v>
      </c>
      <c r="E10">
        <v>0</v>
      </c>
      <c r="F10">
        <v>0</v>
      </c>
      <c r="G10">
        <v>0</v>
      </c>
      <c r="H10">
        <v>0</v>
      </c>
      <c r="I10">
        <v>0</v>
      </c>
      <c r="J10">
        <v>0</v>
      </c>
      <c r="K10" t="s">
        <v>139</v>
      </c>
      <c r="L10" t="s">
        <v>139</v>
      </c>
      <c r="M10" t="s">
        <v>139</v>
      </c>
      <c r="N10" t="s">
        <v>139</v>
      </c>
      <c r="O10">
        <v>0</v>
      </c>
      <c r="P10">
        <v>0</v>
      </c>
      <c r="Q10">
        <v>0</v>
      </c>
      <c r="R10">
        <v>0</v>
      </c>
      <c r="S10">
        <v>0</v>
      </c>
      <c r="T10">
        <v>0</v>
      </c>
      <c r="U10">
        <v>0</v>
      </c>
      <c r="V10">
        <v>0</v>
      </c>
      <c r="W10" t="s">
        <v>139</v>
      </c>
      <c r="X10" t="s">
        <v>139</v>
      </c>
      <c r="Y10" t="s">
        <v>139</v>
      </c>
      <c r="Z10" t="s">
        <v>139</v>
      </c>
      <c r="AA10">
        <v>0</v>
      </c>
      <c r="AB10">
        <v>0</v>
      </c>
      <c r="AC10">
        <v>0</v>
      </c>
      <c r="AD10">
        <v>0</v>
      </c>
      <c r="AE10" t="s">
        <v>139</v>
      </c>
      <c r="AF10" t="s">
        <v>139</v>
      </c>
      <c r="AG10" t="s">
        <v>139</v>
      </c>
      <c r="AH10" t="s">
        <v>139</v>
      </c>
      <c r="AI10" t="s">
        <v>139</v>
      </c>
      <c r="AJ10" t="s">
        <v>139</v>
      </c>
      <c r="AK10" t="s">
        <v>139</v>
      </c>
      <c r="AL10" t="s">
        <v>139</v>
      </c>
    </row>
    <row r="11" spans="1:38" ht="12.75">
      <c r="A11">
        <f>AVERAGE(AVERAGE(C11:J11),AVERAGE(O11:V11),AVERAGE(AA11:AH11))</f>
        <v>1.3383333333333332</v>
      </c>
      <c r="B11" t="s">
        <v>47</v>
      </c>
      <c r="C11">
        <v>1.37</v>
      </c>
      <c r="D11">
        <v>1.41</v>
      </c>
      <c r="E11">
        <v>1.41</v>
      </c>
      <c r="F11">
        <v>1.41</v>
      </c>
      <c r="G11">
        <v>1.34</v>
      </c>
      <c r="H11">
        <v>1.33</v>
      </c>
      <c r="I11">
        <v>1.34</v>
      </c>
      <c r="J11">
        <v>1.32</v>
      </c>
      <c r="K11" t="s">
        <v>139</v>
      </c>
      <c r="L11" t="s">
        <v>139</v>
      </c>
      <c r="M11" t="s">
        <v>139</v>
      </c>
      <c r="N11" t="s">
        <v>139</v>
      </c>
      <c r="O11">
        <v>1.34</v>
      </c>
      <c r="P11">
        <v>1.34</v>
      </c>
      <c r="Q11">
        <v>1.35</v>
      </c>
      <c r="R11">
        <v>1.34</v>
      </c>
      <c r="S11">
        <v>1.32</v>
      </c>
      <c r="T11">
        <v>1.28</v>
      </c>
      <c r="U11">
        <v>1.26</v>
      </c>
      <c r="V11">
        <v>1.28</v>
      </c>
      <c r="W11" t="s">
        <v>139</v>
      </c>
      <c r="X11" t="s">
        <v>139</v>
      </c>
      <c r="Y11" t="s">
        <v>139</v>
      </c>
      <c r="Z11" t="s">
        <v>139</v>
      </c>
      <c r="AA11">
        <v>1.34</v>
      </c>
      <c r="AB11">
        <v>1.33</v>
      </c>
      <c r="AC11">
        <v>1.34</v>
      </c>
      <c r="AD11">
        <v>1.34</v>
      </c>
      <c r="AE11">
        <v>1.32</v>
      </c>
      <c r="AF11">
        <v>1.33</v>
      </c>
      <c r="AG11">
        <v>1.33</v>
      </c>
      <c r="AH11">
        <v>1.35</v>
      </c>
      <c r="AI11" t="s">
        <v>139</v>
      </c>
      <c r="AJ11" t="s">
        <v>139</v>
      </c>
      <c r="AK11" t="s">
        <v>139</v>
      </c>
      <c r="AL11" t="s">
        <v>139</v>
      </c>
    </row>
    <row r="12" spans="1:38" ht="12.75">
      <c r="A12">
        <f>(SUM(C12:V12)+SUM(AA12:AH12))/28</f>
        <v>1.2985714285714285</v>
      </c>
      <c r="B12" t="s">
        <v>48</v>
      </c>
      <c r="C12">
        <v>1.36</v>
      </c>
      <c r="D12">
        <v>1.4</v>
      </c>
      <c r="E12">
        <v>1.38</v>
      </c>
      <c r="F12">
        <v>1.4</v>
      </c>
      <c r="G12">
        <v>1.31</v>
      </c>
      <c r="H12">
        <v>1.27</v>
      </c>
      <c r="I12">
        <v>1.25</v>
      </c>
      <c r="J12">
        <v>1.3</v>
      </c>
      <c r="K12">
        <v>1.29</v>
      </c>
      <c r="L12">
        <v>1.26</v>
      </c>
      <c r="M12">
        <v>1.18</v>
      </c>
      <c r="N12">
        <v>1.28</v>
      </c>
      <c r="O12">
        <v>1.28</v>
      </c>
      <c r="P12">
        <v>1.28</v>
      </c>
      <c r="Q12">
        <v>1.28</v>
      </c>
      <c r="R12">
        <v>1.31</v>
      </c>
      <c r="S12">
        <v>1.24</v>
      </c>
      <c r="T12">
        <v>1.23</v>
      </c>
      <c r="U12">
        <v>1.24</v>
      </c>
      <c r="V12">
        <v>1.24</v>
      </c>
      <c r="W12" t="s">
        <v>139</v>
      </c>
      <c r="X12" t="s">
        <v>139</v>
      </c>
      <c r="Y12" t="s">
        <v>139</v>
      </c>
      <c r="Z12" t="s">
        <v>139</v>
      </c>
      <c r="AA12">
        <v>1.33</v>
      </c>
      <c r="AB12">
        <v>1.34</v>
      </c>
      <c r="AC12">
        <v>1.33</v>
      </c>
      <c r="AD12">
        <v>1.38</v>
      </c>
      <c r="AE12">
        <v>1.28</v>
      </c>
      <c r="AF12">
        <v>1.29</v>
      </c>
      <c r="AG12">
        <v>1.3</v>
      </c>
      <c r="AH12">
        <v>1.33</v>
      </c>
      <c r="AI12" t="s">
        <v>139</v>
      </c>
      <c r="AJ12" t="s">
        <v>139</v>
      </c>
      <c r="AK12" t="s">
        <v>139</v>
      </c>
      <c r="AL12" t="s">
        <v>139</v>
      </c>
    </row>
    <row r="13" spans="1:38" ht="12.75">
      <c r="A13">
        <f>(SUM(C13:AH13))/32</f>
        <v>1.3571875</v>
      </c>
      <c r="B13" t="s">
        <v>49</v>
      </c>
      <c r="C13">
        <v>1.38</v>
      </c>
      <c r="D13">
        <v>1.39</v>
      </c>
      <c r="E13">
        <v>1.39</v>
      </c>
      <c r="F13">
        <v>1.43</v>
      </c>
      <c r="G13">
        <v>1.36</v>
      </c>
      <c r="H13">
        <v>1.34</v>
      </c>
      <c r="I13">
        <v>1.33</v>
      </c>
      <c r="J13">
        <v>1.32</v>
      </c>
      <c r="K13">
        <v>1.35</v>
      </c>
      <c r="L13">
        <v>1.33</v>
      </c>
      <c r="M13">
        <v>1.34</v>
      </c>
      <c r="N13">
        <v>1.35</v>
      </c>
      <c r="O13">
        <v>1.38</v>
      </c>
      <c r="P13">
        <v>1.41</v>
      </c>
      <c r="Q13">
        <v>1.37</v>
      </c>
      <c r="R13">
        <v>1.41</v>
      </c>
      <c r="S13">
        <v>1.36</v>
      </c>
      <c r="T13">
        <v>1.34</v>
      </c>
      <c r="U13">
        <v>1.34</v>
      </c>
      <c r="V13">
        <v>1.33</v>
      </c>
      <c r="W13">
        <v>1.36</v>
      </c>
      <c r="X13">
        <v>1.36</v>
      </c>
      <c r="Y13">
        <v>1.34</v>
      </c>
      <c r="Z13">
        <v>1.32</v>
      </c>
      <c r="AA13">
        <v>1.38</v>
      </c>
      <c r="AB13">
        <v>1.36</v>
      </c>
      <c r="AC13">
        <v>1.35</v>
      </c>
      <c r="AD13">
        <v>1.37</v>
      </c>
      <c r="AE13">
        <v>1.31</v>
      </c>
      <c r="AF13">
        <v>1.32</v>
      </c>
      <c r="AG13">
        <v>1.34</v>
      </c>
      <c r="AH13">
        <v>1.37</v>
      </c>
      <c r="AI13" t="s">
        <v>139</v>
      </c>
      <c r="AJ13" t="s">
        <v>139</v>
      </c>
      <c r="AK13" t="s">
        <v>139</v>
      </c>
      <c r="AL13" t="s">
        <v>139</v>
      </c>
    </row>
    <row r="14" spans="1:38" ht="12.75">
      <c r="A14">
        <f>AVERAGE(C14:AL14)</f>
        <v>1.330277777777778</v>
      </c>
      <c r="B14" t="s">
        <v>50</v>
      </c>
      <c r="C14">
        <v>1.41</v>
      </c>
      <c r="D14">
        <v>1.43</v>
      </c>
      <c r="E14">
        <v>1.41</v>
      </c>
      <c r="F14">
        <v>1.45</v>
      </c>
      <c r="G14">
        <v>1.36</v>
      </c>
      <c r="H14">
        <v>1.37</v>
      </c>
      <c r="I14">
        <v>1.39</v>
      </c>
      <c r="J14">
        <v>1.37</v>
      </c>
      <c r="K14">
        <v>1.38</v>
      </c>
      <c r="L14">
        <v>1.33</v>
      </c>
      <c r="M14">
        <v>1.36</v>
      </c>
      <c r="N14">
        <v>1.35</v>
      </c>
      <c r="O14">
        <v>1.35</v>
      </c>
      <c r="P14">
        <v>1.37</v>
      </c>
      <c r="Q14">
        <v>1.33</v>
      </c>
      <c r="R14">
        <v>1.36</v>
      </c>
      <c r="S14">
        <v>1.29</v>
      </c>
      <c r="T14">
        <v>1.27</v>
      </c>
      <c r="U14">
        <v>1.26</v>
      </c>
      <c r="V14">
        <v>1.27</v>
      </c>
      <c r="W14">
        <v>1.24</v>
      </c>
      <c r="X14">
        <v>1.24</v>
      </c>
      <c r="Y14">
        <v>1.21</v>
      </c>
      <c r="Z14">
        <v>1.24</v>
      </c>
      <c r="AA14">
        <v>1.31</v>
      </c>
      <c r="AB14">
        <v>1.33</v>
      </c>
      <c r="AC14">
        <v>1.34</v>
      </c>
      <c r="AD14">
        <v>1.38</v>
      </c>
      <c r="AE14">
        <v>1.29</v>
      </c>
      <c r="AF14">
        <v>1.31</v>
      </c>
      <c r="AG14">
        <v>1.35</v>
      </c>
      <c r="AH14">
        <v>1.34</v>
      </c>
      <c r="AI14">
        <v>1.29</v>
      </c>
      <c r="AJ14">
        <v>1.3</v>
      </c>
      <c r="AK14">
        <v>1.31</v>
      </c>
      <c r="AL14">
        <v>1.3</v>
      </c>
    </row>
    <row r="15" spans="1:38" ht="12.75">
      <c r="A15">
        <f t="shared" si="0"/>
        <v>1.3488888888888886</v>
      </c>
      <c r="B15" t="s">
        <v>51</v>
      </c>
      <c r="C15">
        <v>1.4</v>
      </c>
      <c r="D15">
        <v>1.45</v>
      </c>
      <c r="E15">
        <v>1.43</v>
      </c>
      <c r="F15">
        <v>1.41</v>
      </c>
      <c r="G15">
        <v>1.3</v>
      </c>
      <c r="H15">
        <v>1.31</v>
      </c>
      <c r="I15">
        <v>1.32</v>
      </c>
      <c r="J15">
        <v>1.27</v>
      </c>
      <c r="K15">
        <v>1.25</v>
      </c>
      <c r="L15">
        <v>1.25</v>
      </c>
      <c r="M15">
        <v>1.25</v>
      </c>
      <c r="N15">
        <v>1.32</v>
      </c>
      <c r="O15">
        <v>1.36</v>
      </c>
      <c r="P15">
        <v>1.36</v>
      </c>
      <c r="Q15">
        <v>1.37</v>
      </c>
      <c r="R15">
        <v>1.35</v>
      </c>
      <c r="S15">
        <v>1.33</v>
      </c>
      <c r="T15">
        <v>1.33</v>
      </c>
      <c r="U15">
        <v>1.35</v>
      </c>
      <c r="V15">
        <v>1.34</v>
      </c>
      <c r="W15">
        <v>1.35</v>
      </c>
      <c r="X15">
        <v>1.33</v>
      </c>
      <c r="Y15">
        <v>1.35</v>
      </c>
      <c r="Z15">
        <v>1.37</v>
      </c>
      <c r="AA15">
        <v>1.43</v>
      </c>
      <c r="AB15">
        <v>1.44</v>
      </c>
      <c r="AC15">
        <v>1.44</v>
      </c>
      <c r="AD15">
        <v>1.4</v>
      </c>
      <c r="AE15">
        <v>1.38</v>
      </c>
      <c r="AF15">
        <v>1.37</v>
      </c>
      <c r="AG15">
        <v>1.36</v>
      </c>
      <c r="AH15">
        <v>1.37</v>
      </c>
      <c r="AI15">
        <v>1.29</v>
      </c>
      <c r="AJ15">
        <v>1.33</v>
      </c>
      <c r="AK15">
        <v>1.3</v>
      </c>
      <c r="AL15">
        <v>1.3</v>
      </c>
    </row>
    <row r="16" spans="1:38" ht="12.75">
      <c r="A16">
        <f t="shared" si="0"/>
        <v>1.248333333333333</v>
      </c>
      <c r="B16" t="s">
        <v>52</v>
      </c>
      <c r="C16">
        <v>1.31</v>
      </c>
      <c r="D16">
        <v>1.32</v>
      </c>
      <c r="E16">
        <v>1.3</v>
      </c>
      <c r="F16">
        <v>1.32</v>
      </c>
      <c r="G16">
        <v>1.23</v>
      </c>
      <c r="H16">
        <v>1.23</v>
      </c>
      <c r="I16">
        <v>1.25</v>
      </c>
      <c r="J16">
        <v>1.24</v>
      </c>
      <c r="K16">
        <v>1.24</v>
      </c>
      <c r="L16">
        <v>1.25</v>
      </c>
      <c r="M16">
        <v>1.22</v>
      </c>
      <c r="N16">
        <v>1.29</v>
      </c>
      <c r="O16">
        <v>1.3</v>
      </c>
      <c r="P16">
        <v>1.3</v>
      </c>
      <c r="Q16">
        <v>1.31</v>
      </c>
      <c r="R16">
        <v>1.31</v>
      </c>
      <c r="S16">
        <v>1.25</v>
      </c>
      <c r="T16">
        <v>1.25</v>
      </c>
      <c r="U16">
        <v>1.22</v>
      </c>
      <c r="V16">
        <v>1.24</v>
      </c>
      <c r="W16">
        <v>1.21</v>
      </c>
      <c r="X16">
        <v>1.2</v>
      </c>
      <c r="Y16">
        <v>1.21</v>
      </c>
      <c r="Z16">
        <v>1.23</v>
      </c>
      <c r="AA16">
        <v>1.28</v>
      </c>
      <c r="AB16">
        <v>1.28</v>
      </c>
      <c r="AC16">
        <v>1.24</v>
      </c>
      <c r="AD16">
        <v>1.29</v>
      </c>
      <c r="AE16">
        <v>1.2</v>
      </c>
      <c r="AF16">
        <v>1.23</v>
      </c>
      <c r="AG16">
        <v>1.23</v>
      </c>
      <c r="AH16">
        <v>1.23</v>
      </c>
      <c r="AI16">
        <v>1.18</v>
      </c>
      <c r="AJ16">
        <v>1.19</v>
      </c>
      <c r="AK16">
        <v>1.16</v>
      </c>
      <c r="AL16">
        <v>1.2</v>
      </c>
    </row>
    <row r="17" spans="1:38" ht="12.75">
      <c r="A17">
        <f t="shared" si="0"/>
        <v>0.4202777777777779</v>
      </c>
      <c r="B17" t="s">
        <v>53</v>
      </c>
      <c r="C17">
        <v>0.42</v>
      </c>
      <c r="D17">
        <v>0.43</v>
      </c>
      <c r="E17">
        <v>0.42</v>
      </c>
      <c r="F17">
        <v>0.44</v>
      </c>
      <c r="G17">
        <v>0.42</v>
      </c>
      <c r="H17">
        <v>0.42</v>
      </c>
      <c r="I17">
        <v>0.42</v>
      </c>
      <c r="J17">
        <v>0.43</v>
      </c>
      <c r="K17">
        <v>0.42</v>
      </c>
      <c r="L17">
        <v>0.43</v>
      </c>
      <c r="M17">
        <v>0.42</v>
      </c>
      <c r="N17">
        <v>0.43</v>
      </c>
      <c r="O17">
        <v>0.46</v>
      </c>
      <c r="P17">
        <v>0.45</v>
      </c>
      <c r="Q17">
        <v>0.44</v>
      </c>
      <c r="R17">
        <v>0.44</v>
      </c>
      <c r="S17">
        <v>0.44</v>
      </c>
      <c r="T17">
        <v>0.43</v>
      </c>
      <c r="U17">
        <v>0.42</v>
      </c>
      <c r="V17">
        <v>0.42</v>
      </c>
      <c r="W17">
        <v>0.41</v>
      </c>
      <c r="X17">
        <v>0.4</v>
      </c>
      <c r="Y17">
        <v>0.4</v>
      </c>
      <c r="Z17">
        <v>0.4</v>
      </c>
      <c r="AA17">
        <v>0.42</v>
      </c>
      <c r="AB17">
        <v>0.42</v>
      </c>
      <c r="AC17">
        <v>0.42</v>
      </c>
      <c r="AD17">
        <v>0.43</v>
      </c>
      <c r="AE17">
        <v>0.4</v>
      </c>
      <c r="AF17">
        <v>0.41</v>
      </c>
      <c r="AG17">
        <v>0.41</v>
      </c>
      <c r="AH17">
        <v>0.42</v>
      </c>
      <c r="AI17">
        <v>0.4</v>
      </c>
      <c r="AJ17">
        <v>0.4</v>
      </c>
      <c r="AK17">
        <v>0.4</v>
      </c>
      <c r="AL17">
        <v>0.39</v>
      </c>
    </row>
    <row r="18" spans="1:38" ht="12.75">
      <c r="A18">
        <f t="shared" si="0"/>
        <v>0.4152777777777778</v>
      </c>
      <c r="B18" t="s">
        <v>54</v>
      </c>
      <c r="C18">
        <v>0.38</v>
      </c>
      <c r="D18">
        <v>0.4</v>
      </c>
      <c r="E18">
        <v>0.39</v>
      </c>
      <c r="F18">
        <v>0.39</v>
      </c>
      <c r="G18">
        <v>0.37</v>
      </c>
      <c r="H18">
        <v>0.37</v>
      </c>
      <c r="I18">
        <v>0.36</v>
      </c>
      <c r="J18">
        <v>0.37</v>
      </c>
      <c r="K18">
        <v>0.36</v>
      </c>
      <c r="L18">
        <v>0.36</v>
      </c>
      <c r="M18">
        <v>0.37</v>
      </c>
      <c r="N18">
        <v>0.38</v>
      </c>
      <c r="O18">
        <v>0.42</v>
      </c>
      <c r="P18">
        <v>0.43</v>
      </c>
      <c r="Q18">
        <v>0.43</v>
      </c>
      <c r="R18">
        <v>0.45</v>
      </c>
      <c r="S18">
        <v>0.45</v>
      </c>
      <c r="T18">
        <v>0.45</v>
      </c>
      <c r="U18">
        <v>0.45</v>
      </c>
      <c r="V18">
        <v>0.46</v>
      </c>
      <c r="W18">
        <v>0.45</v>
      </c>
      <c r="X18">
        <v>0.45</v>
      </c>
      <c r="Y18">
        <v>0.44</v>
      </c>
      <c r="Z18">
        <v>0.46</v>
      </c>
      <c r="AA18">
        <v>0.48</v>
      </c>
      <c r="AB18">
        <v>0.48</v>
      </c>
      <c r="AC18">
        <v>0.46</v>
      </c>
      <c r="AD18">
        <v>0.46</v>
      </c>
      <c r="AE18">
        <v>0.44</v>
      </c>
      <c r="AF18">
        <v>0.43</v>
      </c>
      <c r="AG18">
        <v>0.43</v>
      </c>
      <c r="AH18">
        <v>0.43</v>
      </c>
      <c r="AI18">
        <v>0.39</v>
      </c>
      <c r="AJ18">
        <v>0.38</v>
      </c>
      <c r="AK18">
        <v>0.36</v>
      </c>
      <c r="AL18">
        <v>0.37</v>
      </c>
    </row>
    <row r="19" spans="1:38" ht="12.75">
      <c r="A19">
        <f t="shared" si="0"/>
        <v>0.3575000000000001</v>
      </c>
      <c r="B19" t="s">
        <v>55</v>
      </c>
      <c r="C19">
        <v>0.37</v>
      </c>
      <c r="D19">
        <v>0.39</v>
      </c>
      <c r="E19">
        <v>0.4</v>
      </c>
      <c r="F19">
        <v>0.4</v>
      </c>
      <c r="G19">
        <v>0.4</v>
      </c>
      <c r="H19">
        <v>0.4</v>
      </c>
      <c r="I19">
        <v>0.39</v>
      </c>
      <c r="J19">
        <v>0.4</v>
      </c>
      <c r="K19">
        <v>0.39</v>
      </c>
      <c r="L19">
        <v>0.38</v>
      </c>
      <c r="M19">
        <v>0.38</v>
      </c>
      <c r="N19">
        <v>0.38</v>
      </c>
      <c r="O19">
        <v>0.39</v>
      </c>
      <c r="P19">
        <v>0.37</v>
      </c>
      <c r="Q19">
        <v>0.37</v>
      </c>
      <c r="R19">
        <v>0.36</v>
      </c>
      <c r="S19">
        <v>0.39</v>
      </c>
      <c r="T19">
        <v>0.36</v>
      </c>
      <c r="U19">
        <v>0.36</v>
      </c>
      <c r="V19">
        <v>0.36</v>
      </c>
      <c r="W19">
        <v>0.33</v>
      </c>
      <c r="X19">
        <v>0.32</v>
      </c>
      <c r="Y19">
        <v>0.32</v>
      </c>
      <c r="Z19">
        <v>0.32</v>
      </c>
      <c r="AA19">
        <v>0.34</v>
      </c>
      <c r="AB19">
        <v>0.33</v>
      </c>
      <c r="AC19">
        <v>0.34</v>
      </c>
      <c r="AD19">
        <v>0.33</v>
      </c>
      <c r="AE19">
        <v>0.34</v>
      </c>
      <c r="AF19">
        <v>0.33</v>
      </c>
      <c r="AG19">
        <v>0.34</v>
      </c>
      <c r="AH19">
        <v>0.33</v>
      </c>
      <c r="AI19">
        <v>0.31</v>
      </c>
      <c r="AJ19">
        <v>0.32</v>
      </c>
      <c r="AK19">
        <v>0.31</v>
      </c>
      <c r="AL19">
        <v>0.32</v>
      </c>
    </row>
    <row r="20" spans="1:38" ht="12.75">
      <c r="A20">
        <f t="shared" si="0"/>
        <v>0.38611111111111107</v>
      </c>
      <c r="B20" t="s">
        <v>56</v>
      </c>
      <c r="C20">
        <v>0.34</v>
      </c>
      <c r="D20">
        <v>0.36</v>
      </c>
      <c r="E20">
        <v>0.36</v>
      </c>
      <c r="F20">
        <v>0.36</v>
      </c>
      <c r="G20">
        <v>0.35</v>
      </c>
      <c r="H20">
        <v>0.35</v>
      </c>
      <c r="I20">
        <v>0.35</v>
      </c>
      <c r="J20">
        <v>0.35</v>
      </c>
      <c r="K20">
        <v>0.34</v>
      </c>
      <c r="L20">
        <v>0.34</v>
      </c>
      <c r="M20">
        <v>0.34</v>
      </c>
      <c r="N20">
        <v>0.33</v>
      </c>
      <c r="O20">
        <v>0.39</v>
      </c>
      <c r="P20">
        <v>0.39</v>
      </c>
      <c r="Q20">
        <v>0.41</v>
      </c>
      <c r="R20">
        <v>0.42</v>
      </c>
      <c r="S20">
        <v>0.44</v>
      </c>
      <c r="T20">
        <v>0.44</v>
      </c>
      <c r="U20">
        <v>0.42</v>
      </c>
      <c r="V20">
        <v>0.43</v>
      </c>
      <c r="W20">
        <v>0.42</v>
      </c>
      <c r="X20">
        <v>0.43</v>
      </c>
      <c r="Y20">
        <v>0.42</v>
      </c>
      <c r="Z20">
        <v>0.41</v>
      </c>
      <c r="AA20">
        <v>0.43</v>
      </c>
      <c r="AB20">
        <v>0.42</v>
      </c>
      <c r="AC20">
        <v>0.43</v>
      </c>
      <c r="AD20">
        <v>0.41</v>
      </c>
      <c r="AE20">
        <v>0.41</v>
      </c>
      <c r="AF20">
        <v>0.41</v>
      </c>
      <c r="AG20">
        <v>0.4</v>
      </c>
      <c r="AH20">
        <v>0.39</v>
      </c>
      <c r="AI20">
        <v>0.36</v>
      </c>
      <c r="AJ20">
        <v>0.36</v>
      </c>
      <c r="AK20">
        <v>0.35</v>
      </c>
      <c r="AL20">
        <v>0.34</v>
      </c>
    </row>
    <row r="21" spans="1:38" ht="12.75">
      <c r="A21">
        <f t="shared" si="0"/>
        <v>0.27888888888888885</v>
      </c>
      <c r="B21" t="s">
        <v>57</v>
      </c>
      <c r="C21">
        <v>0.28</v>
      </c>
      <c r="D21">
        <v>0.29</v>
      </c>
      <c r="E21">
        <v>0.28</v>
      </c>
      <c r="F21">
        <v>0.29</v>
      </c>
      <c r="G21">
        <v>0.29</v>
      </c>
      <c r="H21">
        <v>0.28</v>
      </c>
      <c r="I21">
        <v>0.27</v>
      </c>
      <c r="J21">
        <v>0.28</v>
      </c>
      <c r="K21">
        <v>0.28</v>
      </c>
      <c r="L21">
        <v>0.28</v>
      </c>
      <c r="M21">
        <v>0.27</v>
      </c>
      <c r="N21">
        <v>0.28</v>
      </c>
      <c r="O21">
        <v>0.28</v>
      </c>
      <c r="P21">
        <v>0.27</v>
      </c>
      <c r="Q21">
        <v>0.27</v>
      </c>
      <c r="R21">
        <v>0.29</v>
      </c>
      <c r="S21">
        <v>0.28</v>
      </c>
      <c r="T21">
        <v>0.28</v>
      </c>
      <c r="U21">
        <v>0.28</v>
      </c>
      <c r="V21">
        <v>0.27</v>
      </c>
      <c r="W21">
        <v>0.28</v>
      </c>
      <c r="X21">
        <v>0.28</v>
      </c>
      <c r="Y21">
        <v>0.28</v>
      </c>
      <c r="Z21">
        <v>0.27</v>
      </c>
      <c r="AA21">
        <v>0.27</v>
      </c>
      <c r="AB21">
        <v>0.28</v>
      </c>
      <c r="AC21">
        <v>0.28</v>
      </c>
      <c r="AD21">
        <v>0.28</v>
      </c>
      <c r="AE21">
        <v>0.29</v>
      </c>
      <c r="AF21">
        <v>0.27</v>
      </c>
      <c r="AG21">
        <v>0.29</v>
      </c>
      <c r="AH21">
        <v>0.28</v>
      </c>
      <c r="AI21">
        <v>0.28</v>
      </c>
      <c r="AJ21">
        <v>0.27</v>
      </c>
      <c r="AK21">
        <v>0.28</v>
      </c>
      <c r="AL21">
        <v>0.27</v>
      </c>
    </row>
    <row r="22" spans="1:38" ht="12.75">
      <c r="A22">
        <f t="shared" si="0"/>
        <v>0.286111111111111</v>
      </c>
      <c r="B22" t="s">
        <v>58</v>
      </c>
      <c r="C22">
        <v>0.29</v>
      </c>
      <c r="D22">
        <v>0.28</v>
      </c>
      <c r="E22">
        <v>0.29</v>
      </c>
      <c r="F22">
        <v>0.29</v>
      </c>
      <c r="G22">
        <v>0.29</v>
      </c>
      <c r="H22">
        <v>0.29</v>
      </c>
      <c r="I22">
        <v>0.29</v>
      </c>
      <c r="J22">
        <v>0.29</v>
      </c>
      <c r="K22">
        <v>0.28</v>
      </c>
      <c r="L22">
        <v>0.29</v>
      </c>
      <c r="M22">
        <v>0.29</v>
      </c>
      <c r="N22">
        <v>0.29</v>
      </c>
      <c r="O22">
        <v>0.28</v>
      </c>
      <c r="P22">
        <v>0.28</v>
      </c>
      <c r="Q22">
        <v>0.28</v>
      </c>
      <c r="R22">
        <v>0.29</v>
      </c>
      <c r="S22">
        <v>0.29</v>
      </c>
      <c r="T22">
        <v>0.3</v>
      </c>
      <c r="U22">
        <v>0.29</v>
      </c>
      <c r="V22">
        <v>0.29</v>
      </c>
      <c r="W22">
        <v>0.29</v>
      </c>
      <c r="X22">
        <v>0.28</v>
      </c>
      <c r="Y22">
        <v>0.27</v>
      </c>
      <c r="Z22">
        <v>0.28</v>
      </c>
      <c r="AA22">
        <v>0.28</v>
      </c>
      <c r="AB22">
        <v>0.28</v>
      </c>
      <c r="AC22">
        <v>0.29</v>
      </c>
      <c r="AD22">
        <v>0.29</v>
      </c>
      <c r="AE22">
        <v>0.28</v>
      </c>
      <c r="AF22">
        <v>0.29</v>
      </c>
      <c r="AG22">
        <v>0.29</v>
      </c>
      <c r="AH22">
        <v>0.29</v>
      </c>
      <c r="AI22">
        <v>0.29</v>
      </c>
      <c r="AJ22">
        <v>0.28</v>
      </c>
      <c r="AK22">
        <v>0.28</v>
      </c>
      <c r="AL22">
        <v>0.28</v>
      </c>
    </row>
    <row r="23" spans="1:38" ht="12.75">
      <c r="A23">
        <f t="shared" si="0"/>
        <v>0</v>
      </c>
      <c r="B23" t="s">
        <v>59</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row>
    <row r="31" spans="2:38" ht="12.75">
      <c r="B31" t="s">
        <v>186</v>
      </c>
      <c r="C31" t="str">
        <f>C1</f>
        <v>A1</v>
      </c>
      <c r="D31" t="str">
        <f aca="true" t="shared" si="1" ref="D31:AL31">D1</f>
        <v>A2</v>
      </c>
      <c r="E31" t="str">
        <f t="shared" si="1"/>
        <v>A3</v>
      </c>
      <c r="F31" t="str">
        <f t="shared" si="1"/>
        <v>A4</v>
      </c>
      <c r="G31" t="str">
        <f t="shared" si="1"/>
        <v>A5</v>
      </c>
      <c r="H31" t="str">
        <f t="shared" si="1"/>
        <v>A6</v>
      </c>
      <c r="I31" t="str">
        <f t="shared" si="1"/>
        <v>A7</v>
      </c>
      <c r="J31" t="str">
        <f t="shared" si="1"/>
        <v>A8</v>
      </c>
      <c r="K31" t="str">
        <f t="shared" si="1"/>
        <v>A9</v>
      </c>
      <c r="L31" t="str">
        <f t="shared" si="1"/>
        <v>A10</v>
      </c>
      <c r="M31" t="str">
        <f t="shared" si="1"/>
        <v>A11</v>
      </c>
      <c r="N31" t="str">
        <f t="shared" si="1"/>
        <v>A12</v>
      </c>
      <c r="O31" t="str">
        <f t="shared" si="1"/>
        <v>A13</v>
      </c>
      <c r="P31" t="str">
        <f t="shared" si="1"/>
        <v>A14</v>
      </c>
      <c r="Q31" t="str">
        <f t="shared" si="1"/>
        <v>A15</v>
      </c>
      <c r="R31" t="str">
        <f t="shared" si="1"/>
        <v>A16</v>
      </c>
      <c r="S31" t="str">
        <f t="shared" si="1"/>
        <v>A17</v>
      </c>
      <c r="T31" t="str">
        <f t="shared" si="1"/>
        <v>A18</v>
      </c>
      <c r="U31" t="str">
        <f t="shared" si="1"/>
        <v>A19</v>
      </c>
      <c r="V31" t="str">
        <f t="shared" si="1"/>
        <v>A20</v>
      </c>
      <c r="W31" t="str">
        <f t="shared" si="1"/>
        <v>A21</v>
      </c>
      <c r="X31" t="str">
        <f t="shared" si="1"/>
        <v>A22</v>
      </c>
      <c r="Y31" t="str">
        <f t="shared" si="1"/>
        <v>A23</v>
      </c>
      <c r="Z31" t="str">
        <f t="shared" si="1"/>
        <v>A24</v>
      </c>
      <c r="AA31" t="str">
        <f t="shared" si="1"/>
        <v>A25</v>
      </c>
      <c r="AB31" t="str">
        <f t="shared" si="1"/>
        <v>A26</v>
      </c>
      <c r="AC31" t="str">
        <f t="shared" si="1"/>
        <v>A27</v>
      </c>
      <c r="AD31" t="str">
        <f t="shared" si="1"/>
        <v>A28</v>
      </c>
      <c r="AE31" t="str">
        <f t="shared" si="1"/>
        <v>A29</v>
      </c>
      <c r="AF31" t="str">
        <f t="shared" si="1"/>
        <v>A30</v>
      </c>
      <c r="AG31" t="str">
        <f t="shared" si="1"/>
        <v>A31</v>
      </c>
      <c r="AH31" t="str">
        <f t="shared" si="1"/>
        <v>A32</v>
      </c>
      <c r="AI31" t="str">
        <f t="shared" si="1"/>
        <v>A33</v>
      </c>
      <c r="AJ31" t="str">
        <f t="shared" si="1"/>
        <v>A34</v>
      </c>
      <c r="AK31" t="str">
        <f t="shared" si="1"/>
        <v>A35</v>
      </c>
      <c r="AL31" t="str">
        <f t="shared" si="1"/>
        <v>A36</v>
      </c>
    </row>
    <row r="32" spans="1:38" ht="12.75">
      <c r="A32">
        <f>AVERAGE(C32:AL32)</f>
        <v>3.043121072007538</v>
      </c>
      <c r="B32" t="str">
        <f>B5</f>
        <v>MI Coalesced</v>
      </c>
      <c r="C32">
        <f aca="true" t="shared" si="2" ref="C32:AL32">6*GammaCoal*((C5*C5)/BetaYCoal)</f>
        <v>3.478594187968664</v>
      </c>
      <c r="D32">
        <f t="shared" si="2"/>
        <v>3.3222730648523036</v>
      </c>
      <c r="E32">
        <f t="shared" si="2"/>
        <v>3.3222730648523036</v>
      </c>
      <c r="F32">
        <f t="shared" si="2"/>
        <v>3.3222730648523036</v>
      </c>
      <c r="G32">
        <f t="shared" si="2"/>
        <v>3.0204115857310554</v>
      </c>
      <c r="H32">
        <f t="shared" si="2"/>
        <v>3.0204115857310554</v>
      </c>
      <c r="I32">
        <f t="shared" si="2"/>
        <v>3.0204115857310554</v>
      </c>
      <c r="J32">
        <f t="shared" si="2"/>
        <v>3.169545530773101</v>
      </c>
      <c r="K32">
        <f t="shared" si="2"/>
        <v>2.7329244627584393</v>
      </c>
      <c r="L32">
        <f t="shared" si="2"/>
        <v>2.874871229726169</v>
      </c>
      <c r="M32">
        <f t="shared" si="2"/>
        <v>2.874871229726169</v>
      </c>
      <c r="N32">
        <f t="shared" si="2"/>
        <v>2.874871229726169</v>
      </c>
      <c r="O32">
        <f t="shared" si="2"/>
        <v>3.0204115857310554</v>
      </c>
      <c r="P32">
        <f t="shared" si="2"/>
        <v>3.0204115857310554</v>
      </c>
      <c r="Q32">
        <f t="shared" si="2"/>
        <v>3.0204115857310554</v>
      </c>
      <c r="R32">
        <f t="shared" si="2"/>
        <v>3.0204115857310554</v>
      </c>
      <c r="S32">
        <f t="shared" si="2"/>
        <v>3.0204115857310554</v>
      </c>
      <c r="T32">
        <f t="shared" si="2"/>
        <v>3.169545530773101</v>
      </c>
      <c r="U32">
        <f t="shared" si="2"/>
        <v>3.169545530773101</v>
      </c>
      <c r="V32">
        <f t="shared" si="2"/>
        <v>3.169545530773101</v>
      </c>
      <c r="W32">
        <f t="shared" si="2"/>
        <v>3.0204115857310554</v>
      </c>
      <c r="X32">
        <f t="shared" si="2"/>
        <v>3.169545530773101</v>
      </c>
      <c r="Y32">
        <f t="shared" si="2"/>
        <v>3.3222730648523036</v>
      </c>
      <c r="Z32">
        <f t="shared" si="2"/>
        <v>3.169545530773101</v>
      </c>
      <c r="AA32">
        <f t="shared" si="2"/>
        <v>2.874871229726169</v>
      </c>
      <c r="AB32">
        <f t="shared" si="2"/>
        <v>2.874871229726169</v>
      </c>
      <c r="AC32">
        <f t="shared" si="2"/>
        <v>3.0204115857310554</v>
      </c>
      <c r="AD32">
        <f t="shared" si="2"/>
        <v>3.0204115857310554</v>
      </c>
      <c r="AE32">
        <f t="shared" si="2"/>
        <v>2.874871229726169</v>
      </c>
      <c r="AF32">
        <f t="shared" si="2"/>
        <v>3.0204115857310554</v>
      </c>
      <c r="AG32">
        <f t="shared" si="2"/>
        <v>3.0204115857310554</v>
      </c>
      <c r="AH32">
        <f t="shared" si="2"/>
        <v>3.0204115857310554</v>
      </c>
      <c r="AI32">
        <f t="shared" si="2"/>
        <v>2.874871229726169</v>
      </c>
      <c r="AJ32">
        <f t="shared" si="2"/>
        <v>2.874871229726169</v>
      </c>
      <c r="AK32">
        <f t="shared" si="2"/>
        <v>2.874871229726169</v>
      </c>
      <c r="AL32">
        <f t="shared" si="2"/>
        <v>2.874871229726169</v>
      </c>
    </row>
    <row r="33" spans="1:38" ht="12.75">
      <c r="A33">
        <f aca="true" t="shared" si="3" ref="A33:A51">AVERAGE(C33:AL33)</f>
        <v>17.697671263936094</v>
      </c>
      <c r="B33" t="s">
        <v>220</v>
      </c>
      <c r="C33">
        <f>C34</f>
        <v>20.388722382035336</v>
      </c>
      <c r="D33">
        <f>D34</f>
        <v>20.388722382035336</v>
      </c>
      <c r="E33">
        <f>E34</f>
        <v>21.00652752629284</v>
      </c>
      <c r="F33">
        <f>F34</f>
        <v>22.269800731714884</v>
      </c>
      <c r="G33">
        <f>G37</f>
        <v>20.696472332626293</v>
      </c>
      <c r="H33">
        <f>H37</f>
        <v>20.388722382035336</v>
      </c>
      <c r="I33">
        <f>I37</f>
        <v>18.884551275214367</v>
      </c>
      <c r="J33">
        <f>J37</f>
        <v>20.696472332626293</v>
      </c>
      <c r="K33">
        <f>K40</f>
        <v>19.180775010427386</v>
      </c>
      <c r="L33">
        <f>L40</f>
        <v>18.29901953401509</v>
      </c>
      <c r="M33">
        <f>M40</f>
        <v>16.049102292241503</v>
      </c>
      <c r="N33">
        <f>N40</f>
        <v>18.884551275214367</v>
      </c>
      <c r="O33">
        <f>O35</f>
        <v>19.780138210080185</v>
      </c>
      <c r="P33">
        <f>P35</f>
        <v>18.590632783076934</v>
      </c>
      <c r="Q33">
        <f>Q35</f>
        <v>18.884551275214367</v>
      </c>
      <c r="R33">
        <f>R35</f>
        <v>19.47930398871599</v>
      </c>
      <c r="S33">
        <f>S38</f>
        <v>0</v>
      </c>
      <c r="T33">
        <f>T38</f>
        <v>0</v>
      </c>
      <c r="U33">
        <f>U38</f>
        <v>0</v>
      </c>
      <c r="V33">
        <f>V38</f>
        <v>0</v>
      </c>
      <c r="W33">
        <f>W41</f>
        <v>21.31888796303497</v>
      </c>
      <c r="X33">
        <f>X41</f>
        <v>21.31888796303497</v>
      </c>
      <c r="Y33">
        <f>Y41</f>
        <v>20.696472332626293</v>
      </c>
      <c r="Z33">
        <f>Z41</f>
        <v>20.083277674519966</v>
      </c>
      <c r="AA33">
        <f>AA36</f>
        <v>19.47930398871599</v>
      </c>
      <c r="AB33">
        <f>AB36</f>
        <v>20.388722382035336</v>
      </c>
      <c r="AC33">
        <f>AC36</f>
        <v>19.47930398871599</v>
      </c>
      <c r="AD33">
        <f>AD36</f>
        <v>20.696472332626293</v>
      </c>
      <c r="AE33">
        <f>AE39</f>
        <v>20.083277674519966</v>
      </c>
      <c r="AF33">
        <f>AF39</f>
        <v>20.388722382035336</v>
      </c>
      <c r="AG33">
        <f>AG39</f>
        <v>20.388722382035336</v>
      </c>
      <c r="AH33">
        <f>AH39</f>
        <v>21.00652752629284</v>
      </c>
      <c r="AI33">
        <f>AI42</f>
        <v>19.180775010427386</v>
      </c>
      <c r="AJ33">
        <f>AJ42</f>
        <v>19.47930398871599</v>
      </c>
      <c r="AK33">
        <f>AK42</f>
        <v>19.780138210080185</v>
      </c>
      <c r="AL33">
        <f>AL42</f>
        <v>19.47930398871599</v>
      </c>
    </row>
    <row r="34" spans="1:38" ht="12.75">
      <c r="A34" t="e">
        <f t="shared" si="3"/>
        <v>#VALUE!</v>
      </c>
      <c r="B34" t="str">
        <f aca="true" t="shared" si="4" ref="B34:B51">B6</f>
        <v>Inject A1</v>
      </c>
      <c r="C34">
        <f aca="true" t="shared" si="5" ref="C34:AL34">6*GammaInj*((C6*C6)/BetaYInj)</f>
        <v>20.388722382035336</v>
      </c>
      <c r="D34">
        <f t="shared" si="5"/>
        <v>20.388722382035336</v>
      </c>
      <c r="E34">
        <f t="shared" si="5"/>
        <v>21.00652752629284</v>
      </c>
      <c r="F34">
        <f t="shared" si="5"/>
        <v>22.269800731714884</v>
      </c>
      <c r="G34" t="e">
        <f t="shared" si="5"/>
        <v>#VALUE!</v>
      </c>
      <c r="H34" t="e">
        <f t="shared" si="5"/>
        <v>#VALUE!</v>
      </c>
      <c r="I34" t="e">
        <f t="shared" si="5"/>
        <v>#VALUE!</v>
      </c>
      <c r="J34" t="e">
        <f t="shared" si="5"/>
        <v>#VALUE!</v>
      </c>
      <c r="K34" t="e">
        <f t="shared" si="5"/>
        <v>#VALUE!</v>
      </c>
      <c r="L34" t="e">
        <f t="shared" si="5"/>
        <v>#VALUE!</v>
      </c>
      <c r="M34" t="e">
        <f t="shared" si="5"/>
        <v>#VALUE!</v>
      </c>
      <c r="N34" t="e">
        <f t="shared" si="5"/>
        <v>#VALUE!</v>
      </c>
      <c r="O34" t="e">
        <f t="shared" si="5"/>
        <v>#VALUE!</v>
      </c>
      <c r="P34" t="e">
        <f t="shared" si="5"/>
        <v>#VALUE!</v>
      </c>
      <c r="Q34" t="e">
        <f t="shared" si="5"/>
        <v>#VALUE!</v>
      </c>
      <c r="R34" t="e">
        <f t="shared" si="5"/>
        <v>#VALUE!</v>
      </c>
      <c r="S34" t="e">
        <f t="shared" si="5"/>
        <v>#VALUE!</v>
      </c>
      <c r="T34" t="e">
        <f t="shared" si="5"/>
        <v>#VALUE!</v>
      </c>
      <c r="U34" t="e">
        <f t="shared" si="5"/>
        <v>#VALUE!</v>
      </c>
      <c r="V34" t="e">
        <f t="shared" si="5"/>
        <v>#VALUE!</v>
      </c>
      <c r="W34" t="e">
        <f t="shared" si="5"/>
        <v>#VALUE!</v>
      </c>
      <c r="X34" t="e">
        <f t="shared" si="5"/>
        <v>#VALUE!</v>
      </c>
      <c r="Y34" t="e">
        <f t="shared" si="5"/>
        <v>#VALUE!</v>
      </c>
      <c r="Z34" t="e">
        <f t="shared" si="5"/>
        <v>#VALUE!</v>
      </c>
      <c r="AA34" t="e">
        <f t="shared" si="5"/>
        <v>#VALUE!</v>
      </c>
      <c r="AB34" t="e">
        <f t="shared" si="5"/>
        <v>#VALUE!</v>
      </c>
      <c r="AC34" t="e">
        <f t="shared" si="5"/>
        <v>#VALUE!</v>
      </c>
      <c r="AD34" t="e">
        <f t="shared" si="5"/>
        <v>#VALUE!</v>
      </c>
      <c r="AE34" t="e">
        <f t="shared" si="5"/>
        <v>#VALUE!</v>
      </c>
      <c r="AF34" t="e">
        <f t="shared" si="5"/>
        <v>#VALUE!</v>
      </c>
      <c r="AG34" t="e">
        <f t="shared" si="5"/>
        <v>#VALUE!</v>
      </c>
      <c r="AH34" t="e">
        <f t="shared" si="5"/>
        <v>#VALUE!</v>
      </c>
      <c r="AI34" t="e">
        <f t="shared" si="5"/>
        <v>#VALUE!</v>
      </c>
      <c r="AJ34" t="e">
        <f t="shared" si="5"/>
        <v>#VALUE!</v>
      </c>
      <c r="AK34" t="e">
        <f t="shared" si="5"/>
        <v>#VALUE!</v>
      </c>
      <c r="AL34" t="e">
        <f t="shared" si="5"/>
        <v>#VALUE!</v>
      </c>
    </row>
    <row r="35" spans="1:38" ht="12.75">
      <c r="A35" t="e">
        <f t="shared" si="3"/>
        <v>#VALUE!</v>
      </c>
      <c r="B35" t="str">
        <f t="shared" si="4"/>
        <v>Inject A2</v>
      </c>
      <c r="C35">
        <f aca="true" t="shared" si="6" ref="C35:AL35">6*GammaInj*((C7*C7)/BetaYInj)</f>
        <v>22.269800731714884</v>
      </c>
      <c r="D35">
        <f t="shared" si="6"/>
        <v>22.91526879287944</v>
      </c>
      <c r="E35">
        <f t="shared" si="6"/>
        <v>21.31888796303497</v>
      </c>
      <c r="F35">
        <f t="shared" si="6"/>
        <v>22.91526879287944</v>
      </c>
      <c r="G35" t="e">
        <f t="shared" si="6"/>
        <v>#VALUE!</v>
      </c>
      <c r="H35" t="e">
        <f t="shared" si="6"/>
        <v>#VALUE!</v>
      </c>
      <c r="I35" t="e">
        <f t="shared" si="6"/>
        <v>#VALUE!</v>
      </c>
      <c r="J35" t="e">
        <f t="shared" si="6"/>
        <v>#VALUE!</v>
      </c>
      <c r="K35" t="e">
        <f t="shared" si="6"/>
        <v>#VALUE!</v>
      </c>
      <c r="L35" t="e">
        <f t="shared" si="6"/>
        <v>#VALUE!</v>
      </c>
      <c r="M35" t="e">
        <f t="shared" si="6"/>
        <v>#VALUE!</v>
      </c>
      <c r="N35" t="e">
        <f t="shared" si="6"/>
        <v>#VALUE!</v>
      </c>
      <c r="O35">
        <f t="shared" si="6"/>
        <v>19.780138210080185</v>
      </c>
      <c r="P35">
        <f t="shared" si="6"/>
        <v>18.590632783076934</v>
      </c>
      <c r="Q35">
        <f t="shared" si="6"/>
        <v>18.884551275214367</v>
      </c>
      <c r="R35">
        <f t="shared" si="6"/>
        <v>19.47930398871599</v>
      </c>
      <c r="S35" t="e">
        <f t="shared" si="6"/>
        <v>#VALUE!</v>
      </c>
      <c r="T35" t="e">
        <f t="shared" si="6"/>
        <v>#VALUE!</v>
      </c>
      <c r="U35" t="e">
        <f t="shared" si="6"/>
        <v>#VALUE!</v>
      </c>
      <c r="V35" t="e">
        <f t="shared" si="6"/>
        <v>#VALUE!</v>
      </c>
      <c r="W35" t="e">
        <f t="shared" si="6"/>
        <v>#VALUE!</v>
      </c>
      <c r="X35" t="e">
        <f t="shared" si="6"/>
        <v>#VALUE!</v>
      </c>
      <c r="Y35" t="e">
        <f t="shared" si="6"/>
        <v>#VALUE!</v>
      </c>
      <c r="Z35" t="e">
        <f t="shared" si="6"/>
        <v>#VALUE!</v>
      </c>
      <c r="AA35" t="e">
        <f t="shared" si="6"/>
        <v>#VALUE!</v>
      </c>
      <c r="AB35" t="e">
        <f t="shared" si="6"/>
        <v>#VALUE!</v>
      </c>
      <c r="AC35" t="e">
        <f t="shared" si="6"/>
        <v>#VALUE!</v>
      </c>
      <c r="AD35" t="e">
        <f t="shared" si="6"/>
        <v>#VALUE!</v>
      </c>
      <c r="AE35" t="e">
        <f t="shared" si="6"/>
        <v>#VALUE!</v>
      </c>
      <c r="AF35" t="e">
        <f t="shared" si="6"/>
        <v>#VALUE!</v>
      </c>
      <c r="AG35" t="e">
        <f t="shared" si="6"/>
        <v>#VALUE!</v>
      </c>
      <c r="AH35" t="e">
        <f t="shared" si="6"/>
        <v>#VALUE!</v>
      </c>
      <c r="AI35" t="e">
        <f t="shared" si="6"/>
        <v>#VALUE!</v>
      </c>
      <c r="AJ35" t="e">
        <f t="shared" si="6"/>
        <v>#VALUE!</v>
      </c>
      <c r="AK35" t="e">
        <f t="shared" si="6"/>
        <v>#VALUE!</v>
      </c>
      <c r="AL35" t="e">
        <f t="shared" si="6"/>
        <v>#VALUE!</v>
      </c>
    </row>
    <row r="36" spans="1:38" ht="12.75">
      <c r="A36" t="e">
        <f t="shared" si="3"/>
        <v>#VALUE!</v>
      </c>
      <c r="B36" t="str">
        <f t="shared" si="4"/>
        <v>Inject A3</v>
      </c>
      <c r="C36">
        <f aca="true" t="shared" si="7" ref="C36:AL36">6*GammaInj*((C8*C8)/BetaYInj)</f>
        <v>22.269800731714884</v>
      </c>
      <c r="D36">
        <f t="shared" si="7"/>
        <v>21.95052456574599</v>
      </c>
      <c r="E36">
        <f t="shared" si="7"/>
        <v>22.269800731714884</v>
      </c>
      <c r="F36">
        <f t="shared" si="7"/>
        <v>23.2414606880751</v>
      </c>
      <c r="G36" t="e">
        <f t="shared" si="7"/>
        <v>#VALUE!</v>
      </c>
      <c r="H36" t="e">
        <f t="shared" si="7"/>
        <v>#VALUE!</v>
      </c>
      <c r="I36" t="e">
        <f t="shared" si="7"/>
        <v>#VALUE!</v>
      </c>
      <c r="J36" t="e">
        <f t="shared" si="7"/>
        <v>#VALUE!</v>
      </c>
      <c r="K36" t="e">
        <f t="shared" si="7"/>
        <v>#VALUE!</v>
      </c>
      <c r="L36" t="e">
        <f t="shared" si="7"/>
        <v>#VALUE!</v>
      </c>
      <c r="M36" t="e">
        <f t="shared" si="7"/>
        <v>#VALUE!</v>
      </c>
      <c r="N36" t="e">
        <f t="shared" si="7"/>
        <v>#VALUE!</v>
      </c>
      <c r="O36">
        <f t="shared" si="7"/>
        <v>21.31888796303497</v>
      </c>
      <c r="P36">
        <f t="shared" si="7"/>
        <v>20.696472332626293</v>
      </c>
      <c r="Q36">
        <f t="shared" si="7"/>
        <v>20.388722382035336</v>
      </c>
      <c r="R36">
        <f t="shared" si="7"/>
        <v>21.00652752629284</v>
      </c>
      <c r="S36" t="e">
        <f t="shared" si="7"/>
        <v>#VALUE!</v>
      </c>
      <c r="T36" t="e">
        <f t="shared" si="7"/>
        <v>#VALUE!</v>
      </c>
      <c r="U36" t="e">
        <f t="shared" si="7"/>
        <v>#VALUE!</v>
      </c>
      <c r="V36" t="e">
        <f t="shared" si="7"/>
        <v>#VALUE!</v>
      </c>
      <c r="W36" t="e">
        <f t="shared" si="7"/>
        <v>#VALUE!</v>
      </c>
      <c r="X36" t="e">
        <f t="shared" si="7"/>
        <v>#VALUE!</v>
      </c>
      <c r="Y36" t="e">
        <f t="shared" si="7"/>
        <v>#VALUE!</v>
      </c>
      <c r="Z36" t="e">
        <f t="shared" si="7"/>
        <v>#VALUE!</v>
      </c>
      <c r="AA36">
        <f t="shared" si="7"/>
        <v>19.47930398871599</v>
      </c>
      <c r="AB36">
        <f t="shared" si="7"/>
        <v>20.388722382035336</v>
      </c>
      <c r="AC36">
        <f t="shared" si="7"/>
        <v>19.47930398871599</v>
      </c>
      <c r="AD36">
        <f t="shared" si="7"/>
        <v>20.696472332626293</v>
      </c>
      <c r="AE36" t="e">
        <f t="shared" si="7"/>
        <v>#VALUE!</v>
      </c>
      <c r="AF36" t="e">
        <f t="shared" si="7"/>
        <v>#VALUE!</v>
      </c>
      <c r="AG36" t="e">
        <f t="shared" si="7"/>
        <v>#VALUE!</v>
      </c>
      <c r="AH36" t="e">
        <f t="shared" si="7"/>
        <v>#VALUE!</v>
      </c>
      <c r="AI36" t="e">
        <f t="shared" si="7"/>
        <v>#VALUE!</v>
      </c>
      <c r="AJ36" t="e">
        <f t="shared" si="7"/>
        <v>#VALUE!</v>
      </c>
      <c r="AK36" t="e">
        <f t="shared" si="7"/>
        <v>#VALUE!</v>
      </c>
      <c r="AL36" t="e">
        <f t="shared" si="7"/>
        <v>#VALUE!</v>
      </c>
    </row>
    <row r="37" spans="1:38" ht="12.75">
      <c r="A37" t="e">
        <f t="shared" si="3"/>
        <v>#VALUE!</v>
      </c>
      <c r="B37" t="str">
        <f t="shared" si="4"/>
        <v>Inject A4</v>
      </c>
      <c r="C37">
        <f aca="true" t="shared" si="8" ref="C37:AL37">6*GammaInj*((C9*C9)/BetaYInj)</f>
        <v>21.63355364285269</v>
      </c>
      <c r="D37">
        <f t="shared" si="8"/>
        <v>21.31888796303497</v>
      </c>
      <c r="E37">
        <f t="shared" si="8"/>
        <v>22.269800731714884</v>
      </c>
      <c r="F37">
        <f t="shared" si="8"/>
        <v>23.2414606880751</v>
      </c>
      <c r="G37">
        <f t="shared" si="8"/>
        <v>20.696472332626293</v>
      </c>
      <c r="H37">
        <f t="shared" si="8"/>
        <v>20.388722382035336</v>
      </c>
      <c r="I37">
        <f t="shared" si="8"/>
        <v>18.884551275214367</v>
      </c>
      <c r="J37">
        <f t="shared" si="8"/>
        <v>20.696472332626293</v>
      </c>
      <c r="K37" t="e">
        <f t="shared" si="8"/>
        <v>#VALUE!</v>
      </c>
      <c r="L37" t="e">
        <f t="shared" si="8"/>
        <v>#VALUE!</v>
      </c>
      <c r="M37" t="e">
        <f t="shared" si="8"/>
        <v>#VALUE!</v>
      </c>
      <c r="N37" t="e">
        <f t="shared" si="8"/>
        <v>#VALUE!</v>
      </c>
      <c r="O37">
        <f t="shared" si="8"/>
        <v>21.00652752629284</v>
      </c>
      <c r="P37">
        <f t="shared" si="8"/>
        <v>21.00652752629284</v>
      </c>
      <c r="Q37">
        <f t="shared" si="8"/>
        <v>21.00652752629284</v>
      </c>
      <c r="R37">
        <f t="shared" si="8"/>
        <v>21.31888796303497</v>
      </c>
      <c r="S37" t="e">
        <f t="shared" si="8"/>
        <v>#VALUE!</v>
      </c>
      <c r="T37" t="e">
        <f t="shared" si="8"/>
        <v>#VALUE!</v>
      </c>
      <c r="U37" t="e">
        <f t="shared" si="8"/>
        <v>#VALUE!</v>
      </c>
      <c r="V37" t="e">
        <f t="shared" si="8"/>
        <v>#VALUE!</v>
      </c>
      <c r="W37" t="e">
        <f t="shared" si="8"/>
        <v>#VALUE!</v>
      </c>
      <c r="X37" t="e">
        <f t="shared" si="8"/>
        <v>#VALUE!</v>
      </c>
      <c r="Y37" t="e">
        <f t="shared" si="8"/>
        <v>#VALUE!</v>
      </c>
      <c r="Z37" t="e">
        <f t="shared" si="8"/>
        <v>#VALUE!</v>
      </c>
      <c r="AA37">
        <f t="shared" si="8"/>
        <v>19.180775010427386</v>
      </c>
      <c r="AB37">
        <f t="shared" si="8"/>
        <v>18.884551275214367</v>
      </c>
      <c r="AC37">
        <f t="shared" si="8"/>
        <v>19.180775010427386</v>
      </c>
      <c r="AD37">
        <f t="shared" si="8"/>
        <v>20.083277674519966</v>
      </c>
      <c r="AE37" t="e">
        <f t="shared" si="8"/>
        <v>#VALUE!</v>
      </c>
      <c r="AF37" t="e">
        <f t="shared" si="8"/>
        <v>#VALUE!</v>
      </c>
      <c r="AG37" t="e">
        <f t="shared" si="8"/>
        <v>#VALUE!</v>
      </c>
      <c r="AH37" t="e">
        <f t="shared" si="8"/>
        <v>#VALUE!</v>
      </c>
      <c r="AI37" t="e">
        <f t="shared" si="8"/>
        <v>#VALUE!</v>
      </c>
      <c r="AJ37" t="e">
        <f t="shared" si="8"/>
        <v>#VALUE!</v>
      </c>
      <c r="AK37" t="e">
        <f t="shared" si="8"/>
        <v>#VALUE!</v>
      </c>
      <c r="AL37" t="e">
        <f t="shared" si="8"/>
        <v>#VALUE!</v>
      </c>
    </row>
    <row r="38" spans="1:38" ht="12.75">
      <c r="A38" t="e">
        <f t="shared" si="3"/>
        <v>#VALUE!</v>
      </c>
      <c r="B38" t="str">
        <f t="shared" si="4"/>
        <v>Inject A5</v>
      </c>
      <c r="C38">
        <f aca="true" t="shared" si="9" ref="C38:AL38">6*GammaInj*((C10*C10)/BetaYInj)</f>
        <v>0</v>
      </c>
      <c r="D38">
        <f t="shared" si="9"/>
        <v>0</v>
      </c>
      <c r="E38">
        <f t="shared" si="9"/>
        <v>0</v>
      </c>
      <c r="F38">
        <f t="shared" si="9"/>
        <v>0</v>
      </c>
      <c r="G38">
        <f t="shared" si="9"/>
        <v>0</v>
      </c>
      <c r="H38">
        <f t="shared" si="9"/>
        <v>0</v>
      </c>
      <c r="I38">
        <f t="shared" si="9"/>
        <v>0</v>
      </c>
      <c r="J38">
        <f t="shared" si="9"/>
        <v>0</v>
      </c>
      <c r="K38" t="e">
        <f t="shared" si="9"/>
        <v>#VALUE!</v>
      </c>
      <c r="L38" t="e">
        <f t="shared" si="9"/>
        <v>#VALUE!</v>
      </c>
      <c r="M38" t="e">
        <f t="shared" si="9"/>
        <v>#VALUE!</v>
      </c>
      <c r="N38" t="e">
        <f t="shared" si="9"/>
        <v>#VALUE!</v>
      </c>
      <c r="O38">
        <f t="shared" si="9"/>
        <v>0</v>
      </c>
      <c r="P38">
        <f t="shared" si="9"/>
        <v>0</v>
      </c>
      <c r="Q38">
        <f t="shared" si="9"/>
        <v>0</v>
      </c>
      <c r="R38">
        <f t="shared" si="9"/>
        <v>0</v>
      </c>
      <c r="S38">
        <f t="shared" si="9"/>
        <v>0</v>
      </c>
      <c r="T38">
        <f t="shared" si="9"/>
        <v>0</v>
      </c>
      <c r="U38">
        <f t="shared" si="9"/>
        <v>0</v>
      </c>
      <c r="V38">
        <f t="shared" si="9"/>
        <v>0</v>
      </c>
      <c r="W38" t="e">
        <f t="shared" si="9"/>
        <v>#VALUE!</v>
      </c>
      <c r="X38" t="e">
        <f t="shared" si="9"/>
        <v>#VALUE!</v>
      </c>
      <c r="Y38" t="e">
        <f t="shared" si="9"/>
        <v>#VALUE!</v>
      </c>
      <c r="Z38" t="e">
        <f t="shared" si="9"/>
        <v>#VALUE!</v>
      </c>
      <c r="AA38">
        <f t="shared" si="9"/>
        <v>0</v>
      </c>
      <c r="AB38">
        <f t="shared" si="9"/>
        <v>0</v>
      </c>
      <c r="AC38">
        <f t="shared" si="9"/>
        <v>0</v>
      </c>
      <c r="AD38">
        <f t="shared" si="9"/>
        <v>0</v>
      </c>
      <c r="AE38" t="e">
        <f t="shared" si="9"/>
        <v>#VALUE!</v>
      </c>
      <c r="AF38" t="e">
        <f t="shared" si="9"/>
        <v>#VALUE!</v>
      </c>
      <c r="AG38" t="e">
        <f t="shared" si="9"/>
        <v>#VALUE!</v>
      </c>
      <c r="AH38" t="e">
        <f t="shared" si="9"/>
        <v>#VALUE!</v>
      </c>
      <c r="AI38" t="e">
        <f t="shared" si="9"/>
        <v>#VALUE!</v>
      </c>
      <c r="AJ38" t="e">
        <f t="shared" si="9"/>
        <v>#VALUE!</v>
      </c>
      <c r="AK38" t="e">
        <f t="shared" si="9"/>
        <v>#VALUE!</v>
      </c>
      <c r="AL38" t="e">
        <f t="shared" si="9"/>
        <v>#VALUE!</v>
      </c>
    </row>
    <row r="39" spans="1:38" ht="12.75">
      <c r="A39" t="e">
        <f t="shared" si="3"/>
        <v>#VALUE!</v>
      </c>
      <c r="B39" t="str">
        <f t="shared" si="4"/>
        <v>Inject A6</v>
      </c>
      <c r="C39">
        <f aca="true" t="shared" si="10" ref="C39:AL39">6*GammaInj*((C11*C11)/BetaYInj)</f>
        <v>21.63355364285269</v>
      </c>
      <c r="D39">
        <f t="shared" si="10"/>
        <v>22.91526879287944</v>
      </c>
      <c r="E39">
        <f t="shared" si="10"/>
        <v>22.91526879287944</v>
      </c>
      <c r="F39">
        <f t="shared" si="10"/>
        <v>22.91526879287944</v>
      </c>
      <c r="G39">
        <f t="shared" si="10"/>
        <v>20.696472332626293</v>
      </c>
      <c r="H39">
        <f t="shared" si="10"/>
        <v>20.388722382035336</v>
      </c>
      <c r="I39">
        <f t="shared" si="10"/>
        <v>20.696472332626293</v>
      </c>
      <c r="J39">
        <f t="shared" si="10"/>
        <v>20.083277674519966</v>
      </c>
      <c r="K39" t="e">
        <f t="shared" si="10"/>
        <v>#VALUE!</v>
      </c>
      <c r="L39" t="e">
        <f t="shared" si="10"/>
        <v>#VALUE!</v>
      </c>
      <c r="M39" t="e">
        <f t="shared" si="10"/>
        <v>#VALUE!</v>
      </c>
      <c r="N39" t="e">
        <f t="shared" si="10"/>
        <v>#VALUE!</v>
      </c>
      <c r="O39">
        <f t="shared" si="10"/>
        <v>20.696472332626293</v>
      </c>
      <c r="P39">
        <f t="shared" si="10"/>
        <v>20.696472332626293</v>
      </c>
      <c r="Q39">
        <f t="shared" si="10"/>
        <v>21.00652752629284</v>
      </c>
      <c r="R39">
        <f t="shared" si="10"/>
        <v>20.696472332626293</v>
      </c>
      <c r="S39">
        <f t="shared" si="10"/>
        <v>20.083277674519966</v>
      </c>
      <c r="T39">
        <f t="shared" si="10"/>
        <v>18.884551275214367</v>
      </c>
      <c r="U39">
        <f t="shared" si="10"/>
        <v>18.29901953401509</v>
      </c>
      <c r="V39">
        <f t="shared" si="10"/>
        <v>18.884551275214367</v>
      </c>
      <c r="W39" t="e">
        <f t="shared" si="10"/>
        <v>#VALUE!</v>
      </c>
      <c r="X39" t="e">
        <f t="shared" si="10"/>
        <v>#VALUE!</v>
      </c>
      <c r="Y39" t="e">
        <f t="shared" si="10"/>
        <v>#VALUE!</v>
      </c>
      <c r="Z39" t="e">
        <f t="shared" si="10"/>
        <v>#VALUE!</v>
      </c>
      <c r="AA39">
        <f t="shared" si="10"/>
        <v>20.696472332626293</v>
      </c>
      <c r="AB39">
        <f t="shared" si="10"/>
        <v>20.388722382035336</v>
      </c>
      <c r="AC39">
        <f t="shared" si="10"/>
        <v>20.696472332626293</v>
      </c>
      <c r="AD39">
        <f t="shared" si="10"/>
        <v>20.696472332626293</v>
      </c>
      <c r="AE39">
        <f t="shared" si="10"/>
        <v>20.083277674519966</v>
      </c>
      <c r="AF39">
        <f t="shared" si="10"/>
        <v>20.388722382035336</v>
      </c>
      <c r="AG39">
        <f t="shared" si="10"/>
        <v>20.388722382035336</v>
      </c>
      <c r="AH39">
        <f t="shared" si="10"/>
        <v>21.00652752629284</v>
      </c>
      <c r="AI39" t="e">
        <f t="shared" si="10"/>
        <v>#VALUE!</v>
      </c>
      <c r="AJ39" t="e">
        <f t="shared" si="10"/>
        <v>#VALUE!</v>
      </c>
      <c r="AK39" t="e">
        <f t="shared" si="10"/>
        <v>#VALUE!</v>
      </c>
      <c r="AL39" t="e">
        <f t="shared" si="10"/>
        <v>#VALUE!</v>
      </c>
    </row>
    <row r="40" spans="1:38" ht="12.75">
      <c r="A40" t="e">
        <f t="shared" si="3"/>
        <v>#VALUE!</v>
      </c>
      <c r="B40" t="str">
        <f t="shared" si="4"/>
        <v>Inject A7</v>
      </c>
      <c r="C40">
        <f aca="true" t="shared" si="11" ref="C40:AL40">6*GammaInj*((C12*C12)/BetaYInj)</f>
        <v>21.31888796303497</v>
      </c>
      <c r="D40">
        <f t="shared" si="11"/>
        <v>22.591382140759368</v>
      </c>
      <c r="E40">
        <f t="shared" si="11"/>
        <v>21.95052456574599</v>
      </c>
      <c r="F40">
        <f t="shared" si="11"/>
        <v>22.591382140759368</v>
      </c>
      <c r="G40">
        <f t="shared" si="11"/>
        <v>19.780138210080185</v>
      </c>
      <c r="H40">
        <f t="shared" si="11"/>
        <v>18.590632783076934</v>
      </c>
      <c r="I40">
        <f t="shared" si="11"/>
        <v>18.009711528028838</v>
      </c>
      <c r="J40">
        <f t="shared" si="11"/>
        <v>19.47930398871599</v>
      </c>
      <c r="K40">
        <f t="shared" si="11"/>
        <v>19.180775010427386</v>
      </c>
      <c r="L40">
        <f t="shared" si="11"/>
        <v>18.29901953401509</v>
      </c>
      <c r="M40">
        <f t="shared" si="11"/>
        <v>16.049102292241503</v>
      </c>
      <c r="N40">
        <f t="shared" si="11"/>
        <v>18.884551275214367</v>
      </c>
      <c r="O40">
        <f t="shared" si="11"/>
        <v>18.884551275214367</v>
      </c>
      <c r="P40">
        <f t="shared" si="11"/>
        <v>18.884551275214367</v>
      </c>
      <c r="Q40">
        <f t="shared" si="11"/>
        <v>18.884551275214367</v>
      </c>
      <c r="R40">
        <f t="shared" si="11"/>
        <v>19.780138210080185</v>
      </c>
      <c r="S40">
        <f t="shared" si="11"/>
        <v>17.72270876511817</v>
      </c>
      <c r="T40">
        <f t="shared" si="11"/>
        <v>17.43801124528309</v>
      </c>
      <c r="U40">
        <f t="shared" si="11"/>
        <v>17.72270876511817</v>
      </c>
      <c r="V40">
        <f t="shared" si="11"/>
        <v>17.72270876511817</v>
      </c>
      <c r="W40" t="e">
        <f t="shared" si="11"/>
        <v>#VALUE!</v>
      </c>
      <c r="X40" t="e">
        <f t="shared" si="11"/>
        <v>#VALUE!</v>
      </c>
      <c r="Y40" t="e">
        <f t="shared" si="11"/>
        <v>#VALUE!</v>
      </c>
      <c r="Z40" t="e">
        <f t="shared" si="11"/>
        <v>#VALUE!</v>
      </c>
      <c r="AA40">
        <f t="shared" si="11"/>
        <v>20.388722382035336</v>
      </c>
      <c r="AB40">
        <f t="shared" si="11"/>
        <v>20.696472332626293</v>
      </c>
      <c r="AC40">
        <f t="shared" si="11"/>
        <v>20.388722382035336</v>
      </c>
      <c r="AD40">
        <f t="shared" si="11"/>
        <v>21.95052456574599</v>
      </c>
      <c r="AE40">
        <f t="shared" si="11"/>
        <v>18.884551275214367</v>
      </c>
      <c r="AF40">
        <f t="shared" si="11"/>
        <v>19.180775010427386</v>
      </c>
      <c r="AG40">
        <f t="shared" si="11"/>
        <v>19.47930398871599</v>
      </c>
      <c r="AH40">
        <f t="shared" si="11"/>
        <v>20.388722382035336</v>
      </c>
      <c r="AI40" t="e">
        <f t="shared" si="11"/>
        <v>#VALUE!</v>
      </c>
      <c r="AJ40" t="e">
        <f t="shared" si="11"/>
        <v>#VALUE!</v>
      </c>
      <c r="AK40" t="e">
        <f t="shared" si="11"/>
        <v>#VALUE!</v>
      </c>
      <c r="AL40" t="e">
        <f t="shared" si="11"/>
        <v>#VALUE!</v>
      </c>
    </row>
    <row r="41" spans="1:38" ht="12.75">
      <c r="A41" t="e">
        <f t="shared" si="3"/>
        <v>#VALUE!</v>
      </c>
      <c r="B41" t="str">
        <f t="shared" si="4"/>
        <v>Inject A8</v>
      </c>
      <c r="C41">
        <f aca="true" t="shared" si="12" ref="C41:AL41">6*GammaInj*((C13*C13)/BetaYInj)</f>
        <v>21.95052456574599</v>
      </c>
      <c r="D41">
        <f t="shared" si="12"/>
        <v>22.269800731714884</v>
      </c>
      <c r="E41">
        <f t="shared" si="12"/>
        <v>22.269800731714884</v>
      </c>
      <c r="F41">
        <f t="shared" si="12"/>
        <v>23.569957826346343</v>
      </c>
      <c r="G41">
        <f t="shared" si="12"/>
        <v>21.31888796303497</v>
      </c>
      <c r="H41">
        <f t="shared" si="12"/>
        <v>20.696472332626293</v>
      </c>
      <c r="I41">
        <f t="shared" si="12"/>
        <v>20.388722382035336</v>
      </c>
      <c r="J41">
        <f t="shared" si="12"/>
        <v>20.083277674519966</v>
      </c>
      <c r="K41">
        <f t="shared" si="12"/>
        <v>21.00652752629284</v>
      </c>
      <c r="L41">
        <f t="shared" si="12"/>
        <v>20.388722382035336</v>
      </c>
      <c r="M41">
        <f t="shared" si="12"/>
        <v>20.696472332626293</v>
      </c>
      <c r="N41">
        <f t="shared" si="12"/>
        <v>21.00652752629284</v>
      </c>
      <c r="O41">
        <f t="shared" si="12"/>
        <v>21.95052456574599</v>
      </c>
      <c r="P41">
        <f t="shared" si="12"/>
        <v>22.91526879287944</v>
      </c>
      <c r="Q41">
        <f t="shared" si="12"/>
        <v>21.63355364285269</v>
      </c>
      <c r="R41">
        <f t="shared" si="12"/>
        <v>22.91526879287944</v>
      </c>
      <c r="S41">
        <f t="shared" si="12"/>
        <v>21.31888796303497</v>
      </c>
      <c r="T41">
        <f t="shared" si="12"/>
        <v>20.696472332626293</v>
      </c>
      <c r="U41">
        <f t="shared" si="12"/>
        <v>20.696472332626293</v>
      </c>
      <c r="V41">
        <f t="shared" si="12"/>
        <v>20.388722382035336</v>
      </c>
      <c r="W41">
        <f t="shared" si="12"/>
        <v>21.31888796303497</v>
      </c>
      <c r="X41">
        <f t="shared" si="12"/>
        <v>21.31888796303497</v>
      </c>
      <c r="Y41">
        <f t="shared" si="12"/>
        <v>20.696472332626293</v>
      </c>
      <c r="Z41">
        <f t="shared" si="12"/>
        <v>20.083277674519966</v>
      </c>
      <c r="AA41">
        <f t="shared" si="12"/>
        <v>21.95052456574599</v>
      </c>
      <c r="AB41">
        <f t="shared" si="12"/>
        <v>21.31888796303497</v>
      </c>
      <c r="AC41">
        <f t="shared" si="12"/>
        <v>21.00652752629284</v>
      </c>
      <c r="AD41">
        <f t="shared" si="12"/>
        <v>21.63355364285269</v>
      </c>
      <c r="AE41">
        <f t="shared" si="12"/>
        <v>19.780138210080185</v>
      </c>
      <c r="AF41">
        <f t="shared" si="12"/>
        <v>20.083277674519966</v>
      </c>
      <c r="AG41">
        <f t="shared" si="12"/>
        <v>20.696472332626293</v>
      </c>
      <c r="AH41">
        <f t="shared" si="12"/>
        <v>21.63355364285269</v>
      </c>
      <c r="AI41" t="e">
        <f t="shared" si="12"/>
        <v>#VALUE!</v>
      </c>
      <c r="AJ41" t="e">
        <f t="shared" si="12"/>
        <v>#VALUE!</v>
      </c>
      <c r="AK41" t="e">
        <f t="shared" si="12"/>
        <v>#VALUE!</v>
      </c>
      <c r="AL41" t="e">
        <f t="shared" si="12"/>
        <v>#VALUE!</v>
      </c>
    </row>
    <row r="42" spans="1:38" ht="12.75">
      <c r="A42">
        <f t="shared" si="3"/>
        <v>20.4335145356846</v>
      </c>
      <c r="B42" t="str">
        <f t="shared" si="4"/>
        <v>Inject A9</v>
      </c>
      <c r="C42">
        <f aca="true" t="shared" si="13" ref="C42:AL42">6*GammaInj*((C14*C14)/BetaYInj)</f>
        <v>22.91526879287944</v>
      </c>
      <c r="D42">
        <f t="shared" si="13"/>
        <v>23.569957826346343</v>
      </c>
      <c r="E42">
        <f t="shared" si="13"/>
        <v>22.91526879287944</v>
      </c>
      <c r="F42">
        <f t="shared" si="13"/>
        <v>24.233867832115603</v>
      </c>
      <c r="G42">
        <f t="shared" si="13"/>
        <v>21.31888796303497</v>
      </c>
      <c r="H42">
        <f t="shared" si="13"/>
        <v>21.63355364285269</v>
      </c>
      <c r="I42">
        <f t="shared" si="13"/>
        <v>22.269800731714884</v>
      </c>
      <c r="J42">
        <f t="shared" si="13"/>
        <v>21.63355364285269</v>
      </c>
      <c r="K42">
        <f t="shared" si="13"/>
        <v>21.95052456574599</v>
      </c>
      <c r="L42">
        <f t="shared" si="13"/>
        <v>20.388722382035336</v>
      </c>
      <c r="M42">
        <f t="shared" si="13"/>
        <v>21.31888796303497</v>
      </c>
      <c r="N42">
        <f t="shared" si="13"/>
        <v>21.00652752629284</v>
      </c>
      <c r="O42">
        <f t="shared" si="13"/>
        <v>21.00652752629284</v>
      </c>
      <c r="P42">
        <f t="shared" si="13"/>
        <v>21.63355364285269</v>
      </c>
      <c r="Q42">
        <f t="shared" si="13"/>
        <v>20.388722382035336</v>
      </c>
      <c r="R42">
        <f t="shared" si="13"/>
        <v>21.31888796303497</v>
      </c>
      <c r="S42">
        <f t="shared" si="13"/>
        <v>19.180775010427386</v>
      </c>
      <c r="T42">
        <f t="shared" si="13"/>
        <v>18.590632783076934</v>
      </c>
      <c r="U42">
        <f t="shared" si="13"/>
        <v>18.29901953401509</v>
      </c>
      <c r="V42">
        <f t="shared" si="13"/>
        <v>18.590632783076934</v>
      </c>
      <c r="W42">
        <f t="shared" si="13"/>
        <v>17.72270876511817</v>
      </c>
      <c r="X42">
        <f t="shared" si="13"/>
        <v>17.72270876511817</v>
      </c>
      <c r="Y42">
        <f t="shared" si="13"/>
        <v>16.875531934839692</v>
      </c>
      <c r="Z42">
        <f t="shared" si="13"/>
        <v>17.72270876511817</v>
      </c>
      <c r="AA42">
        <f t="shared" si="13"/>
        <v>19.780138210080185</v>
      </c>
      <c r="AB42">
        <f t="shared" si="13"/>
        <v>20.388722382035336</v>
      </c>
      <c r="AC42">
        <f t="shared" si="13"/>
        <v>20.696472332626293</v>
      </c>
      <c r="AD42">
        <f t="shared" si="13"/>
        <v>21.95052456574599</v>
      </c>
      <c r="AE42">
        <f t="shared" si="13"/>
        <v>19.180775010427386</v>
      </c>
      <c r="AF42">
        <f t="shared" si="13"/>
        <v>19.780138210080185</v>
      </c>
      <c r="AG42">
        <f t="shared" si="13"/>
        <v>21.00652752629284</v>
      </c>
      <c r="AH42">
        <f t="shared" si="13"/>
        <v>20.696472332626293</v>
      </c>
      <c r="AI42">
        <f t="shared" si="13"/>
        <v>19.180775010427386</v>
      </c>
      <c r="AJ42">
        <f t="shared" si="13"/>
        <v>19.47930398871599</v>
      </c>
      <c r="AK42">
        <f t="shared" si="13"/>
        <v>19.780138210080185</v>
      </c>
      <c r="AL42">
        <f t="shared" si="13"/>
        <v>19.47930398871599</v>
      </c>
    </row>
    <row r="43" spans="1:38" ht="12.75">
      <c r="A43">
        <f t="shared" si="3"/>
        <v>21.0049266630459</v>
      </c>
      <c r="B43" t="str">
        <f t="shared" si="4"/>
        <v>before ramp</v>
      </c>
      <c r="C43">
        <f aca="true" t="shared" si="14" ref="C43:AL43">6*GammaInj*((C15*C15)/BetaYInj)</f>
        <v>22.591382140759368</v>
      </c>
      <c r="D43">
        <f t="shared" si="14"/>
        <v>24.233867832115603</v>
      </c>
      <c r="E43">
        <f t="shared" si="14"/>
        <v>23.569957826346343</v>
      </c>
      <c r="F43">
        <f t="shared" si="14"/>
        <v>22.91526879287944</v>
      </c>
      <c r="G43">
        <f t="shared" si="14"/>
        <v>19.47930398871599</v>
      </c>
      <c r="H43">
        <f t="shared" si="14"/>
        <v>19.780138210080185</v>
      </c>
      <c r="I43">
        <f t="shared" si="14"/>
        <v>20.083277674519966</v>
      </c>
      <c r="J43">
        <f t="shared" si="14"/>
        <v>18.590632783076934</v>
      </c>
      <c r="K43">
        <f t="shared" si="14"/>
        <v>18.009711528028838</v>
      </c>
      <c r="L43">
        <f t="shared" si="14"/>
        <v>18.009711528028838</v>
      </c>
      <c r="M43">
        <f t="shared" si="14"/>
        <v>18.009711528028838</v>
      </c>
      <c r="N43">
        <f t="shared" si="14"/>
        <v>20.083277674519966</v>
      </c>
      <c r="O43">
        <f t="shared" si="14"/>
        <v>21.31888796303497</v>
      </c>
      <c r="P43">
        <f t="shared" si="14"/>
        <v>21.31888796303497</v>
      </c>
      <c r="Q43">
        <f t="shared" si="14"/>
        <v>21.63355364285269</v>
      </c>
      <c r="R43">
        <f t="shared" si="14"/>
        <v>21.00652752629284</v>
      </c>
      <c r="S43">
        <f t="shared" si="14"/>
        <v>20.388722382035336</v>
      </c>
      <c r="T43">
        <f t="shared" si="14"/>
        <v>20.388722382035336</v>
      </c>
      <c r="U43">
        <f t="shared" si="14"/>
        <v>21.00652752629284</v>
      </c>
      <c r="V43">
        <f t="shared" si="14"/>
        <v>20.696472332626293</v>
      </c>
      <c r="W43">
        <f t="shared" si="14"/>
        <v>21.00652752629284</v>
      </c>
      <c r="X43">
        <f t="shared" si="14"/>
        <v>20.388722382035336</v>
      </c>
      <c r="Y43">
        <f t="shared" si="14"/>
        <v>21.00652752629284</v>
      </c>
      <c r="Z43">
        <f t="shared" si="14"/>
        <v>21.63355364285269</v>
      </c>
      <c r="AA43">
        <f t="shared" si="14"/>
        <v>23.569957826346343</v>
      </c>
      <c r="AB43">
        <f t="shared" si="14"/>
        <v>23.900760207693178</v>
      </c>
      <c r="AC43">
        <f t="shared" si="14"/>
        <v>23.900760207693178</v>
      </c>
      <c r="AD43">
        <f t="shared" si="14"/>
        <v>22.591382140759368</v>
      </c>
      <c r="AE43">
        <f t="shared" si="14"/>
        <v>21.95052456574599</v>
      </c>
      <c r="AF43">
        <f t="shared" si="14"/>
        <v>21.63355364285269</v>
      </c>
      <c r="AG43">
        <f t="shared" si="14"/>
        <v>21.31888796303497</v>
      </c>
      <c r="AH43">
        <f t="shared" si="14"/>
        <v>21.63355364285269</v>
      </c>
      <c r="AI43">
        <f t="shared" si="14"/>
        <v>19.180775010427386</v>
      </c>
      <c r="AJ43">
        <f t="shared" si="14"/>
        <v>20.388722382035336</v>
      </c>
      <c r="AK43">
        <f t="shared" si="14"/>
        <v>19.47930398871599</v>
      </c>
      <c r="AL43">
        <f t="shared" si="14"/>
        <v>19.47930398871599</v>
      </c>
    </row>
    <row r="44" spans="1:38" ht="12.75">
      <c r="A44">
        <f t="shared" si="3"/>
        <v>23.137479283975793</v>
      </c>
      <c r="B44" t="str">
        <f t="shared" si="4"/>
        <v>accelerate</v>
      </c>
      <c r="C44">
        <f aca="true" t="shared" si="15" ref="C44:AL44">6*GammaAccel*((C16*C16)/BetaYAccel)</f>
        <v>25.450444496969837</v>
      </c>
      <c r="D44">
        <f t="shared" si="15"/>
        <v>25.84048394121569</v>
      </c>
      <c r="E44">
        <f t="shared" si="15"/>
        <v>25.063371132147907</v>
      </c>
      <c r="F44">
        <f t="shared" si="15"/>
        <v>25.84048394121569</v>
      </c>
      <c r="G44">
        <f t="shared" si="15"/>
        <v>22.43690780226424</v>
      </c>
      <c r="H44">
        <f t="shared" si="15"/>
        <v>22.43690780226424</v>
      </c>
      <c r="I44">
        <f t="shared" si="15"/>
        <v>23.1724954993971</v>
      </c>
      <c r="J44">
        <f t="shared" si="15"/>
        <v>22.803218611118712</v>
      </c>
      <c r="K44">
        <f t="shared" si="15"/>
        <v>22.803218611118712</v>
      </c>
      <c r="L44">
        <f t="shared" si="15"/>
        <v>23.1724954993971</v>
      </c>
      <c r="M44">
        <f t="shared" si="15"/>
        <v>22.073563072833693</v>
      </c>
      <c r="N44">
        <f t="shared" si="15"/>
        <v>24.6792638467499</v>
      </c>
      <c r="O44">
        <f t="shared" si="15"/>
        <v>25.063371132147907</v>
      </c>
      <c r="P44">
        <f t="shared" si="15"/>
        <v>25.063371132147907</v>
      </c>
      <c r="Q44">
        <f t="shared" si="15"/>
        <v>25.450444496969837</v>
      </c>
      <c r="R44">
        <f t="shared" si="15"/>
        <v>25.450444496969837</v>
      </c>
      <c r="S44">
        <f t="shared" si="15"/>
        <v>23.1724954993971</v>
      </c>
      <c r="T44">
        <f t="shared" si="15"/>
        <v>23.1724954993971</v>
      </c>
      <c r="U44">
        <f t="shared" si="15"/>
        <v>22.073563072833693</v>
      </c>
      <c r="V44">
        <f t="shared" si="15"/>
        <v>22.803218611118712</v>
      </c>
      <c r="W44">
        <f t="shared" si="15"/>
        <v>21.71318442282707</v>
      </c>
      <c r="X44">
        <f t="shared" si="15"/>
        <v>21.35577185224437</v>
      </c>
      <c r="Y44">
        <f t="shared" si="15"/>
        <v>21.71318442282707</v>
      </c>
      <c r="Z44">
        <f t="shared" si="15"/>
        <v>22.43690780226424</v>
      </c>
      <c r="AA44">
        <f t="shared" si="15"/>
        <v>24.29812264077582</v>
      </c>
      <c r="AB44">
        <f t="shared" si="15"/>
        <v>24.29812264077582</v>
      </c>
      <c r="AC44">
        <f t="shared" si="15"/>
        <v>22.803218611118712</v>
      </c>
      <c r="AD44">
        <f t="shared" si="15"/>
        <v>24.6792638467499</v>
      </c>
      <c r="AE44">
        <f t="shared" si="15"/>
        <v>21.35577185224437</v>
      </c>
      <c r="AF44">
        <f t="shared" si="15"/>
        <v>22.43690780226424</v>
      </c>
      <c r="AG44">
        <f t="shared" si="15"/>
        <v>22.43690780226424</v>
      </c>
      <c r="AH44">
        <f t="shared" si="15"/>
        <v>22.43690780226424</v>
      </c>
      <c r="AI44">
        <f t="shared" si="15"/>
        <v>20.649844949350733</v>
      </c>
      <c r="AJ44">
        <f t="shared" si="15"/>
        <v>21.00132536108559</v>
      </c>
      <c r="AK44">
        <f t="shared" si="15"/>
        <v>19.955782364152792</v>
      </c>
      <c r="AL44">
        <f t="shared" si="15"/>
        <v>21.35577185224437</v>
      </c>
    </row>
    <row r="45" spans="1:38" ht="12.75">
      <c r="A45">
        <f t="shared" si="3"/>
        <v>13.319502387156053</v>
      </c>
      <c r="B45" t="str">
        <f t="shared" si="4"/>
        <v>flattop</v>
      </c>
      <c r="C45">
        <f aca="true" t="shared" si="16" ref="C45:AL45">6*GammaFT*((C17*C17)/BetaYFT)</f>
        <v>13.283732698766508</v>
      </c>
      <c r="D45">
        <f t="shared" si="16"/>
        <v>13.923821859421357</v>
      </c>
      <c r="E45">
        <f t="shared" si="16"/>
        <v>13.283732698766508</v>
      </c>
      <c r="F45">
        <f t="shared" si="16"/>
        <v>14.578971941503383</v>
      </c>
      <c r="G45">
        <f t="shared" si="16"/>
        <v>13.283732698766508</v>
      </c>
      <c r="H45">
        <f t="shared" si="16"/>
        <v>13.283732698766508</v>
      </c>
      <c r="I45">
        <f t="shared" si="16"/>
        <v>13.283732698766508</v>
      </c>
      <c r="J45">
        <f t="shared" si="16"/>
        <v>13.923821859421357</v>
      </c>
      <c r="K45">
        <f t="shared" si="16"/>
        <v>13.283732698766508</v>
      </c>
      <c r="L45">
        <f t="shared" si="16"/>
        <v>13.923821859421357</v>
      </c>
      <c r="M45">
        <f t="shared" si="16"/>
        <v>13.283732698766508</v>
      </c>
      <c r="N45">
        <f t="shared" si="16"/>
        <v>13.923821859421357</v>
      </c>
      <c r="O45">
        <f t="shared" si="16"/>
        <v>15.934454869948945</v>
      </c>
      <c r="P45">
        <f t="shared" si="16"/>
        <v>15.249182945012578</v>
      </c>
      <c r="Q45">
        <f t="shared" si="16"/>
        <v>14.578971941503383</v>
      </c>
      <c r="R45">
        <f t="shared" si="16"/>
        <v>14.578971941503383</v>
      </c>
      <c r="S45">
        <f t="shared" si="16"/>
        <v>14.578971941503383</v>
      </c>
      <c r="T45">
        <f t="shared" si="16"/>
        <v>13.923821859421357</v>
      </c>
      <c r="U45">
        <f t="shared" si="16"/>
        <v>13.283732698766508</v>
      </c>
      <c r="V45">
        <f t="shared" si="16"/>
        <v>13.283732698766508</v>
      </c>
      <c r="W45">
        <f t="shared" si="16"/>
        <v>12.658704459538834</v>
      </c>
      <c r="X45">
        <f t="shared" si="16"/>
        <v>12.048737141738334</v>
      </c>
      <c r="Y45">
        <f t="shared" si="16"/>
        <v>12.048737141738334</v>
      </c>
      <c r="Z45">
        <f t="shared" si="16"/>
        <v>12.048737141738334</v>
      </c>
      <c r="AA45">
        <f t="shared" si="16"/>
        <v>13.283732698766508</v>
      </c>
      <c r="AB45">
        <f t="shared" si="16"/>
        <v>13.283732698766508</v>
      </c>
      <c r="AC45">
        <f t="shared" si="16"/>
        <v>13.283732698766508</v>
      </c>
      <c r="AD45">
        <f t="shared" si="16"/>
        <v>13.923821859421357</v>
      </c>
      <c r="AE45">
        <f t="shared" si="16"/>
        <v>12.048737141738334</v>
      </c>
      <c r="AF45">
        <f t="shared" si="16"/>
        <v>12.658704459538834</v>
      </c>
      <c r="AG45">
        <f t="shared" si="16"/>
        <v>12.658704459538834</v>
      </c>
      <c r="AH45">
        <f t="shared" si="16"/>
        <v>13.283732698766508</v>
      </c>
      <c r="AI45">
        <f t="shared" si="16"/>
        <v>12.048737141738334</v>
      </c>
      <c r="AJ45">
        <f t="shared" si="16"/>
        <v>12.048737141738334</v>
      </c>
      <c r="AK45">
        <f t="shared" si="16"/>
        <v>12.048737141738334</v>
      </c>
      <c r="AL45">
        <f t="shared" si="16"/>
        <v>11.453830745365002</v>
      </c>
    </row>
    <row r="46" spans="1:38" ht="12.75">
      <c r="A46">
        <f t="shared" si="3"/>
        <v>13.49586530985486</v>
      </c>
      <c r="B46" t="str">
        <f t="shared" si="4"/>
        <v>squeeze</v>
      </c>
      <c r="C46">
        <f aca="true" t="shared" si="17" ref="C46:AL46">6*GammaTop*((C18*C18)/BetaY)</f>
        <v>11.202341837665786</v>
      </c>
      <c r="D46">
        <f t="shared" si="17"/>
        <v>12.41256713314769</v>
      </c>
      <c r="E46">
        <f t="shared" si="17"/>
        <v>11.799696630948521</v>
      </c>
      <c r="F46">
        <f t="shared" si="17"/>
        <v>11.799696630948521</v>
      </c>
      <c r="G46">
        <f t="shared" si="17"/>
        <v>10.620502753299489</v>
      </c>
      <c r="H46">
        <f t="shared" si="17"/>
        <v>10.620502753299489</v>
      </c>
      <c r="I46">
        <f t="shared" si="17"/>
        <v>10.054179377849625</v>
      </c>
      <c r="J46">
        <f t="shared" si="17"/>
        <v>10.620502753299489</v>
      </c>
      <c r="K46">
        <f t="shared" si="17"/>
        <v>10.054179377849625</v>
      </c>
      <c r="L46">
        <f t="shared" si="17"/>
        <v>10.054179377849625</v>
      </c>
      <c r="M46">
        <f t="shared" si="17"/>
        <v>10.620502753299489</v>
      </c>
      <c r="N46">
        <f t="shared" si="17"/>
        <v>11.202341837665786</v>
      </c>
      <c r="O46">
        <f t="shared" si="17"/>
        <v>13.684855264295324</v>
      </c>
      <c r="P46">
        <f t="shared" si="17"/>
        <v>14.344272893243792</v>
      </c>
      <c r="Q46">
        <f t="shared" si="17"/>
        <v>14.344272893243792</v>
      </c>
      <c r="R46">
        <f t="shared" si="17"/>
        <v>15.709655277890041</v>
      </c>
      <c r="S46">
        <f t="shared" si="17"/>
        <v>15.709655277890041</v>
      </c>
      <c r="T46">
        <f t="shared" si="17"/>
        <v>15.709655277890041</v>
      </c>
      <c r="U46">
        <f t="shared" si="17"/>
        <v>15.709655277890041</v>
      </c>
      <c r="V46">
        <f t="shared" si="17"/>
        <v>16.415620033587818</v>
      </c>
      <c r="W46">
        <f t="shared" si="17"/>
        <v>15.709655277890041</v>
      </c>
      <c r="X46">
        <f t="shared" si="17"/>
        <v>15.709655277890041</v>
      </c>
      <c r="Y46">
        <f t="shared" si="17"/>
        <v>15.019206231108699</v>
      </c>
      <c r="Z46">
        <f t="shared" si="17"/>
        <v>16.415620033587818</v>
      </c>
      <c r="AA46">
        <f t="shared" si="17"/>
        <v>17.87409667173267</v>
      </c>
      <c r="AB46">
        <f t="shared" si="17"/>
        <v>17.87409667173267</v>
      </c>
      <c r="AC46">
        <f t="shared" si="17"/>
        <v>16.415620033587818</v>
      </c>
      <c r="AD46">
        <f t="shared" si="17"/>
        <v>16.415620033587818</v>
      </c>
      <c r="AE46">
        <f t="shared" si="17"/>
        <v>15.019206231108699</v>
      </c>
      <c r="AF46">
        <f t="shared" si="17"/>
        <v>14.344272893243792</v>
      </c>
      <c r="AG46">
        <f t="shared" si="17"/>
        <v>14.344272893243792</v>
      </c>
      <c r="AH46">
        <f t="shared" si="17"/>
        <v>14.344272893243792</v>
      </c>
      <c r="AI46">
        <f t="shared" si="17"/>
        <v>11.799696630948521</v>
      </c>
      <c r="AJ46">
        <f t="shared" si="17"/>
        <v>11.202341837665786</v>
      </c>
      <c r="AK46">
        <f t="shared" si="17"/>
        <v>10.054179377849625</v>
      </c>
      <c r="AL46">
        <f t="shared" si="17"/>
        <v>10.620502753299489</v>
      </c>
    </row>
    <row r="47" spans="1:38" ht="12.75">
      <c r="A47">
        <f t="shared" si="3"/>
        <v>9.985867159425883</v>
      </c>
      <c r="B47" t="str">
        <f t="shared" si="4"/>
        <v>initiate collisions</v>
      </c>
      <c r="C47">
        <f aca="true" t="shared" si="18" ref="C47:AL47">6*GammaTop*((C19*C19)/BetaY)</f>
        <v>10.620502753299489</v>
      </c>
      <c r="D47">
        <f t="shared" si="18"/>
        <v>11.799696630948521</v>
      </c>
      <c r="E47">
        <f t="shared" si="18"/>
        <v>12.41256713314769</v>
      </c>
      <c r="F47">
        <f t="shared" si="18"/>
        <v>12.41256713314769</v>
      </c>
      <c r="G47">
        <f t="shared" si="18"/>
        <v>12.41256713314769</v>
      </c>
      <c r="H47">
        <f t="shared" si="18"/>
        <v>12.41256713314769</v>
      </c>
      <c r="I47">
        <f t="shared" si="18"/>
        <v>11.799696630948521</v>
      </c>
      <c r="J47">
        <f t="shared" si="18"/>
        <v>12.41256713314769</v>
      </c>
      <c r="K47">
        <f t="shared" si="18"/>
        <v>11.799696630948521</v>
      </c>
      <c r="L47">
        <f t="shared" si="18"/>
        <v>11.202341837665786</v>
      </c>
      <c r="M47">
        <f t="shared" si="18"/>
        <v>11.202341837665786</v>
      </c>
      <c r="N47">
        <f t="shared" si="18"/>
        <v>11.202341837665786</v>
      </c>
      <c r="O47">
        <f t="shared" si="18"/>
        <v>11.799696630948521</v>
      </c>
      <c r="P47">
        <f t="shared" si="18"/>
        <v>10.620502753299489</v>
      </c>
      <c r="Q47">
        <f t="shared" si="18"/>
        <v>10.620502753299489</v>
      </c>
      <c r="R47">
        <f t="shared" si="18"/>
        <v>10.054179377849625</v>
      </c>
      <c r="S47">
        <f t="shared" si="18"/>
        <v>11.799696630948521</v>
      </c>
      <c r="T47">
        <f t="shared" si="18"/>
        <v>10.054179377849625</v>
      </c>
      <c r="U47">
        <f t="shared" si="18"/>
        <v>10.054179377849625</v>
      </c>
      <c r="V47">
        <f t="shared" si="18"/>
        <v>10.054179377849625</v>
      </c>
      <c r="W47">
        <f t="shared" si="18"/>
        <v>8.448303504998645</v>
      </c>
      <c r="X47">
        <f t="shared" si="18"/>
        <v>7.9440429652145195</v>
      </c>
      <c r="Y47">
        <f t="shared" si="18"/>
        <v>7.9440429652145195</v>
      </c>
      <c r="Z47">
        <f t="shared" si="18"/>
        <v>7.9440429652145195</v>
      </c>
      <c r="AA47">
        <f t="shared" si="18"/>
        <v>8.968079753699206</v>
      </c>
      <c r="AB47">
        <f t="shared" si="18"/>
        <v>8.448303504998645</v>
      </c>
      <c r="AC47">
        <f t="shared" si="18"/>
        <v>8.968079753699206</v>
      </c>
      <c r="AD47">
        <f t="shared" si="18"/>
        <v>8.448303504998645</v>
      </c>
      <c r="AE47">
        <f t="shared" si="18"/>
        <v>8.968079753699206</v>
      </c>
      <c r="AF47">
        <f t="shared" si="18"/>
        <v>8.448303504998645</v>
      </c>
      <c r="AG47">
        <f t="shared" si="18"/>
        <v>8.968079753699206</v>
      </c>
      <c r="AH47">
        <f t="shared" si="18"/>
        <v>8.448303504998645</v>
      </c>
      <c r="AI47">
        <f t="shared" si="18"/>
        <v>7.455298134346829</v>
      </c>
      <c r="AJ47">
        <f t="shared" si="18"/>
        <v>7.9440429652145195</v>
      </c>
      <c r="AK47">
        <f t="shared" si="18"/>
        <v>7.455298134346829</v>
      </c>
      <c r="AL47">
        <f t="shared" si="18"/>
        <v>7.9440429652145195</v>
      </c>
    </row>
    <row r="48" spans="1:38" ht="12.75">
      <c r="A48">
        <f t="shared" si="3"/>
        <v>11.664796161758408</v>
      </c>
      <c r="B48" t="str">
        <f t="shared" si="4"/>
        <v>Remove halo</v>
      </c>
      <c r="C48">
        <f aca="true" t="shared" si="19" ref="C48:AL48">6*GammaTop*((C20*C20)/BetaY)</f>
        <v>8.968079753699206</v>
      </c>
      <c r="D48">
        <f t="shared" si="19"/>
        <v>10.054179377849625</v>
      </c>
      <c r="E48">
        <f t="shared" si="19"/>
        <v>10.054179377849625</v>
      </c>
      <c r="F48">
        <f t="shared" si="19"/>
        <v>10.054179377849625</v>
      </c>
      <c r="G48">
        <f t="shared" si="19"/>
        <v>9.503371711316197</v>
      </c>
      <c r="H48">
        <f t="shared" si="19"/>
        <v>9.503371711316197</v>
      </c>
      <c r="I48">
        <f t="shared" si="19"/>
        <v>9.503371711316197</v>
      </c>
      <c r="J48">
        <f t="shared" si="19"/>
        <v>9.503371711316197</v>
      </c>
      <c r="K48">
        <f t="shared" si="19"/>
        <v>8.968079753699206</v>
      </c>
      <c r="L48">
        <f t="shared" si="19"/>
        <v>8.968079753699206</v>
      </c>
      <c r="M48">
        <f t="shared" si="19"/>
        <v>8.968079753699206</v>
      </c>
      <c r="N48">
        <f t="shared" si="19"/>
        <v>8.448303504998645</v>
      </c>
      <c r="O48">
        <f t="shared" si="19"/>
        <v>11.799696630948521</v>
      </c>
      <c r="P48">
        <f t="shared" si="19"/>
        <v>11.799696630948521</v>
      </c>
      <c r="Q48">
        <f t="shared" si="19"/>
        <v>13.040953344263286</v>
      </c>
      <c r="R48">
        <f t="shared" si="19"/>
        <v>13.684855264295324</v>
      </c>
      <c r="S48">
        <f t="shared" si="19"/>
        <v>15.019206231108699</v>
      </c>
      <c r="T48">
        <f t="shared" si="19"/>
        <v>15.019206231108699</v>
      </c>
      <c r="U48">
        <f t="shared" si="19"/>
        <v>13.684855264295324</v>
      </c>
      <c r="V48">
        <f t="shared" si="19"/>
        <v>14.344272893243792</v>
      </c>
      <c r="W48">
        <f t="shared" si="19"/>
        <v>13.684855264295324</v>
      </c>
      <c r="X48">
        <f t="shared" si="19"/>
        <v>14.344272893243792</v>
      </c>
      <c r="Y48">
        <f t="shared" si="19"/>
        <v>13.684855264295324</v>
      </c>
      <c r="Z48">
        <f t="shared" si="19"/>
        <v>13.040953344263286</v>
      </c>
      <c r="AA48">
        <f t="shared" si="19"/>
        <v>14.344272893243792</v>
      </c>
      <c r="AB48">
        <f t="shared" si="19"/>
        <v>13.684855264295324</v>
      </c>
      <c r="AC48">
        <f t="shared" si="19"/>
        <v>14.344272893243792</v>
      </c>
      <c r="AD48">
        <f t="shared" si="19"/>
        <v>13.040953344263286</v>
      </c>
      <c r="AE48">
        <f t="shared" si="19"/>
        <v>13.040953344263286</v>
      </c>
      <c r="AF48">
        <f t="shared" si="19"/>
        <v>13.040953344263286</v>
      </c>
      <c r="AG48">
        <f t="shared" si="19"/>
        <v>12.41256713314769</v>
      </c>
      <c r="AH48">
        <f t="shared" si="19"/>
        <v>11.799696630948521</v>
      </c>
      <c r="AI48">
        <f t="shared" si="19"/>
        <v>10.054179377849625</v>
      </c>
      <c r="AJ48">
        <f t="shared" si="19"/>
        <v>10.054179377849625</v>
      </c>
      <c r="AK48">
        <f t="shared" si="19"/>
        <v>9.503371711316197</v>
      </c>
      <c r="AL48">
        <f t="shared" si="19"/>
        <v>8.968079753699206</v>
      </c>
    </row>
    <row r="49" spans="1:38" ht="12.75">
      <c r="A49">
        <f t="shared" si="3"/>
        <v>6.037334736150447</v>
      </c>
      <c r="B49" t="str">
        <f t="shared" si="4"/>
        <v>HEP 1</v>
      </c>
      <c r="C49">
        <f aca="true" t="shared" si="20" ref="C49:AL49">6*GammaTop*((C21*C21)/BetaY)</f>
        <v>6.082157895242368</v>
      </c>
      <c r="D49">
        <f t="shared" si="20"/>
        <v>6.524355599360752</v>
      </c>
      <c r="E49">
        <f t="shared" si="20"/>
        <v>6.082157895242368</v>
      </c>
      <c r="F49">
        <f t="shared" si="20"/>
        <v>6.524355599360752</v>
      </c>
      <c r="G49">
        <f t="shared" si="20"/>
        <v>6.524355599360752</v>
      </c>
      <c r="H49">
        <f t="shared" si="20"/>
        <v>6.082157895242368</v>
      </c>
      <c r="I49">
        <f t="shared" si="20"/>
        <v>5.655475900040416</v>
      </c>
      <c r="J49">
        <f t="shared" si="20"/>
        <v>6.082157895242368</v>
      </c>
      <c r="K49">
        <f t="shared" si="20"/>
        <v>6.082157895242368</v>
      </c>
      <c r="L49">
        <f t="shared" si="20"/>
        <v>6.082157895242368</v>
      </c>
      <c r="M49">
        <f t="shared" si="20"/>
        <v>5.655475900040416</v>
      </c>
      <c r="N49">
        <f t="shared" si="20"/>
        <v>6.082157895242368</v>
      </c>
      <c r="O49">
        <f t="shared" si="20"/>
        <v>6.082157895242368</v>
      </c>
      <c r="P49">
        <f t="shared" si="20"/>
        <v>5.655475900040416</v>
      </c>
      <c r="Q49">
        <f t="shared" si="20"/>
        <v>5.655475900040416</v>
      </c>
      <c r="R49">
        <f t="shared" si="20"/>
        <v>6.524355599360752</v>
      </c>
      <c r="S49">
        <f t="shared" si="20"/>
        <v>6.082157895242368</v>
      </c>
      <c r="T49">
        <f t="shared" si="20"/>
        <v>6.082157895242368</v>
      </c>
      <c r="U49">
        <f t="shared" si="20"/>
        <v>6.082157895242368</v>
      </c>
      <c r="V49">
        <f t="shared" si="20"/>
        <v>5.655475900040416</v>
      </c>
      <c r="W49">
        <f t="shared" si="20"/>
        <v>6.082157895242368</v>
      </c>
      <c r="X49">
        <f t="shared" si="20"/>
        <v>6.082157895242368</v>
      </c>
      <c r="Y49">
        <f t="shared" si="20"/>
        <v>6.082157895242368</v>
      </c>
      <c r="Z49">
        <f t="shared" si="20"/>
        <v>5.655475900040416</v>
      </c>
      <c r="AA49">
        <f t="shared" si="20"/>
        <v>5.655475900040416</v>
      </c>
      <c r="AB49">
        <f t="shared" si="20"/>
        <v>6.082157895242368</v>
      </c>
      <c r="AC49">
        <f t="shared" si="20"/>
        <v>6.082157895242368</v>
      </c>
      <c r="AD49">
        <f t="shared" si="20"/>
        <v>6.082157895242368</v>
      </c>
      <c r="AE49">
        <f t="shared" si="20"/>
        <v>6.524355599360752</v>
      </c>
      <c r="AF49">
        <f t="shared" si="20"/>
        <v>5.655475900040416</v>
      </c>
      <c r="AG49">
        <f t="shared" si="20"/>
        <v>6.524355599360752</v>
      </c>
      <c r="AH49">
        <f t="shared" si="20"/>
        <v>6.082157895242368</v>
      </c>
      <c r="AI49">
        <f t="shared" si="20"/>
        <v>6.082157895242368</v>
      </c>
      <c r="AJ49">
        <f t="shared" si="20"/>
        <v>5.655475900040416</v>
      </c>
      <c r="AK49">
        <f t="shared" si="20"/>
        <v>6.082157895242368</v>
      </c>
      <c r="AL49">
        <f t="shared" si="20"/>
        <v>5.655475900040416</v>
      </c>
    </row>
    <row r="50" spans="1:38" ht="12.75">
      <c r="A50">
        <f t="shared" si="3"/>
        <v>6.353251809365627</v>
      </c>
      <c r="B50" t="str">
        <f t="shared" si="4"/>
        <v>HEP 4</v>
      </c>
      <c r="C50">
        <f aca="true" t="shared" si="21" ref="C50:AL50">6*GammaTop*((C22*C22)/BetaY)</f>
        <v>6.524355599360752</v>
      </c>
      <c r="D50">
        <f t="shared" si="21"/>
        <v>6.082157895242368</v>
      </c>
      <c r="E50">
        <f t="shared" si="21"/>
        <v>6.524355599360752</v>
      </c>
      <c r="F50">
        <f t="shared" si="21"/>
        <v>6.524355599360752</v>
      </c>
      <c r="G50">
        <f t="shared" si="21"/>
        <v>6.524355599360752</v>
      </c>
      <c r="H50">
        <f t="shared" si="21"/>
        <v>6.524355599360752</v>
      </c>
      <c r="I50">
        <f t="shared" si="21"/>
        <v>6.524355599360752</v>
      </c>
      <c r="J50">
        <f t="shared" si="21"/>
        <v>6.524355599360752</v>
      </c>
      <c r="K50">
        <f t="shared" si="21"/>
        <v>6.082157895242368</v>
      </c>
      <c r="L50">
        <f t="shared" si="21"/>
        <v>6.524355599360752</v>
      </c>
      <c r="M50">
        <f t="shared" si="21"/>
        <v>6.524355599360752</v>
      </c>
      <c r="N50">
        <f t="shared" si="21"/>
        <v>6.524355599360752</v>
      </c>
      <c r="O50">
        <f t="shared" si="21"/>
        <v>6.082157895242368</v>
      </c>
      <c r="P50">
        <f t="shared" si="21"/>
        <v>6.082157895242368</v>
      </c>
      <c r="Q50">
        <f t="shared" si="21"/>
        <v>6.082157895242368</v>
      </c>
      <c r="R50">
        <f t="shared" si="21"/>
        <v>6.524355599360752</v>
      </c>
      <c r="S50">
        <f t="shared" si="21"/>
        <v>6.524355599360752</v>
      </c>
      <c r="T50">
        <f t="shared" si="21"/>
        <v>6.9820690123955735</v>
      </c>
      <c r="U50">
        <f t="shared" si="21"/>
        <v>6.524355599360752</v>
      </c>
      <c r="V50">
        <f t="shared" si="21"/>
        <v>6.524355599360752</v>
      </c>
      <c r="W50">
        <f t="shared" si="21"/>
        <v>6.524355599360752</v>
      </c>
      <c r="X50">
        <f t="shared" si="21"/>
        <v>6.082157895242368</v>
      </c>
      <c r="Y50">
        <f t="shared" si="21"/>
        <v>5.655475900040416</v>
      </c>
      <c r="Z50">
        <f t="shared" si="21"/>
        <v>6.082157895242368</v>
      </c>
      <c r="AA50">
        <f t="shared" si="21"/>
        <v>6.082157895242368</v>
      </c>
      <c r="AB50">
        <f t="shared" si="21"/>
        <v>6.082157895242368</v>
      </c>
      <c r="AC50">
        <f t="shared" si="21"/>
        <v>6.524355599360752</v>
      </c>
      <c r="AD50">
        <f t="shared" si="21"/>
        <v>6.524355599360752</v>
      </c>
      <c r="AE50">
        <f t="shared" si="21"/>
        <v>6.082157895242368</v>
      </c>
      <c r="AF50">
        <f t="shared" si="21"/>
        <v>6.524355599360752</v>
      </c>
      <c r="AG50">
        <f t="shared" si="21"/>
        <v>6.524355599360752</v>
      </c>
      <c r="AH50">
        <f t="shared" si="21"/>
        <v>6.524355599360752</v>
      </c>
      <c r="AI50">
        <f t="shared" si="21"/>
        <v>6.524355599360752</v>
      </c>
      <c r="AJ50">
        <f t="shared" si="21"/>
        <v>6.082157895242368</v>
      </c>
      <c r="AK50">
        <f t="shared" si="21"/>
        <v>6.082157895242368</v>
      </c>
      <c r="AL50">
        <f t="shared" si="21"/>
        <v>6.082157895242368</v>
      </c>
    </row>
    <row r="51" spans="1:38" ht="12.75">
      <c r="A51">
        <f t="shared" si="3"/>
        <v>0</v>
      </c>
      <c r="B51" t="str">
        <f t="shared" si="4"/>
        <v>Pause HEP</v>
      </c>
      <c r="C51">
        <f aca="true" t="shared" si="22" ref="C51:AL51">6*GammaTop*((C23*C23)/BetaY)</f>
        <v>0</v>
      </c>
      <c r="D51">
        <f t="shared" si="22"/>
        <v>0</v>
      </c>
      <c r="E51">
        <f t="shared" si="22"/>
        <v>0</v>
      </c>
      <c r="F51">
        <f t="shared" si="22"/>
        <v>0</v>
      </c>
      <c r="G51">
        <f t="shared" si="22"/>
        <v>0</v>
      </c>
      <c r="H51">
        <f t="shared" si="22"/>
        <v>0</v>
      </c>
      <c r="I51">
        <f t="shared" si="22"/>
        <v>0</v>
      </c>
      <c r="J51">
        <f t="shared" si="22"/>
        <v>0</v>
      </c>
      <c r="K51">
        <f t="shared" si="22"/>
        <v>0</v>
      </c>
      <c r="L51">
        <f t="shared" si="22"/>
        <v>0</v>
      </c>
      <c r="M51">
        <f t="shared" si="22"/>
        <v>0</v>
      </c>
      <c r="N51">
        <f t="shared" si="22"/>
        <v>0</v>
      </c>
      <c r="O51">
        <f t="shared" si="22"/>
        <v>0</v>
      </c>
      <c r="P51">
        <f t="shared" si="22"/>
        <v>0</v>
      </c>
      <c r="Q51">
        <f t="shared" si="22"/>
        <v>0</v>
      </c>
      <c r="R51">
        <f t="shared" si="22"/>
        <v>0</v>
      </c>
      <c r="S51">
        <f t="shared" si="22"/>
        <v>0</v>
      </c>
      <c r="T51">
        <f t="shared" si="22"/>
        <v>0</v>
      </c>
      <c r="U51">
        <f t="shared" si="22"/>
        <v>0</v>
      </c>
      <c r="V51">
        <f t="shared" si="22"/>
        <v>0</v>
      </c>
      <c r="W51">
        <f t="shared" si="22"/>
        <v>0</v>
      </c>
      <c r="X51">
        <f t="shared" si="22"/>
        <v>0</v>
      </c>
      <c r="Y51">
        <f t="shared" si="22"/>
        <v>0</v>
      </c>
      <c r="Z51">
        <f t="shared" si="22"/>
        <v>0</v>
      </c>
      <c r="AA51">
        <f t="shared" si="22"/>
        <v>0</v>
      </c>
      <c r="AB51">
        <f t="shared" si="22"/>
        <v>0</v>
      </c>
      <c r="AC51">
        <f t="shared" si="22"/>
        <v>0</v>
      </c>
      <c r="AD51">
        <f t="shared" si="22"/>
        <v>0</v>
      </c>
      <c r="AE51">
        <f t="shared" si="22"/>
        <v>0</v>
      </c>
      <c r="AF51">
        <f t="shared" si="22"/>
        <v>0</v>
      </c>
      <c r="AG51">
        <f t="shared" si="22"/>
        <v>0</v>
      </c>
      <c r="AH51">
        <f t="shared" si="22"/>
        <v>0</v>
      </c>
      <c r="AI51">
        <f t="shared" si="22"/>
        <v>0</v>
      </c>
      <c r="AJ51">
        <f t="shared" si="22"/>
        <v>0</v>
      </c>
      <c r="AK51">
        <f t="shared" si="22"/>
        <v>0</v>
      </c>
      <c r="AL51">
        <f t="shared" si="22"/>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tbolsh</dc:creator>
  <cp:keywords/>
  <dc:description/>
  <cp:lastModifiedBy>annala</cp:lastModifiedBy>
  <cp:lastPrinted>2007-10-31T12:59:54Z</cp:lastPrinted>
  <dcterms:created xsi:type="dcterms:W3CDTF">2002-12-04T16:06:06Z</dcterms:created>
  <dcterms:modified xsi:type="dcterms:W3CDTF">2008-03-11T16:58:08Z</dcterms:modified>
  <cp:category/>
  <cp:version/>
  <cp:contentType/>
  <cp:contentStatus/>
</cp:coreProperties>
</file>