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<sst xmlns="http://schemas.openxmlformats.org/spreadsheetml/2006/main" count="247" uniqueCount="47">
  <si>
    <t>Table with row headers in column A and column headers in rows 8 through 9</t>
  </si>
  <si>
    <t>(Numbers in thousands)</t>
  </si>
  <si>
    <t xml:space="preserve">
Cost and aid
</t>
  </si>
  <si>
    <t>Sex</t>
  </si>
  <si>
    <t>Race/Hispanic origin</t>
  </si>
  <si>
    <t>Age</t>
  </si>
  <si>
    <t>Total
enrolled</t>
  </si>
  <si>
    <t xml:space="preserve">  Men  </t>
  </si>
  <si>
    <t xml:space="preserve"> Women </t>
  </si>
  <si>
    <t xml:space="preserve"> White </t>
  </si>
  <si>
    <t>White
non-Hispanic</t>
  </si>
  <si>
    <t xml:space="preserve"> Black </t>
  </si>
  <si>
    <t>Asian and
Pacific Islander</t>
  </si>
  <si>
    <t>Hispanic
(of any race)</t>
  </si>
  <si>
    <t xml:space="preserve">17 to 24
years </t>
  </si>
  <si>
    <t xml:space="preserve">25 to 34
years </t>
  </si>
  <si>
    <t>35 years
and older</t>
  </si>
  <si>
    <t>(leading dots indicate sub-parts)</t>
  </si>
  <si>
    <t>TOTAL, 17 years and older</t>
  </si>
  <si>
    <r>
      <t xml:space="preserve">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Total cost</t>
    </r>
  </si>
  <si>
    <t xml:space="preserve">       </t>
  </si>
  <si>
    <r>
      <t xml:space="preserve">  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Mean (Average)</t>
    </r>
  </si>
  <si>
    <r>
      <t xml:space="preserve">  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Standard error</t>
    </r>
  </si>
  <si>
    <r>
      <t xml:space="preserve">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Total aid</t>
    </r>
  </si>
  <si>
    <r>
      <t xml:space="preserve">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Net cost</t>
    </r>
  </si>
  <si>
    <r>
      <t xml:space="preserve"> 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Percent of total cost
   covered by aid</t>
    </r>
  </si>
  <si>
    <t>None received</t>
  </si>
  <si>
    <t>(X)</t>
  </si>
  <si>
    <t>Aid received</t>
  </si>
  <si>
    <r>
      <t xml:space="preserve">  </t>
    </r>
    <r>
      <rPr>
        <sz val="8"/>
        <color indexed="9"/>
        <rFont val="Arial"/>
        <family val="0"/>
      </rPr>
      <t>..</t>
    </r>
    <r>
      <rPr>
        <sz val="8"/>
        <rFont val="Arial"/>
        <family val="2"/>
      </rPr>
      <t>Standard error</t>
    </r>
  </si>
  <si>
    <r>
      <t>Dependency status</t>
    </r>
    <r>
      <rPr>
        <vertAlign val="superscript"/>
        <sz val="8"/>
        <rFont val="Arial"/>
        <family val="2"/>
      </rPr>
      <t>1</t>
    </r>
  </si>
  <si>
    <t>Annual family income</t>
  </si>
  <si>
    <t>Dependent
student</t>
  </si>
  <si>
    <t>Independent
student</t>
  </si>
  <si>
    <t>Less than
$25,000</t>
  </si>
  <si>
    <t>$25,000 to
$49,999</t>
  </si>
  <si>
    <t>$50,000
or more</t>
  </si>
  <si>
    <t xml:space="preserve">Did not
work  </t>
  </si>
  <si>
    <t>Worked
full time</t>
  </si>
  <si>
    <t>Worked
part time</t>
  </si>
  <si>
    <t>Footnotes:</t>
  </si>
  <si>
    <r>
      <t>/</t>
    </r>
    <r>
      <rPr>
        <vertAlign val="superscript"/>
        <sz val="8"/>
        <rFont val="Arial"/>
        <family val="2"/>
      </rPr>
      <t>1.</t>
    </r>
    <r>
      <rPr>
        <sz val="8"/>
        <rFont val="Arial"/>
        <family val="2"/>
      </rPr>
      <t xml:space="preserve">  Claimed as a dependent on one or both parents' income tax return. Universe consists of students under 25 years old.</t>
    </r>
  </si>
  <si>
    <t xml:space="preserve"> (X) Not applicable.</t>
  </si>
  <si>
    <t>Source:  U.S. Census Bureau, Survey of Income Program Participation (SIPP), 2001 Panel Wave 5.</t>
  </si>
  <si>
    <t>Work status</t>
  </si>
  <si>
    <t xml:space="preserve">Table 6a.  All Students: Average Cost, Aid, Net Cost, and Percent of Cost Covered by Sex, Race, Hispanic Origin, Age, Dependency Status, Work Status,
                 and Annual Family Income, 2001-2002  </t>
  </si>
  <si>
    <t>Internet Release Date: August 24, 2006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</si>
</sst>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2" fillId="0" borderId="2" xfId="0" applyFont="1" applyBorder="1" applyAlignment="1" applyProtection="1">
      <alignment horizontal="right" wrapText="1"/>
      <protection locked="0"/>
    </xf>
    <xf numFmtId="0" fontId="2" fillId="0" borderId="2" xfId="0" applyFon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>
      <alignment/>
    </xf>
    <xf numFmtId="6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/>
    </xf>
    <xf numFmtId="0" fontId="2" fillId="0" borderId="3" xfId="0" applyFont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49" fontId="2" fillId="0" borderId="2" xfId="0" applyNumberFormat="1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 quotePrefix="1">
      <alignment/>
      <protection locked="0"/>
    </xf>
    <xf numFmtId="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 applyProtection="1">
      <alignment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0" fillId="0" borderId="5" xfId="0" applyBorder="1" applyAlignment="1" applyProtection="1">
      <alignment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7"/>
  <sheetViews>
    <sheetView tabSelected="1" workbookViewId="0" topLeftCell="A1">
      <selection activeCell="D5" sqref="D5"/>
    </sheetView>
  </sheetViews>
  <sheetFormatPr defaultColWidth="9.140625" defaultRowHeight="12.75"/>
  <cols>
    <col min="1" max="1" width="26.00390625" style="2" customWidth="1"/>
    <col min="2" max="2" width="9.140625" style="2" customWidth="1"/>
    <col min="3" max="3" width="10.28125" style="2" customWidth="1"/>
    <col min="4" max="4" width="10.421875" style="2" customWidth="1"/>
    <col min="5" max="5" width="9.140625" style="2" customWidth="1"/>
    <col min="6" max="6" width="11.140625" style="2" customWidth="1"/>
    <col min="7" max="7" width="9.140625" style="2" customWidth="1"/>
    <col min="8" max="8" width="13.8515625" style="2" customWidth="1"/>
    <col min="9" max="9" width="9.8515625" style="2" customWidth="1"/>
    <col min="10" max="16384" width="9.140625" style="2" customWidth="1"/>
  </cols>
  <sheetData>
    <row r="1" ht="1.5" customHeight="1">
      <c r="A1" s="1" t="s">
        <v>0</v>
      </c>
    </row>
    <row r="2" spans="1:12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3.25" customHeight="1">
      <c r="A3" s="28" t="s">
        <v>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11.25">
      <c r="A4" s="2" t="s">
        <v>46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1.25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1.25">
      <c r="A6" s="2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1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1.25" customHeight="1">
      <c r="A8" s="30" t="s">
        <v>2</v>
      </c>
      <c r="B8" s="5"/>
      <c r="C8" s="25" t="s">
        <v>3</v>
      </c>
      <c r="D8" s="26"/>
      <c r="E8" s="25" t="s">
        <v>4</v>
      </c>
      <c r="F8" s="27"/>
      <c r="G8" s="27"/>
      <c r="H8" s="27"/>
      <c r="I8" s="26"/>
      <c r="J8" s="25" t="s">
        <v>5</v>
      </c>
      <c r="K8" s="27"/>
      <c r="L8" s="27"/>
    </row>
    <row r="9" spans="1:12" ht="33.75">
      <c r="A9" s="31"/>
      <c r="B9" s="6" t="s">
        <v>6</v>
      </c>
      <c r="C9" s="7" t="s">
        <v>7</v>
      </c>
      <c r="D9" s="7" t="s">
        <v>8</v>
      </c>
      <c r="E9" s="7" t="s">
        <v>9</v>
      </c>
      <c r="F9" s="6" t="s">
        <v>10</v>
      </c>
      <c r="G9" s="7" t="s">
        <v>11</v>
      </c>
      <c r="H9" s="6" t="s">
        <v>12</v>
      </c>
      <c r="I9" s="6" t="s">
        <v>13</v>
      </c>
      <c r="J9" s="6" t="s">
        <v>14</v>
      </c>
      <c r="K9" s="6" t="s">
        <v>15</v>
      </c>
      <c r="L9" s="6" t="s">
        <v>16</v>
      </c>
    </row>
    <row r="10" ht="11.25">
      <c r="A10" s="1" t="s">
        <v>17</v>
      </c>
    </row>
    <row r="11" spans="1:12" ht="11.25">
      <c r="A11" s="2" t="s">
        <v>18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8" ht="11.25">
      <c r="A12" s="2" t="s">
        <v>19</v>
      </c>
      <c r="B12" s="2" t="s">
        <v>20</v>
      </c>
      <c r="C12" s="2" t="s">
        <v>20</v>
      </c>
      <c r="D12" s="2" t="s">
        <v>20</v>
      </c>
      <c r="E12" s="2" t="s">
        <v>20</v>
      </c>
      <c r="F12" s="2" t="s">
        <v>20</v>
      </c>
      <c r="G12" s="2" t="s">
        <v>20</v>
      </c>
      <c r="H12" s="2" t="s">
        <v>20</v>
      </c>
    </row>
    <row r="13" spans="1:12" ht="11.25">
      <c r="A13" s="2" t="s">
        <v>21</v>
      </c>
      <c r="B13" s="9">
        <v>7114</v>
      </c>
      <c r="C13" s="9">
        <v>7570</v>
      </c>
      <c r="D13" s="9">
        <v>6756</v>
      </c>
      <c r="E13" s="9">
        <v>7126</v>
      </c>
      <c r="F13" s="9">
        <v>7474</v>
      </c>
      <c r="G13" s="9">
        <v>6362</v>
      </c>
      <c r="H13" s="9">
        <v>9018</v>
      </c>
      <c r="I13" s="9">
        <v>4762</v>
      </c>
      <c r="J13" s="9">
        <v>9548</v>
      </c>
      <c r="K13" s="9">
        <v>5918</v>
      </c>
      <c r="L13" s="9">
        <v>3341</v>
      </c>
    </row>
    <row r="14" spans="1:12" ht="11.25">
      <c r="A14" s="2" t="s">
        <v>22</v>
      </c>
      <c r="B14" s="9">
        <f>132*K77</f>
        <v>190.37310734449864</v>
      </c>
      <c r="C14" s="9">
        <f>213*K77</f>
        <v>307.1929686695319</v>
      </c>
      <c r="D14" s="9">
        <f>165*K77</f>
        <v>237.96638418062332</v>
      </c>
      <c r="E14" s="9">
        <f>147*K77</f>
        <v>212.00641499728258</v>
      </c>
      <c r="F14" s="9">
        <f>161*K77</f>
        <v>232.19750213988092</v>
      </c>
      <c r="G14" s="9">
        <f>326*K77</f>
        <v>470.1638863205042</v>
      </c>
      <c r="H14" s="9">
        <f>681*K77</f>
        <v>982.1521674363908</v>
      </c>
      <c r="I14" s="9">
        <f>294*K77</f>
        <v>424.01282999456515</v>
      </c>
      <c r="J14" s="9">
        <f>206*K77</f>
        <v>297.09742509823275</v>
      </c>
      <c r="K14" s="9">
        <f>226*K77</f>
        <v>325.94183530194465</v>
      </c>
      <c r="L14" s="9">
        <f>187*K77</f>
        <v>269.6952354047064</v>
      </c>
    </row>
    <row r="15" spans="1:12" ht="11.25">
      <c r="A15" s="2" t="s">
        <v>23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1.25">
      <c r="A16" s="2" t="s">
        <v>21</v>
      </c>
      <c r="B16" s="20">
        <v>2689</v>
      </c>
      <c r="C16" s="20">
        <v>2812</v>
      </c>
      <c r="D16" s="20">
        <v>2591</v>
      </c>
      <c r="E16" s="20">
        <v>2696</v>
      </c>
      <c r="F16" s="20">
        <v>2798</v>
      </c>
      <c r="G16" s="20">
        <v>2725</v>
      </c>
      <c r="H16" s="20">
        <v>2534</v>
      </c>
      <c r="I16" s="21">
        <v>1944</v>
      </c>
      <c r="J16" s="21">
        <v>3127</v>
      </c>
      <c r="K16" s="21">
        <v>2986</v>
      </c>
      <c r="L16" s="21">
        <v>1470</v>
      </c>
    </row>
    <row r="17" spans="1:12" ht="11.25">
      <c r="A17" s="2" t="s">
        <v>22</v>
      </c>
      <c r="B17" s="21">
        <f>67*K77</f>
        <v>96.62877418243492</v>
      </c>
      <c r="C17" s="21">
        <f>106*K77</f>
        <v>152.87537407967315</v>
      </c>
      <c r="D17" s="21">
        <f>86*K77</f>
        <v>124.03096387596125</v>
      </c>
      <c r="E17" s="21">
        <f>77*K77</f>
        <v>111.05097928429088</v>
      </c>
      <c r="F17" s="21">
        <f>84*K77</f>
        <v>121.14652285559005</v>
      </c>
      <c r="G17" s="21">
        <f>155*K77</f>
        <v>223.54417907876734</v>
      </c>
      <c r="H17" s="21">
        <f>291*K77</f>
        <v>419.6861684640084</v>
      </c>
      <c r="I17" s="21">
        <f>157*K77</f>
        <v>226.42862009913856</v>
      </c>
      <c r="J17" s="21">
        <f>97*K77</f>
        <v>139.8953894880028</v>
      </c>
      <c r="K17" s="21">
        <f>151*K77</f>
        <v>217.77529703802497</v>
      </c>
      <c r="L17" s="21">
        <f>96*K77</f>
        <v>138.4531689778172</v>
      </c>
    </row>
    <row r="18" spans="1:12" ht="11.25">
      <c r="A18" s="2" t="s">
        <v>24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spans="1:12" ht="11.25">
      <c r="A19" s="2" t="s">
        <v>21</v>
      </c>
      <c r="B19" s="20">
        <v>4425</v>
      </c>
      <c r="C19" s="20">
        <v>4758</v>
      </c>
      <c r="D19" s="20">
        <v>4164</v>
      </c>
      <c r="E19" s="20">
        <v>4430</v>
      </c>
      <c r="F19" s="20">
        <v>4676</v>
      </c>
      <c r="G19" s="20">
        <v>3637</v>
      </c>
      <c r="H19" s="20">
        <v>6484</v>
      </c>
      <c r="I19" s="21">
        <v>2818</v>
      </c>
      <c r="J19" s="21">
        <v>6422</v>
      </c>
      <c r="K19" s="21">
        <v>2931</v>
      </c>
      <c r="L19" s="21">
        <v>1872</v>
      </c>
    </row>
    <row r="20" spans="1:12" ht="11.25">
      <c r="A20" s="2" t="s">
        <v>22</v>
      </c>
      <c r="B20" s="21">
        <f>125*K77</f>
        <v>180.2775637731995</v>
      </c>
      <c r="C20" s="21">
        <f>200*K77</f>
        <v>288.44410203711914</v>
      </c>
      <c r="D20" s="21">
        <f>159*K77</f>
        <v>229.31306111950974</v>
      </c>
      <c r="E20" s="21">
        <f>139*K77</f>
        <v>200.4686509157978</v>
      </c>
      <c r="F20" s="21">
        <f>152*K77</f>
        <v>219.21751754821057</v>
      </c>
      <c r="G20" s="21">
        <f>309*K77</f>
        <v>445.6461376473491</v>
      </c>
      <c r="H20" s="21">
        <f>685*K77</f>
        <v>987.9210494771331</v>
      </c>
      <c r="I20" s="21">
        <f>287*K77</f>
        <v>413.917286423266</v>
      </c>
      <c r="J20" s="21">
        <f>199*K77</f>
        <v>287.0018815269336</v>
      </c>
      <c r="K20" s="21">
        <f>216*K77</f>
        <v>311.5196302000887</v>
      </c>
      <c r="L20" s="21">
        <f>175*K77</f>
        <v>252.38858928247927</v>
      </c>
    </row>
    <row r="21" ht="22.5">
      <c r="A21" s="11" t="s">
        <v>25</v>
      </c>
    </row>
    <row r="22" spans="1:14" ht="12.75">
      <c r="A22" s="2" t="s">
        <v>21</v>
      </c>
      <c r="B22" s="12">
        <v>36</v>
      </c>
      <c r="C22" s="12">
        <v>36</v>
      </c>
      <c r="D22" s="12">
        <v>36</v>
      </c>
      <c r="E22" s="12">
        <v>34</v>
      </c>
      <c r="F22" s="12">
        <v>34</v>
      </c>
      <c r="G22" s="12">
        <v>45</v>
      </c>
      <c r="H22" s="12">
        <v>32</v>
      </c>
      <c r="I22" s="12">
        <v>32</v>
      </c>
      <c r="J22" s="12">
        <v>34</v>
      </c>
      <c r="K22" s="12">
        <v>41</v>
      </c>
      <c r="L22" s="12">
        <v>33</v>
      </c>
      <c r="M22"/>
      <c r="N22"/>
    </row>
    <row r="23" spans="1:14" ht="12.75">
      <c r="A23" s="2" t="s">
        <v>22</v>
      </c>
      <c r="B23" s="12">
        <v>1</v>
      </c>
      <c r="C23" s="12">
        <v>1</v>
      </c>
      <c r="D23" s="12">
        <v>1</v>
      </c>
      <c r="E23" s="12">
        <v>1</v>
      </c>
      <c r="F23" s="12">
        <v>1</v>
      </c>
      <c r="G23" s="12">
        <v>2</v>
      </c>
      <c r="H23" s="12">
        <v>3</v>
      </c>
      <c r="I23" s="12">
        <v>2</v>
      </c>
      <c r="J23" s="12">
        <v>1</v>
      </c>
      <c r="K23" s="12">
        <v>1</v>
      </c>
      <c r="L23" s="12">
        <v>1</v>
      </c>
      <c r="M23"/>
      <c r="N23"/>
    </row>
    <row r="24" ht="11.25">
      <c r="A24" s="2" t="s">
        <v>26</v>
      </c>
    </row>
    <row r="25" ht="11.25">
      <c r="A25" s="2" t="s">
        <v>19</v>
      </c>
    </row>
    <row r="26" spans="1:12" ht="11.25">
      <c r="A26" s="2" t="s">
        <v>21</v>
      </c>
      <c r="B26" s="9">
        <v>5637</v>
      </c>
      <c r="C26" s="9">
        <v>5952</v>
      </c>
      <c r="D26" s="9">
        <v>5395</v>
      </c>
      <c r="E26" s="9">
        <v>5519</v>
      </c>
      <c r="F26" s="9">
        <v>5913</v>
      </c>
      <c r="G26" s="9">
        <v>5068</v>
      </c>
      <c r="H26" s="9">
        <v>8336</v>
      </c>
      <c r="I26" s="9">
        <v>3211</v>
      </c>
      <c r="J26" s="9">
        <v>8156</v>
      </c>
      <c r="K26" s="9">
        <v>4447</v>
      </c>
      <c r="L26" s="9">
        <v>2666</v>
      </c>
    </row>
    <row r="27" spans="1:12" ht="11.25">
      <c r="A27" s="2" t="s">
        <v>22</v>
      </c>
      <c r="B27" s="9">
        <f>174*K77</f>
        <v>250.94636877229368</v>
      </c>
      <c r="C27" s="9">
        <f>259*K77</f>
        <v>373.53511213806934</v>
      </c>
      <c r="D27" s="9">
        <f>234*K77</f>
        <v>337.47959938342944</v>
      </c>
      <c r="E27" s="9">
        <f>191*K77</f>
        <v>275.4641174454488</v>
      </c>
      <c r="F27" s="9">
        <f>213*K77</f>
        <v>307.1929686695319</v>
      </c>
      <c r="G27" s="9">
        <f>452*K77</f>
        <v>651.8836706038893</v>
      </c>
      <c r="H27" s="9">
        <f>881*K77</f>
        <v>1270.59626947351</v>
      </c>
      <c r="I27" s="9">
        <f>315*K77</f>
        <v>454.2994607084627</v>
      </c>
      <c r="J27" s="9">
        <f>308*K77</f>
        <v>444.2039171371635</v>
      </c>
      <c r="K27" s="9">
        <f>281*K77</f>
        <v>405.2639633621524</v>
      </c>
      <c r="L27" s="9">
        <f>185*K77</f>
        <v>266.8107943843352</v>
      </c>
    </row>
    <row r="28" ht="11.25">
      <c r="A28" s="2" t="s">
        <v>23</v>
      </c>
    </row>
    <row r="29" spans="1:12" ht="11.25">
      <c r="A29" s="2" t="s">
        <v>21</v>
      </c>
      <c r="B29" s="13" t="s">
        <v>27</v>
      </c>
      <c r="C29" s="13" t="s">
        <v>27</v>
      </c>
      <c r="D29" s="13" t="s">
        <v>27</v>
      </c>
      <c r="E29" s="13" t="s">
        <v>27</v>
      </c>
      <c r="F29" s="13" t="s">
        <v>27</v>
      </c>
      <c r="G29" s="13" t="s">
        <v>27</v>
      </c>
      <c r="H29" s="13" t="s">
        <v>27</v>
      </c>
      <c r="I29" s="13" t="s">
        <v>27</v>
      </c>
      <c r="J29" s="13" t="s">
        <v>27</v>
      </c>
      <c r="K29" s="13" t="s">
        <v>27</v>
      </c>
      <c r="L29" s="13" t="s">
        <v>27</v>
      </c>
    </row>
    <row r="30" spans="1:12" ht="11.25">
      <c r="A30" s="2" t="s">
        <v>22</v>
      </c>
      <c r="B30" s="13" t="s">
        <v>27</v>
      </c>
      <c r="C30" s="13" t="s">
        <v>27</v>
      </c>
      <c r="D30" s="13" t="s">
        <v>27</v>
      </c>
      <c r="E30" s="13" t="s">
        <v>27</v>
      </c>
      <c r="F30" s="13" t="s">
        <v>27</v>
      </c>
      <c r="G30" s="13" t="s">
        <v>27</v>
      </c>
      <c r="H30" s="13" t="s">
        <v>27</v>
      </c>
      <c r="I30" s="13" t="s">
        <v>27</v>
      </c>
      <c r="J30" s="13" t="s">
        <v>27</v>
      </c>
      <c r="K30" s="13" t="s">
        <v>27</v>
      </c>
      <c r="L30" s="13" t="s">
        <v>27</v>
      </c>
    </row>
    <row r="31" ht="11.25">
      <c r="A31" s="2" t="s">
        <v>24</v>
      </c>
    </row>
    <row r="32" spans="1:12" ht="11.25">
      <c r="A32" s="2" t="s">
        <v>21</v>
      </c>
      <c r="B32" s="9">
        <v>5637</v>
      </c>
      <c r="C32" s="9">
        <v>5952</v>
      </c>
      <c r="D32" s="9">
        <v>5395</v>
      </c>
      <c r="E32" s="9">
        <v>5519</v>
      </c>
      <c r="F32" s="9">
        <v>5913</v>
      </c>
      <c r="G32" s="9">
        <v>5068</v>
      </c>
      <c r="H32" s="9">
        <v>8336</v>
      </c>
      <c r="I32" s="9">
        <v>3211</v>
      </c>
      <c r="J32" s="9">
        <v>8156</v>
      </c>
      <c r="K32" s="9">
        <v>4447</v>
      </c>
      <c r="L32" s="9">
        <v>2666</v>
      </c>
    </row>
    <row r="33" spans="1:12" ht="11.25">
      <c r="A33" s="2" t="s">
        <v>22</v>
      </c>
      <c r="B33" s="9">
        <f>174*K77</f>
        <v>250.94636877229368</v>
      </c>
      <c r="C33" s="9">
        <f>259*K77</f>
        <v>373.53511213806934</v>
      </c>
      <c r="D33" s="9">
        <f>234*K77</f>
        <v>337.47959938342944</v>
      </c>
      <c r="E33" s="9">
        <f>191*K77</f>
        <v>275.4641174454488</v>
      </c>
      <c r="F33" s="9">
        <f>213*K77</f>
        <v>307.1929686695319</v>
      </c>
      <c r="G33" s="9">
        <f>452*K77</f>
        <v>651.8836706038893</v>
      </c>
      <c r="H33" s="9">
        <f>881*K77</f>
        <v>1270.59626947351</v>
      </c>
      <c r="I33" s="9">
        <f>315*K77</f>
        <v>454.2994607084627</v>
      </c>
      <c r="J33" s="9">
        <f>308*K77</f>
        <v>444.2039171371635</v>
      </c>
      <c r="K33" s="9">
        <f>281*K77</f>
        <v>405.2639633621524</v>
      </c>
      <c r="L33" s="9">
        <f>185*K77</f>
        <v>266.8107943843352</v>
      </c>
    </row>
    <row r="34" ht="22.5">
      <c r="A34" s="11" t="s">
        <v>25</v>
      </c>
    </row>
    <row r="35" spans="1:12" ht="11.25">
      <c r="A35" s="2" t="s">
        <v>21</v>
      </c>
      <c r="B35" s="13" t="s">
        <v>27</v>
      </c>
      <c r="C35" s="13" t="s">
        <v>27</v>
      </c>
      <c r="D35" s="13" t="s">
        <v>27</v>
      </c>
      <c r="E35" s="13" t="s">
        <v>27</v>
      </c>
      <c r="F35" s="13" t="s">
        <v>27</v>
      </c>
      <c r="G35" s="13" t="s">
        <v>27</v>
      </c>
      <c r="H35" s="13" t="s">
        <v>27</v>
      </c>
      <c r="I35" s="13" t="s">
        <v>27</v>
      </c>
      <c r="J35" s="13" t="s">
        <v>27</v>
      </c>
      <c r="K35" s="13" t="s">
        <v>27</v>
      </c>
      <c r="L35" s="13" t="s">
        <v>27</v>
      </c>
    </row>
    <row r="36" spans="1:12" ht="11.25">
      <c r="A36" s="2" t="s">
        <v>22</v>
      </c>
      <c r="B36" s="13" t="s">
        <v>27</v>
      </c>
      <c r="C36" s="13" t="s">
        <v>27</v>
      </c>
      <c r="D36" s="13" t="s">
        <v>27</v>
      </c>
      <c r="E36" s="13" t="s">
        <v>27</v>
      </c>
      <c r="F36" s="13" t="s">
        <v>27</v>
      </c>
      <c r="G36" s="13" t="s">
        <v>27</v>
      </c>
      <c r="H36" s="13" t="s">
        <v>27</v>
      </c>
      <c r="I36" s="13" t="s">
        <v>27</v>
      </c>
      <c r="J36" s="13" t="s">
        <v>27</v>
      </c>
      <c r="K36" s="13" t="s">
        <v>27</v>
      </c>
      <c r="L36" s="13" t="s">
        <v>27</v>
      </c>
    </row>
    <row r="37" ht="11.25">
      <c r="A37" s="2" t="s">
        <v>28</v>
      </c>
    </row>
    <row r="38" ht="11.25">
      <c r="A38" s="2" t="s">
        <v>19</v>
      </c>
    </row>
    <row r="39" spans="1:12" ht="11.25">
      <c r="A39" s="2" t="s">
        <v>21</v>
      </c>
      <c r="B39" s="14">
        <v>8388</v>
      </c>
      <c r="C39" s="14">
        <v>8937</v>
      </c>
      <c r="D39" s="14">
        <v>7949</v>
      </c>
      <c r="E39" s="14">
        <v>8616</v>
      </c>
      <c r="F39" s="14">
        <v>8889</v>
      </c>
      <c r="G39" s="14">
        <v>7069</v>
      </c>
      <c r="H39" s="14">
        <v>9753</v>
      </c>
      <c r="I39" s="14">
        <v>6467</v>
      </c>
      <c r="J39" s="14">
        <v>10588</v>
      </c>
      <c r="K39" s="14">
        <v>7054</v>
      </c>
      <c r="L39" s="14">
        <v>4220</v>
      </c>
    </row>
    <row r="40" spans="1:12" ht="11.25">
      <c r="A40" s="2" t="s">
        <v>22</v>
      </c>
      <c r="B40" s="9">
        <f>190*K77</f>
        <v>274.0218969352632</v>
      </c>
      <c r="C40" s="9">
        <f>321*K77</f>
        <v>462.9527837695763</v>
      </c>
      <c r="D40" s="9">
        <f>228*K77</f>
        <v>328.82627632231583</v>
      </c>
      <c r="E40" s="9">
        <f>216*K77</f>
        <v>311.5196302000887</v>
      </c>
      <c r="F40" s="9">
        <f>233*K77</f>
        <v>336.0373788732438</v>
      </c>
      <c r="G40" s="9">
        <f>435*K77</f>
        <v>627.3659219307342</v>
      </c>
      <c r="H40" s="9">
        <f>1049*K77</f>
        <v>1512.88931518469</v>
      </c>
      <c r="I40" s="9">
        <f>486*K77</f>
        <v>700.9191679501996</v>
      </c>
      <c r="J40" s="9">
        <f>273*K77</f>
        <v>393.7261992806677</v>
      </c>
      <c r="K40" s="9">
        <f>329*K77</f>
        <v>474.490547851061</v>
      </c>
      <c r="L40" s="9">
        <f>349*K77</f>
        <v>503.3349580547729</v>
      </c>
    </row>
    <row r="41" ht="11.25">
      <c r="A41" s="2" t="s">
        <v>23</v>
      </c>
    </row>
    <row r="42" spans="1:12" ht="11.25">
      <c r="A42" s="2" t="s">
        <v>21</v>
      </c>
      <c r="B42" s="14">
        <v>5008</v>
      </c>
      <c r="C42" s="14">
        <v>5186</v>
      </c>
      <c r="D42" s="14">
        <v>4865</v>
      </c>
      <c r="E42" s="14">
        <v>5197</v>
      </c>
      <c r="F42" s="14">
        <v>5334</v>
      </c>
      <c r="G42" s="14">
        <v>4214</v>
      </c>
      <c r="H42" s="14">
        <v>5263</v>
      </c>
      <c r="I42" s="14">
        <v>4081</v>
      </c>
      <c r="J42" s="14">
        <v>5461</v>
      </c>
      <c r="K42" s="14">
        <v>5294</v>
      </c>
      <c r="L42" s="14">
        <v>3382</v>
      </c>
    </row>
    <row r="43" spans="1:12" ht="11.25">
      <c r="A43" s="2" t="s">
        <v>22</v>
      </c>
      <c r="B43" s="9">
        <f>104*K77</f>
        <v>149.99093305930197</v>
      </c>
      <c r="C43" s="9">
        <f>164*K77</f>
        <v>236.5241636704377</v>
      </c>
      <c r="D43" s="9">
        <f>135*K77</f>
        <v>194.69976887505544</v>
      </c>
      <c r="E43" s="9">
        <f>123*K77</f>
        <v>177.39312275282828</v>
      </c>
      <c r="F43" s="9">
        <f>134*K77</f>
        <v>193.25754836486985</v>
      </c>
      <c r="G43" s="9">
        <f>205*K77</f>
        <v>295.6552045880471</v>
      </c>
      <c r="H43" s="9">
        <f>504*K77</f>
        <v>726.8791371335403</v>
      </c>
      <c r="I43" s="9">
        <f>267*K77</f>
        <v>385.0728762195541</v>
      </c>
      <c r="J43" s="9">
        <f>138*K77</f>
        <v>199.02643040561222</v>
      </c>
      <c r="K43" s="9">
        <f>232*K77</f>
        <v>334.5951583630582</v>
      </c>
      <c r="L43" s="9">
        <f>188*K77</f>
        <v>271.13745591489203</v>
      </c>
    </row>
    <row r="44" spans="1:12" ht="11.25">
      <c r="A44" s="2" t="s">
        <v>24</v>
      </c>
      <c r="B44" s="12" t="s">
        <v>20</v>
      </c>
      <c r="C44" s="12" t="s">
        <v>20</v>
      </c>
      <c r="D44" s="12" t="s">
        <v>20</v>
      </c>
      <c r="E44" s="12" t="s">
        <v>20</v>
      </c>
      <c r="F44" s="12" t="s">
        <v>20</v>
      </c>
      <c r="G44" s="12" t="s">
        <v>20</v>
      </c>
      <c r="H44" s="12" t="s">
        <v>20</v>
      </c>
      <c r="I44" s="12" t="s">
        <v>20</v>
      </c>
      <c r="J44" s="12" t="s">
        <v>20</v>
      </c>
      <c r="K44" s="12" t="s">
        <v>20</v>
      </c>
      <c r="L44" s="12" t="s">
        <v>20</v>
      </c>
    </row>
    <row r="45" spans="1:12" ht="11.25">
      <c r="A45" s="2" t="s">
        <v>21</v>
      </c>
      <c r="B45" s="14">
        <v>3380</v>
      </c>
      <c r="C45" s="14">
        <v>3750</v>
      </c>
      <c r="D45" s="14">
        <v>3085</v>
      </c>
      <c r="E45" s="14">
        <v>3419</v>
      </c>
      <c r="F45" s="14">
        <v>3555</v>
      </c>
      <c r="G45" s="14">
        <v>2855</v>
      </c>
      <c r="H45" s="14">
        <v>4490</v>
      </c>
      <c r="I45" s="14">
        <v>2386</v>
      </c>
      <c r="J45" s="14">
        <v>5127</v>
      </c>
      <c r="K45" s="14">
        <v>1760</v>
      </c>
      <c r="L45" s="14">
        <v>838</v>
      </c>
    </row>
    <row r="46" spans="1:12" ht="11.25">
      <c r="A46" s="2" t="s">
        <v>22</v>
      </c>
      <c r="B46" s="9">
        <f>175*K77</f>
        <v>252.38858928247927</v>
      </c>
      <c r="C46" s="9">
        <f>293*K77</f>
        <v>422.5706094843796</v>
      </c>
      <c r="D46" s="9">
        <f>212*K77</f>
        <v>305.7507481593463</v>
      </c>
      <c r="E46" s="9">
        <f>198*K77</f>
        <v>285.55966101674795</v>
      </c>
      <c r="F46" s="9">
        <f>212*K77</f>
        <v>305.7507481593463</v>
      </c>
      <c r="G46" s="9">
        <f>404*K77</f>
        <v>582.6570861149808</v>
      </c>
      <c r="H46" s="9">
        <f>1034*K77</f>
        <v>1491.256007531906</v>
      </c>
      <c r="I46" s="9">
        <f>488*K77</f>
        <v>703.8036089705707</v>
      </c>
      <c r="J46" s="9">
        <f>256*K77</f>
        <v>369.20845060751253</v>
      </c>
      <c r="K46" s="9">
        <f>308*K77</f>
        <v>444.2039171371635</v>
      </c>
      <c r="L46" s="9">
        <f>315*K77</f>
        <v>454.2994607084627</v>
      </c>
    </row>
    <row r="47" ht="22.5">
      <c r="A47" s="11" t="s">
        <v>25</v>
      </c>
    </row>
    <row r="48" spans="1:12" ht="11.25">
      <c r="A48" s="2" t="s">
        <v>21</v>
      </c>
      <c r="B48" s="12">
        <v>67</v>
      </c>
      <c r="C48" s="12">
        <v>66</v>
      </c>
      <c r="D48" s="12">
        <v>67</v>
      </c>
      <c r="E48" s="12">
        <v>66</v>
      </c>
      <c r="F48" s="12">
        <v>66</v>
      </c>
      <c r="G48" s="12">
        <v>69</v>
      </c>
      <c r="H48" s="12">
        <v>67</v>
      </c>
      <c r="I48" s="12">
        <v>68</v>
      </c>
      <c r="J48" s="12">
        <v>60</v>
      </c>
      <c r="K48" s="12">
        <v>72</v>
      </c>
      <c r="L48" s="12">
        <v>76</v>
      </c>
    </row>
    <row r="49" spans="1:12" ht="11.25">
      <c r="A49" s="15" t="s">
        <v>29</v>
      </c>
      <c r="B49" s="16">
        <v>1</v>
      </c>
      <c r="C49" s="16">
        <v>1</v>
      </c>
      <c r="D49" s="16">
        <v>1</v>
      </c>
      <c r="E49" s="16">
        <v>1</v>
      </c>
      <c r="F49" s="16">
        <v>1</v>
      </c>
      <c r="G49" s="16">
        <v>2</v>
      </c>
      <c r="H49" s="16">
        <v>3</v>
      </c>
      <c r="I49" s="16">
        <v>2</v>
      </c>
      <c r="J49" s="16">
        <v>1</v>
      </c>
      <c r="K49" s="16">
        <v>1</v>
      </c>
      <c r="L49" s="16">
        <v>1</v>
      </c>
    </row>
    <row r="52" ht="11.25">
      <c r="A52" s="15"/>
    </row>
    <row r="53" spans="1:9" ht="11.25">
      <c r="A53" s="23" t="s">
        <v>2</v>
      </c>
      <c r="B53" s="25" t="s">
        <v>30</v>
      </c>
      <c r="C53" s="26"/>
      <c r="D53" s="25" t="s">
        <v>31</v>
      </c>
      <c r="E53" s="27"/>
      <c r="F53" s="27"/>
      <c r="G53" s="25" t="s">
        <v>44</v>
      </c>
      <c r="H53" s="27"/>
      <c r="I53" s="27"/>
    </row>
    <row r="54" spans="1:9" ht="22.5">
      <c r="A54" s="24"/>
      <c r="B54" s="6" t="s">
        <v>32</v>
      </c>
      <c r="C54" s="6" t="s">
        <v>33</v>
      </c>
      <c r="D54" s="17" t="s">
        <v>34</v>
      </c>
      <c r="E54" s="17" t="s">
        <v>35</v>
      </c>
      <c r="F54" s="6" t="s">
        <v>36</v>
      </c>
      <c r="G54" s="6" t="s">
        <v>37</v>
      </c>
      <c r="H54" s="6" t="s">
        <v>38</v>
      </c>
      <c r="I54" s="6" t="s">
        <v>39</v>
      </c>
    </row>
    <row r="55" ht="11.25">
      <c r="A55" s="1" t="s">
        <v>17</v>
      </c>
    </row>
    <row r="56" spans="1:9" ht="11.25">
      <c r="A56" s="2" t="s">
        <v>19</v>
      </c>
      <c r="B56" s="2" t="s">
        <v>20</v>
      </c>
      <c r="C56" s="2" t="s">
        <v>20</v>
      </c>
      <c r="D56" s="2" t="s">
        <v>20</v>
      </c>
      <c r="E56" s="2" t="s">
        <v>20</v>
      </c>
      <c r="F56" s="2" t="s">
        <v>20</v>
      </c>
      <c r="G56" s="2" t="s">
        <v>20</v>
      </c>
      <c r="H56" s="2" t="s">
        <v>20</v>
      </c>
      <c r="I56" s="2" t="s">
        <v>20</v>
      </c>
    </row>
    <row r="57" spans="1:9" ht="11.25">
      <c r="A57" s="2" t="s">
        <v>21</v>
      </c>
      <c r="B57" s="14">
        <v>10802</v>
      </c>
      <c r="C57" s="14">
        <v>7235</v>
      </c>
      <c r="D57" s="14">
        <v>7843</v>
      </c>
      <c r="E57" s="14">
        <v>5608</v>
      </c>
      <c r="F57" s="14">
        <v>7440</v>
      </c>
      <c r="G57" s="14">
        <v>8754</v>
      </c>
      <c r="H57" s="14">
        <v>5396</v>
      </c>
      <c r="I57" s="14">
        <v>8486</v>
      </c>
    </row>
    <row r="58" spans="1:9" ht="11.25">
      <c r="A58" s="2" t="s">
        <v>22</v>
      </c>
      <c r="B58" s="9">
        <f>268*K77</f>
        <v>386.5150967297397</v>
      </c>
      <c r="C58" s="9">
        <f>300*K77</f>
        <v>432.66615305567876</v>
      </c>
      <c r="D58" s="9">
        <f>260*K77</f>
        <v>374.9773326482549</v>
      </c>
      <c r="E58" s="9">
        <f>213*K77</f>
        <v>307.1929686695319</v>
      </c>
      <c r="F58" s="9">
        <f>199*K77</f>
        <v>287.0018815269336</v>
      </c>
      <c r="G58" s="9">
        <f>280*K77</f>
        <v>403.82174285196686</v>
      </c>
      <c r="H58" s="9">
        <f>169*K77</f>
        <v>243.7352662213657</v>
      </c>
      <c r="I58" s="9">
        <f>265*K77</f>
        <v>382.1884351991829</v>
      </c>
    </row>
    <row r="59" spans="1:9" ht="11.25">
      <c r="A59" s="2" t="s">
        <v>23</v>
      </c>
      <c r="B59" s="9" t="s">
        <v>20</v>
      </c>
      <c r="C59" s="9" t="s">
        <v>20</v>
      </c>
      <c r="D59" s="9" t="s">
        <v>20</v>
      </c>
      <c r="E59" s="9" t="s">
        <v>20</v>
      </c>
      <c r="F59" s="9" t="s">
        <v>20</v>
      </c>
      <c r="G59" s="9" t="s">
        <v>20</v>
      </c>
      <c r="H59" s="9" t="s">
        <v>20</v>
      </c>
      <c r="I59" s="9" t="s">
        <v>20</v>
      </c>
    </row>
    <row r="60" spans="1:9" ht="11.25">
      <c r="A60" s="2" t="s">
        <v>21</v>
      </c>
      <c r="B60" s="9">
        <v>5928</v>
      </c>
      <c r="C60" s="9">
        <v>4530</v>
      </c>
      <c r="D60" s="9">
        <v>5590</v>
      </c>
      <c r="E60" s="9">
        <v>4656</v>
      </c>
      <c r="F60" s="9">
        <v>4837</v>
      </c>
      <c r="G60" s="9">
        <v>5294</v>
      </c>
      <c r="H60" s="9">
        <v>4439</v>
      </c>
      <c r="I60" s="9">
        <v>5639</v>
      </c>
    </row>
    <row r="61" spans="1:9" ht="11.25">
      <c r="A61" s="2" t="s">
        <v>22</v>
      </c>
      <c r="B61" s="9">
        <f>179*K77</f>
        <v>258.15747132322167</v>
      </c>
      <c r="C61" s="9">
        <f>202*K77</f>
        <v>291.3285430574904</v>
      </c>
      <c r="D61" s="9">
        <f>215*K77</f>
        <v>310.0774096899031</v>
      </c>
      <c r="E61" s="9">
        <f>188*K77</f>
        <v>271.13745591489203</v>
      </c>
      <c r="F61" s="9">
        <f>149*K77</f>
        <v>214.8908560176538</v>
      </c>
      <c r="G61" s="9">
        <f>193*K77</f>
        <v>278.34855846582</v>
      </c>
      <c r="H61" s="9">
        <f>159*K77</f>
        <v>229.31306111950974</v>
      </c>
      <c r="I61" s="9">
        <f>195*K77</f>
        <v>281.2329994861912</v>
      </c>
    </row>
    <row r="62" spans="1:9" ht="11.25">
      <c r="A62" s="2" t="s">
        <v>24</v>
      </c>
      <c r="B62" s="9" t="s">
        <v>20</v>
      </c>
      <c r="C62" s="9" t="s">
        <v>20</v>
      </c>
      <c r="D62" s="9" t="s">
        <v>20</v>
      </c>
      <c r="E62" s="9" t="s">
        <v>20</v>
      </c>
      <c r="F62" s="9" t="s">
        <v>20</v>
      </c>
      <c r="G62" s="9" t="s">
        <v>20</v>
      </c>
      <c r="H62" s="9" t="s">
        <v>20</v>
      </c>
      <c r="I62" s="9" t="s">
        <v>20</v>
      </c>
    </row>
    <row r="63" spans="1:9" ht="11.25">
      <c r="A63" s="2" t="s">
        <v>21</v>
      </c>
      <c r="B63" s="9">
        <v>6282</v>
      </c>
      <c r="C63" s="9">
        <v>2819</v>
      </c>
      <c r="D63" s="9">
        <v>3329</v>
      </c>
      <c r="E63" s="9">
        <v>2148</v>
      </c>
      <c r="F63" s="9">
        <v>4006</v>
      </c>
      <c r="G63" s="9">
        <v>4322</v>
      </c>
      <c r="H63" s="9">
        <v>2337</v>
      </c>
      <c r="I63" s="9">
        <v>4138</v>
      </c>
    </row>
    <row r="64" spans="1:9" ht="11.25">
      <c r="A64" s="2" t="s">
        <v>22</v>
      </c>
      <c r="B64" s="9">
        <f>334*K77</f>
        <v>481.701650401989</v>
      </c>
      <c r="C64" s="9">
        <f>356*K77</f>
        <v>513.4305016260721</v>
      </c>
      <c r="D64" s="9">
        <f>335*K77</f>
        <v>483.1438709121746</v>
      </c>
      <c r="E64" s="9">
        <f>283*K77</f>
        <v>408.1484043825236</v>
      </c>
      <c r="F64" s="9">
        <f>271*K77</f>
        <v>390.84175826029644</v>
      </c>
      <c r="G64" s="9">
        <f>358*K77</f>
        <v>516.3149426464433</v>
      </c>
      <c r="H64" s="9">
        <f>249*K77</f>
        <v>359.11290703621336</v>
      </c>
      <c r="I64" s="9">
        <f>327*K77</f>
        <v>471.60610683068984</v>
      </c>
    </row>
    <row r="65" ht="22.5">
      <c r="A65" s="11" t="s">
        <v>25</v>
      </c>
    </row>
    <row r="66" spans="1:9" ht="11.25">
      <c r="A66" s="2" t="s">
        <v>21</v>
      </c>
      <c r="B66" s="12">
        <v>34</v>
      </c>
      <c r="C66" s="12">
        <v>36</v>
      </c>
      <c r="D66" s="12">
        <v>40</v>
      </c>
      <c r="E66" s="12">
        <v>38</v>
      </c>
      <c r="F66" s="12">
        <v>32</v>
      </c>
      <c r="G66" s="12">
        <v>35</v>
      </c>
      <c r="H66" s="12">
        <v>36</v>
      </c>
      <c r="I66" s="12">
        <v>37</v>
      </c>
    </row>
    <row r="67" spans="1:9" ht="11.25">
      <c r="A67" s="2" t="s">
        <v>22</v>
      </c>
      <c r="B67" s="12">
        <v>1</v>
      </c>
      <c r="C67" s="12">
        <v>1</v>
      </c>
      <c r="D67" s="12">
        <v>1</v>
      </c>
      <c r="E67" s="12">
        <v>1</v>
      </c>
      <c r="F67" s="12">
        <v>1</v>
      </c>
      <c r="G67" s="12">
        <v>1</v>
      </c>
      <c r="H67" s="12">
        <v>1</v>
      </c>
      <c r="I67" s="12">
        <v>1</v>
      </c>
    </row>
    <row r="68" ht="11.25">
      <c r="A68" s="2" t="s">
        <v>26</v>
      </c>
    </row>
    <row r="69" ht="11.25">
      <c r="A69" s="2" t="s">
        <v>19</v>
      </c>
    </row>
    <row r="70" spans="1:9" ht="11.25">
      <c r="A70" s="2" t="s">
        <v>21</v>
      </c>
      <c r="B70" s="14">
        <v>8791</v>
      </c>
      <c r="C70" s="14">
        <v>7099</v>
      </c>
      <c r="D70" s="14">
        <v>6205</v>
      </c>
      <c r="E70" s="14">
        <v>4214</v>
      </c>
      <c r="F70" s="14">
        <v>6016</v>
      </c>
      <c r="G70" s="14">
        <v>7738</v>
      </c>
      <c r="H70" s="14">
        <v>3927</v>
      </c>
      <c r="I70" s="14">
        <v>6769</v>
      </c>
    </row>
    <row r="71" spans="1:9" ht="11.25">
      <c r="A71" s="2" t="s">
        <v>22</v>
      </c>
      <c r="B71" s="9">
        <f>394*K77</f>
        <v>568.2348810131248</v>
      </c>
      <c r="C71" s="9">
        <f>488*K77</f>
        <v>703.8036089705707</v>
      </c>
      <c r="D71" s="9">
        <f>364*K77</f>
        <v>524.9682657075568</v>
      </c>
      <c r="E71" s="9">
        <f>278*K77</f>
        <v>400.9373018315956</v>
      </c>
      <c r="F71" s="9">
        <f>255*K77</f>
        <v>367.7662300973269</v>
      </c>
      <c r="G71" s="9">
        <f>407*K77</f>
        <v>586.9837476455375</v>
      </c>
      <c r="H71" s="9">
        <f>194*K77</f>
        <v>279.7907789760056</v>
      </c>
      <c r="I71" s="9">
        <f>374*K77</f>
        <v>539.3904708094128</v>
      </c>
    </row>
    <row r="72" ht="11.25">
      <c r="A72" s="2" t="s">
        <v>23</v>
      </c>
    </row>
    <row r="73" spans="1:9" ht="11.25">
      <c r="A73" s="2" t="s">
        <v>21</v>
      </c>
      <c r="B73" s="13" t="s">
        <v>27</v>
      </c>
      <c r="C73" s="13" t="s">
        <v>27</v>
      </c>
      <c r="D73" s="13" t="s">
        <v>27</v>
      </c>
      <c r="E73" s="13" t="s">
        <v>27</v>
      </c>
      <c r="F73" s="13" t="s">
        <v>27</v>
      </c>
      <c r="G73" s="13" t="s">
        <v>27</v>
      </c>
      <c r="H73" s="13" t="s">
        <v>27</v>
      </c>
      <c r="I73" s="13" t="s">
        <v>27</v>
      </c>
    </row>
    <row r="74" spans="1:9" ht="11.25">
      <c r="A74" s="2" t="s">
        <v>22</v>
      </c>
      <c r="B74" s="13" t="s">
        <v>27</v>
      </c>
      <c r="C74" s="13" t="s">
        <v>27</v>
      </c>
      <c r="D74" s="13" t="s">
        <v>27</v>
      </c>
      <c r="E74" s="13" t="s">
        <v>27</v>
      </c>
      <c r="F74" s="13" t="s">
        <v>27</v>
      </c>
      <c r="G74" s="13" t="s">
        <v>27</v>
      </c>
      <c r="H74" s="13" t="s">
        <v>27</v>
      </c>
      <c r="I74" s="13" t="s">
        <v>27</v>
      </c>
    </row>
    <row r="75" ht="11.25">
      <c r="A75" s="2" t="s">
        <v>24</v>
      </c>
    </row>
    <row r="76" spans="1:9" ht="11.25">
      <c r="A76" s="2" t="s">
        <v>21</v>
      </c>
      <c r="B76" s="14">
        <v>8791</v>
      </c>
      <c r="C76" s="14">
        <v>7099</v>
      </c>
      <c r="D76" s="14">
        <v>6205</v>
      </c>
      <c r="E76" s="14">
        <v>4214</v>
      </c>
      <c r="F76" s="14">
        <v>6016</v>
      </c>
      <c r="G76" s="14">
        <v>7738</v>
      </c>
      <c r="H76" s="14">
        <v>3927</v>
      </c>
      <c r="I76" s="14">
        <v>6769</v>
      </c>
    </row>
    <row r="77" spans="1:11" ht="11.25">
      <c r="A77" s="2" t="s">
        <v>22</v>
      </c>
      <c r="B77" s="9">
        <f>394*K77</f>
        <v>568.2348810131248</v>
      </c>
      <c r="C77" s="9">
        <f>488*K77</f>
        <v>703.8036089705707</v>
      </c>
      <c r="D77" s="9">
        <f>364*K77</f>
        <v>524.9682657075568</v>
      </c>
      <c r="E77" s="9">
        <f>278*K77</f>
        <v>400.9373018315956</v>
      </c>
      <c r="F77" s="9">
        <f>255*K77</f>
        <v>367.7662300973269</v>
      </c>
      <c r="G77" s="9">
        <f>407*K77</f>
        <v>586.9837476455375</v>
      </c>
      <c r="H77" s="9">
        <f>194*K77</f>
        <v>279.7907789760056</v>
      </c>
      <c r="I77" s="9">
        <f>374*K77</f>
        <v>539.3904708094128</v>
      </c>
      <c r="K77" s="1">
        <f>SQRT(2.08)</f>
        <v>1.4422205101855958</v>
      </c>
    </row>
    <row r="78" ht="22.5">
      <c r="A78" s="11" t="s">
        <v>25</v>
      </c>
    </row>
    <row r="79" spans="1:9" ht="11.25">
      <c r="A79" s="2" t="s">
        <v>21</v>
      </c>
      <c r="B79" s="13" t="s">
        <v>27</v>
      </c>
      <c r="C79" s="13" t="s">
        <v>27</v>
      </c>
      <c r="D79" s="13" t="s">
        <v>27</v>
      </c>
      <c r="E79" s="13" t="s">
        <v>27</v>
      </c>
      <c r="F79" s="13" t="s">
        <v>27</v>
      </c>
      <c r="G79" s="13" t="s">
        <v>27</v>
      </c>
      <c r="H79" s="13" t="s">
        <v>27</v>
      </c>
      <c r="I79" s="13" t="s">
        <v>27</v>
      </c>
    </row>
    <row r="80" spans="1:9" ht="11.25">
      <c r="A80" s="2" t="s">
        <v>22</v>
      </c>
      <c r="B80" s="13" t="s">
        <v>27</v>
      </c>
      <c r="C80" s="13" t="s">
        <v>27</v>
      </c>
      <c r="D80" s="13" t="s">
        <v>27</v>
      </c>
      <c r="E80" s="13" t="s">
        <v>27</v>
      </c>
      <c r="F80" s="13" t="s">
        <v>27</v>
      </c>
      <c r="G80" s="13" t="s">
        <v>27</v>
      </c>
      <c r="H80" s="13" t="s">
        <v>27</v>
      </c>
      <c r="I80" s="13" t="s">
        <v>27</v>
      </c>
    </row>
    <row r="81" ht="11.25">
      <c r="A81" s="2" t="s">
        <v>28</v>
      </c>
    </row>
    <row r="82" ht="11.25">
      <c r="A82" s="2" t="s">
        <v>19</v>
      </c>
    </row>
    <row r="83" spans="1:9" ht="11.25">
      <c r="A83" s="2" t="s">
        <v>21</v>
      </c>
      <c r="B83" s="14">
        <v>12210</v>
      </c>
      <c r="C83" s="14">
        <v>7349</v>
      </c>
      <c r="D83" s="14">
        <v>8919</v>
      </c>
      <c r="E83" s="14">
        <v>6804</v>
      </c>
      <c r="F83" s="14">
        <v>8843</v>
      </c>
      <c r="G83" s="14">
        <v>9617</v>
      </c>
      <c r="H83" s="14">
        <v>6776</v>
      </c>
      <c r="I83" s="14">
        <v>9777</v>
      </c>
    </row>
    <row r="84" spans="1:9" ht="11.25">
      <c r="A84" s="2" t="s">
        <v>22</v>
      </c>
      <c r="B84" s="9">
        <f>354*K77</f>
        <v>510.5460606057009</v>
      </c>
      <c r="C84" s="9">
        <f>372*K77</f>
        <v>536.5060297890417</v>
      </c>
      <c r="D84" s="9">
        <f>352*K77</f>
        <v>507.66161958532973</v>
      </c>
      <c r="E84" s="9">
        <f>308*K77</f>
        <v>444.2039171371635</v>
      </c>
      <c r="F84" s="9">
        <f>300*K77</f>
        <v>432.66615305567876</v>
      </c>
      <c r="G84" s="9">
        <f>382*K77</f>
        <v>550.9282348908976</v>
      </c>
      <c r="H84" s="9">
        <f>267*K77</f>
        <v>385.0728762195541</v>
      </c>
      <c r="I84" s="9">
        <f>362*K77</f>
        <v>522.0838246871857</v>
      </c>
    </row>
    <row r="85" spans="1:9" ht="11.25">
      <c r="A85" s="2" t="s">
        <v>23</v>
      </c>
      <c r="B85" s="9" t="s">
        <v>20</v>
      </c>
      <c r="C85" s="9" t="s">
        <v>20</v>
      </c>
      <c r="D85" s="9" t="s">
        <v>20</v>
      </c>
      <c r="E85" s="9" t="s">
        <v>20</v>
      </c>
      <c r="F85" s="9" t="s">
        <v>20</v>
      </c>
      <c r="G85" s="9" t="s">
        <v>20</v>
      </c>
      <c r="H85" s="9" t="s">
        <v>20</v>
      </c>
      <c r="I85" s="9"/>
    </row>
    <row r="86" spans="1:9" ht="11.25">
      <c r="A86" s="2" t="s">
        <v>21</v>
      </c>
      <c r="B86" s="9">
        <v>5928</v>
      </c>
      <c r="C86" s="9">
        <v>4530</v>
      </c>
      <c r="D86" s="9">
        <v>5590</v>
      </c>
      <c r="E86" s="9">
        <v>4656</v>
      </c>
      <c r="F86" s="9">
        <v>4837</v>
      </c>
      <c r="G86" s="9">
        <v>5294</v>
      </c>
      <c r="H86" s="9">
        <v>4439</v>
      </c>
      <c r="I86" s="9">
        <v>5639</v>
      </c>
    </row>
    <row r="87" spans="1:9" ht="11.25">
      <c r="A87" s="2" t="s">
        <v>22</v>
      </c>
      <c r="B87" s="9">
        <f>179*K77</f>
        <v>258.15747132322167</v>
      </c>
      <c r="C87" s="9">
        <f>202*K77</f>
        <v>291.3285430574904</v>
      </c>
      <c r="D87" s="9">
        <f>215*K77</f>
        <v>310.0774096899031</v>
      </c>
      <c r="E87" s="9">
        <f>188*K77</f>
        <v>271.13745591489203</v>
      </c>
      <c r="F87" s="9">
        <f>149*K77</f>
        <v>214.8908560176538</v>
      </c>
      <c r="G87" s="9">
        <f>193*K77</f>
        <v>278.34855846582</v>
      </c>
      <c r="H87" s="9">
        <f>159*K77</f>
        <v>229.31306111950974</v>
      </c>
      <c r="I87" s="9">
        <f>195*K77</f>
        <v>281.2329994861912</v>
      </c>
    </row>
    <row r="88" spans="1:9" ht="11.25">
      <c r="A88" s="2" t="s">
        <v>24</v>
      </c>
      <c r="B88" s="9" t="s">
        <v>20</v>
      </c>
      <c r="C88" s="9" t="s">
        <v>20</v>
      </c>
      <c r="D88" s="9" t="s">
        <v>20</v>
      </c>
      <c r="E88" s="9" t="s">
        <v>20</v>
      </c>
      <c r="F88" s="9" t="s">
        <v>20</v>
      </c>
      <c r="G88" s="9" t="s">
        <v>20</v>
      </c>
      <c r="H88" s="9" t="s">
        <v>20</v>
      </c>
      <c r="I88" s="9" t="s">
        <v>20</v>
      </c>
    </row>
    <row r="89" spans="1:9" ht="11.25">
      <c r="A89" s="2" t="s">
        <v>21</v>
      </c>
      <c r="B89" s="9">
        <v>6282</v>
      </c>
      <c r="C89" s="9">
        <v>2819</v>
      </c>
      <c r="D89" s="9">
        <v>3329</v>
      </c>
      <c r="E89" s="9">
        <v>2148</v>
      </c>
      <c r="F89" s="9">
        <v>4006</v>
      </c>
      <c r="G89" s="9">
        <v>4322</v>
      </c>
      <c r="H89" s="9">
        <v>2337</v>
      </c>
      <c r="I89" s="9">
        <v>4138</v>
      </c>
    </row>
    <row r="90" spans="1:9" ht="11.25">
      <c r="A90" s="2" t="s">
        <v>22</v>
      </c>
      <c r="B90" s="9">
        <f>334*K77</f>
        <v>481.701650401989</v>
      </c>
      <c r="C90" s="9">
        <f>356*K77</f>
        <v>513.4305016260721</v>
      </c>
      <c r="D90" s="9">
        <f>335*K77</f>
        <v>483.1438709121746</v>
      </c>
      <c r="E90" s="9">
        <f>283*K77</f>
        <v>408.1484043825236</v>
      </c>
      <c r="F90" s="9">
        <f>271*K77</f>
        <v>390.84175826029644</v>
      </c>
      <c r="G90" s="9">
        <f>358*K77</f>
        <v>516.3149426464433</v>
      </c>
      <c r="H90" s="9">
        <f>249*K77</f>
        <v>359.11290703621336</v>
      </c>
      <c r="I90" s="9">
        <f>327*K77</f>
        <v>471.60610683068984</v>
      </c>
    </row>
    <row r="91" ht="22.5">
      <c r="A91" s="11" t="s">
        <v>25</v>
      </c>
    </row>
    <row r="92" spans="1:9" ht="11.25">
      <c r="A92" s="2" t="s">
        <v>21</v>
      </c>
      <c r="B92" s="12">
        <v>58</v>
      </c>
      <c r="C92" s="12">
        <v>66</v>
      </c>
      <c r="D92" s="12">
        <v>67</v>
      </c>
      <c r="E92" s="12">
        <v>71</v>
      </c>
      <c r="F92" s="12">
        <v>64</v>
      </c>
      <c r="G92" s="12">
        <v>64</v>
      </c>
      <c r="H92" s="12">
        <v>69</v>
      </c>
      <c r="I92" s="12">
        <v>65</v>
      </c>
    </row>
    <row r="93" spans="1:9" ht="11.25">
      <c r="A93" s="15" t="s">
        <v>29</v>
      </c>
      <c r="B93" s="16">
        <v>1</v>
      </c>
      <c r="C93" s="16">
        <v>2</v>
      </c>
      <c r="D93" s="16">
        <v>1</v>
      </c>
      <c r="E93" s="16">
        <v>1</v>
      </c>
      <c r="F93" s="16">
        <v>1</v>
      </c>
      <c r="G93" s="16">
        <v>1</v>
      </c>
      <c r="H93" s="16">
        <v>1</v>
      </c>
      <c r="I93" s="16">
        <v>1</v>
      </c>
    </row>
    <row r="94" ht="11.25">
      <c r="A94" s="1" t="s">
        <v>40</v>
      </c>
    </row>
    <row r="95" ht="11.25">
      <c r="A95" s="18" t="s">
        <v>41</v>
      </c>
    </row>
    <row r="96" ht="11.25">
      <c r="A96" s="19" t="s">
        <v>42</v>
      </c>
    </row>
    <row r="97" ht="11.25">
      <c r="A97" s="4" t="s">
        <v>43</v>
      </c>
    </row>
  </sheetData>
  <mergeCells count="9">
    <mergeCell ref="A3:L3"/>
    <mergeCell ref="A8:A9"/>
    <mergeCell ref="C8:D8"/>
    <mergeCell ref="E8:I8"/>
    <mergeCell ref="J8:L8"/>
    <mergeCell ref="A53:A54"/>
    <mergeCell ref="B53:C53"/>
    <mergeCell ref="D53:F53"/>
    <mergeCell ref="G53:I53"/>
  </mergeCells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6a.  All Students: Average Cost, Aid, Net Cost, and Percent of Cost Covered by Sex, Race, Hispanic Origin, Age, Dependency Status, Labor Force Status,</dc:title>
  <dc:subject/>
  <dc:creator>U.S. Census Bureau - Population Division</dc:creator>
  <cp:keywords/>
  <dc:description/>
  <cp:lastModifiedBy>creec001</cp:lastModifiedBy>
  <dcterms:created xsi:type="dcterms:W3CDTF">2005-07-15T15:29:32Z</dcterms:created>
  <dcterms:modified xsi:type="dcterms:W3CDTF">2006-08-23T14:17:12Z</dcterms:modified>
  <cp:category/>
  <cp:version/>
  <cp:contentType/>
  <cp:contentStatus/>
</cp:coreProperties>
</file>