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of-new-5-64-64-ALL" sheetId="1" r:id="rId1"/>
  </sheets>
  <definedNames/>
  <calcPr fullCalcOnLoad="1"/>
</workbook>
</file>

<file path=xl/sharedStrings.xml><?xml version="1.0" encoding="utf-8"?>
<sst xmlns="http://schemas.openxmlformats.org/spreadsheetml/2006/main" count="8480" uniqueCount="1692">
  <si>
    <t>negative regulation of cell proliferation||regulation of cell proliferation||regulation of cellular physiological process||regulation of physiological process||regulation of biological process||biological_process</t>
  </si>
  <si>
    <t>GO:0008285</t>
  </si>
  <si>
    <t>Nucleotide transport and metabolism</t>
  </si>
  <si>
    <t>NDK 9e-019| COG4857 |</t>
  </si>
  <si>
    <t>gi|39589196</t>
  </si>
  <si>
    <t>Caenorhabditis briggsae</t>
  </si>
  <si>
    <t xml:space="preserve">HYPOTHETICAL CAENORHABDITIS BRIGGSAE </t>
  </si>
  <si>
    <t>gi|90819984</t>
  </si>
  <si>
    <t xml:space="preserve">PUTATIVE TRANSLATIONALLY CONTROLLED TUMOR GRAPHOCEPHALA ATROPUNCTATA SIMILAR TO CG4800-PA TRIBOLIUM CASTANEUM BOMBYX MORI TCTP_BOMMO TRANSLATIONALLY-CONTROLLED HOMOLOG TCTP BMTCTP TCTP_DROPS DROSOPHILA PSEUDOOBSCURA MELANOGASTER Q9VGS2 TCTP_DROME MICROTUBULE-BINDING ANOPHELES FUNESTUS MICROTUBULE BINDING Q6XIN1 TCTP_DROYA YAKUBA GAMBIAE STR. PEST Q7QCK2 TCTP_ANOGA TCTP_AEDAE AEDES AEGYPTI Q5MIP6 TCTP_AEDAL ALBOPICTUS Q5MGM6 TCTP_LONON HYPOTHETICAL 6 LONOMIA OBLIQUA TCTP_PLUXY PLUTELLA XYLOSTELLA ISOFORM 1 APIS MELLIFERA TIGRIOPUS JAPONICUS FENNEROPENAEUS MERGUIENSIS PENAEUS MONODON SCYLLA SP. TCTP_BRABE BRANCHIOSTOMA BELCHERI Q4PLZ3 TCTP_IXOSC IXODES SCAPULARIS YARROWIA LIPOLYTICA TCTP_YARLI UNNAMED PRODUCT CLIB122 IGE-DEPENDENT HISTAMINE RELEASE FACTOR DERMACENTOR VARIABILIS IGE DEPENDENT ANDERSONI KLUYVEROMYCES LACTIS Q6CTH3 TCTP_KLULA Y 1140 </t>
  </si>
  <si>
    <t>Translationally controlled tumor protein - cytoplasm</t>
  </si>
  <si>
    <t>calcium ion binding||metal ion binding||ion binding||binding||molecular_function</t>
  </si>
  <si>
    <t>GO:0005509</t>
  </si>
  <si>
    <t>cytoplasm||intracellular part||cell part||cellular_component</t>
  </si>
  <si>
    <t>GO:0005737</t>
  </si>
  <si>
    <t>anti-apoptosis||negative regulation of apoptosis||regulation of apoptosis||regulation of programmed cell death||regulation of cellular physiological process||regulation of physiological process||regulation of biological process||biological_process</t>
  </si>
  <si>
    <t>GO:0006916</t>
  </si>
  <si>
    <t>TCTP 1e-017| TRX_family 0.078| Pex24p |</t>
  </si>
  <si>
    <t>gi|16131110</t>
  </si>
  <si>
    <t>Escherichia coli W3110</t>
  </si>
  <si>
    <t xml:space="preserve">HYPOTHETICAL ESCHERICHIA COLI K12 YHCG_ECOLI YHCG ORF_O375 CONSERVED INTEGRAL MEMBRANE DOMAIN STAPHYLOCOCCUS AUREUS SUBSP. PROBABLE TRANSPORT TRANSPORTER DRUG METABOLITE EXPORTER FAMILY MU50 COL SAOUHSC_00062 UNKNOWN FUNCTION DUF6 TRANSMEMBRANE JH1 </t>
  </si>
  <si>
    <t>gi|110671498</t>
  </si>
  <si>
    <t xml:space="preserve">PUTATIVE RIBOSOMAL L17 DIAPHORINA CITRI BOMBYX MORI ANOPHELES GAMBIAE STR. PEST 31 LONOMIA OBLIQUA AEDES ALBOPICTUS ISOFORM B LYSIPHLEBUS TESTACEIPES AEGYPTI SIMILAR TO DROSOPHILA MELANOGASTER YAKUBA CG3203-PD D APIS MELLIFERA CG3203-PA CG3203-PB CG3203-PC PSEUDOOBSCURA A ARGAS MONOLAKENSIS IXODES SCAPULARIS RPL17 MUSCULUS MUS Q9CPR4 RL17_MOUSE UNNAMED PRODUCT RATTUS NORVEGICUS 60S L23 AMINO ACID STARVATION-INDUCED ASI GALLUS 3 BOS TAURUS HYPOTHETICAL TAENIOPYGIA GUTTATA RL17_RAT RL17_BOVIN STARVATION INDUCED MACACA FASCICULARIS HOMO SAPIENS PAN TROGLODYTES 1 CANIS FAMILIARIS MULATTA XENOPUS LAEVIS 2 TROPICALIS </t>
  </si>
  <si>
    <t>Ribosomal protein L17 - structural constituent of ribosome - cytosolic large ribosomal subunit (sensu Eukaryota) - protein biosynthesis</t>
  </si>
  <si>
    <t>Ribosomal_L22 3e-033| Ribosomal_L22 1e-028| VRG4 | COG5628 |</t>
  </si>
  <si>
    <t>gi|115765036</t>
  </si>
  <si>
    <t xml:space="preserve">SIMILAR TO VON HIPPEL-LINDAU DISEASE TUMOR SUPPRESSOR PUTATIVE STRONGYLOCENTROTUS PURPURATUS HIPPEL LINDAU TRIBOLIUM CASTANEUM </t>
  </si>
  <si>
    <t>CRM1 | VHL |</t>
  </si>
  <si>
    <t>gi|68697265</t>
  </si>
  <si>
    <t xml:space="preserve">SIGNAL SEQUENCE RECEPTOR ANOPHELES GAMBIAE BOMBYX MORI SIMILAR TO TRIBOLIUM CASTANEUM LETHAL 1 MELLIFERA DROSOPHILA MELANOGASTER PSEUDOOBSCURA STR. PEST XENOPUS LAEVIS SSR1-PROV TROPICALIS SSR1 PROV ALPHA MUS MUSCULUS TRANSLOCON-ASSOCIATED MUSCLE SPECIFIC ISOFORM TRANSLOCON ASSOCIATED SSRA_PONPY SUBUNIT PRECURSOR TRAP-ALPHA SSR-ALPHA HYPOTHETICAL PONGO PYGMAEUS TRAP SSR PARTIAL BOS TAURUS 7 MACACA MULATTA UNNAMED PRODUCT FASCICULARIS DANIO RERIO HOMOLOG TETRAODON NIGROVIRIDIS GALLUS SSRA_MOUSE 2 HOMO SAPIENS </t>
  </si>
  <si>
    <t>lethal (1) G0320 - signal sequence binding - signal recognition particle receptor complex</t>
  </si>
  <si>
    <t>signal sequence binding||peptide binding||binding||molecular_function</t>
  </si>
  <si>
    <t>GO:0005048</t>
  </si>
  <si>
    <t>endoplasmic reticulum||intracellular membrane-bound organelle||membrane-bound organelle||organelle||cellular_component</t>
  </si>
  <si>
    <t>GO:0005783</t>
  </si>
  <si>
    <t>cotranslational protein targeting to membrane||protein targeting to membrane||protein targeting||intracellular protein transport||protein transport||asymmetric protein localization||protein localization||localization||physiological process||biological_process</t>
  </si>
  <si>
    <t>GO:0006613</t>
  </si>
  <si>
    <t>TRAP_alpha 5e-024| TadB 0.056| Ribonuclease_BN | GATase1_CTP_Synthase | HS2ST | COG3571 |</t>
  </si>
  <si>
    <t>Posttranslational modification, protein turnover, chaperones, Signal transduction mechanisms</t>
  </si>
  <si>
    <t>gi|15921360</t>
  </si>
  <si>
    <t>Sulfolobus tokodaii str. 7</t>
  </si>
  <si>
    <t xml:space="preserve">HYPOTHETICAL ABC TRANSPORTER PERMEASE SULFOLOBUS TOKODAII STR. 7 DDBDRAFT_0218892 DICTYOSTELIUM DISCOIDEUM AX4 </t>
  </si>
  <si>
    <t>Gaa1 0.091| EII-GUT | YbiR_permease | COG3469 | DltB |</t>
  </si>
  <si>
    <t>gi|40458411</t>
  </si>
  <si>
    <t>Vargula hilgendorfii</t>
  </si>
  <si>
    <t xml:space="preserve">DEHYDROGENASE SUBUNIT 5 VARGULA HILGENDORFII </t>
  </si>
  <si>
    <t>DUF609 |</t>
  </si>
  <si>
    <t>gi|108871878</t>
  </si>
  <si>
    <t xml:space="preserve">CONSERVED HYPOTHETICAL AEDES AEGYPTI RIBOSOMAL L6 MESOSTIGMA VIRIDE SULFOLOBUS SOLFATARICUS P2 RMS5_PENUR MITOCHONDRIAL S5 PENICILLIUM URTICAE O-ANTIGEN POLYMERASE ROSEIFLEXUS SP. RS-1 ANTIGEN RS 1 BACILLUS CEREUS ATCC PLASMODIUM FALCIPARUM 3D7 UNKNOWN ACANTHAMOEBA POLYPHAGA MIMIVIRUS Q5UPF7 YL077_MIMIV UNCHARACTERIZED L77 CLOSTRIDIUM TETANI E88 </t>
  </si>
  <si>
    <t>COG2152 | FlaJ | SecY |</t>
  </si>
  <si>
    <t>gi|6166259</t>
  </si>
  <si>
    <t>Agapostemon kohliellus</t>
  </si>
  <si>
    <t xml:space="preserve">CYTOCHROME OXIDASE I AGAPOSTEMON KOHLIELLUS WD-REPEAT MEMBRANE CRYPTOSPORIDIUM HOMINIS REPEAT TRANSDUCIN ORTHOLOG WITH WD40 REPEATS PARVUM HYPOTHETICAL PLASMODIUM YOELII STR. 17XNL FAMILY PUTATIVE </t>
  </si>
  <si>
    <t>7tm_5 | EIID-AGA | UbiA | PckA | COG4652 |</t>
  </si>
  <si>
    <t>gi|116131573</t>
  </si>
  <si>
    <t>Transcripts of unknown function</t>
  </si>
  <si>
    <t>Transcripts possibly associated with secreted products</t>
  </si>
  <si>
    <t>Transcripts possibly associated with housekeeping products</t>
  </si>
  <si>
    <t>Transcript possibly associated withtransposable element</t>
  </si>
  <si>
    <t>Low complexity products possibly truncated</t>
  </si>
  <si>
    <t xml:space="preserve">Low complexity products  </t>
  </si>
  <si>
    <t>Ser Ala repeat salivary secreted protein</t>
  </si>
  <si>
    <t>Protease inhibitors</t>
  </si>
  <si>
    <t>Other putative secreted polypeptides</t>
  </si>
  <si>
    <t>Enzymes</t>
  </si>
  <si>
    <t>Serine rich protein</t>
  </si>
  <si>
    <t>s/ser rich</t>
  </si>
  <si>
    <t>Other transcripts of unknown function</t>
  </si>
  <si>
    <t>Possible antimicrobial peptides</t>
  </si>
  <si>
    <t>Coding for conserved hypothetical proteins</t>
  </si>
  <si>
    <t>Transporters</t>
  </si>
  <si>
    <t>Transcription machinery</t>
  </si>
  <si>
    <t>Transcription factor</t>
  </si>
  <si>
    <t>Signal transduction</t>
  </si>
  <si>
    <t>Protein synthesis</t>
  </si>
  <si>
    <t>Proteasome machinery</t>
  </si>
  <si>
    <t>Protein modification</t>
  </si>
  <si>
    <t>Protein exporting machinery</t>
  </si>
  <si>
    <t>Nuclear regulation</t>
  </si>
  <si>
    <t>Nucleic acid metabolism</t>
  </si>
  <si>
    <t>Intermediate metabolism</t>
  </si>
  <si>
    <t>Amino acid metabolism</t>
  </si>
  <si>
    <t>Energy metabolism</t>
  </si>
  <si>
    <t xml:space="preserve">HYPOTHETICAL TOXOPLASMA GONDII RH PLASMODIUM BERGHEI STRAIN ANKA CAENORHABDITIS BRIGGSAE SIMILAR TO HBXAG TRANSACTIVATED 2 RATTUS NORVEGICUS TETRAHYMENA THERMOPHILA ODORANT RECEPTOR 49A DROSOPHILA MELANOGASTER OR49A_DROME PUTATIVE EUKARYOTIC INITIATION FACTOR-2 ALPHA KINASE-A FACTOR KINASE A GGDEF-DOMAIN CONTAINING BACILLUS LICHENIFORMIS ATCC GGDEF DOMAIN TRYPANOSOMA BRUCEI TREU927 UNLIKELY HISTIDINE THIOMICROSPIRA DENITRIFICANS LISTERIA MONOCYTOGENES STR. 1 2A CG4266-PA TRIBOLIUM CASTANEUM HEXAMERIN 70B APIS MELLIFERA UNNAMED PRODUCT TETRAODON NIGROVIRIDIS PARTIAL MACACA MULATTA CRYPTOSPORIDIUM HOMINIS RNA HELICASE ARABIDOPSIS THALIANA CONSERVED LEISHMANIA MAJOR BINDING ATP-DEPENDENT NUCLEIC ACID RH45_ARATH PROBABLE DEAD-BOX 45 DEPENDENT DEAD BOX YOELII 17XNL VIRULENCE MVIN BORRELIA AFZELII PKO BURGDORFERI B31 MVIN_BORBU HOMOLOG </t>
  </si>
  <si>
    <t>Odorant receptor 49a - olfactory receptor activity - sensory perception of smell - integral to membrane</t>
  </si>
  <si>
    <t>olfactory receptor activity||rhodopsin-like receptor activity||G-protein coupled receptor activity||transmembrane receptor activity||receptor activity||signal transducer activity||molecular_function</t>
  </si>
  <si>
    <t>GO:0004984</t>
  </si>
  <si>
    <t>integral to membrane||intrinsic to membrane||membrane part||cell part||cellular_component</t>
  </si>
  <si>
    <t>GO:0016021</t>
  </si>
  <si>
    <t>sensory perception of smell||sensory perception of chemical stimulus||sensory perception||response to stimulus||biological_process</t>
  </si>
  <si>
    <t>GO:0007608</t>
  </si>
  <si>
    <t>STT3 0.031| PAP2 0.032| DUF32 0.034| Glyco_hydro_1 0.047| UgpE 0.073| 7tm_5 | PAP2_BcrC_like | TLC | COG3936 | COG1822 |</t>
  </si>
  <si>
    <t>Rep_1 | HSR1_MMR1 |</t>
  </si>
  <si>
    <t>gi|85118821</t>
  </si>
  <si>
    <t xml:space="preserve">HYPOTHETICAL NEUROSPORA CRASSA OR74A PUTATIVE TRANSPOSASE 5'-PARTIAL ORYZA SATIVA JAPONICA CULTIVAR-GROUP 5' PARTIAL CULTIVAR GROUP CONSERVED 3-HYDROXYBUTYRYL-COA SULFOLOBUS ACIDOCALDARIUS DSM 639 HYDROXYBUTYRYL-COA HYDROXYBUTYRYL COA PEPSY-ASSOCIATED TM HELIX PSEUDOALTEROMONAS ATLANTICA T6C PEPSY ASSOCIATED </t>
  </si>
  <si>
    <t>TagG 0.048| DER1 | COG4906 | CydA | UPF0073 | COG4420 | PAP2_containing_1_like | ProW | CobD_Cbib |</t>
  </si>
  <si>
    <t>gi|16805294</t>
  </si>
  <si>
    <t xml:space="preserve">HYPOTHETICAL PLASMODIUM FALCIPARUM 3D7 3-HYDROXYBUTYRYL-COA DEHYDROGENASE CELLULOPHAGA SP. HYDROXYBUTYRYL-COA HYDROXYBUTYRYL COA 3-HYDROXYACYL-COA DEHYROGENASE AEDES AEGYPTI 3 HYDROXYACYL-COA HYDROXYACYL POLARIBACTER IRGENSII 23-P 23 P SYNTHASE GAMMA SUBUNIT CANDIDATUS CARSONELLA RUDDII PSYCHROFLEXUS TORQUIS ATCC FLAVOBACTERIUM JOHNSONIAE PICROPHILUS TORRIDUS DSM 9790 ROBIGINITALEA BIFORMATA TENACIBACULUM CROCEIBACTER ATLANTICUS ANOPHELES GAMBIAE STR. PEST RICKETTSIA CANADENSIS MCKIEL LEEUWENHOEKIELLA BLANDENSIS DICTYOSTELIUM DISCOIDEUM </t>
  </si>
  <si>
    <t>FadB 0.033| 3HCDH 0.041| VAR1 | MopB_Res-Cmplx1_Nad11-M |</t>
  </si>
  <si>
    <t>gi|70909493</t>
  </si>
  <si>
    <t xml:space="preserve">RIBOSOMAL S6E CARABUS GRANULATUS SIMILAR TO 40S S6 APIS MELLIFERA BOMBYX MORI RS6_SPOFR SPODOPTERA FRUGIPERDA RS6_MANSE LYSIPHLEBUS TESTACEIPES TRIBOLIUM CASTANEUM TELMATOSCOPUS SP. BITTACOMORPHA CLAVIPES GLOSSINA MORSITANS DROSOPHILA MELANOGASTER RPS6 YAKUBA PSEUDOOBSCURA MUS MUSCULUS UNNAMED PRODUCT TETRAODON NIGROVIRIDIS RPS6-PROV XENOPUS LAEVIS PROV ISOFORM B RS6_DROME C A RS6_XENLA RPS-6-PROV RPS 6-PROV Q9YGF2 RS6_ONCMY ONCORHYNCHUS MYKISS STRONGYLOCENTROTUS PURPURATUS 1 PAN TROGLODYTES 2 MACACA MULATTA 3 CHLOROCEBUS AETHIOPS </t>
  </si>
  <si>
    <t>Ribosomal protein S6 - structural constituent of ribosome - cytosolic small ribosomal subunit (sensu Eukaryota) - protein biosynthesis - ribosome - immune response</t>
  </si>
  <si>
    <t>E-MAP-115 0.006| Cgr1 0.006| NtpF 0.008| DUF1167 0.010| Caldesmon 0.013| Uup 0.016| DUF1014 0.016| NtpE 0.017| Ebp2 0.019| AtpF 0.021|</t>
  </si>
  <si>
    <t>SFT2 | DUF650 |</t>
  </si>
  <si>
    <t>gi|66517474</t>
  </si>
  <si>
    <t xml:space="preserve">SIMILAR TO CG5543-PA MELLIFERA CONSERVED HYPOTHETICAL AEDES AEGYPTI DROSOPHILA MELANOGASTER ANOPHELES GAMBIAE STR. PEST PSEUDOOBSCURA ISOFORM 2 MUS MUSCULUS REPEAT DOMAIN 70 UNNAMED PRODUCT RATTUS NORVEGICUS CANIS FAMILIARIS UNKNOWN FOR MGC XENOPUS TROPICALIS TAURUS PAN TROGLODYTES WD MACACA MULATTA HOMO SAPIENS LAEVIS TRIBOLIUM CASTANEUM TETRAODON NIGROVIRIDIS STRONGYLOCENTROTUS PURPURATUS PARTIAL TRANSCRIPTION FACTOR CRYPTOCOCCUS NEOFORMANS VAR. JEC21 PUTATIVE GASTRULATION DEFECTIVE FAMILY MEMBER GAD-1 CAENORHABDITIS ELEGANS BRIGGSAE DDBDRAFT_0218488 DICTYOSTELIUM DISCOIDEUM AX4 </t>
  </si>
  <si>
    <t>nucleotide binding - biological process unknown - cellular component unknown</t>
  </si>
  <si>
    <t>WD40 1e-014| COG2319 9e-011| WD40 0.002| CDC55 0.018|</t>
  </si>
  <si>
    <t>gi|86133804</t>
  </si>
  <si>
    <t>Tenacibaculum sp. MED152</t>
  </si>
  <si>
    <t xml:space="preserve">HYPOTHETICAL TENACIBACULUM SP. </t>
  </si>
  <si>
    <t>A-2_8-polyST |</t>
  </si>
  <si>
    <t xml:space="preserve">SJCHGC09076 SCHISTOSOMA JAPONICUM HYPOTHETICAL COPRINOPSIS CINEREA OKAYAMA7#130 SIMILAR TO PENTA-EF HAND DOMAIN CONTAINING 1 MACACA MULATTA PENTA EF CG6671-PA ISOFORM STRONGYLOCENTROTUS PURPURATUS 2 CONSERVED ASPERGILLUS TERREUS MAGNAPORTHE GRISEA 6 N-TERMINAL HYDROPHOBIC PEFLIN SYNTHETIC CONSTRUCT TERMINAL HOMO SAPIENS ABP32 TROGLODYTES Q9UBV8 PEF1_HUMAN PEF WITH A LONG DOMAIN-CONTAINING UNNAMED PRODUCT PENTA-EF-HAND N EF-HAND PHAEOSPHAERIA NODORUM SN15 NEUROSPORA CRASSA OR74A COCCIDIOIDES IMMITIS RS XENOPUS LAEVIS BINDING 11 TROPICALIS ORYZAE YARROWIA LIPOLYTICA CLIB122 STRESS FRANKIA SP. CCI3 SPLICING FACTOR PROLINE-AND GLUTAMINE-RICH POLYPYRIMIDINE TRACT-BINDING PROTEIN-ASSOCIATED PTB-ASSOCIATED PSF DNA-BINDING P52 P100 COMPLEX 100 KDA SUBUNIT 100-KDA DNA-PAIRING HPOMP100 TAURUS PROLINE GLUTAMINE RICH TRACT ASSOCIATED PTB DNA PAIRING CRYPTOSPORIDIUM PARVUM IOWA II MULTITRANSMEMBRANE SIGNAL PEPTIDE GMGPP REPEAT AT C-TERMINUS C TERMINUS ACIDIC PROLINE-RICH PRP25 PRECURSOR RATTUS NORVEGICUS </t>
  </si>
  <si>
    <t>PEF1, ABP32, UNQ1845/PRO3573: Peflin - calcium ion binding - protein binding</t>
  </si>
  <si>
    <t>anchored to membrane||intrinsic to membrane||membrane part||cell part||cellular_component</t>
  </si>
  <si>
    <t>GO:0031225</t>
  </si>
  <si>
    <t>Atrophin-1 0.001| Drf_FH1 0.012| SMN 0.024| PRP8 | Gag_spuma | ARS2 | MR_MLE | COG5473 | FAP | Herpes_LMP2 |</t>
  </si>
  <si>
    <t>gi|49619039</t>
  </si>
  <si>
    <t xml:space="preserve">LYSYL-TRNA SYNTHETASE DANIO RERIO LYSYL TRNA SIMILAR TO ISOFORM A TRIBOLIUM CASTANEUM AEDES AEGYPTI 2 MUS MUSCULUS 1 UNNAMED PRODUCT SYK_MOUSE LYSINE--TRNA LIGASE LYSRS LYSINE -TRNA SYK_CRIGR CRICETULUS LONGICAUDATUS </t>
  </si>
  <si>
    <t>TAP42 |</t>
  </si>
  <si>
    <t>gi|11466185</t>
  </si>
  <si>
    <t>Naegleria gruberi</t>
  </si>
  <si>
    <t xml:space="preserve">DEHYDROGENASE SUBUNIT 11 NAEGLERIA GRUBERI </t>
  </si>
  <si>
    <t>Cyclin_C | Hemocyanin_M |</t>
  </si>
  <si>
    <t>gi|54645319</t>
  </si>
  <si>
    <t xml:space="preserve">DROSOPHILA PSEUDOOBSCURA SIMILAR TO NASCENT POLYPEPTIDE ASSOCIATED COMPLEX ALPHA SUBUNIT CG8759-PB ISOFORM B 1 APIS MELLIFERA MELANOGASTER ANOPHELES GAMBIAE STR. PEST TRIBOLIUM CASTANEUM POLYPEPTIDE-ASSOCIATED MUSCLE-SPECIFIC FORM ALPHA-NAC BOS TAURUS MUSCLE SPECIFIC NAC CANIS FAMILIARIS CG8759-PA CG8759-PC NACA_DROME NAC-ALPHA 5 PAN TROGLODYTES HOMO SAPIENS RATTUS NORVEGICUS MACACA MULATTA HYPOTHETICAL MUS MUSCULUS MKIAA0363 BOLTENIA VILLOSA UNNAMED PRODUCT NACA_BOVIN NASCENT-POLYPEPTIDE-ASSOCIATED Q8AWF2 NACA_ORENI OREOCHROMIS NILOTICUS </t>
  </si>
  <si>
    <t>Nascent polypeptide associated complex protein alpha subunit - protein binding - nascent polypeptide-associated complex</t>
  </si>
  <si>
    <t>EGD2 0.031|</t>
  </si>
  <si>
    <t>gi|58219836</t>
  </si>
  <si>
    <t>Iris virginica subsp. shrevei</t>
  </si>
  <si>
    <t xml:space="preserve">MATURASE IRIS VIRGINICA SUBSP. SHREVEI MATK_IRISE K INTRON SETOSA MATK_IRIPS PSEUDACORUS JAPONICA SIBIRICA </t>
  </si>
  <si>
    <t>MopB_Res-Cmplx1_Nad11-M |</t>
  </si>
  <si>
    <t>gi|115382941</t>
  </si>
  <si>
    <t>Coturnix coturnix</t>
  </si>
  <si>
    <t xml:space="preserve">RIBOSOMAL L31 COTURNIX SIMILAR TO GALLUS HYPOTHETICAL DANIO RERIO RL31_ICTPU ICTALURUS PUNCTATUS L31E CURCULIO GLANDIUM SPHAERIUS SP. ISOFORM 2 PAN TROGLODYTES HOMO SAPIENS RATTUS NORVEGICUS MACACA MULATTA 1 3 MUS MUSCULUS CANIS FAMILIARIS </t>
  </si>
  <si>
    <t>ribosomal protein L31 - cellular component unknown - molecular function unknown - biological process unknown</t>
  </si>
  <si>
    <t>gi|91079883</t>
  </si>
  <si>
    <t xml:space="preserve">SIMILAR TO ISOFORM A TRIBOLIUM CASTANEUM RIBOSOMAL L30 IXODES PACIFICUS SCAPULARIS AEDES AEGYPTI ARGOPECTEN IRRADIANS RL30_SPOFR SPODOPTERA FRUGIPERDA BOMBYX MORI VARIANT 1 LYSIPHLEBUS TESTACEIPES STRONGYLOCENTROTUS PURPURATUS APIS MELLIFERA MUS MUSCULUS SYNTHETIC CONSTRUCT RPL30 XENOPUS TROPICALIS HOMO SAPIENS RATTUS NORVEGICUS 10 PAN TROGLODYTES HYPOTHETICAL TAURUS MACACA MULATTA RL30_MACFA RL30_RAT LAEVIS RPL30-PROV DROSOPHILA MELANOGASTER YAKUBA CANIS FAMILIARIS GALLUS RL30_CHICK RL30_OPHHA OPHIOPHAGUS HANNAH PELODISCUS SINENSIS PA PB RL30_BRABE BRANCHIOSTOMA BELCHERI TSINGTAUNESE </t>
  </si>
  <si>
    <t>Ribosomal protein L30 - structural constituent of ribosome - cytosolic large ribosomal subunit (sensu Eukaryota) - protein biosynthesis - peripheral nervous system development</t>
  </si>
  <si>
    <t>RPL30 2e-035| Ribosomal_L7Ae 7e-021| RPL8A 1e-008| Auxin_resp | eRF1_3 | BTB | TolB |</t>
  </si>
  <si>
    <t>gi|109238416</t>
  </si>
  <si>
    <t>Eimeria tenella</t>
  </si>
  <si>
    <t xml:space="preserve">HYPOTHETICAL CONSERVED EIMERIA TENELLA O-ANTIGEN POLYMERASE SALMONELLA ENTERICA SUBSP. SALAMAE SEROVAR GREENSIDE O ANTIGEN PLASMODIUM BERGHEI STRAIN ANKA DDBDRAFT_0202310 DICTYOSTELIUM DISCOIDEUM AX4 AEDES AEGYPTI DESMOPLAKIN PHTHORIMAEA OPERCULELLA GRANULOVIRUS Y50E8A.I CAENORHABDITIS ELEGANS CHABAUDI YARROWIA LIPOLYTICA UNNAMED PRODUCT CLIB122 ATPASE SUBUNIT 6 TRYPANOSOMA CRUZI CL BRENER SIMILAR TO LYSOPHOSPHOLIPASE L1 RELATED ESTERASES GEOBACTER URANIUMREDUCENS RF4 DDBDRAFT_0191040 BRUCEI TREU927 </t>
  </si>
  <si>
    <t>DIE2_ALG10 0.037| VanZ 0.058| Alg6_Alg8 0.083| DUF1361 | PIG-U | TrbL | DUF40 | PulO | DUF1461 | MARVEL |</t>
  </si>
  <si>
    <t>gi|47224393</t>
  </si>
  <si>
    <t>Tetraodon nigroviridis</t>
  </si>
  <si>
    <t>Ribosomal_S17 4e-026| RpsQ 1e-024| PRF |</t>
  </si>
  <si>
    <t>gi|89473700</t>
  </si>
  <si>
    <t>Acyrthosiphon pisum</t>
  </si>
  <si>
    <t xml:space="preserve">PUTATIVE RIBOSOMAL S26 ACYRTHOSIPHON PISUM PLUTELLA XYLOSTELLA DASCILLUS CERVINUS RS26_ANOGA ANOPHELES GAMBIAE STR. PEST SIMILAR TO 40S DS31 APIS MELLIFERA BOMBYX MORI S26E SPHAERIUS SP. SPODOPTERA FRUGIPERDA CICINDELA CAMPESTRIS S262 AEDES AEGYPTI TRIBOLIUM CASTANEUM ISOFORM B DROSOPHILA MELANOGASTER RS26_DROME UNNAMED PRODUCT RPS26 YAKUBA PSEUDOOBSCURA LYSIPHLEBUS TESTACEIPES GEORISSUS EUCINETUS ARGAS MONOLAKENSIS STRONGYLOCENTROTUS PURPURATUS XENOPUS LAEVIS TROPICALIS BRANCHIOSTOMA BELCHERI PECTINARIA GOULDII DANIO RERIO </t>
  </si>
  <si>
    <t>Ribosomal protein S26 - structural constituent of ribosome - cytosolic small ribosomal subunit (sensu Eukaryota) - protein biosynthesis - ribosome</t>
  </si>
  <si>
    <t>structural constituent of ribosome||structural molecule activity||molecular_function</t>
  </si>
  <si>
    <t>GO:0003735</t>
  </si>
  <si>
    <t>cytosolic small ribosomal subunit (sensu Eukaryota)||small ribosomal subunit||protein complex||cellular_component</t>
  </si>
  <si>
    <t>GO:0005843</t>
  </si>
  <si>
    <t>Ribosomal_S26e 1e-055| RPS26B 2e-038| COG3152 0.100| SEC65 | PigN | DUF1109 | DUF805 | EPT1 | PtrB | APP-like |</t>
  </si>
  <si>
    <t>gi|14193384</t>
  </si>
  <si>
    <t>Candidatus Carsonella ruddii</t>
  </si>
  <si>
    <t xml:space="preserve">POLYMERASE BETA-PRIME SUBUNIT CANDIDATUS CARSONELLA RUDDII BETA PRIME MATURASE TRICHOSALPINX BLAISDELLII HYPOTHETICAL PLASMODIUM FALCIPARUM 3D7 K PHALAENOPSIS MANNII DIHYDROXY-ACID DEHYDRATASE SACCHAROPHAGUS DEGRADANS 2-40 DIHYDROXY ACID 2 40 PLEUROTHALLIS SEGOVIENSIS IMPORTIN ALPHA ENTAMOEBA HISTOLYTICA HM-1 IMSS PUTATIVE HM 1 EIMERIA TENELLA CANDIDA ALBICANS CORYMBORKIS VERATRIFOLIA THRIXSPERMUM CENTIPEDA SARCOCHILUS CHRYSANTHUS CLEISOMERIA PILOSULUM TRANSCRIPTIONAL REGULATOR CELLULOPHAGA SP. AERIDES MULTIFLORA HOLCOGLOSSUM TSII CPHA266DRAFT_2153 CHLOROBIUM PHAEOBACTEROIDES DSM 266 EURYCHONE ROTHSCHILDIANA RANGAERIS AMANIENSIS EARINA VALIDA LEMURORCHIS MADAGASCARIENSIS CALYPTROCHILUM CHRISTYANUM CYRTORCHIS CHAILLUANA OESTLUNDIA CYANOCOLUMNA </t>
  </si>
  <si>
    <t>COG4868 | COG3889 | DUF515 | DUF1461 |</t>
  </si>
  <si>
    <t>Signal transduction mechanisms, Extracellular structures</t>
  </si>
  <si>
    <t>Grp1_Fun34_YaaH |</t>
  </si>
  <si>
    <t>gi|70909867</t>
  </si>
  <si>
    <t>Carabus granulatus</t>
  </si>
  <si>
    <t>Extensin_2 1e-006| DUF1210 9e-006| Drf_FH1 6e-005| Tymo_45kd_70kd 1e-004| Ebp2 2e-004| Tsg101 4e-004| S-antigen 4e-004| SMN 4e-004| DUF1421 5e-004| Dehydrin 0.001|</t>
  </si>
  <si>
    <t>gi|23612794</t>
  </si>
  <si>
    <t xml:space="preserve">HYPOTHETICAL PLASMODIUM FALCIPARUM 3D7 CAMPYLOBACTER JEJUNI SUBSP. ORYZA SATIVA JAPONICA CULTIVAR-GROUP CULTIVAR GROUP RIBOSOMAL S3 EIMERIA TENELLA YOELII STR. 17XNL </t>
  </si>
  <si>
    <t>DUF280 |</t>
  </si>
  <si>
    <t>gi|91084853</t>
  </si>
  <si>
    <t xml:space="preserve">SIMILAR TO TRIBOLIUM CASTANEUM UNKNOWN MANDUCA SEXTA MELLIFERA ANOPHELES GAMBIAE STR. PEST CONSERVED HYPOTHETICAL AEDES AEGYPTI CULICOIDES SP. DROSOPHILA MELANOGASTER PSEUDOOBSCURA SERINE ARGININE REPETITIVE MATRIX 2 ROSEIFLEXUS RS-1 ORYZA SATIVA JAPONICA CULTIVAR-GROUP CULTIVAR GROUP GIBBERELLA ZEAE PH-1 ARG-RELATED NUCLEAR HOMO SAPIENS RELATED PARTIAL BOS TAURUS UNNAMED PRODUCT TETRAODON NIGROVIRIDIS TRANSLATION INITIATION FACTOR IF-2 SALINISPORA TROPICA CNB-440 CCAAT ENHANCER BINDING DELTA PAN TROGLODYTES FORKHEAD-ASSOCIATED FHA KINASE ABC TRANSPORTER FRANKIA EAN1PEC FORKHEAD ASSOCIATED MUS MUSCULUS CAENORHABDITIS ELEGANS AZOARCUS EBN1 </t>
  </si>
  <si>
    <t>CG31997 - biological process unknown - molecular function unknown - cellular component unknown</t>
  </si>
  <si>
    <t>Tymo_45kd_70kd 0.009| Atrophin-1 0.014| Na_sulph_symp 0.015| Ribosomal_L4 0.025| Transformer 0.032| RPH3A_effector 0.035| Gag_spuma 0.039| ANP | AF-4 | LISCH7 |</t>
  </si>
  <si>
    <t>gi|66501038</t>
  </si>
  <si>
    <t xml:space="preserve">SIMILAR TO SIGNAL SEQUENCE RECEPTOR CG5474-PA MELLIFERA BETA SUBUNIT BOMBYX MORI ANOPHELES GAMBIAE STR. PEST TRIBOLIUM CASTANEUM TRANSLOCON-ASSOCIATED COMPLEX TRAP AEDES AEGYPTI PRECURSOR TRAP-BETA TRANSLOCON ASSOCIATED BETA-LIKE CRASSOSTREA GIGAS LIKE IXODES SCAPULARIS DROSOPHILA PSEUDOOBSCURA MELANOGASTER SSRBETA YAKUBA BCDNA.LD10457 CANIS FAMILIARIS SSRB_CANFA SSR-BETA GLYCOPROTEIN 25H GP25H SSR DANIO RERIO BOS TAURUS SSRB_BOVIN MACACA MULATTA SAPIENS ISOFORM 2 PAN TROGLODYTES HOMO GALLUS HYPOTHETICAL XENOPUS LAEVIS UNNAMED PRODUCT MUS MUSCULUS VARIANT RATTUS NORVEGICUS Q9CPW5 SSRB_MOUSE </t>
  </si>
  <si>
    <t>Signal sequence receptor &amp;bgr; - signal sequence binding - signal recognition particle (sensu Eukaryota) - protein retention in ER</t>
  </si>
  <si>
    <t>signal recognition particle (sensu Eukaryota)||signal recognition particle||ribonucleoprotein complex||protein complex||cellular_component</t>
  </si>
  <si>
    <t>GO:0005786</t>
  </si>
  <si>
    <t>protein retention in ER||asymmetric protein localization||protein localization||localization||physiological process||biological_process</t>
  </si>
  <si>
    <t>GO:0006621</t>
  </si>
  <si>
    <t>TRAP_beta 7e-042| Extensin_2 | PsaA_PsaB |</t>
  </si>
  <si>
    <t xml:space="preserve">SJCHGC09076 SCHISTOSOMA JAPONICUM </t>
  </si>
  <si>
    <t>DAG1 0.023|</t>
  </si>
  <si>
    <t>gi|91094475</t>
  </si>
  <si>
    <t xml:space="preserve">SIMILAR TO CG3884-PB ISOFORM B TRIBOLIUM CASTANEUM CONSERVED HYPOTHETICAL AEDES AEGYPTI ANOPHELES GAMBIAE STR. PEST DROSOPHILA MELANOGASTER PSEUDOOBSCURA PUTATIVE FARNESOIC ACID O-METHYL TRANSFERASE BOMBYX MORI O METHYL TRANSFERASE-LIKE LIKE 2 APIS MELLIFERA YAKUBA 1 O-METHYLTRANSFERASE-LIKE METHYLTRANSFERASE-LIKE METHYLTRANSFERASE </t>
  </si>
  <si>
    <t>CG10527 - farnesoic acid O-methyltransferase activity</t>
  </si>
  <si>
    <t>farnesoic acid O-methyltransferase activity||S-adenosylmethionine-dependent methyltransferase activity||methyltransferase activity||transferase activity\, transferring one-carbon groups||transferase activity||catalytic activity||molecular_function</t>
  </si>
  <si>
    <t>GO:0019010</t>
  </si>
  <si>
    <t>DM9 1e-020| COG5477 |</t>
  </si>
  <si>
    <t>gi|91079240</t>
  </si>
  <si>
    <t xml:space="preserve">SIMILAR TO KINASE N2 TRIBOLIUM CASTANEUM SJCHGC09076 SCHISTOSOMA JAPONICUM CG2658-PA ISOFORM A APIS MELLIFERA SPASTIC PARAPLEGIA 7 PARAPLEGIN PURE COMPLICATED AUTOSOMAL RECESSIVE GALLUS HYPOTHETICAL DANIO RERIO STRONGYLOCENTROTUS PURPURATUS 4 PAN TROGLODYTES 2 3 MUSCULUS HOMO SAPIENS UNNAMED PRODUCT MUS HOMOLOG RATTUS NORVEGICUS CANIS FAMILIARIS 1 SPG7_HUMAN AEDES AEGYPTI BOS TAURUS </t>
  </si>
  <si>
    <t>SPG7, CAR, CMAR, PGN: Paraplegin - metalloendopeptidase activity - unfolded protein binding - proteolysis - nervous system development - mitochondrion</t>
  </si>
  <si>
    <t>metalloendopeptidase activity||metallopeptidase activity||peptidase activity||hydrolase activity||catalytic activity||molecular_function</t>
  </si>
  <si>
    <t>GO:0004222</t>
  </si>
  <si>
    <t>RplO 0.059| Nop14 | Peptidase_M41 | VanZ | A-2_8-polyST |</t>
  </si>
  <si>
    <t>gi|74316784</t>
  </si>
  <si>
    <t>Thiobacillus denitrificans ATCC 25259</t>
  </si>
  <si>
    <t xml:space="preserve">CONSERVED HYPOTHETICAL CONTAINING TPR REPEAT THIOBACILLUS DENITRIFICANS ATCC AZOARCUS SP. EBN1 </t>
  </si>
  <si>
    <t>gi|58382960</t>
  </si>
  <si>
    <t xml:space="preserve">ANOPHELES GAMBIAE STR. PEST SIMILAR TO TRIBOLIUM CASTANEUM MITOCHONDRIAL NADH-UBIQUINONE OXIDOREDUCTASE AGGG SUBUNIT AEDES AEGYPTI CONSERVED HYPOTHETICAL NADH UBIQUINONE DEHYDROGENASE 1 BETA SUBCOMPLEX 2 RATTUS NORVEGICUS DANIO RERIO NOVEL 8KDA PRECURSOR MACACA MULATTA UNNAMED PRODUCT TETRAODON NIGROVIRIDIS DROSOPHILA MELANOGASTER Q0MQC7 NDUB2_PONPY COMPLEX I-AGGG CI-AGGG NDUFB2 PONGO PYGMAEUS CI MUS MUSCULUS Q9CPU2 NDUB2_MOUSE PAN TROGLODYTES Q0MQC9 NDUB2_PANTR Q0MQC8 NDUB2_GORGO GORILLA HOMO SAPIENS NDUB2_HUMAN HOMOLOG 8KD GALLUS BOS TAURUS NDUB2_BOVIN 232 CIRCULIFER TENELLUS NDUFB2-PROV XENOPUS LAEVIS PROV STRONGYLOCENTROTUS PURPURATUS APIS MELLIFERA CAENORHABDITIS ELEGANS NDUB2_CAEEL PROBABLE NDUB2_CAEBR BRIGGSAE RESISTANCE TRANSPORTER EMRB QACA SUBFAMILY ROSEIFLEXUS SP. RS-1 DDBDRAFT_0190676 DICTYOSTELIUM DISCOIDEUM AX4 </t>
  </si>
  <si>
    <t>zgc:73329 - molecular function unknown - biological process unknown - cellular component unknown</t>
  </si>
  <si>
    <t>Thermopsin | CyoA | Glyco_transf_6 | NorB | DUF408 | Aldedh | GST_C_Ure2p_like |</t>
  </si>
  <si>
    <t>COG3694 |</t>
  </si>
  <si>
    <t>gi|66818024</t>
  </si>
  <si>
    <t>Dictyostelium discoideum</t>
  </si>
  <si>
    <t xml:space="preserve">HYPOTHETICAL DICTYOSTELIUM DISCOIDEUM SIMILAR TO MUS MUSCULUS MOUSE . FORMIN 1 ISOFORM IV LIMB DEFORMITY ACTIN-BINDING AX4 DIAPHANOUS-RELATED DDIA1 ACTIN BINDING DIAPHANOUS RELATED DROSOPHILA MELANOGASTER ENABLED B ENA_DROME D A POLYPEPTIDE CONSERVED STRONGYLOCENTROTUS PURPURATUS MYOSIN IC HEAVY CHAIN ACANTHAMOEBA CASTELLANII UNNAMED PRODUCT ARABIDOPSIS THALIANA MYSC_ACACA SEPA_EMENI CYTOKINESIS SEPA FH1 2 FORCED EXPRESSION INHIBITION GROWTH HOMOLOG EMERICELLA NIDULANS ASPERGILLUS FGSC A4 NEUROSPORA CRASSA OR74A PAN TROGLODYTES WW DOMAIN 11 MACACA MULATTA WBP11 SAPIENS GALLUS BOS TAURUS CANIS FAMILIARIS 3 HOMO WBP11_HUMAN DOMAIN-BINDING WBP-11 SNP70 NPW38-BINDING NPWBP NPW38 </t>
  </si>
  <si>
    <t>actin binding protein, formin homology domain-containing protein - actin nucleation - Rho GTPase binding - actin monomer binding - profilin binding - actin cytoskeleton</t>
  </si>
  <si>
    <t>Rho GTPase binding||small GTPase binding||GTPase binding||enzyme binding||protein binding||binding||molecular_function</t>
  </si>
  <si>
    <t>GO:0017048</t>
  </si>
  <si>
    <t>actin cytoskeleton||cytoskeleton||intracellular non-membrane-bound organelle||non-membrane-bound organelle||organelle||cellular_component</t>
  </si>
  <si>
    <t>GO:0015629</t>
  </si>
  <si>
    <t>actin nucleation||actin cytoskeleton organization and biogenesis||actin filament-based process||cytoskeleton organization and biogenesis||organelle organization and biogenesis||cell organization and biogenesis||cellular physiological process||physiological process||biological_process</t>
  </si>
  <si>
    <t>GO:0045010</t>
  </si>
  <si>
    <t>Drf_FH1 7e-006| CAP 4e-005| Totivirus_coat 2e-004| PRP8 5e-004| SMN 6e-004| Atrophin-1 6e-004| Herpes_LMP2 8e-004| PRP 0.002| Extensin_2 0.002| DUF1210 0.002|</t>
  </si>
  <si>
    <t>gi|15213828</t>
  </si>
  <si>
    <t>Spodoptera frugiperda</t>
  </si>
  <si>
    <t xml:space="preserve">RIBOSOMAL S20 SPODOPTERA FRUGIPERDA BOMBYX MORI RIBSOMAL S20E PAPILIO DARDANUS SIMILAR TO PUTATIVE 40S 20S PARTIAL GALLUS HYPOTHETICAL ISOFORM 2 PAN TROGLODYTES PLUTELLA XYLOSTELLA XENOPUS LAEVIS SYNTHETIC CONSTRUCT RS20_XENLA S22 SUBUNIT PELODISCUS SINENSIS TROPICALIS HOMO SAPIENS MUSCULUS RATTUS NORVEGICUS CANIS FAMILIARIS TAURUS 1 MACACA MULATTA RS20_RAT RS20_HUMAN RS20_MOUSE RS20_MACFA Q3ZBH8 RS20_BOVIN UNNAMED PRODUCT ONCORHYNCHUS MYKISS SUS SCROFA OXYURANUS SCUTELLATUS SCARABAEUS LATICOLLIS DASCILLUS CERVINUS AEDES ALBOPICTUS AEGYPTI S2 ANOPHELES FUNESTUS GAMBIAE STR. PEST ARGAS MONOLAKENSIS IXODES SCAPULARIS ICTALURUS PUNCTATUS DANIO RERIO </t>
  </si>
  <si>
    <t>ribosomal protein S20 - intracellular - ribosome - cytosolic small ribosomal subunit (sensu Eukaryota) - structural constituent of ribosome - RNA binding - protein biosynthesis</t>
  </si>
  <si>
    <t>Ribosomal_S10 4e-024| RpsJ 3e-021| HrpA | Peptidase_S32 | COG2433 | INT_VanD | UPF0167 |</t>
  </si>
  <si>
    <t>gi|109132582</t>
  </si>
  <si>
    <t xml:space="preserve">HELICASE C-TERMINAL MEDICAGO TRUNCATULA C TERMINAL HYPOTHETICAL CRP_088 CANDIDATUS CARSONELLA RUDDII PV MAGNAPORTHE GRISEA CORYNEBACTERIUM EFFICIENS CAENORHABDITIS ELEGANS UNNAMED PRODUCT DROSOPHILA MELANOGASTER VIGNA RADIATA ISOFORM D E PUTATIVE RAS-GTPASE-ACTIVATING SH3-DOMAIN BINDING TRIFOLIUM PRATENSE RAS GTPASE-ACTIVATING GTPASE ACTIVATING SH3 DOMAIN A RM62_DROME ATP-DEPENDENT RNA P62 DEPENDENT DDBDRAFT_0184423 DICTYOSTELIUM DISCOIDEUM AX4 BRIGGSAE BIFIDOBACTERIUM ADOLESCENTIS ARCHEO-EUKARYOTIC EXOSOMAL RNASE TRANSCRIPTS IDENTIFIED BY EST CRYPTOSPORIDIUM PARVUM IOWA II ARCHEO EUKARYOTIC MMI9_10 ARABIDOPSIS THALIANA TETRAODON NIGROVIRIDIS PRH75 RH7_ARATH DEAD-BOX 7 REGION CONTAINING TETRAHYMENA THERMOPHILA BURKHOLDERIA CENOCEPACIA AU 1054 </t>
  </si>
  <si>
    <t>DUF216 0.091| Ferric_reduct |</t>
  </si>
  <si>
    <t>gi|110764235</t>
  </si>
  <si>
    <t xml:space="preserve">SIMILAR TO BRIX DOMAIN CONTAINING 1 APIS MELLIFERA BXDC1-PROV XENOPUS LAEVIS BXDC1 PROV GALLUS CONSERVED HYPOTHETICAL AEDES AEGYPTI DANIO RERIO NOVEL VERTEBRATE UNNAMED PRODUCT TETRAODON NIGROVIRIDIS MACACA MULATTA ISOFORM 5 CANIS FAMILIARIS 2 4 PAN TROGLODYTES 3 MUS MUSCULUS TAURUS BXDC1_MOUSE DOMAIN-CONTAINING HOMO SAPIENS BXDC1_HUMAN CAENORHABDITIS ELEGANS BXDC1_CAEEL HOMOLOG ANOPHELES GAMBIAE STR. PEST RATTUS NORVEGICUS RIBOSOME BIOGENESIS ASPERGILLUS FUMIGATUS PUTATIVE BRIGGSAE </t>
  </si>
  <si>
    <t>brix domain containing 1 - molecular function unknown - biological process unknown - cellular component unknown</t>
  </si>
  <si>
    <t>RPF2 7e-011| COG3202 | SCAMP |</t>
  </si>
  <si>
    <t>DUF990 |</t>
  </si>
  <si>
    <t>gi|71988780</t>
  </si>
  <si>
    <t>Caenorhabditis elegans</t>
  </si>
  <si>
    <t xml:space="preserve">SERPENTINE RECEPTOR CLASS Z FAMILY MEMBER SRZ-97 CAENORHABDITIS ELEGANS HYPOTHETICAL SRZ-102 </t>
  </si>
  <si>
    <t>DUF216 | DUF23 |</t>
  </si>
  <si>
    <t>gi|91091708</t>
  </si>
  <si>
    <t xml:space="preserve">SIMILAR TO RIBOSOMAL S13 TRIBOLIUM CASTANEUM S13E GEORISSUS SP. BOMBYX MORI RS13_SPOFR SPODOPTERA FRUGIPERDA Q8MUR2 RS13_CHOPR CHORISTONEURA PARALLELA RIBSOMAL PAPILIO DARDANUS RS13_PLUXY PLUTELLA XYLOSTELLA AGRIOTES LINEATUS BRANCHIOSTOMA BELCHERI APIS MELLIFERA CURCULIO GLANDIUM PUTATIVE DIAPHORINA CITRI TIMARCHA BALEARICA SYNTHETIC CONSTRUCT PARTIAL GALLUS MUS MUSCULUS CARABUS GRANULATUS Q9WVH0 RS13_CRIGR CRICETULUS GRISEUS HOMO SAPIENS RATTUS NORVEGICUS HYPOTHETICAL PAN TROGLODYTES TAURUS ISOFORM 1 CANIS FAMILIARIS MACACA MULATTA RS13_HUMAN Q6ITC7 RS13_CHICK RS13_RAT RS13_MOUSE RS13_BOVIN UNNAMED PRODUCT XENOPUS TROPICALIS RS13_XENLA LAEVIS RPS13 DROSOPHILA MELANOGASTER YAKUBA S17 RS13_MUSDO 9690 MUSCA DOMESTICA PSEUDOOBSCURA </t>
  </si>
  <si>
    <t>ribosomal protein S13 - intracellular - ribosome - cytosolic small ribosomal subunit (sensu Eukaryota) - RNA binding - protein biosynthesis</t>
  </si>
  <si>
    <t>Ribosomal_S15p_S13e 9e-023| Ribosomal_S15 3e-018| S15_NS1_EPRS_RNA-bind 4e-012| DUF99 | GlnD |</t>
  </si>
  <si>
    <t>gi|76615959</t>
  </si>
  <si>
    <t xml:space="preserve">SIMILAR TO OLFACTORY RECEPTOR 437 BOS TAURUS ISOFORM 1 CANIS FAMILIARIS 2 FAMILY SUBFAMILY A MEMBER PARTIAL </t>
  </si>
  <si>
    <t>gi|75855897</t>
  </si>
  <si>
    <t>Vibrio sp. Ex25</t>
  </si>
  <si>
    <t xml:space="preserve">HYPOTHETICAL PLASMODIUM FALCIPARUM 3D7 PHAEOSPHAERIA NODORUM SN15 </t>
  </si>
  <si>
    <t>COG3503 | DUF766 |</t>
  </si>
  <si>
    <t>gi|108383562</t>
  </si>
  <si>
    <t xml:space="preserve">DROSOPHILA MELANOGASTER CG3014-PA HYPOTHETICAL TETRAHYMENA THERMOPHILA PLASMODIUM CHABAUDI CONSERVED PSEUDOOBSCURA </t>
  </si>
  <si>
    <t>TAS2R 0.058| TB2_DP1_HVA22 0.094| DUF540 | Cation_ATPase_C |</t>
  </si>
  <si>
    <t>gi|17158421</t>
  </si>
  <si>
    <t>shrimp white spot syndrome virus</t>
  </si>
  <si>
    <t xml:space="preserve">SHRIMP WHITE SPOT SYNDROME VIRUS WSSV375 </t>
  </si>
  <si>
    <t>gi|9695393</t>
  </si>
  <si>
    <t>Phytophthora infestans</t>
  </si>
  <si>
    <t xml:space="preserve">DEHYDROGENASE SUBUNIT 5 PHYTOPHTHORA INFESTANS NU5M_PHYIN NADH-UBIQUINONE OXIDOREDUCTASE CHAIN UBIQUINONE SELENOPHOSPHATE SYNTHETASE PLASMODIUM CHABAUDI PUTATIVE UNNAMED PRODUCT SACCHAROMYCES CEREVISIAE HYPOTHETICAL THEILERIA PARVA STRAIN MUGUGA CONSERVED </t>
  </si>
  <si>
    <t>CDC50 | DIE2_ALG10 |</t>
  </si>
  <si>
    <t>gi|91085777</t>
  </si>
  <si>
    <t xml:space="preserve">SIMILAR TO CG3661-PA TRIBOLIUM CASTANEUM RIBOSOMAL L23 MELLIFERA LYSIPHLEBUS TESTACEIPES PUTATIVE L17 23 GRAPHOCEPHALA ATROPUNCTATA L23E SPHAERIUS SP. BIPHYLLUS LUNATUS DIAPHORINA CITRI IXODES SCAPULARIS BOMBYX MORI SPODOPTERA FRUGIPERDA PLUTELLA XYLOSTELLA DROSOPHILA MELANOGASTER RL23_DROME PSEUDOOBSCURA Q9GNE2 RL23_AEDAE L17A AEDES AEGYPTI ANOPHELES GAMBIAE STR. PEST CRASSOSTREA GIGAS L23-LIKE CHERAX QUADRICARINATUS LIKE HOMO SAPIENS HL23 ISOFORM 4 PAN TROGLODYTES HYPOTHETICAL 5 3 XENOPUS LAEVIS ARGOPECTEN IRRADIANS BOS TAURUS RL23_BOVIN GALLUS DANIO RERIO Q5REU2 RL23_PONPY PONGO PYGMAEUS RL23_BRARE UNNAMED PRODUCT TETRAODON NIGROVIRIDIS SPARUS AURATA MUSCULUS RATTUS NORVEGICUS TROPICALIS 60S 2 MACACA MULATTA RL23_ICTPU RL23_PIG RL23_RAT RL23_HUMAN RL23_MOUSE ICTALURUS PUNCTATUS </t>
  </si>
  <si>
    <t>Ribosomal protein L23 - structural constituent of ribosome - cytosolic large ribosomal subunit (sensu Eukaryota) - protein biosynthesis - ribosome</t>
  </si>
  <si>
    <t>Ribosomal_L14 8e-022| AppB | VirB6 | YMF19 | DUF40 | CIN1 | PAC | Srg | PUA |</t>
  </si>
  <si>
    <t>gi|1171601</t>
  </si>
  <si>
    <t>Plasmodium falciparum</t>
  </si>
  <si>
    <t xml:space="preserve">PLASMODIUM FALCIPARUM </t>
  </si>
  <si>
    <t>COG4906 | COG2832 |</t>
  </si>
  <si>
    <t>gi|8928584</t>
  </si>
  <si>
    <t>Paramecium aurelia</t>
  </si>
  <si>
    <t xml:space="preserve">PARAMECIUM AURELIA ANOPHELES GAMBIAE STR. PEST HYPOTHETICAL POLARIBACTER IRGENSII 23-P RIBOSOMAL S11 NAEGLERIA GRUBERI CANDIDA ALBICANS AAEL_AAEL015112 AEDES AEGYPTI 2-OXOGLUTARATE DEHYDROGENASE E1 COMPONENT BUCHNERA APHIDICOLA CC CINARA CEDRI OXOGLUTARATE LEPTOSPIRA BORGPETERSENII SEROVAR HARDJO-BOVIS L550 HARDJO BOVIS PLASMODIUM BERGHEI STRAIN ANKA SUBUNIT 4 DAKTULOSPHAIRA VITIFOLIAE </t>
  </si>
  <si>
    <t>PulO 0.033| COG4267 0.091| YMF19 0.092| SCAMP 0.097| COG2194 | TatC | DltB | AtoE | DUF990 | PTPLA |</t>
  </si>
  <si>
    <t>gi|84387873</t>
  </si>
  <si>
    <t>Vibrio splendidus 12B01</t>
  </si>
  <si>
    <t xml:space="preserve">HYPOTHETICAL VIBRIO SPLENDIDUS </t>
  </si>
  <si>
    <t>gi|58045513</t>
  </si>
  <si>
    <t>Gryllotalpa orientalis</t>
  </si>
  <si>
    <t xml:space="preserve">DEHYDROGENASE SUBUNIT 6 GRYLLOTALPA ORIENTALIS PHILAENUS SPUMARIUS GEOTHELPHUSA DEHAANI LOCUSTA MIGRATORIA NU6M_LOCMI NADH-UBIQUINONE OXIDOREDUCTASE CHAIN UBIQUINONE HAEMATOBIA IRRITANS DROSOPHILA MELANOGASTER NU6M_DROME UNKNOWN SIMULANS SECHELLIA MAURITIANA CERATITIS CAPITATA COCHLIOMYIA HOMINIVORAX CHRYSOMYA PUTORIA PANULIRUS JAPONICUS NU6M_CERCA NADH MARSUPENAEUS TIMEMA CALIFORNICUM DERMATOBIA HOMINIS PENAEUS MONODON YAKUBA NU6M_DROYA BACTROCERA OLEAE PERIPLANETA FULIGINOSA ARGUS </t>
  </si>
  <si>
    <t>mitochondrial NADH-ubiquinone oxidoreductase chain 6 - mitochondrion - respiratory chain complex I (sensu Eukaryota) - NADH dehydrogenase (ubiquinone) activity</t>
  </si>
  <si>
    <t>PulO | COG1289 |</t>
  </si>
  <si>
    <t>gi|46425383</t>
  </si>
  <si>
    <t>Xanthomonas albilineans</t>
  </si>
  <si>
    <t xml:space="preserve">NON-RIBOSOMAL PEPTIDE SYNTHASE XANTHOMONAS ALBILINEANS NON RIBOSOMAL TUBULIN-TYROSINE LIGASE FAMILY TETRAHYMENA THERMOPHILA TUBULIN TYROSINE HYPOTHETICAL CTHEDRAFT_1289 CLOSTRIDIUM THERMOCELLUM ATCC </t>
  </si>
  <si>
    <t>EscU | Rotavirus_VP3 |</t>
  </si>
  <si>
    <t>gi|110758587</t>
  </si>
  <si>
    <t xml:space="preserve">SIMILAR TO CG9281-PB ISOFORM B APIS MELLIFERA ATP-BINDING CASSETTE SUB-FAMILY F MEMBER 2 BOMBYX MORI BINDING SUB FAMILY DROSOPHILA MELANOGASTER CG9281-PC PSEUDOOBSCURA ANOPHELES GAMBIAE STR. PEST GCN20 GALLUS HYPOTHETICAL ATP ATP-DEPENDENT TRANSPORTER AEDES AEGYPTI DEPENDENT BOS TAURUS Q2KJA2 ABCF2_BOVIN TRIBOLIUM CASTANEUM PAN TROGLODYTES 3 MACACA MULATTA RATTUS NORVEGICUS INHIBITED ABC HOMO SAPIENS 7 CANIS FAMILIARIS 8 4 6 1 5 A ABCF2_HUMAN IRON-INHIBITED UNKNOWN SYNTHETIC CONSTRUCT IRON </t>
  </si>
  <si>
    <t>CG9281 - transporter activity - ATPase activity, coupled to transmembrane movement of substances - ATP-binding cassette (ABC) transporter complex</t>
  </si>
  <si>
    <t>nucleotide binding||binding||molecular_function</t>
  </si>
  <si>
    <t>GO:0000166</t>
  </si>
  <si>
    <t>Uup 2e-016| ABCF_EF-3 3e-014| ABC_tran 2e-007| COG1123 6e-005| ABC_Iron-Siderophores_B12_Hemin 1e-004| DppF 4e-004| ABC_ATPase 7e-004| ABC_cobalt_CbiO_domain1 0.001| FepC 0.004| CbiO 0.004|</t>
  </si>
  <si>
    <t>gi|42408839</t>
  </si>
  <si>
    <t>Oryza sativa (japonica cultivar-group)</t>
  </si>
  <si>
    <t>Ribosomal_60s 9e-008| RPP1A 7e-007|</t>
  </si>
  <si>
    <t>gi|68075567</t>
  </si>
  <si>
    <t xml:space="preserve">PLASMODIUM BERGHEI STRAIN ANKA PUTATIVE POLYPEPTIDE 976 AA AEDES AEGYPTI HYPOTHETICAL CONSERVED CAENORHABDITIS BRIGGSAE UBIQUITIN CARBOXYL-TERMINAL HYDROLASE A FALCIPARUM 3D7 CARBOXYL TERMINAL ENTAMOEBA HISTOLYTICA HM-1 IMSS SPECIFIC PROTEASE 5 YOELII STR. 17XNL SIMILAR TO TAXILIN ALPHA STRONGYLOCENTROTUS PURPURATUS DDBDRAFT_0192009 DICTYOSTELIUM DISCOIDEUM AX4 NEUROSPORA CRASSA OR74A CBEIDRAFT_1060 CLOSTRIDIUM BEIJERINCKI NCIMB 8052 DDBDRAFT_0189573 VILLIDIN HM 1 N-ACETYLMURAMOYL-L-ALANINE AMIDASE STAPHYLOCOCCUS EPIDERMIDIS ATCC AUTOLYSIN PRECURSOR N ACETYLMURAMOYL-L-ALANINE ACETYLMURAMOYL L-ALANINE L ALANINE BACILLUS SP. NRRL TETRAHYMENA THERMOPHILA G-PROTEIN-COUPLED RECEPTOR GPCR FAMILY PROTEIN-COUPLED COUPLED </t>
  </si>
  <si>
    <t>G-protein-coupled receptor (GPCR) family protein, GABA-B receptor-like protein, metabotropic glutamate receptor-like protein - metabotropic glutamate, GABA-B-like receptor activity - membrane - biological process unknown</t>
  </si>
  <si>
    <t>metabotropic glutamate\, GABA-B-like receptor activity||glutamate receptor activity||transmembrane receptor activity||receptor activity||signal transducer activity||molecular_function</t>
  </si>
  <si>
    <t>GO:0008067</t>
  </si>
  <si>
    <t>ARE1 0.018| ComEC | 7tm_6 | COG4506 | LeuS | GlxRS_core | Prominin | TCP1_gamma |</t>
  </si>
  <si>
    <t>ATP-synt_A |</t>
  </si>
  <si>
    <t>gi|68066591</t>
  </si>
  <si>
    <t>Marinobacter aquaeolei VT8</t>
  </si>
  <si>
    <t xml:space="preserve">CONSERVED HYPOTHETICAL MARINOBACTER AQUAEOLEI VT8 PORIN LAMB TYPE AZOTOBACTER VINELANDII AVOP DDBDRAFT_0218286 DICTYOSTELIUM DISCOIDEUM AX4 SUGAR TRANSPORTER GLYCOSIDE-PENTOSIDE-HEXURONIDE GPH CATION SYMPORTER FAMILY SYNECHOCOCCUS SP. JA-3-3AB GLYCOSIDE PENTOSIDE-HEXURONIDE PENTOSIDE HEXURONIDE JA 3-3AB CAENORHABDITIS BRIGGSAE IMPORTED ELEGANS HUMAN NIEMANN PICK C DISEASE RELATED MEMBER NCR-2 NPC2_CAEEL NIEMANN-PICK C1 HOMOLOG 2 PRECURSOR YP93_CAEEL PUTATIVE HELICASE </t>
  </si>
  <si>
    <t xml:space="preserve">SJCHGC09076 SCHISTOSOMA JAPONICUM POSSIBLE PROLINE RICH RHODOCOCCUS SP. RHA1 HYPOTHETICAL CLIMDRAFT_1330 CHLOROBIUM LIMICOLA DSM 245 </t>
  </si>
  <si>
    <t>Extracellular structures</t>
  </si>
  <si>
    <t>gi|66808463</t>
  </si>
  <si>
    <t>Dictyostelium discoideum AX4</t>
  </si>
  <si>
    <t xml:space="preserve">HYPOTHETICAL DDBDRAFT_0218769 DICTYOSTELIUM DISCOIDEUM AX4 RATTUS NORVEGICUS PARTIAL MACACA MULATTA DDBDRAFT_0168484 SIMILAR TO LEISHMANIA MAJOR. PPG3 MANNOPROTEIN SRP1P TIP1P FAMILY SERINE-ALANINE-RICH PROTEINS EXPRESSED UNDER ANAEROBIC CONDITIONS REQUIRED FOR GROWTH TIR3P SACCHAROMYCES CEREVISIAE TIR3_YEAST TIR3 PRECURSOR UNNAMED PRODUCT SERINE ALANINE-RICH ALANINE RICH TUBULIFORM SPIDROIN 1 ULOBORUS DIVERSUS CEMENT 3B VARIANT PHRAGMATOPOMA CALIFORNICA 3 EPA5P CANDIDA GLABRATA AFR107WP EREMOTHECIUM GOSSYPII ASHBYA ATCC 2 PAN TROGLODYTES EIMERIA TENELLA EPA4P 4 MAJOR STRAIN FRIEDLIN PROTEOPHOSPHOGLYCAN 5 </t>
  </si>
  <si>
    <t>cell wall mannoprotein - cell wall (sensu Fungi) - molecular function unknown - biological process unknown</t>
  </si>
  <si>
    <t>cell wall (sensu Fungi)||cell wall||external encapsulating structure||cell part||cellular_component</t>
  </si>
  <si>
    <t>GO:0009277</t>
  </si>
  <si>
    <t>Intracellular trafficking, secretion, and vesicular transport</t>
  </si>
  <si>
    <t>Tymo_45kd_70kd 2e-006| DUF1421 2e-005| TrbL 4e-005| TolA 1e-004| TolA 3e-004| TRAP_240kDa 7e-004| Drf_FH1 0.001| APC_basic 0.002| Atrophin-1 0.002| Candida_ALS 0.002|</t>
  </si>
  <si>
    <t>gi|28373837</t>
  </si>
  <si>
    <t xml:space="preserve">CHAIN 4ANK DESIGNED ANKYRIN REPEAT WITH FOUR IDENTICAL CONSENSUS REPEATS E4_8 SYNTHETIC CONSTRUCT SANK E3_5 AN ARTIFICIAL CRYSTAL STRUCTURE E4_2 2 3 UNC44 AEDES AEGYPTI SIMILAR TO STRONGYLOCENTROTUS PURPURATUS MBP3_5 AMINOGLYCOSIDE PHOSPHOTRANSFERASE APH 3' -IIIA IN COMPLEX INHIBITOR AR_3A SELECTED MALTOSE BINDING THERMOFILUM PENDENS HRK 5 UNNAMED PRODUCT TETRAODON NIGROVIRIDIS PARTIAL DOMAIN WOLBACHIA ENDOSYMBIONT DROSOPHILA MELANOGASTER HYPOTHETICAL WILLISTONI GUANOSINE POLYPHOSPHATE PYROPHOSPHOHYDROLASE SYNTHETASE HOMOLOG RICKETTSIA FELIS URRWXCAL2 PYROPHOSPHOHYDROLASES SYNTHETASES PIPIENTIS ANKRD3-PROV XENOPUS LAEVIS ANKRD3 PROV </t>
  </si>
  <si>
    <t>ANK3: Ankyrin-3 - molecular function unknown - protein targeting - cellular component unknown</t>
  </si>
  <si>
    <t>protein targeting||intracellular protein transport||protein transport||asymmetric protein localization||protein localization||localization||physiological process||biological_process</t>
  </si>
  <si>
    <t xml:space="preserve">SIMILAR TO EE3_2 MACACA MULATTA FAMILY WITH SEQUENCE SIMILARITY 11 MEMBER A RATTUS NORVEGICUS UNKNOWN HOMO SAPIENS FAM11A BOS TAURUS ISOFORM 1 CANIS FAMILIARIS 2 FA11A_PONPY HYPOTHETICAL PONGO PYGMAEUS Q8NFB2 FA11A_HUMAN B UNNAMED PRODUCT MUS MUSCULUS FAM11B TROGLODYTES FA11B_HUMAN FA11B_MOUSE RIKEN CDNA PLASMODIUM CHABAUDI DDBDRAFT_0203987 DICTYOSTELIUM DISCOIDEUM AX4 LISTERIA MONOCYTOGENES STR. 4B PUTATIVE MEMBRANE KRUEPPEL-LIKE FALCIPARUM 3D7 KRUEPPEL LIKE ABC-2 TYPE TRANSPORT SYSTEM PERMEASE HELICOBACTER ACINONYCHIS SHEEBA 2A </t>
  </si>
  <si>
    <t>COG5273 | DUF1361 | Ptpl | Glyco_transf_22 | VanZ | COG4095 | COG4781 | COG5658 | Competence |</t>
  </si>
  <si>
    <t>gi|70937366</t>
  </si>
  <si>
    <t xml:space="preserve">HYPOTHETICAL PLASMODIUM CHABAUDI FALCIPARUM MATURASE TETRAHYMENA THERMOPHILA CHROMOSOME SEGREGATION ATPASE INTRACELLULAR SIGNALLING CYTOPHAGA HUTCHINSONII ATCC SECY-INDEPENDENT TRANSPORTER PHYTOPHTHORA INFESTANS SECY INDEPENDENT ASPERGILLUS NIDULANS FGSC A4 DICTYOSTELIUM DISCOIDEUM POLYMERASE BETA'' CHAIN EIMERIA TENELLA YMF77 PIGMENTOSA DEHYDROGENASE SUBUNIT 2 MELIPONA BICOLOR STEINERNEMA CARPOCAPSAE HISTIDINE KINASE PHEROMONE RECEPTOR STREPTOCOCCUS GORDONII 3D7 INSERTED AFTER NT 369 =NT GENOMIC SEQUENCE CORRECT -1 FRAMESHIFT PROBABLY DUE GEL COMPRESSION 1 5 PARAMARTYRIA SEMIFASCIELLA PUTATIVE MEMBRANE CLOSTRIDIUM DIFFICILE 630 BERGHEI STRAIN ANKA </t>
  </si>
  <si>
    <t>TatC 0.006| NosY 0.010| COG5542 0.023| VanZ 0.033| DUF1113 0.059| DUF216 0.073| COG4758 0.095| PulO | SdaC | COG3936 |</t>
  </si>
  <si>
    <t>gi|82793346</t>
  </si>
  <si>
    <t xml:space="preserve">HYPOTHETICAL PLASMODIUM YOELII STR. 17XNL FALCIPARUM 3D7 BERGHEI STRAIN ANKA CPSIBH STREPTOCOCCUS AGALACTIAE H36B UBIQUITIN-PROTEIN LIGASE 1 PUTATIVE UBIQUITIN </t>
  </si>
  <si>
    <t>7tm_5 | Lung_7-TM_R | Ycf1 | COG3936 |</t>
  </si>
  <si>
    <t>gi|70944004</t>
  </si>
  <si>
    <t xml:space="preserve">HYPOTHETICAL PLASMODIUM CHABAUDI BERGHEI STRAIN ANKA CONSERVED TRYPANOSOMA CRUZI CL BRENER </t>
  </si>
  <si>
    <t>CTP_transf_1 0.005| Polysacc_synt 0.036| COG5273 | COG4589 | Ion_trans | Sterol_desat | TrkH | TLC | TatC | COG4781 |</t>
  </si>
  <si>
    <t>gi|11465928</t>
  </si>
  <si>
    <t>Pedinomonas minor</t>
  </si>
  <si>
    <t xml:space="preserve">DEHYDROGENASE SUBUNIT 4 PEDINOMONAS MINOR STAPHYLOCOCCUS CAPRAE HYPOTHETICAL PLASMODIUM CHABAUDI KRUEPPEL-LIKE FALCIPARUM 3D7 KRUEPPEL LIKE MATURASE TETRAHYMENA THERMOPHILA H+-TRANSPORTING ATP SYNTHASE 6 HOMOLOG TRYPANOSOMA BRUCEI MITOCHONDRION H+ TRANSPORTING YMF77 PARAVORAX CONSERVED </t>
  </si>
  <si>
    <t>TatC 0.030| NosY 0.040| DUF1430 0.073| UPF0005 | COG0762 | YbiR_permease | COG1266 | COG1822 | PulO |</t>
  </si>
  <si>
    <t>gi|91087125</t>
  </si>
  <si>
    <t xml:space="preserve">SIMILAR TO TRIBOLIUM CASTANEUM DEHYDROGENASE PUTATIVE AEDES AEGYPTI DROSOPHILA MELANOGASTER YAKUBA ANOPHELES GAMBIAE STR. PEST PSEUDOOBSCURA NADH-DEHYDROGENASE UBIQUINONE 1 BETA-SUBCOMPLEX 3 ARGAS MONOLAKENSIS NADH BETA SUBCOMPLEX 12KDA XENOPUS TROPICALIS STRONGYLOCENTROTUS PURPURATUS MELLIFERA MACACA MULATTA HYPOTHETICAL DANIO RERIO SAPIENS TROGLODYTES NDUB3_HUMAN SUBUNIT NADH-UBIQUINONE OXIDOREDUCTASE B12 COMPLEX I-B12 CI-B12 Q0MQD1 NDUB3_GORGO Q0MQD2 NDUB3_PANTR NDUFB3 UNKNOWN MITOCHONDRIAL I GORILLA CI GALLUS LAEVIS UNNAMED PRODUCT TETRAODON NIGROVIRIDIS Q0MQD0 NDUB3_PONPY PONGO PYGMAEUS MUS MUSCULUS Q9CQZ6 NDUB3_MOUSE TAURUS NDUB3_BOVIN CANIS FAMILIARIS RATTUS NORVEGICUS PAN </t>
  </si>
  <si>
    <t>CG10320 - NADH dehydrogenase activity - respiratory chain complex I (sensu Eukaryota) - mitochondrial electron transport, NADH to ubiquinone - RNA import into nucleus</t>
  </si>
  <si>
    <t>NADH dehydrogenase activity||oxidoreductase activity\, acting on NADH or NADPH||oxidoreductase activity||catalytic activity||molecular_function</t>
  </si>
  <si>
    <t>GO:0003954</t>
  </si>
  <si>
    <t>respiratory chain complex I (sensu Eukaryota)||respiratory chain complex I||protein complex||cellular_component</t>
  </si>
  <si>
    <t>GO:0005747</t>
  </si>
  <si>
    <t>RNA import into nucleus||RNA transport||viral capsid precursor localization in host cell nucleus||protein localization||localization||physiological process||biological_process</t>
  </si>
  <si>
    <t>GO:0006404</t>
  </si>
  <si>
    <t>NolL | VirB11-like_ATPase |</t>
  </si>
  <si>
    <t>gi|15292445</t>
  </si>
  <si>
    <t xml:space="preserve">DROSOPHILA MELANOGASTER SORBITOL DEHYDROGENASE 1 CG1982-PA SIMILAR TO TRIBOLIUM CASTANEUM DEHYDROGENASE-2 CG4649-PA ANOPHELES GAMBIAE STR. PEST ALCOHOL AEDES AEGYPTI CHAIN KETOSE REDUCTASE FROM SILVERLEAF WHITEFLY -DEPENDENT BEMISIA ARGENTIFOLII DEPENDENT PARTIAL STRONGYLOCENTROTUS PURPURATUS BOMBYX MORI MELLIFERA 2 L-IDITOL 2-DEHYDROGENASE DANIO RERIO L IDITOL PRECURSOR MUS MUSCULUS DOMESTICUS UNNAMED PRODUCT TETRAODON NIGROVIRIDIS DHSO_MOUSE SHEEP TENTATIVE SEQUENCE DHSO_SHEEP RATTUS NORVEGICUS DHSO_RAT </t>
  </si>
  <si>
    <t>Sorbitol dehydrogenase 1 - L-iditol 2-dehydrogenase activity</t>
  </si>
  <si>
    <t>D-xylulose reductase activity||oxidoreductase activity\, acting on the CH-OH group of donors\, NAD or NADP as acceptor||oxidoreductase activity\, acting on CH-OH group of donors||oxidoreductase activity||catalytic activity||molecular_function</t>
  </si>
  <si>
    <t>GO:0046526</t>
  </si>
  <si>
    <t>monosaccharide metabolism||cellular carbohydrate metabolism||carbohydrate metabolism||primary metabolism||metabolism||physiological process||biological_process</t>
  </si>
  <si>
    <t>GO:0005996</t>
  </si>
  <si>
    <t>Secondary metabolites biosynthesis, transport and catabolism</t>
  </si>
  <si>
    <t>Tdh 4e-008| ADH_zinc_N 6e-004| AdhC 0.021| AdhP |</t>
  </si>
  <si>
    <t>gi|18250997</t>
  </si>
  <si>
    <t>Staphylococcus caprae</t>
  </si>
  <si>
    <t xml:space="preserve">STAPHYLOCOCCUS CAPRAE HYPOTHETICAL TRYPANOSOMA CRUZI STRAIN CL BRENER CONSERVED YMF77 TETRAHYMENA THERMOPHILA KINASE PUTATIVE PLASMODIUM FALCIPARUM 3D7 GUILLARDIA THETA MULTIDRUG RESISTANCE ACRB ACRD FAMILY CHLOROBIUM TEPIDUM TLS BERGHEI ANKA </t>
  </si>
  <si>
    <t>TagG 0.088| MopB_Res-Cmplx1_Nad11-M | COG3431 | STE3 | COG4758 | AcrB | 7tm_6 | Srg | SdaC | DUF907 |</t>
  </si>
  <si>
    <t>gi|57238183</t>
  </si>
  <si>
    <t>Campylobacter jejuni RM1221</t>
  </si>
  <si>
    <t xml:space="preserve">HYDROGENASE MATURATION HYPF CAMPYLOBACTER JEJUNI TRANSCRIPTIONAL REGULATORY SUBSP. NCTC CARBAMOYLTRANSFERASE COLI HYPOTHETICAL DOYLEI CONSERVED LARI PLASMODIUM YOELII STR. 17XNL DOMAIN PUTATIVE </t>
  </si>
  <si>
    <t>COG3002 | IRR1 |</t>
  </si>
  <si>
    <t>gi|116334869</t>
  </si>
  <si>
    <t>Lactobacillus brevis ATCC 367</t>
  </si>
  <si>
    <t xml:space="preserve">HYPOTHETICAL LVIS_A02 LACTOBACILLUS BREVIS ATCC 367 </t>
  </si>
  <si>
    <t>Methyltransf_2 |</t>
  </si>
  <si>
    <t>FH2 |</t>
  </si>
  <si>
    <t>gi|17549615</t>
  </si>
  <si>
    <t>Ralstonia solanacearum</t>
  </si>
  <si>
    <t xml:space="preserve">HYPOTHETICAL ORYZA SATIVA JAPONICA CULTIVAR-GROUP CULTIVAR GROUP </t>
  </si>
  <si>
    <t>gi|66542483</t>
  </si>
  <si>
    <t xml:space="preserve">SIMILAR TO VAV CG7893-PA ISOFORM A APIS MELLIFERA TRIBOLIUM CASTANEUM DROSOPHILA PSEUDOOBSCURA MELANOGASTER CG7893-PB Q9NHV9 VAV_DROME DROVAV ANOPHELES GAMBIAE STR. PEST TAURUS ONCOGENE PAN TROGLODYTES 2 SAPIENS MUSCULUS RATTUS NORVEGICUS PROTO-ONCOGENE PARTIAL BOS PROTO CANIS FAMILIARIS UNNAMED PRODUCT MUS VAV_MOUSE P95VAV </t>
  </si>
  <si>
    <t>vav - actin filament organization - cell adhesion - regulation of cell shape - guanyl-nucleotide exchange factor activity - Rho GTPase activator activity - Rho protein signal transduction - diacylglycerol binding - cellular component unknown</t>
  </si>
  <si>
    <t>guanyl-nucleotide exchange factor activity||GTPase regulator activity||enzyme regulator activity||molecular_function</t>
  </si>
  <si>
    <t>GO:0005085</t>
  </si>
  <si>
    <t>actin filament organization||actin cytoskeleton organization and biogenesis||actin filament-based process||cytoskeleton organization and biogenesis||organelle organization and biogenesis||cell organization and biogenesis||cellular physiological process||physiological process||biological_process</t>
  </si>
  <si>
    <t>GO:0007015</t>
  </si>
  <si>
    <t>RhoGEF 1e-008| Glyco_transf_54 0.067| CSE1 | HolA | DUF475 |</t>
  </si>
  <si>
    <t>DsbA_DsbA |</t>
  </si>
  <si>
    <t>gi|91083463</t>
  </si>
  <si>
    <t xml:space="preserve">SIMILAR TO CG2852-PA ISOFORM A TRIBOLIUM CASTANEUM RATTUS NORVEGICUS PEPTIDYLPROLYL ISOMERASE B CYCLOPHILIN GALLUS PPIB_CHICK PEPTIDYL-PROLYL CIS-TRANS PRECURSOR PPIASE ROTAMASE S-CYCLOPHILIN SCYLP PEPTIDYL PROLYL CIS TRANS S PPIB_RAT CYP-S1 CYP S1 EC PAN TROGLODYTES 1 MACACA MULATTA SYNTHETIC CONSTRUCT HOMO SAPIENS 2 SECRETED CYCLOPHILIN-LIKE CHAIN COMPLEXED WITH D- CHOLINYLESTER SER8 -CYCLOSPORIN D PPIB_HUMAN TAENIA SOLIUM XENOPUS TROPICALIS PPIB-PROV LAEVIS PPIB PROV CANIS FAMILIARIS 4 3 PPIB_BOVIN BOS TAURUS </t>
  </si>
  <si>
    <t>PPIB, CYPB: Peptidyl-prolyl cis-trans isomerase B precursor - peptidyl-prolyl cis-trans isomerase activity - unfolded protein binding - endoplasmic reticulum - endoplasmic reticulum lumen</t>
  </si>
  <si>
    <t>Pro_isomerase 0.003| cyclophilin_ABH_like 0.015|</t>
  </si>
  <si>
    <t>gi|82914728</t>
  </si>
  <si>
    <t xml:space="preserve">HYPOTHETICAL PLASMODIUM BERGHEI STRAIN ANKA CAENORHABDITIS BRIGGSAE AMSACTA MOOREI ENTOMOPOXVIRUS FUSOBACTERIUM NUCLEATUM SUBSP. ATCC PUTATIVE MEMBRANE CLOSTRIDIUM DIFFICILE 630 VALYL-TRNA SYNTHETASE CANDIDATUS CARSONELLA RUDDII VALYL TRNA INSERTED AFTER NT 369 =NT GENOMIC SEQUENCE CORRECT -1 FRAMESHIFT PROBABLY DUE GEL COMPRESSION 1 TETANI E88 YARROWIA LIPOLYTICA UNNAMED PRODUCT CLIB122 FALCIPARUM CGMP-SPECIFIC PHOSPHODIESTERASE 3D7 CGMP SPECIFIC DEHYDROGENASE SUBUNIT 2 DIROFILARIA IMMITIS SJCHGC01974 SCHISTOSOMA JAPONICUM NADH-UBIQUINONE OXIDOREDUCTASE 4 GLOBODERA PALLIDA NADH UBIQUINONE CRYPTOSPORIDIUM PARVUM IOWA II SIGNAL PEPTIDE YMF65 TETRAHYMENA THERMOPHILA CHABAUDI FERRISIA GILLI UNKNOWN SYNTHETIC CONSTRUCT MULTIDRUG RESISTANCE RELATED SULFOLOBUS SOLFATARICUS P2 PARAVORAX </t>
  </si>
  <si>
    <t>TatC 0.023| COG3431 0.041| COG5273 0.044| COG4267 0.099| CdsA | CTP_transf_1 | DsbB | DltB | DUF216 | aPHC |</t>
  </si>
  <si>
    <t>gi|15836993</t>
  </si>
  <si>
    <t>Xylella fastidiosa 9a5c</t>
  </si>
  <si>
    <t xml:space="preserve">HYPOTHETICAL XYLELLA FASTIDIOSA 9A5C </t>
  </si>
  <si>
    <t>MopB_Formate-Dh-Na-like |</t>
  </si>
  <si>
    <t>gi|16803119</t>
  </si>
  <si>
    <t>Listeria monocytogenes str. 1/2a F6854</t>
  </si>
  <si>
    <t xml:space="preserve">HYPOTHETICAL LISTERIA MONOCYTOGENES EGD-E MEMBRANE PUTATIVE STR. 1 2A </t>
  </si>
  <si>
    <t xml:space="preserve">HYPOTHETICAL FUSOBACTERIUM NUCLEATUM SUBSP. VINCENTII ATCC CONSERVED AEDES AEGYPTI ANOPHELES GAMBIAE STR. PEST LETAOMP15 LEISHMANIA TARENTOLAE TERMINUS UNCERTAIN DEHYDROGENASE SUBUNIT 4 CYTOCHROME-C OXIDASE EC CHAIN III CRITHIDIA FASCICULATA MITOCHONDRION FRAGMENT CYTOCHROME C PLASMODIUM CHABAUDI YARROWIA LIPOLYTICA UNNAMED PRODUCT CLIB122 5 STRONGYLOIDES STERCORALIS 6 ONCHOCERCA VOLVULUS Y50E8A.I CAENORHABDITIS ELEGANS </t>
  </si>
  <si>
    <t>Cell cycle control, cell division, chromosome partitioning, Cytoskeleton</t>
  </si>
  <si>
    <t>cytochrome_b_C | AMPD |</t>
  </si>
  <si>
    <t xml:space="preserve">HYPOTHETICAL FUSOBACTERIUM NUCLEATUM SUBSP. VINCENTII ATCC CONSERVED AEDES AEGYPTI CD47-LIKE SHEEPPOX VIRUS CD47 LIKE LETAOMP15 LEISHMANIA TARENTOLAE TERMINUS UNCERTAIN LSDV128 LUMPY SKIN DISEASE ANOPHELES GAMBIAE STR. PEST DEHYDROGENASE SUBUNIT 4 CYTOCHROME-C OXIDASE EC CHAIN III CRITHIDIA FASCICULATA MITOCHONDRION FRAGMENT CYTOCHROME C NW-LW NW LW 5 STRONGYLOIDES STERCORALIS PLASMODIUM CHABAUDI SJCHGC02188 SCHISTOSOMA JAPONICUM 6 ONCHOCERCA VOLVULUS </t>
  </si>
  <si>
    <t>7tm_5 | Srg |</t>
  </si>
  <si>
    <t>gi|28210516</t>
  </si>
  <si>
    <t>Clostridium tetani E88</t>
  </si>
  <si>
    <t xml:space="preserve">HYPOTHETICAL CLOSTRIDIUM TETANI E88 </t>
  </si>
  <si>
    <t>Ubiquinol_oxidase_III | AnsP | NuoA |</t>
  </si>
  <si>
    <t>gi|95103130</t>
  </si>
  <si>
    <t xml:space="preserve">ABNORMAL WING DISC-LIKE BOMBYX MORI DISC LIKE NON-METASTATIC CELLS 1 NM23A EXPRESSED IN ISOFORM A HOMO SAPIENS NM23-H1 METASTATIC NM23 H1 NUCLEOSIDE-DIPHOSPHATE KINASE SYNTHETIC CONSTRUCT NON NUCLEOSIDE DIPHOSPHATE B NDKA_HUMAN NDK NDP TUMOR PROCESS-ASSOCIATED METASTASIS INHIBITION FACTOR GRANZYME A-ACTIVATED DNASE GAAD NDKA_PONPY CHAIN CRYSTAL STRUCTURE HUMAN COMPLEXED WITH ADP NBR-A PUTATIVE AEDES AEGYPTI NBR DISCS CG2210-PA DROSOPHILA MELANOGASTER NDKA_DROYA DISKS SIMILAR TO AWD YAKUBA NDKA_DROME KILLER PRUNE E.C.2.7.4.6 UNNAMED PRODUCT TRIBOLIUM CASTANEUM CHORISTONEURA PARALLELA DIAPHORINA CITRI MACACA MULATTA ANOPHELES GAMBIAE STR. PEST GRAPHOCEPHALA ATROPUNCTATA RATTUS NORVEGICUS NDKA_RAT PROCESS ASSOCIATED CANIS FAMILIARIS NDKA_CANFA NM23-C1 C1 X-RAY AT 2 RESOLUTION BOS TAURUS NDKA1_BOVIN FROM BOVINE RETINA NBR-B NDKA2_BOVIN NDPK-A NM23-M1 MUSCULUS NDPK M1 MUS NDKA_MOUSE </t>
  </si>
  <si>
    <t>NME1, NDPKA, NM23: Nucleoside diphosphate kinase A - magnesium ion binding - DNA binding - deoxyribonuclease activity - nucleoside diphosphate kinase activity - ATP binding - negative regulation of cell proliferation - nucleoside triphosphate biosynthesis - regulation of apoptosis - nucleus - cytoplasm</t>
  </si>
  <si>
    <t>magnesium ion binding||metal ion binding||ion binding||binding||molecular_function</t>
  </si>
  <si>
    <t>GO:0000287</t>
  </si>
  <si>
    <t xml:space="preserve">TPA_INF DROSOPHILA MELANOGASTER BINDING RGGM TRYPANOSOMA CRUZI HYPOTHETICAL BRUCEI TREU927 RNA-BINDING PUTATIVE RNA ANOPHELES GAMBIAE STR. PEST ENDO-1 4-BETA-GLUCANASE XYLELLA FASTIDIOSA 9A5C BETA-GLUCANASE BETA GLUCANASE SIMILAR TO REO_6 DANIO RERIO STRAIN CL BRENER PARTIAL APIS MELLIFERA KERATIN COMPLEX 2 BASIC GENE 1 MUS MUSCULUS K2C1_MOUSE CYTOSKELETAL CYTOKERATIN-1 CK-1 KERATIN-1 KDA CYTOKERATIN SUBUNIT CK TOPOISOMERASE III ALPHA INTERACTION PARTNER DNMT2 CG2961-PA 3ALPHA TOP3A_DROME DNA 3-ALPHA MACACA MULATTA UNNAMED PRODUCT ARABIDOPSIS THALIANA INTERMEDIATE FILAMENT E2 BRANCHIOSTOMA LANCEOLATUM FAMILY WITH SEQUENCE SIMILARITY 98 MEMBER B RATTUS NORVEGICUS YARROWIA LIPOLYTICA CLIB122 17 EPIDERMIS </t>
  </si>
  <si>
    <t>Topoisomerase 3&amp;agr; - DNA topoisomerase activity - DNA topoisomerase type I activity</t>
  </si>
  <si>
    <t xml:space="preserve">HYPOTHETICAL PLASMODIUM YOELII STR. 17XNL </t>
  </si>
  <si>
    <t>DUF216 | Ribosomal_S13 |</t>
  </si>
  <si>
    <t>gi|15792617</t>
  </si>
  <si>
    <t>Campylobacter jejuni subsp. jejuni NCTC 11168</t>
  </si>
  <si>
    <t xml:space="preserve">PUTATIVE AMINOTRANSFERASE DEGT FAMILY CAMPYLOBACTER JEJUNI SUBSP. NCTC ERYC1 STRS SPECIFIC FOR PSEB PRODUCT HB93 13 84 25 SHEEPPOX VIRUS INTERLEUKIN-I RECEPTOR-LIKE LUMPY SKIN DISEASE INTERLEUKIN I RECEPTOR LIKE INTERLEUKIN-1 NW-LW 1 NW LW LSDV013 NI 2490 </t>
  </si>
  <si>
    <t>Signal transduction mechanisms, Chromatin structure and dynamics, Replication, recombination and repair, Cell cycle control, cell division, chromosome partitioning</t>
  </si>
  <si>
    <t>gi|73537892</t>
  </si>
  <si>
    <t>Ralstonia eutropha JMP134</t>
  </si>
  <si>
    <t xml:space="preserve">LIPOPROTEIN PUTATIVE RALSTONIA EUTROPHA FASCICLIN DOMAIN MEDICAGO TRUNCATULA HYPOTHETICAL RHODOPSEUDOMONAS PALUSTRIS APIS MELLIFERA PARTIAL CUTICLE APHIS GOSSYPII SIMILAR TO POTASSIUM VOLTAGE-GATED CHANNEL SUBFAMILY C MEMBER 4 SUBUNIT KV3.4 DANIO RERIO VOLTAGE GATED SIGNAL PEPTIDASE BACILLUS SUBTILIS SUBSP. STR. 168 LEPW_BACSU W SPASE LEADER MFLVDRAFT_0348 MYCOBACTERIUM FLAVESCENS PYR-GCK LIPID BINDING NUTRIENT RESERVOIR ARABIDOPSIS THALIANA 2SS1_ARATH STORAGE 1 PRECURSOR ALBUMIN NWMU2-2S CONTAINS SMALL LARGE NWMU1-2S ISOFORM NWMU2 NWMU1 CHAETOMIUM GLOBOSUM CBS CONSERVED BISB18 MMC1DRAFT_2603 MAGNETOCOCCUS SP. MC-1 </t>
  </si>
  <si>
    <t>ResB | Ribosomal_L19e_E | RRP22 |</t>
  </si>
  <si>
    <t>gi|54113801</t>
  </si>
  <si>
    <t xml:space="preserve">SYNTHETIC CONSTRUCT HYPOTHETICAL FRANCISELLA TULARENSIS SUBSP. HOLARCTICA CONSERVED MEMBRANE LVS SCHU S4 OSU18 PROCHLOROCOCCUS MARINUS PASTORIS STR. PCC 9511 MUSCULUS SIMILAR TO CHROMOSOME 16 OPEN READING FRAME 50 RATTUS NORVEGICUS SRG-S SRG S KINASE MYCOBACTERIUM FLAVESCENS PYR-GCK </t>
  </si>
  <si>
    <t>DUF499 |</t>
  </si>
  <si>
    <t>gi|57241382</t>
  </si>
  <si>
    <t>Campylobacter lari RM2100</t>
  </si>
  <si>
    <t xml:space="preserve">PROBABLE INTEGRAL MEMBRANE CAMPYLOBACTER LARI HYPOTHETICAL CONSERVED EIMERIA TENELLA POLYMERASE PLEUROTUS OSTREATUS CANDIDA ALBICANS TETRAHYMENA THERMOPHILA PUTATIVE GLYCOSYLTRANSFERASE CLOSTRIDIUM DIFFICILE 630 DEHYDROGENASE SUBUNIT 4 MATURASE-LIKE EUGLENA VIRIDIS MATURASE LIKE PHOSPHATASE PLASMODIUM YOELII STR. 17XNL LEUCINE-RICH REPEAT MEDICAGO TRUNCATULA LEUCINE RICH UNKNOWN BODO SALTANS MYCOPLASMA SYNOVIAE 53 NANOARCHAEUM EQUITANS KIN4-M DDBDRAFT_0185999 DICTYOSTELIUM DISCOIDEUM AX4 QCD-32G58 FALCIPARUM 3D7 COLWELLIA PSYCHRERYTHRAEA 34H METHANOSARCINA ACETIVORANS C2A 6 STRONGYLOIDES STERCORALIS CRYPTOSPORIDIUM PARVUM IOWA II SIGNAL PEPTIDE </t>
  </si>
  <si>
    <t>7tm_5 7e-004| PSN 0.010| PIG-U 0.032| TatC 0.058| DUF216 0.069| COG5578 | COG2194 | VanZ | DUF1461 | Trp_Tyr_perm |</t>
  </si>
  <si>
    <t>gi|15920507</t>
  </si>
  <si>
    <t xml:space="preserve">HYPOTHETICAL SULFOLOBUS TOKODAII STR. 7 CONSERVED </t>
  </si>
  <si>
    <t>gi|15894176</t>
  </si>
  <si>
    <t>Clostridium acetobutylicum ATCC 824</t>
  </si>
  <si>
    <t xml:space="preserve">HYPOTHETICAL CLOSTRIDIUM ACETOBUTYLICUM ATCC 824 UNCHARACTERIZED CONSERVED MEMBRANE </t>
  </si>
  <si>
    <t>COG4934 |</t>
  </si>
  <si>
    <t>General function prediction only, Signal transduction mechanisms</t>
  </si>
  <si>
    <t>ATP-synt_A | COG1258 | ArsB_NhaD_permease | ComEC | SEC23 |</t>
  </si>
  <si>
    <t>gi|108873855</t>
  </si>
  <si>
    <t xml:space="preserve">CONSERVED HYPOTHETICAL AEDES AEGYPTI </t>
  </si>
  <si>
    <t>TerC | TerC |</t>
  </si>
  <si>
    <t>gi|54609197</t>
  </si>
  <si>
    <t xml:space="preserve">RIBOSOMAL L5 BOMBYX MORI RL5_BOMMO 60S SIMILAR TO TRIBOLIUM CASTANEUM L5E SCARABAEUS LATICOLLIS DANIO RERIO L5B ICTALURUS PUNCTATUS L5A XENOPUS LAEVIS TROPICALIS PLATICHTHYS FLESUS CARABUS GRANULATUS HISTER SP. LYSIPHLEBUS TESTACEIPES RL5_HELAN RPL5A-RELATED HELIANTHUS ANNUUS RPL5A RELATED UNNAMED PRODUCT TETRAODON NIGROVIRIDIS RL5B_XENLA L5-B RL5A_XENLA L5-A ISOFORM C DROSOPHILA MELANOGASTER A OIKOPLEURA DIOICA AEDES AEGYPTI </t>
  </si>
  <si>
    <t>Ribosomal protein L5 - protein binding - structural constituent of ribosome - cytosolic large ribosomal subunit (sensu Eukaryota) - protein biosynthesis - 5S rRNA binding</t>
  </si>
  <si>
    <t>PAP2_like_6 0.024| Nucleoside_tran 0.067| COG2252 | Nodulin-like | SUL1 | COG0733 | SecY | DUF445 | COG3368 | DUF975 |</t>
  </si>
  <si>
    <t>gi|71025985</t>
  </si>
  <si>
    <t>Theileria parva</t>
  </si>
  <si>
    <t xml:space="preserve">DNA-DIRECTED RNA POLYMERASE SUBUNIT BETA THEILERIA PARVA STRAIN MUGUGA RPOB_THEPA CHAIN PUTATIVE DNA DIRECTED </t>
  </si>
  <si>
    <t>IPT | Ferric_reduct |</t>
  </si>
  <si>
    <t>COG1284 |</t>
  </si>
  <si>
    <t>gi|89306918</t>
  </si>
  <si>
    <t xml:space="preserve">HYPOTHETICAL TETRAHYMENA THERMOPHILA MEMBRANE SPANNING PICROPHILUS TORRIDUS DSM 9790 </t>
  </si>
  <si>
    <t>PMT1 | SQR_TypeC_SdhC | Herpes_gp2 | PMT |</t>
  </si>
  <si>
    <t>TatC |</t>
  </si>
  <si>
    <t>gi|54039495</t>
  </si>
  <si>
    <t xml:space="preserve">Q8WQI3 RS29_SPOFR RIBOSOMAL S29 SPODOPTERA FRUGIPERDA BOMBYX MORI PLUTELLA XYLOSTELLA 8 LONOMIA OBLIQUA S29E SCARABAEUS LATICOLLIS SIMILAR TO CG8495-PA ISOFORM A APIS MELLIFERA TRIBOLIUM CASTANEUM SPHAERIUS SP. CURCULIO GLANDIUM ANOPHELES GAMBIAE STR. PEST TIMARCHA BALEARICA DROSOPHILA MELANOGASTER B LYSIPHLEBUS TESTACEIPES RS29_DROME YAKUBA PA RS29_CULQU RIBSOMAL CULEX PIPIENS QUINQUEFASCIATUS AEDES AEGYPTI PUTATIVE IXODES SCAPULARIS BRANCHIOSTOMA BELCHERI TSINGTAUNESE PSEUDOOBSCURA SCHISTOSOMA JAPONICUM ARGAS MONOLAKENSIS RS29_ICTPU Q6UZG0 RS29_HIPCM ICTALURUS PUNCTATUS HIPPOCAMPUS COMES UNNAMED PRODUCT TETRAODON NIGROVIRIDIS XENOPUS LAEVIS SCOPHTHALMUS MAXIMUS 1 HOMO SAPIENS MUSCULUS RATTUS NORVEGICUS TAURUS TROPICALIS 40S CANIS FAMILIARIS MACACA MULATTA TROGLODYTES RS29_HUMAN RS29_RAT RS29_MOUSE RS29_BOVIN HOMOLOGOUS ANTISENSE SEQUENCE KREV-1 ANTI </t>
  </si>
  <si>
    <t>ribosomal protein S29 - intracellular - ribosome - cytosolic small ribosomal subunit (sensu Eukaryota) - structural constituent of ribosome - zinc ion binding - RNA binding - regulation of cell shape - protein biosynthesis</t>
  </si>
  <si>
    <t>RpsN 2e-012| Ribosomal_S14 2e-005| DUF302 | Peptidase_C1B |</t>
  </si>
  <si>
    <t>gi|23613065</t>
  </si>
  <si>
    <t xml:space="preserve">ATP-DEPENDENT HELICASE PUTATIVE PLASMODIUM FALCIPARUM 3D7 DEPENDENT </t>
  </si>
  <si>
    <t>LcnDR2 | MDN1 | DUF939 |</t>
  </si>
  <si>
    <t>IPPc |</t>
  </si>
  <si>
    <t>gi|66810365</t>
  </si>
  <si>
    <t xml:space="preserve">HYPOTHETICAL DICTYOSTELIUM DISCOIDEUM AX4 MKIAA1099 MUSCULUS VIRULENCE FACTOR MVIN BORRELIA AFZELII PKO GIBBERELLA ZEAE PH-1 SECY-INDEPENDENT TRANSPORTER PHYTOPHTHORA INFESTANS INDEPENDENT PLASMODIUM YOELII STR. 17XNL </t>
  </si>
  <si>
    <t>unknown - intrinsic to external side of plasma membrane</t>
  </si>
  <si>
    <t>intrinsic to external side of plasma membrane||intrinsic to plasma membrane||plasma membrane part||membrane part||cell part||cellular_component</t>
  </si>
  <si>
    <t>GO:0031233</t>
  </si>
  <si>
    <t>DUF32 | CyoE | TAS2R | ZnuB | Bac_export_2 | COG1284 | Spore_permease | FlhB | NuoM | PSN |</t>
  </si>
  <si>
    <t>gi|95007121</t>
  </si>
  <si>
    <t>Toxoplasma gondii</t>
  </si>
  <si>
    <t xml:space="preserve">HYPOTHETICAL PLASMODIUM CHABAUDI UNNAMED PRODUCT MUS MUSCULUS TETRAODON NIGROVIRIDIS SJCHGC06985 SCHISTOSOMA JAPONICUM BKM-LIKE SEX-DETERMINING REGION FRUIT FLY DROSOPHILA MELANOGASTER FRAGMENT BKM LIKE SEX DETERMINING UNCULTURED ORGANISM METHANOSARCINA ACETIVORANS C2A CONSERVED MTRDRAFT_AC125476G23V1 MEDICAGO TRUNCATULA PROBABLE INTEGRAL MEMBRANE MALARIA PARASITE FALCIPARUM TRANSMEMBRANE CLOSTRIDIUM BEIJERINCKI NCIMB 8052 SJCHGC01974 SJCHGC01957 RIKEN CDNA DDBDRAFT_0204172 DICTYOSTELIUM DISCOIDEUM AX4 3D7 TWO-COMPONENT SENSOR HISTIDINE KINASE DIFFICILE 630 TWO COMPONENT QCD-32G58 ANOPHELES GAMBIAE STR. PEST </t>
  </si>
  <si>
    <t>7tm_5 0.062| UPF0005 | Gly_His_Pro_Ser_Thr_tRS_core | antithrombin-III_like | DUF280 | RNA_pol_Rpb1_3 |</t>
  </si>
  <si>
    <t>gi|89307966</t>
  </si>
  <si>
    <t>Tetrahymena thermophila SB210</t>
  </si>
  <si>
    <t xml:space="preserve">HYPOTHETICAL TETRAHYMENA THERMOPHILA </t>
  </si>
  <si>
    <t>DUF194 |</t>
  </si>
  <si>
    <t>Aph-1 | DUF234 |</t>
  </si>
  <si>
    <t>BCCT |</t>
  </si>
  <si>
    <t>gi|110767298</t>
  </si>
  <si>
    <t xml:space="preserve">SIMILAR TO RIBOSOMAL L21 MELLIFERA SPODOPTERA FRUGIPERDA PLUTELLA XYLOSTELLA HELICOVERPA ZEA TRIBOLIUM CASTANEUM L21E SPHAERIUS SP. BOMBYX MORI DROSOPHILA MELANOGASTER LYSIPHLEBUS TESTACEIPES 6 LONOMIA OBLIQUA PSEUDOOBSCURA YAKUBA MACACA MULATTA MUS MUSCULUS PAN TROGLODYTES XENOPUS LAEVIS ISOFORM 1 2 HYPOTHETICAL 3 60S CANIS FAMILIARIS </t>
  </si>
  <si>
    <t>Ribosomal protein L21 - cytosolic large ribosomal subunit (sensu Eukaryota) - protein biosynthesis</t>
  </si>
  <si>
    <t>Spy | FtsN |</t>
  </si>
  <si>
    <t>gi|66815805</t>
  </si>
  <si>
    <t xml:space="preserve">HYPOTHETICAL DDBDRAFT_0206173 DICTYOSTELIUM DISCOIDEUM AX4 MUSCULUS UNNAMED PRODUCT PLASMODIUM CHABAUDI FALCIPARUM 3D7 MANNOSYLTRANSFERASE-III MANNOSYLTRANSFERASE III CYTOCHROME C OXIDASE SUBUNIT 1 CAENORHABDITIS BRIGGSAE NEUROSPORA CRASSA OR74A MAGNAPORTHE GRISEA SYNTHASE F0 6 PARATOMELLA RUBRA DEHYDROGENASE SCHISTOSOMA MEKONGI SHOCK 82 STEGANACARUS MAGNUS </t>
  </si>
  <si>
    <t>Ferric_reduct 0.010| COG0398 | COG4781 | DUF846 | SdhC | Delta12-FADS-like | EPT1 | Sdh_cyt | DUF216 | PorG |</t>
  </si>
  <si>
    <t>gi|85712143</t>
  </si>
  <si>
    <t>Idiomarina baltica OS145</t>
  </si>
  <si>
    <t xml:space="preserve">POLYSACCHARIDE BIOSYNTHESIS IDIOMARINA BALTICA HYPOTHETICAL ENCEPHALITOZOON CUNICULI GB-M1 SEVEN TM RECEPTOR FAMILY MEMBER STR-214 CAENORHABDITIS ELEGANS ATP-BINDING CASSETTE TRANSPORTER SUB-FAMILY A 16 MUS MUSCULUS BINDING SUB SIMILAR TO RATTUS NORVEGICUS ATP </t>
  </si>
  <si>
    <t>COG3859 | TAS2R |</t>
  </si>
  <si>
    <t>gi|89309056</t>
  </si>
  <si>
    <t xml:space="preserve">UBIQUITIN-TRANSFERASE HECT-DOMAIN TETRAHYMENA THERMOPHILA UBIQUITIN TRANSFERASE HECT DOMAIN HYPOTHETICAL PLASMODIUM FALCIPARUM 3D7 YOELII STR. 17XNL SIMILAR TO CG4611-PA TRIBOLIUM CASTANEUM TRANSPORTER ATP-BINDING BACILLUS THURINGIENSIS SEROVAR KONKUKIAN BINDING 97 27 CEREUS E33L CHABAUDI BERGHEI STRAIN ANKA CONSERVED RHOPTRY </t>
  </si>
  <si>
    <t>COG2604 0.022| COG4781 | MenA |</t>
  </si>
  <si>
    <t>gi|111379895</t>
  </si>
  <si>
    <t>Triatoma brasiliensis</t>
  </si>
  <si>
    <t xml:space="preserve">RIBOSOMAL L28 TRIATOMA BRASILIENSIS SIMILAR TO 60S APIS MELLIFERA PUTATIVE DIAPHORINA CITRI L28E CARABUS GRANULATUS MELADEMA CORIACEA TRIBOLIUM CASTANEUM EUCINETUS SP. LYSIPHLEBUS TESTACEIPES 30 LONOMIA OBLIQUA PLUTELLA XYLOSTELLA BOMBYX MORI RL28_SPOFR SPODOPTERA FRUGIPERDA DROSOPHILA PSEUDOOBSCURA AEDES AEGYPTI MELANOGASTER ISOFORM A Q9VZS5 RL28_DROME YAKUBA HYPOTHETICAL TAURUS RL28_BOVIN ANOPHELES GAMBIAE STR. PEST CANIS FAMILIARIS MUS MUSCULUS RATTUS NORVEGICUS RL28_MOUSE UNNAMED PRODUCT UNKNOWN FOR MGC XENOPUS LAEVIS SYNTHETIC CONSTRUCT HOMO SAPIENS ICTALURUS PUNCTATUS 2 MACACA MULATTA TROGLODYTES RL28_HUMAN RPL28 </t>
  </si>
  <si>
    <t>RPL28: 60S ribosomal protein L28 - RNA binding - structural constituent of ribosome - protein biosynthesis - cytosolic large ribosomal subunit (sensu Eukaryota)</t>
  </si>
  <si>
    <t>Ribosomal_L28e 2e-013| COG4641 | ThiP | HTA1 | SEC6 | Arsenite_oxidase |</t>
  </si>
  <si>
    <t>gi|116334944</t>
  </si>
  <si>
    <t>Candidatus Carsonella ruddii PV</t>
  </si>
  <si>
    <t xml:space="preserve">ASPARTYL GLUTAMYL-TRNA AMIDOTRANSFERASE B SUBUNIT CANDIDATUS CARSONELLA RUDDII PV GLUTAMYL TRNA HYPOTHETICAL PLASMODIUM FALCIPARUM 3D7 YOELII STR. 17XNL </t>
  </si>
  <si>
    <t>MopB_Res-Cmplx1_Nad11-M | COG3936 |</t>
  </si>
  <si>
    <t>gi|16304416</t>
  </si>
  <si>
    <t>Creontiades dilutus</t>
  </si>
  <si>
    <t xml:space="preserve">SERINE PROTEASE CREONTIADES DILUTUS TRYPSIN PRECURSOR LLSGP4 LYGUS LINEOLARIS LLSGP2 LLGTP1 LLSGP3 LHP1 HESPERUS SIMILAR TO TRIBOLIUM CASTANEUM VENOM APIS MELLIFERA TRYPSIN-LIKE PROTEINASE ANTHONOMUS GRANDIS LIKE HEMOLYMPH 12 MANDUCA SEXTA LUMBROKINASE-3 PUTATIVE AEDES AEGYPTI LUMBROKINASE 3 DOMAIN LUMBROKINASE-3T2 3T2 24 CLOTTING FACTOR G BETA SUBUNIT TACHYPLEUS TRIDENTATUS PROPHENOLOXIDASE-ACTIVATING PROTEINASE-2 PROPHENOLOXIDASE ACTIVATING 2 PACIFASTACUS LENIUSCULUS </t>
  </si>
  <si>
    <t>F12: Coagulation factor XII precursor - coagulation factor XIa activity - coagulation factor XIIa activity - blood coagulation - extracellular region</t>
  </si>
  <si>
    <t>coagulation factor XIa activity||serine-type endopeptidase activity||serine-type peptidase activity||peptidase activity||hydrolase activity||catalytic activity||molecular_function</t>
  </si>
  <si>
    <t>GO:0003805</t>
  </si>
  <si>
    <t>&lt;blood coagulation</t>
  </si>
  <si>
    <t>GO:0007596</t>
  </si>
  <si>
    <t>Tryp_SPc 3e-014| Tryp_SPc 4e-013| Trypsin 1e-009| COG5640 2e-006|</t>
  </si>
  <si>
    <t>gi|81158438</t>
  </si>
  <si>
    <t>Amphilophium aschersonii</t>
  </si>
  <si>
    <t xml:space="preserve">DEHYDROGENASE SUBUNIT F AMPHILOPHIUM ASCHERSONII PANICULATUM HAPLOLOPHIUM RODRIGUESII HYPOTHETICAL RATTUS NORVEGICUS PLASMODIUM FALCIPARUM 3D7 SYNECHOCOCCUS SP. CHABAUDI CONSERVED ASPERGILLUS TERREUS UNNAMED PRODUCT ORYZAE SJCHGC01957 SCHISTOSOMA JAPONICUM MANSOA LANCEOLATA ALLIACEA BIGNONIA CAPREOLATA DIFFICILIS PITHECOCTENIUM CRUCIGERUM DISTICTIS GRANULOSA BERGHEI STRAIN ANKA NIDULANS FGSC A4 YOELII STR. 17XNL GIARDIA LAMBLIA ATCC </t>
  </si>
  <si>
    <t>PTR2 0.065| COG4758 0.081| Na_H_Exchanger 0.089| COG4652 | COG3202 | Spore_permease | TAS2R | COG3368 | Rap_like | FcbT3 |</t>
  </si>
  <si>
    <t>gi|70909733</t>
  </si>
  <si>
    <t>Cicindela campestris</t>
  </si>
  <si>
    <t xml:space="preserve">RIBOSOMAL L18E CICINDELA CAMPESTRIS L18 LYSIPHLEBUS TESTACEIPES HISTER SP. SIMILAR TO CG8615-PA MELLIFERA IXODES SCAPULARIS TRIBOLIUM CASTANEUM BRANCHIOSTOMA LANCEOLATUM EUCINETUS TIMARCHA BALEARICA RL18_OREMO RL18_ORENI OREOCHROMIS NILOTICUS MOSSAMBICUS DROSOPHILA MELANOGASTER PUTATIVE DIAPHORINA CITRI MESOCRICETUS AURATUS PSEUDOOBSCURA SMINTHOPSIS DOUGLASI RATTUS NORVEGICUS SUS SCROFA CAVIA PORCELLUS 60S MUS MUSCULUS L14 LAPEMIS HARDWICKII UNNAMED PRODUCT TETRAODON NIGROVIRIDIS RL18_RAT RL18_MOUSE RPL18 XENOPUS LAEVIS TROPICALIS </t>
  </si>
  <si>
    <t>Ribosomal protein L18 - structural constituent of ribosome - cytosolic large ribosomal subunit (sensu Eukaryota) - protein biosynthesis</t>
  </si>
  <si>
    <t>Ribosomal_L18e 2e-033| RPL18A 2e-007| COG3202 0.092| Rho | RhoG | DOP1 | CitT | DUF1461 | 7tm_5 | COG5273 |</t>
  </si>
  <si>
    <t>VanZ |</t>
  </si>
  <si>
    <t>gi|85725046</t>
  </si>
  <si>
    <t xml:space="preserve">DROSOPHILA MELANOGASTER TPA_INF ANOPHELES GAMBIAE STR. PEST CONSERVED HYPOTHETICAL AEDES AEGYPTI BURKHOLDERIA PSEUDOMALLEI PROTEIN-SIGNAL PEPTIDE PREDICTION RHODOPIRELLULA BALTICA SH 1 SIGNAL HUMAN PAPILLOMAVIRUS TYPE 92 ORYZA SATIVA JAPONICA CULTIVAR-GROUP CULTIVAR GROUP DIPHOSPHATE--FRUCTOSE-6-PHOSPHATE 1-PHOSPHOTRANSFERASE FRANKIA SP. EAN1PEC DIPHOSPHATE -FRUCTOSE-6-PHOSPHATE FRUCTOSE-6-PHOSPHATE FRUCTOSE 6-PHOSPHATE PHOSPHATE PHOSPHOTRANSFERASE INTEGRAL MEMBRANE PSEUDOMONAS AERUGINOSA CANIS FAMILIARIS DIHYDROFOLATE REDUCTASE PROPIONIBACTERIUM ACNES SECRETION HLYD AZOTOBACTER VINELANDII AVOP UNNAMED PRODUCT TETRAODON NIGROVIRIDIS MFLVDRAFT_5491 MYCOBACTERIUM FLAVESCENS PYR-GCK BETA-GALACTOSIDASE ALPHA-2 SIALYLTRANSFERASE BETA GALACTOSIDASE ALPHA 2 MACACA MULATTA DEBARYOMYCES HANSENII NEUROSPORA CRASSA OR74A FRANEAN1DRAFT_0225 </t>
  </si>
  <si>
    <t>Cell cycle control, cell division, chromosome partitioning</t>
  </si>
  <si>
    <t>REJ |</t>
  </si>
  <si>
    <t>gi|91093256</t>
  </si>
  <si>
    <t>protein phosphatase regulator activity||phosphatase regulator activity||enzyme regulator activity||molecular_function</t>
  </si>
  <si>
    <t>GO:0019888</t>
  </si>
  <si>
    <t>Candida_ALS 0.001| DUF566 0.020| Ribonuclease_BN 0.058| Rbn 0.059| AF-4 0.060| SKN1 0.064| ATP-synt_A 0.075| GST_C_Delta_Epsilon | Sterol_desat | Chlam_PMP |</t>
  </si>
  <si>
    <t>gi|34762784</t>
  </si>
  <si>
    <t>Fusobacterium nucleatum subsp. vincentii ATCC 49256</t>
  </si>
  <si>
    <t xml:space="preserve">HYPOTHETICAL FUSOBACTERIUM NUCLEATUM SUBSP. VINCENTII ATCC PLASMODIUM YOELII STR. 17XNL BIGELOWIELLA NATANS ISOLEUCYL-TRNA SYNTHETASE CANDIDATUS CARSONELLA RUDDII PV ISOLEUCYL TRNA FALCIPARUM 3D7 CONSERVED IN P. CHLAMYDIAL POLYMORPHIC OUTER MEMBRANE REPEAT CONTAINING TETRAHYMENA THERMOPHILA E1-E2 ATPASE FAMILY DDBDRAFT_0216485 DICTYOSTELIUM DISCOIDEUM AX4 MISMATCH REPAIR MUTL PSEUDOALTEROMONAS TUNICATA D2 </t>
  </si>
  <si>
    <t>Carbohydrate transport and metabolism</t>
  </si>
  <si>
    <t>Snu114p | NIP100 | RfaJ | LAGLIDADG_1 |</t>
  </si>
  <si>
    <t>gi|18676486</t>
  </si>
  <si>
    <t>Homo sapiens</t>
  </si>
  <si>
    <t xml:space="preserve">SAPIENS </t>
  </si>
  <si>
    <t>Cyclin_C |</t>
  </si>
  <si>
    <t>gi|110756499</t>
  </si>
  <si>
    <t>Apis mellifera</t>
  </si>
  <si>
    <t xml:space="preserve">SIMILAR TO RIBOSOMAL S11 APIS MELLIFERA BOMBYX MORI 1 CICINDELA LITTORALIS 4 LONOMIA OBLIQUA ISOFORM 2 TRIBOLIUM CASTANEUM HELIOTHIS VIRESCENS S11E EUCINETUS SP. CG8857-PA A LYSIPHLEBUS TESTACEIPES ARGOPECTEN IRRADIANS SYNTHETIC CONSTRUCT DASCILLUS CERVINUS HOMO SAPIENS RATTUS NORVEGICUS MUSCULUS HYPOTHETICAL 3 PAN TROGLODYTES CANIS FAMILIARIS MACACA MULATTA XENOPUS TROPICALIS BOS TAURUS GALLUS RPS11-PROV LAEVIS RPS11 DROSOPHILA MELANOGASTER CG8857-PC YAKUBA PA PC RS11_XENLA AEDES AEGYPTI SPHAERIUS ANOPHELES FUNESTUS ICTALURUS PUNCTATUS </t>
  </si>
  <si>
    <t>ribosomal protein S11 - intracellular - ribosome - nucleic acid binding - structural constituent of ribosome - protein biosynthesis</t>
  </si>
  <si>
    <t>nucleic acid binding||binding||molecular_function</t>
  </si>
  <si>
    <t>GO:0003676</t>
  </si>
  <si>
    <t>intracellular||cell part||cellular_component</t>
  </si>
  <si>
    <t>GO:0005622</t>
  </si>
  <si>
    <t>protein biosynthesis||cellular protein metabolism||protein metabolism||primary metabolism||metabolism||physiological process||biological_process</t>
  </si>
  <si>
    <t>GO:0006412</t>
  </si>
  <si>
    <t>Translation, ribosomal structure and biogenesis</t>
  </si>
  <si>
    <t>Assembled contig</t>
  </si>
  <si>
    <t>Assembler output</t>
  </si>
  <si>
    <t>Fasta file</t>
  </si>
  <si>
    <t>Number of sequences</t>
  </si>
  <si>
    <t>Length</t>
  </si>
  <si>
    <t>Average qual value</t>
  </si>
  <si>
    <t>Percent N</t>
  </si>
  <si>
    <t>Percent AT</t>
  </si>
  <si>
    <t>PA at</t>
  </si>
  <si>
    <t>Contig number</t>
  </si>
  <si>
    <t>Name of larger sequence</t>
  </si>
  <si>
    <t>.</t>
  </si>
  <si>
    <t>OFL-P6_F09.ab1</t>
  </si>
  <si>
    <t>OFL-P01_F04.ab1</t>
  </si>
  <si>
    <t>OFM-P2-G12.G12_06063005FL</t>
  </si>
  <si>
    <t>OFM-P8_C02.ab1</t>
  </si>
  <si>
    <t>OFL-P4_E06.ab1</t>
  </si>
  <si>
    <t xml:space="preserve"> </t>
  </si>
  <si>
    <t>OFM-P2-F3.F03_06062914RU</t>
  </si>
  <si>
    <t>OFM-P2-C8.C08_06062922WW</t>
  </si>
  <si>
    <t>OFL-P4_D11.ab1</t>
  </si>
  <si>
    <t>OFL-P1-F8.F08_06062720K1</t>
  </si>
  <si>
    <t>OFL-P06_F08.ab1</t>
  </si>
  <si>
    <t>OFL-P6_F04.ab1</t>
  </si>
  <si>
    <t>OFM-P7_H12.ab1</t>
  </si>
  <si>
    <t>OFS-P3-A3.A03_06062917UR</t>
  </si>
  <si>
    <t>OFL-P01_D06.ab1</t>
  </si>
  <si>
    <t>OFL-P06_H11.ab1</t>
  </si>
  <si>
    <t>OFL-P1-G12.G12_0606280335</t>
  </si>
  <si>
    <t>OFL-P06_B09.ab1</t>
  </si>
  <si>
    <t>OFL-P6_D11.ab1</t>
  </si>
  <si>
    <t>OFM-P8_B12.ab1</t>
  </si>
  <si>
    <t>OFM-P2-B7.B07_06062921AD</t>
  </si>
  <si>
    <t>OFL-P04_G07.ab1</t>
  </si>
  <si>
    <t>OFL-P6_E07.ab1</t>
  </si>
  <si>
    <t>OFL-P4_B08.ab1</t>
  </si>
  <si>
    <t>OFM-P8_A10.ab1</t>
  </si>
  <si>
    <t>OFM-P8_F06.ab1</t>
  </si>
  <si>
    <t>OFL-P6_G04.ab1</t>
  </si>
  <si>
    <t>OFL-P1-C12.C12_0606280335</t>
  </si>
  <si>
    <t>OFL-P1-A6.A06_06062717AO</t>
  </si>
  <si>
    <t>OFL-P5_B12.ab1</t>
  </si>
  <si>
    <t>OFL-P1-D1.D01_060627090C</t>
  </si>
  <si>
    <t>OFL-P5_F04.ab1</t>
  </si>
  <si>
    <t>OFL-P5_B06.ab1</t>
  </si>
  <si>
    <t>OFM-P7_G05.ab1</t>
  </si>
  <si>
    <t>OFM-P8_H03.ab1</t>
  </si>
  <si>
    <t>OFM-P2-H8.H08_06062922WW</t>
  </si>
  <si>
    <t>OFM-P7_D03.ab1</t>
  </si>
  <si>
    <t>OFL-P5_E11.ab1</t>
  </si>
  <si>
    <t>OFS-P11_F11.ab1</t>
  </si>
  <si>
    <t>OFL-P6_F11.ab1</t>
  </si>
  <si>
    <t>OFL-P01_D04.ab1</t>
  </si>
  <si>
    <t>OFL-P6_D06.ab1</t>
  </si>
  <si>
    <t>OFS-P10_H08.ab1</t>
  </si>
  <si>
    <t>OFM-P8_C08.ab1</t>
  </si>
  <si>
    <t>OFL-P01_H04.ab1</t>
  </si>
  <si>
    <t>OFS-P11_F01.ab1</t>
  </si>
  <si>
    <t>OFL-P1-G10.G10_06062723TG</t>
  </si>
  <si>
    <t>OFL-P5_E08.ab1</t>
  </si>
  <si>
    <t>OFL-P04_E01.ab1</t>
  </si>
  <si>
    <t>OFL-P01_A09.ab1</t>
  </si>
  <si>
    <t>OFL-P5_C06.ab1</t>
  </si>
  <si>
    <t>OFL-P5_G05.ab1</t>
  </si>
  <si>
    <t>OFS-P10_B08.ab1</t>
  </si>
  <si>
    <t>OFL-P04_C12.ab1</t>
  </si>
  <si>
    <t>OFM-P7_B05.ab1</t>
  </si>
  <si>
    <t>OFM-P8_A01.ab1</t>
  </si>
  <si>
    <t>OFL-P06_G10.ab1</t>
  </si>
  <si>
    <t>OFL-P4_G03.ab1</t>
  </si>
  <si>
    <t>OFM-P8_B08.ab1</t>
  </si>
  <si>
    <t>OFL-P06_A12.ab1</t>
  </si>
  <si>
    <t>OFL-P5_D06.ab1</t>
  </si>
  <si>
    <t>OFL-P06_F03.ab1</t>
  </si>
  <si>
    <t>OFL-P5_H03.ab1</t>
  </si>
  <si>
    <t>OFL-P06_H12.ab1</t>
  </si>
  <si>
    <t>OFL-P6_G03.ab1</t>
  </si>
  <si>
    <t>OFM-P7_E07.ab1</t>
  </si>
  <si>
    <t>OFM-P7_D12.ab1</t>
  </si>
  <si>
    <t>OFL-P01_H01.ab1</t>
  </si>
  <si>
    <t>OFL-P1-C2.C02_06062710RL</t>
  </si>
  <si>
    <t>OFL-P1-E2.E02_06062710RL</t>
  </si>
  <si>
    <t>OFL-P1-E4.E04_0606271419</t>
  </si>
  <si>
    <t>OFL-P01_D05.ab1</t>
  </si>
  <si>
    <t>OFL-P1-E5.E05_06062715NT</t>
  </si>
  <si>
    <t>OFL-P1-F6.F06_06062717AO</t>
  </si>
  <si>
    <t>OFL-P1-D7.D07_06062718X7</t>
  </si>
  <si>
    <t>OFL-P1-E7.E07_06062718X7</t>
  </si>
  <si>
    <t>OFL-P1-F7.F07_06062718X7</t>
  </si>
  <si>
    <t>OFL-P1-H8.H08_06062720K1</t>
  </si>
  <si>
    <t>OFL-P1-H9.H09_060627226Y</t>
  </si>
  <si>
    <t>OFL-P1-C10.C10_06062723TG</t>
  </si>
  <si>
    <t>OFL-P1-D10.D10_06062723TG</t>
  </si>
  <si>
    <t>OFL-P1-A11.A11_06062801GB</t>
  </si>
  <si>
    <t>OFL-P01_C11.ab1</t>
  </si>
  <si>
    <t>OFM-P9_E11.ab1</t>
  </si>
  <si>
    <t>OFM-P2-G9.G09_06063000JN</t>
  </si>
  <si>
    <t>OFL-P04_A05.ab1</t>
  </si>
  <si>
    <t>OFL-P04_A06.ab1</t>
  </si>
  <si>
    <t>OFL-P04_B04.ab1</t>
  </si>
  <si>
    <t>OFL-P04_B11.ab1</t>
  </si>
  <si>
    <t xml:space="preserve">RIBOSOMAL L35AE CARABUS GRANULATUS SIMILAR TO L35A CG2099-PA ISOFORM 1 APIS MELLIFERA BOMBYX MORI SPHAERIUS SP. CICINDELA CAMPESTRIS TRIBOLIUM CASTANEUM PUTATIVE DIAPHORINA CITRI SPODOPTERA FRUGIPERDA L35 CULICOIDES SONORENSIS IXODES SCAPULARIS LYSIPHLEBUS TESTACEIPES DROSOPHILA MELANOGASTER ANOPHELES GAMBIAE STR. PEST AEDES AEGYPTI YAKUBA PSEUDOOBSCURA UNNAMED PRODUCT TETRAODON NIGROVIRIDIS 4 PAN TROGLODYTES SYNTHETIC CONSTRUCT HYPOTHETICAL DANIO RERIO HOMO SAPIENS CANIS FAMILIARIS MACACA MULATTA RL35A_HUMAN RL35A_MACFA RL35A_PONPY BOS TAURUS RL35A_BOVIN RPL35A RATTUS NORVEGICUS MUSCULUS RL35A_RAT RL35A_MOUSE </t>
  </si>
  <si>
    <t>Ribosomal protein L35A - structural constituent of ribosome - cytosolic large ribosomal subunit (sensu Eukaryota) - protein biosynthesis</t>
  </si>
  <si>
    <t>cytosolic large ribosomal subunit (sensu Eukaryota)||cytosolic ribosome (sensu Eukaryota)||ribosome||ribonucleoprotein complex||protein complex||cellular_component</t>
  </si>
  <si>
    <t>GO:0005842</t>
  </si>
  <si>
    <t>Ribosomal_L35Ae 5e-028| COG2451 1e-021| NrfD 0.017| TrbL 0.047| UPF0118 0.061| PerM 0.095| Hc1 | NolL | MviN | TonB |</t>
  </si>
  <si>
    <t>gi|110759996</t>
  </si>
  <si>
    <t xml:space="preserve">SIMILAR TO POLY A BINDING CYTOPLASMIC 1 ISOFORM APIS MELLIFERA 3 TRIBOLIUM CASTANEUM 4 2 BOMBYX MORI HYPOTHETICAL LONOMIA OBLIQUA INDUCIBLE FORM DANIO RERIO POLYA-BINDING TAKIFUGU RUBRIPES POLYA UNNAMED PRODUCT TETRAODON NIGROVIRIDIS POLYADENYLATE PETROMYZON MARINUS PABPC4 GALLUS XENOPUS LAEVIS MACACA MULATTA B 8 CANIS FAMILIARIS POLYADENYLATE-BINDING -BINDING PABP 11 24 21 10 20 9 27 13 RATTUS NORVEGICUS Q9EPH8 PABP1_RAT </t>
  </si>
  <si>
    <t>pabpc1-B: Polyadenylate-binding protein 1-B - polysome - poly(A) binding - eukaryotic initiation factor 4G binding - protein self-association - positive regulation of translation - mRNA stabilization</t>
  </si>
  <si>
    <t>poly(A) binding||single-stranded RNA binding||RNA binding||nucleic acid binding||binding||molecular_function</t>
  </si>
  <si>
    <t>GO:0008143</t>
  </si>
  <si>
    <t>polysome||ribonucleoprotein complex||protein complex||cellular_component</t>
  </si>
  <si>
    <t>GO:0005844</t>
  </si>
  <si>
    <t>positive regulation of translation||regulation of translation||regulation of protein biosynthesis||regulation of protein metabolism||regulation of metabolism||regulation of physiological process||regulation of biological process||biological_process</t>
  </si>
  <si>
    <t>GO:0045946</t>
  </si>
  <si>
    <t>Defense mechanisms</t>
  </si>
  <si>
    <t>PolyA 0.001| COG5542 0.011| 7tm_4 | Oxidored_q1 | COG1784 | COG5273 | SQR_QFR_TM | DUF783 |</t>
  </si>
  <si>
    <t>gi|23509628</t>
  </si>
  <si>
    <t>Plasmodium falciparum 3D7</t>
  </si>
  <si>
    <t xml:space="preserve">HYPOTHETICAL PLASMODIUM FALCIPARUM 3D7 UNNAMED PRODUCT CANDIDA GLABRATA </t>
  </si>
  <si>
    <t>gi|116191545</t>
  </si>
  <si>
    <t>Chaetomium globosum CBS 148.51</t>
  </si>
  <si>
    <t xml:space="preserve">HYPOTHETICAL CHAETOMIUM GLOBOSUM CBS </t>
  </si>
  <si>
    <t>Posttranslational modification, protein turnover, chaperones</t>
  </si>
  <si>
    <t>gi|112362194</t>
  </si>
  <si>
    <t>Bos taurus</t>
  </si>
  <si>
    <t xml:space="preserve">TAURUS MEROZOITE SURFACE 2 PLASMODIUM FALCIPARUM 4-BETA-CELLOBIOSIDASE XYLELLA FASTIDIOSA 9A5C BETA-CELLOBIOSIDASE BETA CELLOBIOSIDASE LUSTRIN A HALIOTIS RUFESCENS SIMILAR TO CORNEODESMOSIN PRECURSOR BOS HYPOTHETICAL ASPERGILLUS NIDULANS FGSC A4 YARROWIA LIPOLYTICA UNNAMED PRODUCT CLIB122 CELLULASE ANN-1 TERREUS UNKNOWN ARABIDOPSIS THALIANA ENDO-1 4-BETA-GLUCANASE BETA-GLUCANASE GLUCANASE DDBDRAFT_0187468 DICTYOSTELIUM DISCOIDEUM AX4 DDBDRAFT_0188625 PUTATIVE LIPOPROTEIN BURKHOLDERIA XENOVORANS ORYZA SATIVA JAPONICA CULTIVAR-GROUP FIBROIN HEAVY CHAIN PRECURSOR-LIKE CULTIVAR GROUP LIKE DDBDRAFT_0218348 ANTIGEN MACACA MULATTA SPORE WALL PROTEIN-1 ENCEPHALITOZOON CUNICULI 1 </t>
  </si>
  <si>
    <t>FimD 8e-005| Herpes_capsid 0.004| Drf_FH1 0.026| COG5373 0.029| Usher 0.049| DUF1517 0.051| COG1512 0.068| COG4625 0.075| Harpin | TrbL |</t>
  </si>
  <si>
    <t>gi|48140499</t>
  </si>
  <si>
    <t xml:space="preserve">SIMILAR TO RIBOSOMAL S19A CG4464-PA ISOFORM A APIS MELLIFERA S19E GEORISSUS SP. S19 BOMBYX MORI EUCINETUS 28 LONOMIA OBLIQUA SPODOPTERA FRUGIPERDA HISTER TRIBOLIUM CASTANEUM DASCILLUS CERVINUS ANTHERAEA YAMAMAI Q8ITC3 RS19_AEQIR ARGOPECTEN IRRADIANS RS19_MYAAR ARENARIA DROSOPHILA MELANOGASTER RPS19 YAKUBA CG4464-PB CG4464-PC RS19A_DROME PSEUDOOBSCURA AEDES AEGYPTI ALBOPICTUS IXODES SCAPULARIS HYPOTHETICAL DANIO RERIO RS19_ICTPU ICTALURUS PUNCTATUS CRASSOSTREA GIGAS S19B CG5338-PB RS19B_DROME ANOPHELES GAMBIAE STR. PEST </t>
  </si>
  <si>
    <t>Ribosomal protein S19a - structural constituent of ribosome - cytosolic small ribosomal subunit (sensu Eukaryota) - protein biosynthesis - ribosome</t>
  </si>
  <si>
    <t>Ribosomal_S19e 4e-034| RPS19A 3e-021| HTH_DTXR 0.014| SlyX 0.022| TroR 0.095| FadR | COG3268 | COG1204 | DppA | Nuc_H_symport |</t>
  </si>
  <si>
    <t>gi|40255301</t>
  </si>
  <si>
    <t>Mus musculus</t>
  </si>
  <si>
    <t xml:space="preserve">TASTE RECEPTOR TYPE 2 MEMBER 135 MUS MUSCULUS PUTATIVE Q7TQA9 TR135_MOUSE TPA_EXP CANDIDATE HYPOTHETICAL COPRINOPSIS CINEREA OKAYAMA7#130 RATTUS NORVEGICUS TR135_RAT SPBC21D10.09C SCHIZOSACCHAROMYCES POMBE MA2A2_HUMAN ALPHA-MANNOSIDASE IIX MANNOSYL-OLIGOSACCHARIDE 1 3-1 6-ALPHA-MANNOSIDASE MAN MANNOSIDASE ALPHA CLASS 2A ISOZYME HOMO SAPIENS MANNOSYL OLIGOSACCHARIDE 3 6 3'-5' EXONUCLEASE DNA BINDING DNA-DIRECTED POLYMERASE NUCLEIC ACID ARABIDOPSIS THALIANA POLI-LIKE 3' 5' DIRECTED POLI LIKE UNNAMED PRODUCT SIMILAR TO MITOCHONDRIAL RIBOSOMAL S30 CG8470-PA MELLIFERA </t>
  </si>
  <si>
    <t>Pyrophosphatase | Kup | GatC | AbrB | EIIC-GAT |</t>
  </si>
  <si>
    <t>gi|110671462</t>
  </si>
  <si>
    <t>Diaphorina citri</t>
  </si>
  <si>
    <t xml:space="preserve">PUTATIVE RIBOSOMAL S25 DIAPHORINA CITRI IXODES SCAPULARIS SIMILAR TO CG6684-PA ISOFORM A APIS MELLIFERA BOMBYX MORI RS25_SPOFR SPODOPTERA FRUGIPERDA ANOPHELES GAMBIAE STR. PEST PLATYSTOMOS ALBINUS RPS25-LIKE ACYRTHOSIPHON PISUM RPS25 DROSOPHILA MELANOGASTER YAKUBA CG6684-PB RS25_DROME AEDES AEGYPTI PSEUDOOBSCURA LYSIPHLEBUS TESTACEIPES CLONED BY ABILITY ARREST CELL CYCLE WHEN EXPRESSED IN FISSION YEAST SCHIZOSACCHAROMYCES POMBE TRIBOLIUM CASTANEUM XENOPUS TROPICALIS LAEVIS 40S RATTUS NORVEGICUS 1 MACACA MULATTA HOMO SAPIENS Q8ISN9 RS25_BRABE BRANCHIOSTOMA BELCHERI </t>
  </si>
  <si>
    <t>Ribosomal protein S25 - structural constituent of ribosome - cytosolic small ribosomal subunit (sensu Eukaryota) - protein biosynthesis - ribosome</t>
  </si>
  <si>
    <t>Ribosomal_S25 6e-037| COG4901 2e-020| DeoR 0.026| TroR | GlpR | COG2865 | HTH_DEOR | COG3355 | SBP_bac_5 | PhnF |</t>
  </si>
  <si>
    <t>gi|78367996</t>
  </si>
  <si>
    <t>Shewanella sp. PV-4</t>
  </si>
  <si>
    <t xml:space="preserve">ATPASE CENTRAL REGION CLP N TERMINAL SHEWANELLA SP. PV-4 HYPOTHETICAL OCEANICAULIS ALEXANDRII PHAEOSPHAERIA NODORUM SN15 RATTUS NORVEGICUS </t>
  </si>
  <si>
    <t>MARVEL |</t>
  </si>
  <si>
    <t>gi|91085243</t>
  </si>
  <si>
    <t>Tribolium castaneum</t>
  </si>
  <si>
    <t xml:space="preserve">SIMILAR TO ISOFORM B TRIBOLIUM CASTANEUM RIBOSOMAL L6 APIS MELLIFERA L6E CARABUS GRANULATUS GEORISSUS SP. DROSOPHILA MELANOGASTER ANOPHELES GAMBIAE STR. PEST SCARABAEUS LATICOLLIS LYSIPHLEBUS TESTACEIPES AEDES AEGYPTI PSEUDOOBSCURA A BOMBYX MORI GALLUS TAX-RESPONSIVE ELEMENT BINDING 107 TAX RESPONSIVE XENOPUS LAEVIS YAKUBA STRONGYLOCENTROTUS PURPURATUS 1 Q6QMZ4 RL6_CHILA 60S CHINCHILLA LANIGERA ENHANCER TAXREB107 NEOPLASM-RELATED C140 2 CANIS FAMILIARIS NEOPLASM RELATED UNNAMED PRODUCT MUS MUSCULUS RATTUS NORVEGICUS RL6_RAT M-TAXREB107 RESPONSIBLE ELEMENT-BINDING M </t>
  </si>
  <si>
    <t>Ribosomal protein L6 - cytosolic large ribosomal subunit (sensu Eukaryota)</t>
  </si>
  <si>
    <t>DNA binding||nucleic acid binding||binding||molecular_function</t>
  </si>
  <si>
    <t>GO:0003677</t>
  </si>
  <si>
    <t xml:space="preserve">SIMILAR TO UBIQUITIN CARBOXYL-TERMINAL HYDROLASE L5 TRIBOLIUM CASTANEUM CARBOXYL TERMINAL ISOZYME AEDES AEGYPTI HYPOTHETICAL PARTIAL STRONGYLOCENTROTUS PURPURATUS UCH-L5 THIOESTERASE C-TERMINAL UCH37 MELLIFERA UCH C ANOPHELES GAMBIAE STR. PEST UCH37-LIKE TOXOPTERA CITRICIDA DANIO RERIO UNKNOWN FOR MGC XENOPUS LAEVIS CG3431-PA DROSOPHILA MELANOGASTER PROTEASOME REGULATORY COMPLEX SUBUNIT P37A GALLUS UNNAMED PRODUCT TETRAODON NIGROVIRIDIS PSEUDOOBSCURA 37 MUS MUSCULUS Q9WUP7 UCHL5_MOUSE ESTERASE UCHL5 SUS SCROFA PAN TROGLODYTES HOMO SAPIENS SYNTHETIC CONSTRUCT BOS TAURUS CANIS FAMILIARIS </t>
  </si>
  <si>
    <t>Ubiquitin C-terminal hydrolase - endopeptidase activity - ubiquitin thiolesterase activity - proteasome regulatory particle (sensu Eukaryota) - proteolysis - protein deubiquitination - cytoplasm</t>
  </si>
  <si>
    <t>endopeptidase activity||peptidase activity||hydrolase activity||catalytic activity||molecular_function</t>
  </si>
  <si>
    <t>GO:0004175</t>
  </si>
  <si>
    <t>proteasome regulatory particle (sensu Eukaryota)||protein complex||cellular_component</t>
  </si>
  <si>
    <t>GO:0005838</t>
  </si>
  <si>
    <t>HMG-box | HMGB-UBF_HMG-box | Brix | DnaC | COG4920 |</t>
  </si>
  <si>
    <t>gi|23612933</t>
  </si>
  <si>
    <t>gi|66358734</t>
  </si>
  <si>
    <t>Cryptosporidium parvum</t>
  </si>
  <si>
    <t xml:space="preserve">HYPOTHETICAL CRYPTOSPORIDIUM PARVUM IOWA II MYCOPLASMA MOBILE 163K HOMINIS </t>
  </si>
  <si>
    <t>STE3 |</t>
  </si>
  <si>
    <t>Carbohydrate transport and metabolism, Energy production and conversion</t>
  </si>
  <si>
    <t>ARE1 |</t>
  </si>
  <si>
    <t>gi|48099870</t>
  </si>
  <si>
    <t xml:space="preserve">SIMILAR TO TRANSLATION FACTOR SUI1 HOMOLOG APIS MELLIFERA SUI1-LIKE AEDES AEGYPTI CONSERVED HYPOTHETICAL LIKE TRIBOLIUM CASTANEUM ANOPHELES GAMBIAE STR. PEST SUI1_ANOGA INITIATION DROSOPHILA MELANOGASTER Q9VZS3 SUI1_DROME YAKUBA PA BOMBYX MORI IXODES SCAPULARIS ISOLOG YEAST RICE GOS2 PUTATIVE PAN TROGLODYTES EUKARYOTIC 1 EIF1 SUI1ISO1 MACACA MULATTA SUPPRESSOR INITIATOR CODON MUTATIONS RELATED SEQUENCE MUS MUSCULUS GALLUS SAPIENS SYNTHETIC CONSTRUCT HOMO TAURUS CANIS FAMILIARIS ISOFORM EIF1_HUMAN A121 EIF1_BOVIN Q5RFF4 EIF1_PONPY CHAIN HUMAN NMR 29 STRUCTURES RATTUS NORVEGICUS EIF1_MOUSE UNNAMED PRODUCT XENOPUS TROPICALIS CEREVISIAE NOVEL ICTALURUS PUNCTATUS 1B DANIO RERIO ZGC </t>
  </si>
  <si>
    <t>CG17737 - protein biosynthesis</t>
  </si>
  <si>
    <t>regulation of translational initiation||regulation of translation||regulation of protein biosynthesis||regulation of protein metabolism||regulation of metabolism||regulation of physiological process||regulation of biological process||biological_process</t>
  </si>
  <si>
    <t>GO:0006446</t>
  </si>
  <si>
    <t>SUI1 1e-028| SUI1_eIF1 2e-026| CitF | COG4906 | Cyt_c_Oxidase_III |</t>
  </si>
  <si>
    <t>gi|47211613</t>
  </si>
  <si>
    <t xml:space="preserve">UNNAMED PRODUCT TETRAODON NIGROVIRIDIS HSP1_MURBR SPERM PROTAMINE P1 PRECURSOR HYPOTHETICAL RATTUS NORVEGICUS SJCHGC01957 SCHISTOSOMA JAPONICUM MUS MUSCULUS STRONGYLOCENTROTUS PURPURATUS RIBONUCLEASE R RNASE BACILLUS CEREUS E33L CONSERVED ASPERGILLUS TERREUS </t>
  </si>
  <si>
    <t>RplO |</t>
  </si>
  <si>
    <t xml:space="preserve">UNNAMED PRODUCT TETRAODON NIGROVIRIDIS HYPOTHETICAL USTILAGO MAYDIS 521 SHRIMP WHITE SPOT SYNDROME VIRUS WSSV295 ORYZA SATIVA JAPONICA CULTIVAR-GROUP TRANSPOSON PUTATIVE CACTA EN SPM SUB-CLASS EXPRESSED CULTIVAR GROUP SUB CLASS UNKNOWN ARABIDOPSIS THALIANA CONTAINS SIMILARITY TO EXTENSIN ATEXT1 FROM PROLINE GLYCINE. EST COMES THIS GENE SIMILAR ACTIVATING SIGNAL COINTEGRATOR 1 COMPLEX SUBUNIT 2 STRONGYLOCENTROTUS PURPURATUS QUA-1 CAENORHABDITIS REMANEI QUA GLYCINE-RICH GLYCINE RICH SAIMIRIINE HERPESVIRUS HEAVY METAL-ASSOCIATED DOMAIN CONTAINING METAL ASSOCIATED WSSV021 ANOPHELES GAMBIAE STR. PEST RATTUS NORVEGICUS LATENCY NUCLEAR ANTIGEN FIBRILLARIN CG9888-PA DROSOPHILA MELANOGASTER FBRL_DROME RRNA 2'-O-METHYLTRANSFERASE O-METHYLTRANSFERASE O METHYLTRANSFERASE MUS MUSCULUS MEMBRANE EMILIANIA HUXLEYI 86 CRYPTOSPORIDIUM HOMINIS POLLEN COAT OLEOSIN-GLYCINE ARENOSA OLEOSIN NOPP140-LIKE NUCLEOLAR NOPP140 FBRL_DROER FIB-PA ERECTA 2' FIB PA </t>
  </si>
  <si>
    <t>mRNA binding||RNA binding||nucleic acid binding||binding||molecular_function</t>
  </si>
  <si>
    <t>GO:0003729</t>
  </si>
  <si>
    <t>35S primary transcript processing||rRNA processing||rRNA metabolism||RNA metabolism||nucleobase\, nucleoside\, nucleotide and nucleic acid metabolism||primary metabolism||metabolism||physiological process||biological_process</t>
  </si>
  <si>
    <t>GO:0006365</t>
  </si>
  <si>
    <t xml:space="preserve">HUMAN IMMUNODEFICIENCY VIRUS 1 HYPOTHETICAL AAEL_AAEL005469 AEDES AEGYPTI </t>
  </si>
  <si>
    <t>LIM_bind | COG3503 |</t>
  </si>
  <si>
    <t>gi|53721287</t>
  </si>
  <si>
    <t>Burkholderia pseudomallei K96243</t>
  </si>
  <si>
    <t xml:space="preserve">DNA-BINDING BURKHOLDERIA PSEUDOMALLEI PUTATIVE DNA BINDING HYPOTHETICAL TRANSCRIPTIONAL REGULATOR CONTAINS SIGMA FACTOR-RELATED N-TERMINAL DOMAIN 668 FACTOR RELATED N TERMINAL MALLEI GB8 HORSE 4 SAVP1 SUGAR-BINDING ATCC SYSTEM MANNITOL-SPECIFIC IIBC COMPONENT PASTEUR SUGAR MANNITOL SPECIFIC SIMILAR TO 2-AMINOADIPIC 6-SEMIALDEHYDE DEHYDROGENASE GALLUS 2 AMINOADIPIC 6 SEMIALDEHYDE FAMILY ENTAMOEBA HISTOLYTICA HM-1 IMSS </t>
  </si>
  <si>
    <t xml:space="preserve">PUTATIVE TRANSPORTER TRANSMEMBRANE RALSTONIA SOLANACEARUM UNNAMED PRODUCT TETRAODON NIGROVIRIDIS </t>
  </si>
  <si>
    <t>SecY |</t>
  </si>
  <si>
    <t>gi|1216394</t>
  </si>
  <si>
    <t xml:space="preserve">ATPASE SUBUNIT 6 HYPOTHETICAL THEILERIA ANNULATA STRAIN ANKARA DEHYDROGENASE NEOMASKELLIA ANDROPOGONIS UNSPECIFIED TOXIN DRUG ABC TRANSPORTER ATP-BINDING PERMEASE MYCOPLASMA MOBILE 163K BINDING HYOPNEUMONIAE J 232 CONSERVED UNNAMED PRODUCT HOMO SAPIENS REPLICATIVE SENESCENCE UPREGULATED DIFFERENTIALLY PLACENTA 1 EXPRESSED PUTATIVE ALANYL-TRNA SYNTHETASE CANDIDATUS CARSONELLA RUDDII PV ALANYL TRNA PAN TROGLODYTES DDBDRAFT_0202128 DICTYOSTELIUM DISCOIDEUM AX4 YMF71 TETRAHYMENA PIGMENTOSA PLASMODIUM FALCIPARUM 3D7 ANTI-SIGMA FACTOR POLARIBACTER IRGENSII 23-P SIGMA 23 P </t>
  </si>
  <si>
    <t>Peptidase_S32 0.052| COG5409 | PnuC |</t>
  </si>
  <si>
    <t>gi|50404839</t>
  </si>
  <si>
    <t>Paramecium tetraurelia</t>
  </si>
  <si>
    <t xml:space="preserve">HYPOTHETICAL WITH HOMOLOGY TO NUCLEOPORIN PARAMECIUM TETRAURELIA ABR149WP EREMOTHECIUM GOSSYPII ASHBYA ATCC CAENORHABDITIS BRIGGSAE </t>
  </si>
  <si>
    <t>TB2_DP1_HVA22 |</t>
  </si>
  <si>
    <t>gi|7768811</t>
  </si>
  <si>
    <t xml:space="preserve">NUCLEIC-ACID BINDING BOMBYX MORI NUCLEIC ACID SIMILAR TO WAS HOMOLOGY REGION 2 DOMAIN CONTAINING 1 HOMO SAPIENS HYPOTHETICAL DEBARYOMYCES HANSENII UNNAMED PRODUCT WHDC1L1 1-LIKE JUNCTION-MEDIATING REGULATORY P300 JMY-LIKE ISOFORM II LIKE JUNCTION MEDIATING JMY KPL2 PARTIAL GALLUS I ANABAENA VARIABILIS ATCC MYB13 MALUS X DOMESTICA SENSOR HISTIDINE KINASE FEXB PSYCHROFLEXUS TORQUIS PUTATIVE VIRB8 ORFH HELICOBACTER PYLORI TYPE-SPECIFIC ANTIGEN ORIENTIA TSUTSUGAMUSHI TYPE SPECIFIC RHOPTRY PLASMODIUM YOELII CAENORHABDITIS BRIGGSAE STR. 17XNL DDBDRAFT_0188553 DICTYOSTELIUM DISCOIDEUM AX4 MACACA MULATTA TWO-COMPONENT COMPONENT CSAL_2790 CHROMOHALOBACTER SALEXIGENS DSM 3043 CONSERVED CODING GLYCOSYLTRANSFERASE GEOBACTER URANIUMREDUCENS RF4 </t>
  </si>
  <si>
    <t>Tmk 0.065| GidB | Prefoldin_beta | Oxidored_q1 | Smc | SbmA_BacA | DnaB |</t>
  </si>
  <si>
    <t>gi|23613639</t>
  </si>
  <si>
    <t xml:space="preserve">HYPOTHETICAL PLASMODIUM FALCIPARUM 3D7 TETRAHYMENA THERMOPHILA </t>
  </si>
  <si>
    <t>Acyl_transf_3 0.083| CDC50 | UgpA | Glyco_hydro_20 | 7tm_2 |</t>
  </si>
  <si>
    <t>gi|57934123</t>
  </si>
  <si>
    <t xml:space="preserve">ANOPHELES GAMBIAE STR. PEST POL-LIKE AEDES AEGYPTI POL LIKE DROSOPHILA MELANOGASTER PUTATIVE ORF2 UNKNOWN UNNAMED PRODUCT ASPERGILLUS ORYZAE SHEWANELLA DENITRIFICANS ENDONUCLEASE III PROBABLE NTH-1 SULFOLOBUS SOLFATARICUS P2 NTH HALORHODOSPIRA HALOPHILA SL1 HYPOXIA-INDUCIBLE FACTOR PROLYL 4-HYDROXYLASE ISOFORM 4 PAN TROGLODYTES HYPOXIA INDUCIBLE HYDROXYLASE 1 2 SIMILAR TO CYLICIN-1 CYLICIN I MULTIPLE-BAND POLYPEPTIDE MACACA MULATTA MULTIPLE BAND FASCICULARIS HYPOTHETICAL ORYZA SATIVA JAPONICA CULTIVAR-GROUP CULTIVAR GROUP BINDING ISOPENICILLIN-N SYNTHASE ARABIDOPSIS THALIANA LEUCOANTHOCYANIDIN DIOXYGENASE-LIKE DIOXYGENASE -LIKE ISOPENICILLIN N B HOMO SAPIENS C LEUCYL-TRNA SYNTHETASE CHROMOBACTERIUM VIOLACEUM ATCC SYL_CHRVO LEUCINE--TRNA LIGASE LEURS LEUCYL TRNA LEUCINE -TRNA 115 KDA IN TYPE RETROTRANSPOSABLE ELEMENT R1DM ORF TRIBOLIUM CASTANEUM </t>
  </si>
  <si>
    <t>Chromatin structure and dynamics</t>
  </si>
  <si>
    <t>CAL1 |</t>
  </si>
  <si>
    <t>gi|91214187</t>
  </si>
  <si>
    <t>Glycine max</t>
  </si>
  <si>
    <t xml:space="preserve">HYPOTHETICAL CHLOROPLAST RF1 GLYCINE MAX PLASMODIUM YOELII STR. 17XNL BERGHEI STRAIN ANKA CONSERVED ATP6_TRYBB ATP SYNTHASE A CHAIN ATPASE 6 CANDIDA ALBICANS </t>
  </si>
  <si>
    <t>NhaB 0.003| NhaB 0.003| Polysacc_synt 0.048| TatC 0.068| LMBR1 | Ion_trans | DUF40 | COG2604 |</t>
  </si>
  <si>
    <t>gi|91200730</t>
  </si>
  <si>
    <t>Candidatus Kuenenia stuttgartiensis</t>
  </si>
  <si>
    <t xml:space="preserve">SIMILAR TO TRANSCRIPTION-REPAIR COUPLING FACTOR CANDIDATUS KUENENIA STUTTGARTIENSIS TRANSCRIPTION REPAIR HYPOTHETICAL CHLOROPLAST 26 PORPHYRA YEZOENSIS UNNAMED PRODUCT FLAVOBACTERIA BACTERIUM BBFL7 TETRAHYMENA THERMOPHILA CANDIDA GLABRATA SIGMA54 SPECIFIC TRANSCRIPTIONAL REGULATOR FIS FAMILY BURKHOLDERIA CEPACIA AMMD SIGMA-54-DEPENDENT CARBOXYDOTHERMUS HYDROGENOFORMANS SIGMA 54-DEPENDENT DEPENDENT Z 2901 SENSORY BOX SIGMA-54 DNA-BINDING RESPONSE BACILLUS CEREUS ATCC 54 DNA BINDING </t>
  </si>
  <si>
    <t>CSE1 0.018| RecD | Peptidase_C39E |</t>
  </si>
  <si>
    <t>gi|89292791</t>
  </si>
  <si>
    <t xml:space="preserve">HYPOTHETICAL TETRAHYMENA THERMOPHILA THEILERIA ANNULATA STRAIN ANKARA SPIROPLASMA CITRI CAENORHABDITIS BRIGGSAE </t>
  </si>
  <si>
    <t>PutP 0.004| DUF1461 0.023| SunT | COG4758 | COG0842 | DUF1430 | Spore_permease | STT3 | COG5369 | NosY |</t>
  </si>
  <si>
    <t>gi|110749341</t>
  </si>
  <si>
    <t xml:space="preserve">SIMILAR TO MELLIFERA HYPOTHETICAL PLASMODIUM FALCIPARUM 3D7 MATURASE BI2 YEAST SACCHAROMYCES SP. MITOCHONDRION STRAIN LYASE TETRAHYMENA PYRIFORMIS </t>
  </si>
  <si>
    <t>COG4089 |</t>
  </si>
  <si>
    <t>gi|68066769</t>
  </si>
  <si>
    <t xml:space="preserve">HYPOTHETICAL PLASMODIUM BERGHEI STRAIN ANKA CONSERVED SIMILAR TO BARTTIN GALLUS LEISHMANIA MAJOR </t>
  </si>
  <si>
    <t>Huntingtin |</t>
  </si>
  <si>
    <t>gi|15618360</t>
  </si>
  <si>
    <t>Chlamydophila pneumoniae TW-183</t>
  </si>
  <si>
    <t xml:space="preserve">POLYMORPHIC OUTER MEMBRANE G FAMILY CHLAMYDOPHILA PNEUMONIAE J138 PMP7_CHLPN PROBABLE PMP7 PRECURSOR 7 12 HYPOTHETICAL PLASMODIUM CHABAUDI PUTATIVE ALDEHYDE FERREDOXIN OXIDOREDUCTASE AOR METHANOCALDOCOCCUS JANNASCHII DSM 2661 Y1185_METJA </t>
  </si>
  <si>
    <t>PstC | PerM |</t>
  </si>
  <si>
    <t>gi|55741950</t>
  </si>
  <si>
    <t xml:space="preserve">HLA-B ASSOCIATED TRANSCRIPT 5 XENOPUS TROPICALIS HLA B BAT5-PROV LAEVIS BAT5 PROV HYPOTHETICAL ISOFORM 4 PAN TROGLODYTES 7 6 8 1 SIMILAR TO MACACA MULATTA UNNAMED PRODUCT FASCICULARIS UNKNOWN HOMO SAPIENS PONGO PYGMAEUS BAT5_HUMAN HLA-B-ASSOCIATED G5 B-ASSOCIATED DANIO RERIO TAURUS RATTUS NORVEGICUS ORTHOLOGUE MUSCULUS CT135_MOUSE UNCHARACTERIZED HOMOLOG SEQUENCE CANIS FAMILIARIS 3 MUS BAT5_MOUSE </t>
  </si>
  <si>
    <t>BAT5, G5, PP199, NG26: Protein BAT5 - protein binding</t>
  </si>
  <si>
    <t>protein binding||binding||molecular_function</t>
  </si>
  <si>
    <t>GO:0005515</t>
  </si>
  <si>
    <t>Cobalamin_bind | COX2_TM | RnhC | Delta12-FADS-like | FepD |</t>
  </si>
  <si>
    <t>gi|23508568</t>
  </si>
  <si>
    <t xml:space="preserve">HYPOTHETICAL PLASMODIUM FALCIPARUM 3D7 </t>
  </si>
  <si>
    <t>gi|89289927</t>
  </si>
  <si>
    <t>PARP_reg |</t>
  </si>
  <si>
    <t>gi|50812122</t>
  </si>
  <si>
    <t>Podura aquatica</t>
  </si>
  <si>
    <t xml:space="preserve">SYNTHASE F0 SUBUNIT 6 PODURA AQUATICA TIMEMA CALIFORNICUM LOCUSTA MIGRATORIA ATP6_LOCMI CHAIN ATPASE UNNAMED PRODUCT JAPYX SOLIFUGUS PACHYPSYLLA VENUSTA PYROCOELIA RUFA DAPHNIA PULEX MELANICA </t>
  </si>
  <si>
    <t>mt:ATPase6, ATP6, ATPase6: ATP synthase a chain - mitochondrion - hydrogen-exporting ATPase activity, phosphorylative mechanism - proton transport</t>
  </si>
  <si>
    <t>hydrogen-exporting ATPase activity\, phosphorylative mechanism||hydrogen ion transporter activity||monovalent inorganic cation transporter activity||cation transporter activity||ion transporter activity||transporter activity||molecular_function</t>
  </si>
  <si>
    <t>GO:0008553</t>
  </si>
  <si>
    <t>proton transport||monovalent inorganic cation transport||cation transport||ion transport||transport||chitin localization||localization||physiological process||biological_process</t>
  </si>
  <si>
    <t>GO:0015992</t>
  </si>
  <si>
    <t>ATP-synt_A 0.002|</t>
  </si>
  <si>
    <t>gi|114663527</t>
  </si>
  <si>
    <t>Pan troglodytes</t>
  </si>
  <si>
    <t xml:space="preserve">SIMILAR TO MARVEL DOMAIN CONTAINING 3 PAN TROGLODYTES UNNAMED PRODUCT HOMO SAPIENS ISOFORM 1 HYPOTHETICAL PLASMODIUM BERGHEI STRAIN ANKA CONSERVED INNER-MEMBRANE TRANSLOCATOR MYCOBACTERIUM SP. JLS INNER MEMBRANE NEISSERIA GONORRHOEAE FA 1090 PUTATIVE GLUTAMATE PERMEASE SODIUM SYMPORTER MENINGITIDIS MC58 SYMPORT CARRIER FUSOBACTERIUM NUCLEATUM SUBSP. VINCENTII ATCC </t>
  </si>
  <si>
    <t>COG3274 | CD47 | LGT | KefB |</t>
  </si>
  <si>
    <t>gi|92869878</t>
  </si>
  <si>
    <t>Medicago truncatula</t>
  </si>
  <si>
    <t xml:space="preserve">MATK_HORLE MATURASE K INTRON MATK_HORJU HORDEUM GUATEMALENSE JUBATUM LECHLERI PATAGONICUM SUBSP. SANTACRUCENSE MARINUM GUSSONEANUM BRACHYANTHERUM CALIFORNICUM DEPRESSUM ERECTIFOLIUM FUEGIANUM SETIFOLIUM MUSTERSII CAPENSE MATK_HORVU MATK_HORSP MATK_HORVD CHLOROPLAST VULGARE SPONTANEUM HYPOTHETICAL TRNK BARLEY FRAGMENT UNNAMED PRODUCT PARODII BOGDANII GUANINE-N1 METHYLTRANSFERASE CANDIDATUS BLOCHMANNIA PENNSYLVANICUS STR. BPEN GUANINE N1 COMOSUM CORDOBENSE EUCLASTON FLEXUOSUM INTERCEDENS MAGELLANICUM PUBIFLORUM TETRAPLOIDUM PROCERUM MATK_HORML MURINUM LEPORINUM ROSHEVITZII ARIZONICUM PUSILLUM EUGLENA GRACILIS ROAA_EUGGR RIBOSOMAL OPERON-ASSOCIATED A ROAA OPERON ASSOCIATED LEYMUS ANGUSTUS TRITICUM AESTIVUM MATK_HORBU BULBOSUM </t>
  </si>
  <si>
    <t>ESP1 0.063| TAS2R | ERCC4 |</t>
  </si>
  <si>
    <t>gi|91081359</t>
  </si>
  <si>
    <t xml:space="preserve">SIMILAR TO CG7830-PA TRIBOLIUM CASTANEUM MELLIFERA PUTATIVE SECRETED SALIVARY GLAND PEPTIDE IXODES SCAPULARIS DROSOPHILA PSEUDOOBSCURA ANOPHELES GAMBIAE STR. PEST MELANOGASTER CONSERVED HYPOTHETICAL AEDES AEGYPTI OLIGOSACCHARYLTRANSFERASE GAMMA SUBUNIT UNKNOWN OCHLEROTATUS TRISERIATUS TUMOR SUPPRESSOR CANDIDATE 3 ISOFORM PAN TROGLODYTES UNNAMED PRODUCT MUS MUSCULUS B HOMO SAPIENS 5 MACACA MULATTA RATTUS NORVEGICUS DANIO RERIO 1 CANIS FAMILIARIS GALLUS XENOPUS LAEVIS PROSTATE CANCER A TUSC3_HUMAN N33 ENCODED BY SYNTHETIC CONSTRUCT TUSC3_BOVIN FOR MGC TAURUS 39 KDA 2 4 </t>
  </si>
  <si>
    <t>zgc:110044 - cellular component unknown</t>
  </si>
  <si>
    <t>dolichyl-diphosphooligosaccharide-protein glycotransferase activity||oligosaccharyl transferase activity||transferase activity\, transferring hexosyl groups||transferase activity\, transferring glycosyl groups||transferase activity||catalytic activity||molecular_function</t>
  </si>
  <si>
    <t>GO:0004579</t>
  </si>
  <si>
    <t>oligosaccharyl transferase complex||protein complex||cellular_component</t>
  </si>
  <si>
    <t>GO:0008250</t>
  </si>
  <si>
    <t>protein amino acid N-linked glycosylation via asparagine||protein amino acid N-linked glycosylation||protein amino acid glycosylation||protein modification||cellular protein metabolism||protein metabolism||primary metabolism||metabolism||physiological process||biological_process</t>
  </si>
  <si>
    <t>GO:0018279</t>
  </si>
  <si>
    <t>OST3_OST6 4e-060| AmoA 0.010| DUF898 0.053| PAP2_like_2 0.060| RNA_pol_Rpb1_4 0.084| PutP | PTR2 | LytS | PHF5 | NorB |</t>
  </si>
  <si>
    <t>PAP2_dolichyldiphosphatase |</t>
  </si>
  <si>
    <t>gi|110756538</t>
  </si>
  <si>
    <t xml:space="preserve">SIMILAR TO ISOFORM B APIS MELLIFERA DROSOPHILA MELANOGASTER E C D PSEUDOOBSCURA ANOPHELES GAMBIAE STR. PEST HYPOTHETICAL AAEL_AAEL005174 AEDES AEGYPTI UNNAMED PRODUCT KLUYVEROMYCES LACTIS STREPTOCOCCUS PYOGENES DISEASE RESISTANCE ARABIDOPSIS THALIANA CONSERVED MYCOPLASMA PENETRANS HF-2 HF 2 VIT1_AEDAE VITELLOGENIN-A1 PRECURSOR VG PVG1 CONTAINS VITELLIN LIGHT CHAIN VL HEAVY VH VITELLOGENIN A1 YELLOW FEVER MOSQUITO BINDING DRL23_ARATH PUTATIVE RPS2 DDBDRAFT_0168463 DICTYOSTELIUM DISCOIDEUM AX4 TFIIF-INTERACTING COMPONENT C-TERMINAL DOMAIN PHOSPHATASE SCHIZOSACCHAROMYCES POMBE TFIIF INTERACTING TERMINAL RATTUS NORVEGICUS COPRINOPSIS CINEREA OKAYAMA7#130 PROTEIN-SIGNAL PEPTIDE PREDICTION RHODOPIRELLULA BALTICA SH 1 SIGNAL </t>
  </si>
  <si>
    <t>defense response</t>
  </si>
  <si>
    <t>defense response||response to biotic stimulus||response to stimulus||biological_process</t>
  </si>
  <si>
    <t>GO:0006952</t>
  </si>
  <si>
    <t>UPF0118 | Candida_ALS | LDH | DUF789 | Rad51_DMC1_radA | PerM | DUF395 |</t>
  </si>
  <si>
    <t>gi|7505565</t>
  </si>
  <si>
    <t xml:space="preserve">HYPOTHETICAL CAENORHABDITIS ELEGANS </t>
  </si>
  <si>
    <t>gi|42600556</t>
  </si>
  <si>
    <t xml:space="preserve">YABUSAME-2 BOMBYX MORI YABUSAME 2 PUTATIVE TRANSPOSASE YABUSAME-W W YABUSAME-1 1 HELIOTHIS VIRESCENS ANOPHELES GAMBIAE STR. PEST SIMILAR TO PIGGYBAC TRANSPOSABLE ELEMENT DERIVED 4 DANIO RERIO HYPOTHETICAL BB_Q09 BORRELIA BURGDORFERI B31 CONSERVED </t>
  </si>
  <si>
    <t>DRG | APG6 |</t>
  </si>
  <si>
    <t>gi|48097950</t>
  </si>
  <si>
    <t xml:space="preserve">SIMILAR TO CG3108-PA MELLIFERA TRIBOLIUM CASTANEUM ANOPHELES GAMBIAE STR. PEST CARBOXYPEPTIDASE AEDES AEGYPTI B MAYETIOLA DESTRUCTOR LITOPENAEUS VANNAMEI MOLTING FLUID A BOMBYX MORI CBPB_ASTFL CPASE DROSOPHILA PSEUDOOBSCURA MELANOGASTER XENOPUS TROPICALIS STRONGYLOCENTROTUS PURPURATUS CG3097-PA CAENORHABDITIS ELEGANS HYPOTHETICAL BRIGGSAE TPA_EXP O CPO HOMO SAPIENS B1 TISSUE SYNTHETIC CONSTRUCT Q8IVL8 CBPO_HUMAN PRECURSOR ZN-CARBOXYPEPTIDASE UNKNOWN ZN </t>
  </si>
  <si>
    <t>CG3108 - metallocarboxypeptidase activity</t>
  </si>
  <si>
    <t>carboxypeptidase A activity||metallocarboxypeptidase activity||metalloexopeptidase activity||metallopeptidase activity||peptidase activity||hydrolase activity||catalytic activity||molecular_function</t>
  </si>
  <si>
    <t>GO:0004182</t>
  </si>
  <si>
    <t>proteolysis||cellular protein metabolism||protein metabolism||primary metabolism||metabolism||physiological process||biological_process</t>
  </si>
  <si>
    <t>GO:0006508</t>
  </si>
  <si>
    <t>Zn_pept 1e-037| Zn_carbOpept 4e-011| AF-4 0.022| Menin 0.023| STOP 0.023| Peroxidase_2 0.033| Rubella_Capsid 0.092| GSK-3_bind | APC_basic | Tymo_45kd_70kd |</t>
  </si>
  <si>
    <t>gi|112983562</t>
  </si>
  <si>
    <t xml:space="preserve">RIBOSOMAL L13 BOMBYX MORI HELICOVERPA ZEA ANTHERAEA YAMAMAI LYSIPHLEBUS TESTACEIPES SIMILAR TO CG4651-PA ISOFORM A TRIBOLIUM CASTANEUM RL13_SPOFR SPODOPTERA FRUGIPERDA 1 APIS MELLIFERA L13E SPHAERIUS SP. PUTATIVE DIAPHORINA CITRI AGRIOTES LINEATUS </t>
  </si>
  <si>
    <t>Cons_hypoth698 | HMG_CoA_synt |</t>
  </si>
  <si>
    <t>gi|11182473</t>
  </si>
  <si>
    <t>Triatoma dimidiata</t>
  </si>
  <si>
    <t xml:space="preserve">DEHYDROGENASE SUBUNIT 1 TRIATOMA DIMIDIATA PHILAENUS SPUMARIUS FLEXAMIA ARENICOLA SURCULA CURVATA STYLATA FLEXARIDA CHAOTICA MINIMA HURONI SANDERSI SERRATA CLAYI PRAIRIANA YOUNGI DECORA AREOLATA CELATA DELONGI ATLANTICA DAKOTA TRICHOLEPIDION GERTSCHI BANDARITA MESCALERO PECTINATA ALBIDA PYROPS </t>
  </si>
  <si>
    <t>mitochondrial NADH-ubiquinone oxidoreductase chain 1 - mitochondrion - respiratory chain complex I (sensu Eukaryota) - NADH dehydrogenase (ubiquinone) activity</t>
  </si>
  <si>
    <t>NADH dehydrogenase (ubiquinone) activity||oxidoreductase activity\, acting on NADH or NADPH\, quinone or similar compound as acceptor||oxidoreductase activity\, acting on NADH or NADPH||oxidoreductase activity||catalytic activity||molecular_function</t>
  </si>
  <si>
    <t>GO:0008137</t>
  </si>
  <si>
    <t>NADHdh 1e-042| NuoH 9e-030| HyfC 2e-011| Nucleoside_tra2 5e-004| FTSW_RODA_SPOVE 0.070| TatC | COG2194 | AlsT | NosY | DsbD |</t>
  </si>
  <si>
    <t>gi|66559176</t>
  </si>
  <si>
    <t xml:space="preserve">SIMILAR TO NONSENSE-MEDIATED MRNA 3 CG3460-PA MELLIFERA NONSENSE MEDIATED ANOPHELES GAMBIAE STR. PEST DECAY AEDES AEGYPTI TRIBOLIUM CASTANEUM HOMOLOG S. CEREVISIAE LIKE DANIO RERIO NMD3 CANIS FAMILIARIS ISOFORM 1 MACACA MULATTA UNNAMED PRODUCT FASCICULARIS PAN TROGLODYTES HYPOTHETICAL PONGO PYGMAEUS CGI-07 SAPIENS CGI 07 HOMO MUS MUSCULUS RATTUS NORVEGICUS GALLUS XENOPUS TROPICALIS TAURUS LAEVIS TETRAODON NIGROVIRIDIS DROSOPHILA MELANOGASTER PSEUDOOBSCURA </t>
  </si>
  <si>
    <t>NMD3 homolog (S. cerevisiae), like - cellular component unknown</t>
  </si>
  <si>
    <t>ribosomal large subunit assembly and maintenance||ribosomal subunit assembly||ribosome assembly||protein complex assembly||protein metabolism||primary metabolism||metabolism||physiological process||biological_process</t>
  </si>
  <si>
    <t>GO:0000027</t>
  </si>
  <si>
    <t>COG5523 0.042| Vinculin | COG1504 |</t>
  </si>
  <si>
    <t>gi|57526755</t>
  </si>
  <si>
    <t>Danio rerio</t>
  </si>
  <si>
    <t xml:space="preserve">RIBOSOMAL P1 DANIO RERIO LARGE P2 BIOMPHALARIA GLABRATA EL12' EL12'P RLA1_ARTSA 60S ACIDIC EL12'-P PUTATIVE AEDES AEGYPTI UNNAMED PRODUCT TETRAODON NIGROVIRIDIS HYPOTHETICAL ASPERGILLUS FUMIGATUS Q9HGV0 RLA1_ASPFU AFP1 SUPERFAMILY SIMILAR TO RATTUS NORVEGICUS PARALICHTHYS OLIVACEUS ICTALURUS PUNCTATUS UNKNOWN FOR MGC XENOPUS LAEVIS L10E P0 STRONGYLOCENTROTUS PURPURATUS TROPICALIS PLUTELLA XYLOSTELLA SCHIZOSACCHAROMYCES POMBE RLA1_SCHPO P1-ALPHA ALPHA ISOFORM 2 1 MACACA MULATTA RADIATA HOMO SAPIENS 3 CANIS FAMILIARIS TROGLODYTES PAN BOS TAURUS RLA1_HUMAN RLA1_BOVIN PHOSPHOPROTEIN 1-LIKE </t>
  </si>
  <si>
    <t>60S acidic ribosomal protein - translational elongation - structural constituent of ribosome - cytosolic large ribosomal subunit (sensu Eukaryota)</t>
  </si>
  <si>
    <t>Putative glycine-rich cell wall protein precursor - mitochondrion - cytoplasmic membrane-bound vesicle - secretory pathway</t>
  </si>
  <si>
    <t>structural constituent of cytoskeleton||structural molecule activity||molecular_function</t>
  </si>
  <si>
    <t>GO:0005200</t>
  </si>
  <si>
    <t>cornified envelope||cytoskeleton||intracellular non-membrane-bound organelle||non-membrane-bound organelle||organelle||cellular_component</t>
  </si>
  <si>
    <t>GO:0001533</t>
  </si>
  <si>
    <t>Signal transduction mechanisms, Cytoskeleton</t>
  </si>
  <si>
    <t>Drf_FH1 2e-020| Extensin_2 4e-015| DUF1210 7e-015| DUF1421 2e-012| Tymo_45kd_70kd 3e-011| Amelogenin 3e-011| TonB 1e-010| GRP 1e-010| Trypan_PARP 4e-010| Tsg101 8e-010|</t>
  </si>
  <si>
    <t xml:space="preserve">PHEROPHORIN-DZ1 VOLVOX CARTERI F. NAGARIENSIS PHEROPHORIN DZ1 HYPOTHETICAL RATTUS NORVEGICUS HYDROXYPROLINE-RICH GLYCOPROTEIN DZ-HRGP HYDROXYPROLINE RICH DZ HRGP PHEROPHORIN-C2 PRECURSOR CHLAMYDOMONAS REINHARDTII C2 BAMB_2578 BURKHOLDERIA CEPACIA AMMD CONSERVED ENDO-1 4-BETA-GLUCANASE XYLELLA FASTIDIOSA 9A5C BETA-GLUCANASE BETA GLUCANASE PHEROPHORIN-C1 C1 PUTATIVE MEMBRANE EMILIANIA HUXLEYI VIRUS 86 BCEN_1918 CENOCEPACIA AU 1054 USTILAGO MAYDIS 521 ERYTHROCYTE 1 PFEMP1 PLASMODIUM FALCIPARUM 3D7 STRONGYLOCENTROTUS PURPURATUS ORYZA SATIVA JAPONICA CULTIVAR-GROUP CULTIVAR GROUP GLYCINE-RICH CELL WALL GLYCINE RETROTRANSPOSON TY3-GYPSY SUBCLASS EXPRESSED TY3 GYPSY STRUCTURAL GLYCINE-RICH_PROTEIN_ BRASSICA NAPUS RICH_PROTEIN_ AA1 291 ATGRP ARABIDOPSIS THALIANA GRP1_PHAVU 1.0 GRP UNNAMED PRODUCT PHASEOLUS VULGARIS K1C9_HUMAN KERATIN TYPE I CYTOSKELETAL 9 CYTOKERATIN-9 CK-9 KERATIN-9 CYTOKERATIN HOMO SAPIENS CK </t>
  </si>
  <si>
    <t>cytoplasmic membrane-bound vesicle||membrane-bound vesicle||vesicle||organelle||cellular_component</t>
  </si>
  <si>
    <t>GO:0016023</t>
  </si>
  <si>
    <t>secretory pathway||transport||chitin localization||localization||physiological process||biological_process</t>
  </si>
  <si>
    <t>GO:0045045</t>
  </si>
  <si>
    <t>Drf_FH1 3e-030| Extensin_2 3e-023| DUF1421 6e-020| DUF1210 1e-014| Tymo_45kd_70kd 1e-014| TonB 5e-014| Atrophin-1 5e-014| Gag_spuma 2e-013| Amelogenin 5e-013| Harpin 1e-012|</t>
  </si>
  <si>
    <t xml:space="preserve">MULTICYSTATIN MANDUCA SEXTA KININOGEN-I VARIANT MUS MUSCULUS MOLECULAR WEIGHT KININOGEN I ISOFORM DELTAD5 KNG1_MOUSE KININOGEN-1 PRECURSOR CONTAINS HEAVY CHAIN BRADYKININ LIGHT PREKININOGEN SP. 1 II RATTUS NORVEGICUS K-KININOGEN K KNG1_RAT SIMILAR TO 2 HMW-KININOGEN-II HMW KININOGEN-II ALLERGEN ANISAKIS SIMPLEX CYT_CYPCA CYSTATIN OVARIAN P12 ACTINIDIA ERIANTHA FAMILY-2 ONCORHYNCHUS KETA FAMILY CYT_ONCKE T-KININOGEN T ALPHA-1 MAJOR ACUTE PHASE PREPEPTIDE ALPHA KNT2_RAT ALPHA-1-MAP THIOSTATIN T-KININ 1-MAP MAP KININ E M BOS TAURUS KGRTM RAT FRAGMENT </t>
  </si>
  <si>
    <t>receptor binding||signal transducer activity||molecular_function</t>
  </si>
  <si>
    <t>GO:0005102</t>
  </si>
  <si>
    <t>extracellular region||cellular_component</t>
  </si>
  <si>
    <t>GO:0005576</t>
  </si>
  <si>
    <t>smooth muscle contraction||muscle contraction||organismal physiological process||physiological process||biological_process</t>
  </si>
  <si>
    <t>GO:0006939</t>
  </si>
  <si>
    <t>CY 6e-010| CY 5e-009| Cystatin 3e-007| PTA_PTB 0.058| PLA2_B | COG4639 |</t>
  </si>
  <si>
    <t>gi|15901602</t>
  </si>
  <si>
    <t>Streptococcus pneumoniae TIGR4</t>
  </si>
  <si>
    <t xml:space="preserve">SURFACE ANCHOR FAMILY STREPTOCOCCUS PNEUMONIAE TIGR4 ULOBORUS DIVERSUS MINOR AMPULLATE SILK MISP1 NEPHILA CLAVIPES PROTEIN-1 LATRODECTUS HESPERUS 1 LARGE TEGUMENT CERCOPITHECINE HERPESVIRUS PHAEOSPHAERIA NODORUM SN15 MAJOR SPIDROIN HYPOTHETICAL YARROWIA LIPOLYTICA UNNAMED PRODUCT CLIB122 FIBER PUTATIVE ROSEOVARIUS SP. RATTUS NORVEGICUS ARGIOPE TRIFASCIATA CRISTATUS NEUROSPORA CRASSA OR74A CONSERVED FIBROIN ANTHERAEA PERNYI UNCHARACTERIZED GLY-RICH UNCULTURED DELTA PROTEOBACTERIUM DEEPANT-1F12 DEEPANT 1F12 INSOLUBLE PINCTADA FUCATA YAMAMAI ANTIFREEZE GLYCOPROTEIN POLYPROTEIN PRECURSOR PARANOTOTHENIA MICROLEPIDOTA HISTONE-H4-LIKE ARABIDOPSIS THALIANA HISTONE H4-LIKE LIKE UNKNOWN SERICIN MG-2 GREATER WAX MOTH FRAGMENTS MG 2 </t>
  </si>
  <si>
    <t>Early nodulin 75-like protein - cytoplasmic membrane-bound vesicle - secretory pathway</t>
  </si>
  <si>
    <t>ATP binding||adenyl nucleotide binding||purine nucleotide binding||nucleotide binding||binding||molecular_function</t>
  </si>
  <si>
    <t>GO:0005524</t>
  </si>
  <si>
    <t>GO:0006605</t>
  </si>
  <si>
    <t>ANK 2e-034| Arp 1e-018| Ank 3e-008| ANK 1e-005| Rubella_Capsid | IL17 | APP | COG4694 |</t>
  </si>
  <si>
    <t>gi|46110627</t>
  </si>
  <si>
    <t>Gibberella zeae PH-1</t>
  </si>
  <si>
    <t xml:space="preserve">HYPOTHETICAL GIBBERELLA ZEAE PH-1 VITELLOGENIN ANGUILLA JAPONICA PHAEOSPHAERIA NODORUM SN15 TRANSCRIPTIONAL REGULATOR LYSR FAMILY VIBRIO SP. DDBDRAFT_0204779 DICTYOSTELIUM DISCOIDEUM AX4 DDBDRAFT_0190606 HOMO SAPIENS SIMILAR TO RETINOBLASTOMA PROTEIN-BINDING ZINC FINGER ISOFORM A MACACA MULATTA BINDING DIPEPTIDYL PEPTIDASE IV XANTHOMONAS ORYZAE PV. MAFF PR-DOMAIN 2 VARIANT PR DOMAIN CONTAINING WITH ZNF C RIZ ZINC-FINGER DNA-BINDING DNA TRANSCRIPTION FACTOR DDBDRAFT_0216593 RETROELEMENT POL POLYPROTEIN PUTATIVE ARABIDOPSIS THALIANA SIGMA AVIAN REOVIRUS NLI02 CANDIDA ALBICANS SCHIZOSACCHAROMYCES POMBE CAENORHABDITIS BRIGGSAE NEUROSPORA CRASSA OR74A GLYM_NEUCR SERINE HYDROXYMETHYLTRANSFERASE MITOCHONDRIAL PRECURSOR METHYLASE GLYCINE SHMT </t>
  </si>
  <si>
    <t>Carbohydrate transport and metabolism, Posttranslational modification, protein turnover, chaperones</t>
  </si>
  <si>
    <t>TrbI 0.026| BCCT 0.081| OAD_beta | MAGE | Peptidase_S38 | Glyco_hydro_6 | COG3889 | EVI2A | ALK1 |</t>
  </si>
  <si>
    <t>gi|85111552</t>
  </si>
  <si>
    <t>Neurospora crassa</t>
  </si>
  <si>
    <t xml:space="preserve">HYPOTHETICAL NEUROSPORA CRASSA OR74A BCEN_1918 BURKHOLDERIA CENOCEPACIA AU 1054 CONSERVED ENDO-1 4-BETA-GLUCANASE XYLELLA FASTIDIOSA 9A5C BETA-GLUCANASE BETA GLUCANASE PHOSPHORIBOSYLFORMYLGLYCINAMIDINE SYNTHASE SUBUNIT II OCEANICOLA GRANULOSUS ORYZA SATIVA JAPONICA CULTIVAR-GROUP RETROTRANSPOSON PUTATIVE TY1-COPIA SUBCLASS EXPRESSED CULTIVAR GROUP TY1 COPIA ACIDOBACTERIA BACTERIUM ELLIN345 SOLANUM LYCOPERSICUM INSOLUBLE PINCTADA FUCATA MEMBRANE EMILIANIA HUXLEYI VIRUS 86 SURFACE FROM GRAM-POSITIVE COCCI ANCHOR REGION BACILLUS WEIHENSTEPHANENSIS KBAB4 POSITIVE BAMB_2578 CEPACIA AMMD RATTUS NORVEGICUS MUS MUSCULUS BINDING RGGM TRYPANOSOMA CRUZI YARROWIA LIPOLYTICA UNNAMED PRODUCT CLIB122 SIMILAR TO KERATIN 10 ISOFORM 1 MACACA MULATTA GLYCINE RICH MEDICAGO TRUNCATULA ERYTHROCYTE PFEMP1 PLASMODIUM FALCIPARUM 3D7 CANDIDA GLABRATA </t>
  </si>
  <si>
    <t>Putative glycine-rich cell wall structural protein - cytoplasmic membrane-bound vesicle - secretory pathway</t>
  </si>
  <si>
    <t>Drf_FH1 7e-006| DUF1210 3e-004| Tymo_45kd_70kd 4e-004| Harpin 4e-004| Calsarcin 0.001| COG1512 0.001| Coiled 0.001| DUF1421 0.001| Extensin_2 0.002| NPIP 0.002|</t>
  </si>
  <si>
    <t>gi|109493062</t>
  </si>
  <si>
    <t xml:space="preserve">HYPOTHETICAL RATTUS NORVEGICUS BAMB_2578 BURKHOLDERIA CEPACIA AMMD CONSERVED ENDO-1 4-BETA-GLUCANASE XYLELLA FASTIDIOSA 9A5C BETA-GLUCANASE BETA GLUCANASE PUTATIVE MEMBRANE EMILIANIA HUXLEYI VIRUS 86 SOLANUM LYCOPERSICUM ACIDOBACTERIA BACTERIUM ELLIN345 ERYTHROCYTE 1 PFEMP1 PLASMODIUM FALCIPARUM 3D7 GLYCINE-RICH ORYZA SATIVA JAPONICA CULTIVAR-GROUP GLYCINE RICH CULTIVAR GROUP ARABIDOPSIS THALIANA PHEROPHORIN-DZ1 VOLVOX CARTERI F. NAGARIENSIS PHEROPHORIN DZ1 APIS MELLIFERA RETROTRANSPOSON TY1-COPIA SUBCLASS EXPRESSED TY1 COPIA BCEN_1918 CENOCEPACIA AU 1054 PSEUDOMONAS FLUORESCENS PFO-1 PHOSPHORIBOSYLFORMYLGLYCINAMIDINE SYNTHASE SUBUNIT II OCEANICOLA GRANULOSUS KERATIN 2 MUS MUSCULUS CELL WALL STRUCTURAL SIMILAR TO RW1 TRIBOLIUM CASTANEUM GROUND-LIKE GRD RELATED FAMILY MEMBER GRL-25 CAENORHABDITIS ELEGANS GROUND LIKE GRL 25 UNNAMED PRODUCT </t>
  </si>
  <si>
    <t>Putative glycine-rich protein - plastid</t>
  </si>
  <si>
    <t>Drf_FH1 2e-010| Harpin 6e-008| DUF1421 3e-007| Extensin_2 3e-007| DUF1210 3e-007| Tymo_45kd_70kd 4e-007| GRP 5e-007| MCPVI 4e-006| Amelogenin 4e-006| Atrophin-1 4e-006|</t>
  </si>
  <si>
    <t>gi|11067429</t>
  </si>
  <si>
    <t xml:space="preserve">SYNAPTOPODIN RATTUS NORVEGICUS ISOFORM 2 MUS MUSCULUS SIMILAR TO UNNAMED PRODUCT 1 SYNPO_RAT SYNPO_MOUSE MKIAA1029 HYPOTHETICAL DDBDRAFT_0189561 DICTYOSTELIUM DISCOIDEUM AX4 DOMAIN CRYPTOSPORIDIUM PARVUM CANDIDA GLABRATA IOWA II LARGE EXTRACELLULAR WITH A SIGNAL PEPTIDE APPLE TRANSMEMBRANE REGION TROPHININ MACACA MULATTA MAGNAPORTHE GRISEA DANIO RERIO AAEL_AAEL008935 AEDES AEGYPTI NUCLEAR PORE COMPLEX NUCLEOPORIN 214 KDA CAN GALLUS CEMENT PRECURSOR 3B VARIANT PHRAGMATOPOMA CALIFORNICA USTILAGO MAYDIS 521 EPA5P CELLOBIOHYDROLASE 4-BETA-CELLOBIOSIDASE -LIKE SACCHAROPHAGUS DEGRADANS 2-40 BETA-CELLOBIOSIDASE BETA CELLOBIOSIDASE LIKE 40 DDBDRAFT_0219539 </t>
  </si>
  <si>
    <t>synaptopodin - axon - dendrite - actin cytoskeleton - actin binding</t>
  </si>
  <si>
    <t>actin binding||cytoskeletal protein binding||protein binding||binding||molecular_function</t>
  </si>
  <si>
    <t>GO:0003779</t>
  </si>
  <si>
    <t>axon||neuron projection||cell projection||cell part||cellular_component</t>
  </si>
  <si>
    <t>GO:0030424</t>
  </si>
  <si>
    <t>Function unknown</t>
  </si>
  <si>
    <t>gi|111225384</t>
  </si>
  <si>
    <t>Frankia alni ACN14a</t>
  </si>
  <si>
    <t xml:space="preserve">HYPOTHETICAL PUTATIVE GAF ANTAR CHEY DOMAINS FRANKIA ALNI ACN14A WWSIM0676 WOLBACHIA ENDOSYMBIONT DROSOPHILA SIMULANS WWSIM0674 WWSIM0756 WWSIM0691 WWSIM0788 FRANEAN1DRAFT_1448 SP. EAN1PEC WWSIM0680 PAN TROGLODYTES AEDES AEGYPTI NF 180 FASCICLIN-LIKE FLA19 TRITICUM AESTIVUM FASCICLIN LIKE FJOHDRAFT_0943 FLAVOBACTERIUM JOHNSONIAE PSEUDOALTEROMONAS TUNICATA D2 TRANSHYDROGENASE SUBUNIT BETA THERMUS THERMOPHILUS HB27 NICOTINAMIDE NUCLEOTIDE HB8 SIMILAR TO UBIQUITIN ACTIN FUSION STRONGYLOCENTROTUS PURPURATUS AAEL_AAEL000079 GLUTENIN AEGILOPS UMBELLULATA MYCOBACTERIUM SMEGMATIS APIS MELLIFERA ORYZA SATIVA JAPONICA CULTIVAR-GROUP CULTIVAR GROUP TRANSFORMATION TRANSCRIPTION DOMAIN-ASSOCIATED 350 400 KDA PCAF-ASSOCIATED FACTOR STAF40 HOMOLOG RATTUS NORVEGICUS DOMAIN ASSOCIATED PCAF MKIAA4178 MUSCULUS POLYMERASE HEPATITIS B VIRUS HLA-B TRANSCRIPT 2 MUS Q7TSC1 BAT2_MOUSE LARGE PROLINE-RICH BAT2 HLA-B-ASSOCIATED PROLINE RICH B-ASSOCIATED </t>
  </si>
  <si>
    <t>COG5621 0.037| LISCH7 | Glutenin_hmw | ArsC_family | Arc_PepC | DUF566 | ClpS | COG2461 | DUF438 |</t>
  </si>
  <si>
    <t>gi|68065011</t>
  </si>
  <si>
    <t>Plasmodium berghei</t>
  </si>
  <si>
    <t xml:space="preserve">HYPOTHETICAL PLASMODIUM BERGHEI STRAIN ANKA CONSERVED </t>
  </si>
  <si>
    <t>COG3202 | YjgP_YjgQ |</t>
  </si>
  <si>
    <t>gi|52345468</t>
  </si>
  <si>
    <t>Xenopus tropicalis</t>
  </si>
  <si>
    <t xml:space="preserve">ANOPHELES GAMBIAE STR. PEST PACIFASTIN-RELATED PEPTIDE PRECURSOR PP-5 SCHISTOCERCA GREGARIA PACIFASTIN RELATED PP 5 LIGHT CHAIN PACIFASTACUS LENIUSCULUS SERINE PROTEASE INHIBITOR LOCUSTA MIGRATORIA MIGRATORIOIDES 4T 4A SOLUTION STRUCTURE SMALL SGCI L30R K31M HYPOTHETICAL TRIBOLIUM CASTANEUM SELECTIVE INHIBITION TRYPSINS BY INSECT PEPTIDES ROLE SIMILAR TO SUBCOMMISSURAL ORGAN SPONDIN MACACA MULATTA DROSOPHILA MELANOGASTER JAGGED CIONA INTESTINALIS SGP1_SCHGR I II CONTAINS SGPI-1 TRYPSIN SGTI SGPI-2 CHYMOTRYPSIN RESOLUTION CRAYFISH COMPLEXED WITH JAGGED2 DANIO RERIO 2 ISOFORM 1 SERRATEB LCM_LOCMI INHIBITORS LCMI-I PARS INTERCEREBRALIS MAJOR D2 PMP-D2 LCMI-II C PMP-C PROTEINASE LCMI PMP </t>
  </si>
  <si>
    <t>VWC_out 3e-004| Keratin_B2 0.010| Exportin-t |</t>
  </si>
  <si>
    <t>gi|49477102</t>
  </si>
  <si>
    <t>Bacillus thuringiensis serovar konkukian str. 97-27</t>
  </si>
  <si>
    <t xml:space="preserve">SENSOR COMP BACILLUS THURINGIENSIS SEROVAR KONKUKIAN STR. HYPOTHETICAL YARROWIA LIPOLYTICA UNNAMED PRODUCT CLIB122 SPIROPLASMA CITRI PLASMODIUM FALCIPARUM 3D7 DOMAIN SHEWANELLA DENITRIFICANS </t>
  </si>
  <si>
    <t>BacA | COG4928 | VAR1 |</t>
  </si>
  <si>
    <t>gi|15616972</t>
  </si>
  <si>
    <t>Buchnera aphidicola str. APS (Acyrthosiphon pisum)</t>
  </si>
  <si>
    <t xml:space="preserve">AMINOPEPTIDASE A I BUCHNERA APHIDICOLA STR. APS ACYRTHOSIPHON PISUM AMPA_BUCAI CYTOSOL LEUCINE LAP LEUCYL IMPORTED SP. STRAIN HYPOTHETICAL PLASMODIUM FALCIPARUM 3D7 </t>
  </si>
  <si>
    <t>gi|91091132</t>
  </si>
  <si>
    <t xml:space="preserve">SIMILAR TO CG1354-PA ISOFORM A TRIBOLIUM CASTANEUM 1 APIS MELLIFERA BINDING BOMBYX MORI GTP-BINDING AEDES AEGYPTI GTP ANOPHELES GAMBIAE STR. PEST DROSOPHILA MELANOGASTER CG1354-PC CG1354-PD CG1354-PB B PSEUDOOBSCURA STRONGYLOCENTROTUS PURPURATUS UNNAMED PRODUCT TETRAODON NIGROVIRIDIS XENOPUS TROPICALIS NOVEL RIKEN CDNA RATTUS NORVEGICUS 2 PAN TROGLODYTES 6 MACACA MULATTA PUTATIVE BOS TAURUS HYPOTHETICAL HOMO SAPIENS UNKNOWN HOMOLOGOUS YEAST-44.2 YEAST 44.2 SYNTHETIC CONSTRUCT Q9NTK5 PTD4_HUMAN </t>
  </si>
  <si>
    <t>CG1354 - GTP binding</t>
  </si>
  <si>
    <t>YchF 1e-049| DUF933 3e-049| COG0012 2e-037| DRG 0.025| TPK_catalytic | TAF1 |</t>
  </si>
  <si>
    <t>gi|67472671</t>
  </si>
  <si>
    <t>Entamoeba histolytica HM-1:IMSS</t>
  </si>
  <si>
    <t xml:space="preserve">FINGER ENTAMOEBA HISTOLYTICA HM-1 IMSS PUTATIVE HM 1 </t>
  </si>
  <si>
    <t>SCFA_trans |</t>
  </si>
  <si>
    <t>gi|58388964</t>
  </si>
  <si>
    <t xml:space="preserve">ANOPHELES GAMBIAE STR. PEST DEHYDROGENASE PUTATIVE AEDES AEGYPTI DROSOPHILA MELANOGASTER </t>
  </si>
  <si>
    <t>COG1822 |</t>
  </si>
  <si>
    <t>COG5594 |</t>
  </si>
  <si>
    <t>gi|91094539</t>
  </si>
  <si>
    <t xml:space="preserve">SIMILAR TO CG1451-PA TRIBOLIUM CASTANEUM ADENOMATOUS POLYPOSIS COLI DROSOPHILA MELANOGASTER APC-LIKE PSEUDOOBSCURA PARTIAL APIS MELLIFERA APC LIKE ANOPHELES GAMBIAE STR. PEST OCELLILESS ISOFORM B A HMOC_DROME HOMEOTIC ORTHODENTICLE 8312 MUSCULUS CAPPUCCINO SECRETION SYSTEM NOLW-LIKE PSEUDOMONAS SYRINGAE PV. HYPOTHETICAL CANDIDA ALBICANS POLYRIBONUCLEOTIDE NUCLEOTIDYLTRANSFERASE ANAPLASMA PHAGOCYTOPHILUM HZ NEUREGULIN 2 1 CANIS FAMILIARIS 4 3 PRO-NEUREGULIN-2 PRECURSOR PRO-NRG2 PRO NEUREGULIN-2 NRG2 AAEL_AAEL001921 AEDES AEGYPTI SCP-LIKE EXTRACELLULAR TETRAHYMENA THERMOPHILA CG7709-PA HOMO SAPIENS </t>
  </si>
  <si>
    <t>APC-like - beta-catenin binding - microtubule associated complex - microtubule-based process - microtubule binding - establishment and/or maintenance of cell polarity - frizzled-2 signaling pathway - apicolateral plasma membrane - negative regulation of transcription, DNA-dependent</t>
  </si>
  <si>
    <t>beta-catenin binding||protein binding||binding||molecular_function</t>
  </si>
  <si>
    <t>GO:0008013</t>
  </si>
  <si>
    <t>microtubule associated complex||protein complex||cellular_component</t>
  </si>
  <si>
    <t>GO:0005875</t>
  </si>
  <si>
    <t>microtubule-based process||cytoskeleton organization and biogenesis||organelle organization and biogenesis||cell organization and biogenesis||cellular physiological process||physiological process||biological_process</t>
  </si>
  <si>
    <t>GO:0007017</t>
  </si>
  <si>
    <t>Cell motility</t>
  </si>
  <si>
    <t>eIF-3c_C | Chlam_PMP | SDF |</t>
  </si>
  <si>
    <t>COG5542 | LytS |</t>
  </si>
  <si>
    <t>gi|58293</t>
  </si>
  <si>
    <t>synthetic construct</t>
  </si>
  <si>
    <t xml:space="preserve">CYSTATIN SYNTHETIC CONSTRUCT C AMYLOID ANGIOPATHY CEREBRAL HEMORRHAGE GALLUS CYT_CHICK PRECURSOR EGG-WHITE WHITE F-BOX DOMAIN PUTATIVE ORYZA SATIVA JAPONICA CULTIVAR-GROUP CONTAINING F BOX CULTIVAR GROUP </t>
  </si>
  <si>
    <t>gi|89271365</t>
  </si>
  <si>
    <t xml:space="preserve">CHECKPOINT HOMOLOG S. POMBE XENOPUS TROPICALIS HYPOTHETICAL RATTUS NORVEGICUS PLASMODIUM YOELII STR. 17XNL TARAXACUM OFFICINALE TO71 3 STREPTOMYCES HYGROSCOPICUS ANOPHELES GAMBIAE PEST VANGL2 DANIO RERIO PSPPH_2388 PSEUDOMONAS SYRINGAE PV. PHASEOLICOLA RIFAMYCIN POLYKETIDE SYNTHASE TYPE 1 AMYCOLATOPSIS MEDITERRANEI </t>
  </si>
  <si>
    <t>KR |</t>
  </si>
  <si>
    <t>gi|109503268</t>
  </si>
  <si>
    <t xml:space="preserve">HYPOTHETICAL RATTUS NORVEGICUS SIMILAR TO PER-PENTAMER REPEAT GENE PER PENTAMER HOMO SAPIENS CANIS FAMILIARIS PLASMODIUM YOELII STR. 17XNL MUS MUSCULUS MAGNAPORTHE GRISEA PHAEOSPHAERIA NODORUM SN15 </t>
  </si>
  <si>
    <t>ubiquitin-specific protease - cytoplasm - endoplasmic reticulum - ubiquitin-specific protease activity - protein deubiquitination</t>
  </si>
  <si>
    <t>ubiquitin-specific protease activity||cysteine-type peptidase activity||peptidase activity||hydrolase activity||catalytic activity||molecular_function</t>
  </si>
  <si>
    <t>GO:0004843</t>
  </si>
  <si>
    <t>protein deubiquitination||ubiquitin cycle||protein modification||cellular protein metabolism||protein metabolism||primary metabolism||metabolism||physiological process||biological_process</t>
  </si>
  <si>
    <t>GO:0016579</t>
  </si>
  <si>
    <t>COG3639 0.016| UPF0104 0.044| YL1 0.077| TFIIF_alpha 0.099| CeuC | COG3202 | DUF112 | UPF0118 | Competence | SART-1 |</t>
  </si>
  <si>
    <t>gi|41616114</t>
  </si>
  <si>
    <t>Drosophila melanogaster</t>
  </si>
  <si>
    <t xml:space="preserve">UNKNOWN CHORISTONEURA FUMIFERANA DEFECTIVE NUCLEOPOLYHEDROVIRUS MUC2_RAT MUCIN-2 PRECURSOR INTESTINAL MUCIN RATTUS NORVEGICUS 2 HYPOTHETICAL NOCARDIA FARCINICA IFM MNPV HYP-RICH GLYCOPROTEIN HYP RICH EPIPHYAS POSTVITTANA KRADDRAFT_1079 KINEOCOCCUS RADIOTOLERANS DDBDRAFT_0184442 DICTYOSTELIUM DISCOIDEUM AX4 RHOGEF DOMAIN-CONTAINING DOMAIN CONTAINING PROBABLE CELL SURFACE HALOQUADRATUM WALSBYI DSM PUTATIVE PENICILLIN-BINDING ACIDOTHERMUS CELLULOLYTICUS 11B PENICILLIN BINDING FAMILY 10 XYLANASE CALDICELLULOSIRUPTOR SP. RT69B.1 CHITINASE ARTHROBACTER DDBDRAFT_0205801 S-LAYER SLH CLOSTRIDIUM THERMOCELLUM ATCC LAYER DERMATAN-BINDING PROPIONIBACTERIUM ACNES DERMATAN BETA-1 4-XYLANASE XYNA CALDIBACILLUS CELLULOVORANS BETA 1 4 ALKALINE SERINE PROTEASE UNCULTURED ARCHAEON METHANOGENIC HYDROXYPROLINE-RICH HRGP ZEA MAYS HYDROXYPROLINE ORGYIA PSEUDOTSUGATA MULTICAPSID Y091_NPVOP 29.3 KDA ORF92 NUCLEAR POLYHEDROSIS VIRUS SYNECHOCOCCUS JA-2-3B'A CONSERVED JA 2-3B'A 98KDA ALLERGEN DERMATOPHAGOIDES FARINAE XANTHOMONAS CAMPESTRIS PV. STR. 8004 </t>
  </si>
  <si>
    <t>Hypothetical protein OSJNBa0059E14.1 - plastid</t>
  </si>
  <si>
    <t>BLVR 0.001| Podocalyxin 0.004| Herpes_BLLF1 0.007| COG3889 0.010| COG2845 0.030| APC_basic 0.032| Lamp 0.045| Gag_spuma 0.087| Herpes_gp2 0.089| Totivirus_coat 0.097|</t>
  </si>
  <si>
    <t>gi|54642231</t>
  </si>
  <si>
    <t>Drosophila pseudoobscura</t>
  </si>
  <si>
    <t xml:space="preserve">DROSOPHILA PSEUDOOBSCURA ANOPHELES GAMBIAE STR. PEST RIBOSOME-ASSOCIATED MEMBRANE AEDES AEGYPTI CONSERVED HYPOTHETICAL RIBOSOME ASSOCIATED ISOFORM A MELANOGASTER 4 BOMBYX MORI SIMILAR TO TRIBOLIUM CASTANEUM ARGAS MONOLAKENSIS IXODES SCAPULARIS APIS MELLIFERA MUS MUSCULUS SAPIENS 1 BOS TAURUS RATTUS NORVEGICUS CHROMOSOME 13 OPEN READING FRAME 21 UNKNOWN FOR MGC XENOPUS TROPICALIS RP11 RAMP4-2 RAMP4 DANIO RERIO LAEVIS UNNAMED PRODUCT TETRAODON NIGROVIRIDIS STRESS-ASSOCIATED ENDOPLASMIC RETICULUM STRESS HOMO ATTACHED SERP1 SEGMENT CHR 3 UNIVERSITY CALIFORNIA AT LOS ANGELES CAENORHABDITIS BRIGGSAE ELEGANS </t>
  </si>
  <si>
    <t>CG32276 - endoplasmic reticulum - ribosome - protein modification</t>
  </si>
  <si>
    <t>chromatin||chromosomal part||intracellular organelle part||organelle part||cellular_component</t>
  </si>
  <si>
    <t>GO:0000785</t>
  </si>
  <si>
    <t>DNA methylation||regulation of gene expression\, epigenetic||regulation of biological process||biological_process</t>
  </si>
  <si>
    <t>GO:0006306</t>
  </si>
  <si>
    <t>COG1512 1e-004| DUF1210 3e-004| Extensin_2 6e-004| DUF1421 9e-004| COG4278 0.001| eIF-4B 0.001| GRP 0.002| PRP 0.002| Drf_FH1 0.003| Harpin 0.003|</t>
  </si>
  <si>
    <t>gi|5835249</t>
  </si>
  <si>
    <t>Locusta migratoria</t>
  </si>
  <si>
    <t xml:space="preserve">DEHYDROGENASE SUBUNIT 3 LOCUSTA MIGRATORIA NU3M_LOCMI NADH-UBIQUINONE OXIDOREDUCTASE CHAIN UBIQUINONE DERMATOBIA HOMINIS OGCODES SP. DROSOPHILA YAKUBA NU3M_DROYA UNNAMED PRODUCT MAURITIANA SIMULANS SECHELLIA MELANOGASTER NU3M_DROME COCHLIOMYIA HOMINIVORAX CHRYSOMYA PUTORIA HAEMATOBIA IRRITANS AEDES ALBOPICTUS BACTROCERA OLEAE NU3M_DROSU NADH SUBOBSCURA AEGYPTI TECTOCORIS DIOPHTHALMUS ECTINORHYNCHUS HETEROPSILOPUS INGENUUS ANOPHELES GAMBIAE NU3M_ANOGA CRIOCERIS DUODECIMPUNCTATA CERATITIS CAPITATA FUNESTUS </t>
  </si>
  <si>
    <t>mitochondrial NADH-ubiquinone oxidoreductase chain 3 - mitochondrion - respiratory chain complex I (sensu Eukaryota) - NADH dehydrogenase (ubiquinone) activity</t>
  </si>
  <si>
    <t>Oxidored_q4 0.012| NuoA | VAR1 | PanF | Sec61_beta |</t>
  </si>
  <si>
    <t>gi|70935360</t>
  </si>
  <si>
    <t xml:space="preserve">HYPOTHETICAL PLASMODIUM CHABAUDI CONSERVED EIMERIA TENELLA ENTEROCOCCUS FAECALIS V583 BERGHEI STRAIN ANKA THEILERIA ANNULATA ANKARA TRYPANOSOMA CRUZI CL BRENER COMPETENCE LOCUS E COME3 PUTATIVE CAMPYLOBACTER COLI PHOSPHATIDYLINOSITOL TRANSFER FALCIPARUM 3D7 YOELII STR. 17XNL DEHYDROGENASE SUBUNIT 4 DAKTULOSPHAIRA VITIFOLIAE 2 DESMARESTIA VIRIDIS BASES FIRST START CODON AT 2032 1807 2850 GURADRAFT_1187 GEOBACTER URANIUMREDUCENS RF4 CANDIDA ALBICANS </t>
  </si>
  <si>
    <t>7tm_2 0.035| TatC 0.057| PSN 0.074| COG5578 | MVIN | COG1284 | TagG | COG4200 | Papilloma_E5 | MviN |</t>
  </si>
  <si>
    <t>gi|7510076</t>
  </si>
  <si>
    <t xml:space="preserve">HYPOTHETICAL Y50E8A.I CAENORHABDITIS ELEGANS DEHYDROGENASE SUBUNIT 2 ALEURODICUS DUGESII </t>
  </si>
  <si>
    <t>COG3936 | TatC | VanZ | COG2604 |</t>
  </si>
  <si>
    <t>gi|7211169</t>
  </si>
  <si>
    <t>Parapodisma mikado</t>
  </si>
  <si>
    <t xml:space="preserve">DEHYDROGENASE SUBUNIT 5 PARAPODISMA MIKADO TRIATOMA DIMIDIATA SUBUINT HYPOTHETICAL GURADRAFT_1187 GEOBACTER URANIUMREDUCENS RF4 PTEROSTICHUS NIGER PERCUS CYLINDRICUS SCHISTOCERCA GREGARIA LOCUSTA MIGRATORIA NADH2 UBIQUINONE EC CHAIN MIGRATORY LOCUST MITOCHONDRION FRAGMENT NU5M_LOCMI NADH-UBIQUINONE OXIDOREDUCTASE NADH PODISMA PEDESTRIS PLICATUS LINEATUS CORSICUS SCAPHINOTUS PETERSI REICHEI STRICTUS OBERLEITNERI LACERTOSUS GRANDICOLLIS PATRUELIS ABAX OVALIS COLPODES SP. 72 </t>
  </si>
  <si>
    <t>transcription initiation factor TFIID subunit, TFIID subunit - transcription initiation from RNA polymerase II promoter - general RNA polymerase II transcription factor activity - transcription factor TFIID complex</t>
  </si>
  <si>
    <t>general RNA polymerase II transcription factor activity||RNA polymerase II transcription factor activity||transcription regulator activity||molecular_function</t>
  </si>
  <si>
    <t>GO:0016251</t>
  </si>
  <si>
    <t>transcription factor TFIID complex||transcription factor complex||protein complex||cellular_component</t>
  </si>
  <si>
    <t>GO:0005669</t>
  </si>
  <si>
    <t>transcription initiation from RNA polymerase II promoter||transcription from RNA polymerase III promoter||transcription\, DNA-dependent||transcription||nucleobase\, nucleoside\, nucleotide and nucleic acid metabolism||primary metabolism||metabolism||physiological process||biological_process</t>
  </si>
  <si>
    <t>GO:0006367</t>
  </si>
  <si>
    <t>Lipid transport and metabolism, General function prediction only</t>
  </si>
  <si>
    <t>NADH5_C 5e-012| DIE2_ALG10 5e-004| COG4781 0.001| UPF0118 0.001| COG5409 0.001| TatC 0.002| DUF1461 0.002| TagG 0.003| DltB 0.005| COG4652 0.006|</t>
  </si>
  <si>
    <t>gi|42561091</t>
  </si>
  <si>
    <t>Mycoplasma mycoides subsp. mycoides SC</t>
  </si>
  <si>
    <t xml:space="preserve">SODIUM SOLUTE SYMPORTER FAMILY MYCOPLASMA MYCOIDES SUBSP. SC STR. PG1 HYPOTHETICAL SULFOLOBUS TOKODAII 7 </t>
  </si>
  <si>
    <t>DUF887 |</t>
  </si>
  <si>
    <t>gi|39938798</t>
  </si>
  <si>
    <t>Onion yellows phytoplasma OY-M</t>
  </si>
  <si>
    <t xml:space="preserve">HYPOTHETICAL ONION YELLOWS PHYTOPLASMA OY-M </t>
  </si>
  <si>
    <t>Aa_trans |</t>
  </si>
  <si>
    <t>gi|62083377</t>
  </si>
  <si>
    <t>Lysiphlebus testaceipes</t>
  </si>
  <si>
    <t xml:space="preserve">RIBOSOMAL L18A LYSIPHLEBUS TESTACEIPES VARIANT 1 SIMILAR TO CG6510-PA MELLIFERA PUTATIVE GRAPHOCEPHALA ATROPUNCTATA DIAPHORINA CITRI TRIBOLIUM CASTANEUM L18AE MELADEMA CORIACEA CICINDELA CAMPESTRIS HISTER SP. GEORISSUS PLUTELLA XYLOSTELLA Q8WQI7 RL18A_SPOFR SPODOPTERA FRUGIPERDA BOMBYX MORI CANIS FAMILIARIS DROSOPHILA PSEUDOOBSCURA MELANOGASTER RPL18A YAKUBA RL18A_DROME PAN TROGLODYTES HOMO SAPIENS ISOFORM 2 BOS TAURUS UNNAMED PRODUCT MUS MUSCULUS TETRAODON NIGROVIRIDIS RATTUS NORVEGICUS RL18A_RAT RL18A_MOUSE DANIO RERIO Q7ZWJ4 RL18A_BRARE NOVEL ZGC </t>
  </si>
  <si>
    <t>Ribosomal protein L18A - structural constituent of ribosome - cytosolic large ribosomal subunit (sensu Eukaryota) - protein biosynthesis - ribosome</t>
  </si>
  <si>
    <t>Ribosomal_L18ae 1e-050| RPL20A 2e-018| Prokineticin | DUF632 |</t>
  </si>
  <si>
    <t>gi|2370337</t>
  </si>
  <si>
    <t>Notophthalmus viridescens</t>
  </si>
  <si>
    <t xml:space="preserve">CYTOKERATIN 8 NOTOPHTHALMUS VIRIDESCENS UNNAMED PRODUCT CANDIDA GLABRATA Q6FLF3 DBP2_CANGA ATP-DEPENDENT RNA HELICASE DBP2 DEPENDENT HYPOTHETICAL BURKHOLDERIA PSEUDOMALLEI CPXV026 COWPOX VIRUS UNKNOWN ORF INORGANIC DIPHOSPHATASE NITROCOCCUS MOBILIS SIMILAR TO ACTIVIN- MELLIFERA ACTIVIN GIBBERELLA ZEAE PH-1 PARTIAL STRONGYLOCENTROTUS PURPURATUS ORYZA SATIVA JAPONICA CULTIVAR-GROUP CULTIVAR GROUP GLYCINE RICH BINDING HORDEUM VULGARE SUBSP. GRPA_MEDFA ABSCISIC ACID ENVIRONMENTAL STRESS-INDUCIBLE STRESS INDUCIBLE MEDICAGO FALCATA RADICAL SAM PSYCHROBACTER CRYOHALOLENTIS K5 </t>
  </si>
  <si>
    <t>COG3442 | API5 | COG1036 |</t>
  </si>
  <si>
    <t xml:space="preserve">PHAEOSPHAERIA NODORUM SN15 SYNAPSE-ASSOCIATED 47KD CG8884-PB ISOFORM B DROSOPHILA MELANOGASTER SYNAPSE ASSOCIATED CG8884-PA A CG8884-PC CG8884-PD CG8884-PE CG8884-PH SAP47_DROME CG8884-PG G CG8884-PF F SAP47-2 FRUIT FLY SAP47 SIMILAR TO P63 47 TRANSCRIPTION FACTOR STRONGYLOCENTROTUS PURPURATUS COLD-RESPONSIVE TRITICUM AESTIVUM COLD RESPONSIVE HYPOTHETICAL BTH_II0794 BURKHOLDERIA THAILANDENSIS E264 CONSERVED C-TERMINAL RALSTONIA EUTROPHA TERMINAL ARABIDOPSIS THALIANA ASPERGILLUS NIDULANS FGSC A4 CG6305-PA TRIBOLIUM CASTANEUM STREPTOMYCES AVERMITILIS STREPTOCOCCUS PNEUMONIAE R6 DOMAIN FAMILY D39 CAENORHABDITIS ELEGANS SALIVARY LUTZOMYIA LONGIPALPIS ORYZA SATIVA JAPONICA CULTIVAR-GROUP CULTIVAR GROUP COLLAGEN TYPE XXVII ALPHA 1 PARTIAL MACACA MULATTA AMEL_ORNAN AMELOGENIN ORNITHORHYNCHUS ANATINUS S-LAYER SLH CLOSTRIDIUM THERMOCELLUM ATCC LAYER PAN TROGLODYTES PUTATIVE MEMBRANE FRANKIA ALNI ACN14A SAPIENS </t>
  </si>
  <si>
    <t>RNA polymerase II transcription factor activity||transcription regulator activity||molecular_function</t>
  </si>
  <si>
    <t>GO:0003702</t>
  </si>
  <si>
    <t>protein amino acid autophosphorylation||protein autoprocessing||protein processing||protein modification||cellular protein metabolism||protein metabolism||primary metabolism||metabolism||physiological process||biological_process</t>
  </si>
  <si>
    <t>GO:0046777</t>
  </si>
  <si>
    <t>DEC-1_N 0.023| Menin 0.042| DMQH | Amelogenin | Harpin | MopB_CT_DMSOR-BSOR-TMAOR |</t>
  </si>
  <si>
    <t xml:space="preserve">SIMILAR TO P63 47 TRANSCRIPTION FACTOR STRONGYLOCENTROTUS PURPURATUS PILUS ASSEMBLY CPAB BURKHOLDERIA SP. 383 HYPOTHETICAL SYNECHOCOCCUS WH 5701 SAPIENS RP3 TUBULIN KINASE 1 HOMO Q5TCY1 TTBK1_HUMAN TAU-TUBULIN BRAIN-DERIVED BRAIN DERIVED TAU SMALL NUCLEAR RNA ACTIVATING COMPLEX POLYPEPTIDE 4 RATTUS NORVEGICUS MUSCULUS ORYZA SATIVA JAPONICA CULTIVAR-GROUP CULTIVAR GROUP SYN2_MOUSE SYNAPSIN-2 SYNAPSIN II 2 FAR-RED IMPAIRED RESPONSE-LIKE RESPONSE LIKE PISTIL EXTENSIN NICOTIANA TABACUM PHAEOSPHAERIA NODORUM SN15 BOS TAURUS ISOFORM SYN2_RAT UNKNOWN BETA-KETOACYL SYNTHASE FRANKIA CCI3 KETOACYL </t>
  </si>
  <si>
    <t>Atrophin-1 |</t>
  </si>
  <si>
    <t>gi|77954703</t>
  </si>
  <si>
    <t>Comments</t>
  </si>
  <si>
    <t>Class</t>
  </si>
  <si>
    <t>truncated chitinase</t>
  </si>
  <si>
    <t>s/enz-chit</t>
  </si>
  <si>
    <t xml:space="preserve">putative salivary secreted Tyr rich peptide with GYY repeats </t>
  </si>
  <si>
    <t>s/imm-ggy</t>
  </si>
  <si>
    <t>rRNA</t>
  </si>
  <si>
    <t>h/ps</t>
  </si>
  <si>
    <t>cystatin</t>
  </si>
  <si>
    <t>s/pi-cyst</t>
  </si>
  <si>
    <t>truncated Glu rich salivary protein</t>
  </si>
  <si>
    <t>uk-lc</t>
  </si>
  <si>
    <t>low complexity coding transcript</t>
  </si>
  <si>
    <t>uk</t>
  </si>
  <si>
    <t>s/silk</t>
  </si>
  <si>
    <t>hypothetical protein</t>
  </si>
  <si>
    <t>putative salivary secreted protein precursor</t>
  </si>
  <si>
    <t>s/p</t>
  </si>
  <si>
    <t>DEAD box ATP-dependent RNA helicase</t>
  </si>
  <si>
    <t>h/tm</t>
  </si>
  <si>
    <t>s?</t>
  </si>
  <si>
    <t>putative secreted salivary protein precursor with PSX repeats found in Lutzomyia salivary protein</t>
  </si>
  <si>
    <t>s/PSX</t>
  </si>
  <si>
    <t>unknown</t>
  </si>
  <si>
    <t xml:space="preserve">truncated salivary protein with polyQ tail  </t>
  </si>
  <si>
    <t>ANKYRIN REPEAT PROTEIN</t>
  </si>
  <si>
    <t>putative salivary secreted peptide</t>
  </si>
  <si>
    <t>low complexity Pro rich coding transcript</t>
  </si>
  <si>
    <t>s/gly</t>
  </si>
  <si>
    <t>possible truncated mucin</t>
  </si>
  <si>
    <t>h/uc</t>
  </si>
  <si>
    <t xml:space="preserve"> PUTATIVE GLYCINE-RICH PROTEIN - truncated at 5' end</t>
  </si>
  <si>
    <t>s?/Gly rich</t>
  </si>
  <si>
    <t xml:space="preserve">putative salivary mucin </t>
  </si>
  <si>
    <t>s/muc</t>
  </si>
  <si>
    <t>Predicted membrane protein</t>
  </si>
  <si>
    <t>Cytochrome oxidase subunit III and related proteins</t>
  </si>
  <si>
    <t>h/em</t>
  </si>
  <si>
    <t>Cytochrome c oxidase, subunit II, and related proteins</t>
  </si>
  <si>
    <t>Triglyceride lipase-cholesterol esterase</t>
  </si>
  <si>
    <t>s/enz-lip?</t>
  </si>
  <si>
    <t>conserved hypothetical protein</t>
  </si>
  <si>
    <t>Putative salivary secreted peptide</t>
  </si>
  <si>
    <t>Gly-K rich low complexity</t>
  </si>
  <si>
    <t>serine rich protein</t>
  </si>
  <si>
    <t>40S ribosomal protein S11</t>
  </si>
  <si>
    <t>40s ribosomal protein S26</t>
  </si>
  <si>
    <t>60S ribosomal protein L35A/L37</t>
  </si>
  <si>
    <t>truncated polyadenylate binding protein II</t>
  </si>
  <si>
    <t>Short clone</t>
  </si>
  <si>
    <t>truncated sericin</t>
  </si>
  <si>
    <t>40S ribosomal protein S19</t>
  </si>
  <si>
    <t>putative receptor</t>
  </si>
  <si>
    <t>h/st-horm</t>
  </si>
  <si>
    <t>40S ribosomal protein S25</t>
  </si>
  <si>
    <t>60s ribosomal protein L6</t>
  </si>
  <si>
    <t>cytochrome oxidase subunit I</t>
  </si>
  <si>
    <t>Ubiquitin/40S ribosomal protein S27a fusion</t>
  </si>
  <si>
    <t>Uncharacterized conserved protein</t>
  </si>
  <si>
    <t>Translation initiation factor 6 (eIF-6)</t>
  </si>
  <si>
    <t>Protein containing repeated kelch motifs</t>
  </si>
  <si>
    <t>truncated oligosaccharyltransferase, gamma subunit</t>
  </si>
  <si>
    <t>h/pm</t>
  </si>
  <si>
    <t>truncated zinc carboxypeptidase</t>
  </si>
  <si>
    <t>h/met-aa</t>
  </si>
  <si>
    <t>ribosomal protein L13</t>
  </si>
  <si>
    <t>NADH dehydrogenase subunit 1</t>
  </si>
  <si>
    <t>NMD protein affecting ribosome stability and mRNA decay</t>
  </si>
  <si>
    <t>60s acidic ribosomal protein P1</t>
  </si>
  <si>
    <t>Nucleoside diphosphate kinase</t>
  </si>
  <si>
    <t>h/met-nuc</t>
  </si>
  <si>
    <t>Microtubule-binding protein (translationally controlled tumor protein)</t>
  </si>
  <si>
    <t>h/nr</t>
  </si>
  <si>
    <t>60S ribosomal protein L22</t>
  </si>
  <si>
    <t>Translocon-associated complex TRAP, alpha subunit</t>
  </si>
  <si>
    <t>h/pe</t>
  </si>
  <si>
    <t>pacisfastin fold</t>
  </si>
  <si>
    <t>s/pi-paci</t>
  </si>
  <si>
    <t>Predicted GTP-binding protein (ODN superfamily)</t>
  </si>
  <si>
    <t>h/st</t>
  </si>
  <si>
    <t>Pro rich low complexity</t>
  </si>
  <si>
    <t>NADH dehydrogenase subunit 3</t>
  </si>
  <si>
    <t>truncated NADH dehydrogenase subunit 5</t>
  </si>
  <si>
    <t>60S ribosomal protein L18A</t>
  </si>
  <si>
    <t>Bkm-like sex-determining region hypothetical protein CS314 - fruit fly</t>
  </si>
  <si>
    <t>60S ribosomal protein L21</t>
  </si>
  <si>
    <t>60S ribosomal protein L28</t>
  </si>
  <si>
    <t>truncated serine protease</t>
  </si>
  <si>
    <t>s/enz-tryp?</t>
  </si>
  <si>
    <t>60s ribosomal protein L18</t>
  </si>
  <si>
    <t>60S ribosomal protein L30</t>
  </si>
  <si>
    <t xml:space="preserve">conserved hypothetical protein </t>
  </si>
  <si>
    <t>Translocon-associated complex TRAP, beta subunit</t>
  </si>
  <si>
    <t>farnesoic acid O-methyltransferase activity</t>
  </si>
  <si>
    <t>mitochondrial NADH-ubiquinone oxidoreductase AGGG subunit</t>
  </si>
  <si>
    <t>40S ribosomal protein S20</t>
  </si>
  <si>
    <t>NADH dehydrogenase subunit 2</t>
  </si>
  <si>
    <t>possible NADH dehydrogenase subunit 4</t>
  </si>
  <si>
    <t>NADH:ubiquinone oxidoreductase, NDUFB3/B12 subunit</t>
  </si>
  <si>
    <t>Sorbitol dehydrogenase</t>
  </si>
  <si>
    <t>h/met-int</t>
  </si>
  <si>
    <t>nucleic-acid binding protein</t>
  </si>
  <si>
    <t xml:space="preserve">pol-like protein </t>
  </si>
  <si>
    <t>te</t>
  </si>
  <si>
    <t>Helicase, C-terminal</t>
  </si>
  <si>
    <t>Protein required for biogenesis of the ribosomal 60S subunit</t>
  </si>
  <si>
    <t>40S ribosomal protein S13</t>
  </si>
  <si>
    <t>60S ribosomal protein L14/L17/L23</t>
  </si>
  <si>
    <t>NADH dehydrogenase subunit 6</t>
  </si>
  <si>
    <t>Predicted transporter (ABC superfamily)</t>
  </si>
  <si>
    <t>h/tr</t>
  </si>
  <si>
    <t>antisense of Vav 1 oncogene</t>
  </si>
  <si>
    <t>peptidyl prolyl isomerase, truncated</t>
  </si>
  <si>
    <t>truncated  hypothetical protein</t>
  </si>
  <si>
    <t>60S ribosomal protein L5</t>
  </si>
  <si>
    <t>40S ribosomal protein S29</t>
  </si>
  <si>
    <t>40S ribosomal protein S6</t>
  </si>
  <si>
    <t>antisense of uncharacterized conserved protein, contains WD40 repeat</t>
  </si>
  <si>
    <t>uk-as</t>
  </si>
  <si>
    <t xml:space="preserve">low complexity </t>
  </si>
  <si>
    <t>possible transcription factor</t>
  </si>
  <si>
    <t>h/tf</t>
  </si>
  <si>
    <t>60S ribosomal protein L31</t>
  </si>
  <si>
    <t>Ubiquitin C-terminal hydrolase</t>
  </si>
  <si>
    <t>h/prot</t>
  </si>
  <si>
    <t>low quality transcript</t>
  </si>
  <si>
    <t>Translation initiation factor SUI1</t>
  </si>
  <si>
    <t>s/hyp</t>
  </si>
  <si>
    <t>RAMP4 2e-027| FeoB | COG1284 | MetRS_core |</t>
  </si>
  <si>
    <t>gi|13435206</t>
  </si>
  <si>
    <t>Chrysomya putoria</t>
  </si>
  <si>
    <t xml:space="preserve">CYTOCHROME C OXIDASE SUBUNIT III CHRYSOMYA PUTORIA TRIATOMA DIMIDIATA HAEMATOBIA IRRITANS BACTROCERA PAPAYAE DORSALIS PHILIPPINENSIS CARAMBOLAE CORRECTA TRYONI COCHLIOMYIA HOMINIVORAX CYTOCHROME-C CUCURBITAE SCUTELLATA OLEAE OXYDASE DIRIOXA PORNIA ADOXOPHYES HONMAI CERATITIS COSYRA DERMATOBIA HOMINIS AEDES ALBOPICTUS 3 ANOPHELES FUNESTUS GAMBIAE COX3_ANOGA POLYPEPTIDE THERMOBIA DOMESTICA GRYLLOTALPA ORIENTALIS LATIFRONS CAPITATA ANTHERAEA PERNYI CYTOCHTOME PERIPLANETA FULIGINOSA THYROPYGUS SP. DROSOPHILA MELANOGASTER COX3_DROME </t>
  </si>
  <si>
    <t>mitochondrial Cytochrome c oxidase subunit III - cytochrome-c oxidase activity - mitochondrion - respiratory chain complex IV (sensu Eukaryota)</t>
  </si>
  <si>
    <t>cytochrome-c oxidase activity||hydrogen ion transporter activity||monovalent inorganic cation transporter activity||cation transporter activity||ion transporter activity||transporter activity||molecular_function</t>
  </si>
  <si>
    <t>GO:0004129</t>
  </si>
  <si>
    <t>membrane||cell part||cellular_component</t>
  </si>
  <si>
    <t>GO:0016020</t>
  </si>
  <si>
    <t>electron transport||generation of precursor metabolites and energy||cellular metabolism||metabolism||physiological process||biological_process</t>
  </si>
  <si>
    <t>GO:0006118</t>
  </si>
  <si>
    <t>COX3 e-110| Cyt_c_Oxidase_III e-104| Heme_Cu_Oxidase_III_like 4e-063| CyoC 3e-050| NorE_like 4e-026| Ubiquinol_oxidase_III 2e-022| Heme_Cu_Oxidase_III_1 5e-019| Heme_Cu_Oxidase_III_2 3e-017| 7tm_5 0.049| DUF973 0.054|</t>
  </si>
  <si>
    <t>gi|92112062</t>
  </si>
  <si>
    <t>Bactrocera papayae</t>
  </si>
  <si>
    <t xml:space="preserve">CYTOCHROME OXIDASE SUBUNIT III BACTROCERA PAPAYAE CARAMBOLAE CUCURBITAE DORSALIS PHILIPPINENSIS CORRECTA TRYONI SCUTELLATA C DROSOPHILA MELANOGASTER COX3_DROME POLYPEPTIDE OLEAE OXYDASE DIRIOXA PORNIA SECHELLIA SIMULANS MAURITIANA LATIFRONS CERATITIS COSYRA YAKUBA COX3_DROYA UNNAMED PRODUCT CYTOCHROME-C COCHLIOMYIA HOMINIVORAX CULEX PIPIENS CHRYSOMYA PUTORIA 3 ANOPHELES FUNESTUS CAPITATA TARSIPES ROSTRATUS DERMATOBIA HOMINIS ANTHERAEA PERNYI CYTOCHTOME </t>
  </si>
  <si>
    <t>Cyt_c_Oxidase_III 9e-034| COX3 4e-032| Heme_Cu_Oxidase_III_like 6e-027| CyoC 3e-021| NorE_like 4e-011| Heme_Cu_Oxidase_III_1 1e-009| Heme_Cu_Oxidase_III_2 1e-008| Ubiquinol_oxidase_III 2e-008| 7tm_5 | VAR1 |</t>
  </si>
  <si>
    <t xml:space="preserve">SJCHGC09076 SCHISTOSOMA JAPONICUM TEGUMENT MURID HERPESVIRUS 4 GPI-ANCHORED METASTASIS-ASSOCIATED HOMOLOG MUS MUSCULUS LYPD3_MOUSE LY6 PLAUR DOMAIN-CONTAINING 3 PRECURSOR C4.4A DOMAIN CONTAINING ANCHORED METASTASIS ASSOCIATED HYPOTHETICAL GIBBERELLA ZEAE PH-1 DINAP1 INTERACTING CRYPTHECODINIUM COHNII CAENORHABDITIS BRIGGSAE DROSOPHILA PSEUDOOBSCURA CONSERVED ASPERGILLUS TERREUS STRONGYLOCENTROTUS PURPURATUS ARTH_1737 ARTHROBACTER SP. FB24 AAEL_AAEL010887 AEDES AEGYPTI LEISHMANIA MAJOR STRAIN FRIEDLIN UNKNOWN FUNCTION TRYPANOSOMA CRUZI CL BRENER RATTUS NORVEGICUS AAEL_AAEL002729 SIMILAR TO LADYBIRD HOMEOBOX 1 BOS TAURUS BETA-GALACTOSIDASE ALPHA POLYPEPTIDE BETA GALACTOSIDASE ANTIPORTER MAGNETOSPIRILLUM MAGNETOTACTICUM MS-1 MS MACACA MULATTA LACOPZ-ALPHA PEPTIDE FROM PUC9 PUTATIVE UNIDENTIFIED CLONING VECTOR PBGS9+ PBGS9- LACOPZ PBGS9 BRAIN ADENYLATE CYCLASE CANIS FAMILIARIS MELANOGASTER KINASE MKH1 CRYPTOCOCCUS NEOFORMANS VAR. JEC21 B </t>
  </si>
  <si>
    <t>Ly6/Plaur domain containing 3 - membrane - cell motility - cell-matrix adhesion - laminin binding</t>
  </si>
  <si>
    <t>laminin binding||protein binding||binding||molecular_function</t>
  </si>
  <si>
    <t>GO:0043236</t>
  </si>
  <si>
    <t>cell motility||locomotion||physiological process||biological_process</t>
  </si>
  <si>
    <t>GO:0006928</t>
  </si>
  <si>
    <t>Replication, recombination and repair, Transcription, General function prediction only</t>
  </si>
  <si>
    <t>COG2421 0.067| HEC1 |</t>
  </si>
  <si>
    <t>gi|231875</t>
  </si>
  <si>
    <t>Oncopeltus fasciatus</t>
  </si>
  <si>
    <t xml:space="preserve">COX2_ONCFA CYTOCHROME C OXIDASE SUBUNIT 2 POLYPEPTIDE II ONCOPELTUS FASCIATUS TRIATOMA DIMIDIATA BOMBYX MANDARINA MORI GLYPHODES STOLALIS ORTHOCLADIUS SAXOSUS CAESALIS PSEUDOCAESALIS MULTILINEALIS COSMARCHA BICOLOR BIVITRALIS I PULVERULENTALIS FLAVIZONALIS ONYCHINALIS ADOXOPHYES HONMAI APIOSPILA COX2_CHOFU COX2_CHOOC COX2_CHOPI CHORISTONEURA OCCIDENTALIS FUMIFERANA PINUS THERETRA ALECTO MARGARITARIA ACTORIONALIS COX2_CHORO ASHEI HEMILEUCA ELECTRA COX2_CHOBI BIENNIS </t>
  </si>
  <si>
    <t>mitochondrial Cytochrome c oxidase subunit II - cytochrome-c oxidase activity - mitochondrion - mitochondrial inner membrane - respiratory chain complex IV (sensu Eukaryota) - mitochondrial electron transport, cytochrome c to oxygen</t>
  </si>
  <si>
    <t>respiratory chain complex IV (sensu Eukaryota)||respiratory chain complex IV||protein complex||cellular_component</t>
  </si>
  <si>
    <t>GO:0005751</t>
  </si>
  <si>
    <t>aerobic respiration||cellular respiration||energy derivation by oxidation of organic compounds||generation of precursor metabolites and energy||cellular metabolism||metabolism||physiological process||biological_process</t>
  </si>
  <si>
    <t>GO:0009060</t>
  </si>
  <si>
    <t>COX2 3e-059| CyoA 2e-030| COX2_TM 2e-027| VAR1 0.006| MopB_Res-Cmplx1_Nad11-M 0.008| LytT | SpoIIM | Srg |</t>
  </si>
  <si>
    <t>gi|108871267</t>
  </si>
  <si>
    <t>Aedes aegypti</t>
  </si>
  <si>
    <t xml:space="preserve">LYSOSOMAL ACID LIPASE PUTATIVE AEDES AEGYPTI ANOPHELES GAMBIAE STR. PEST 1 PRECURSOR DROSOPHILA MELANOGASTER PSEUDOOBSCURA HYPOTHETICAL PARTIAL STRONGYLOCENTROTUS PURPURATUS SJCHGC08875 SCHISTOSOMA JAPONICUM SIMILAR TO DMLIP1 TRIBOLIUM CASTANEUM SALIVARY LIPASE-LIKE SP14 PHLEBOTOMUS ARGENTIPES LIKE A CANIS FAMILIARIS TRIACYLGLYCEROL BOMBYX MORI DDBDRAFT_0202316 DICTYOSTELIUM DISCOIDEUM AX4 GASTRIC GL MUS MUSCULUS AB-HYDROLASE DOMAIN CONTAINING 2 HOMO SAPIENS AB HYDROLASE </t>
  </si>
  <si>
    <t>CG31871 - triacylglycerol lipase activity</t>
  </si>
  <si>
    <t>triacylglycerol lipase activity||lipase activity||carboxylic ester hydrolase activity||hydrolase activity\, acting on ester bonds||hydrolase activity||catalytic activity||molecular_function</t>
  </si>
  <si>
    <t>GO:0004806</t>
  </si>
  <si>
    <t>OFL-P04_C09.ab1</t>
  </si>
  <si>
    <t>OFL-P4_C10.ab1</t>
  </si>
  <si>
    <t>OFL-P4_D08.ab1</t>
  </si>
  <si>
    <t>OFL-P4_E04.ab1</t>
  </si>
  <si>
    <t>OFL-P04_E08.ab1</t>
  </si>
  <si>
    <t>OFL-P04_E12.ab1</t>
  </si>
  <si>
    <t>OFL-P04_F03.ab1</t>
  </si>
  <si>
    <t>OFM-P9_C03.ab1</t>
  </si>
  <si>
    <t>OFL-P4_H04.ab1</t>
  </si>
  <si>
    <t>OFL-P4_H09.ab1</t>
  </si>
  <si>
    <t>OFL-P06_A01.ab1</t>
  </si>
  <si>
    <t>OFL-P5_A08.ab1</t>
  </si>
  <si>
    <t>OFL-P06_B03.ab1</t>
  </si>
  <si>
    <t>OFL-P5_B04.ab1</t>
  </si>
  <si>
    <t>OFL-P5_B05.ab1</t>
  </si>
  <si>
    <t>OFL-P06_B07.ab1</t>
  </si>
  <si>
    <t>OFL-P5_C07.ab1</t>
  </si>
  <si>
    <t>OFL-P5_E01.ab1</t>
  </si>
  <si>
    <t>OFL-P5_E03.ab1</t>
  </si>
  <si>
    <t>OFL-P5_E04.ab1</t>
  </si>
  <si>
    <t>OFL-P06_E04.ab1</t>
  </si>
  <si>
    <t>OFL-P5_E09.ab1</t>
  </si>
  <si>
    <t>OFL-P06_E10.ab1</t>
  </si>
  <si>
    <t>OFL-P5_F01.ab1</t>
  </si>
  <si>
    <t>OFL-P5_F05.ab1</t>
  </si>
  <si>
    <t>OFL-P5_F06.ab1</t>
  </si>
  <si>
    <t>OFL-P06_F10.ab1</t>
  </si>
  <si>
    <t>OFL-P5_G01.ab1</t>
  </si>
  <si>
    <t>OFL-P5_G02.ab1</t>
  </si>
  <si>
    <t>OFL-P06_G04.ab1</t>
  </si>
  <si>
    <t>OFL-P06_G12.ab1</t>
  </si>
  <si>
    <t>OFL-P5_H04.ab1</t>
  </si>
  <si>
    <t>OFL-P6_A02.ab1</t>
  </si>
  <si>
    <t>OFL-P6_A07.ab1</t>
  </si>
  <si>
    <t>OFL-P6_B11.ab1</t>
  </si>
  <si>
    <t>OFL-P06_C01.ab1</t>
  </si>
  <si>
    <t>OFL-P6_C05.ab1</t>
  </si>
  <si>
    <t>OFL-P6_E09.ab1</t>
  </si>
  <si>
    <t>OFL-P06_F01.ab1</t>
  </si>
  <si>
    <t>OFL-P6_F03.ab1</t>
  </si>
  <si>
    <t>OFL-P6_F08.ab1</t>
  </si>
  <si>
    <t>OFL-P6_F10.ab1</t>
  </si>
  <si>
    <t>OFL-P6_G06.ab1</t>
  </si>
  <si>
    <t>OFL-P6_G07.ab1</t>
  </si>
  <si>
    <t>OFL-P6_G12.ab1</t>
  </si>
  <si>
    <t>OFL-P6_H10.ab1</t>
  </si>
  <si>
    <t>OFM-P8_E02.ab1</t>
  </si>
  <si>
    <t>OFM-P8_G11.ab1</t>
  </si>
  <si>
    <t>OFM-P9_F01.ab1</t>
  </si>
  <si>
    <t>OFM-P9_F02.ab1</t>
  </si>
  <si>
    <t>OFM-P9_F07.ab1</t>
  </si>
  <si>
    <t>OFS-P11_A08.ab1</t>
  </si>
  <si>
    <t>OFS-P11_D07.ab1</t>
  </si>
  <si>
    <t>OFS-P11_G08.ab1</t>
  </si>
  <si>
    <t>OFL-P1-E1.E01_060627090C</t>
  </si>
  <si>
    <t>OFL-P1-A2.A02_06062710RL</t>
  </si>
  <si>
    <t>OFL-P1-B4.B04_0606271419</t>
  </si>
  <si>
    <t>OFL-P1-B7.B07_06062718X7</t>
  </si>
  <si>
    <t>OFL-P1-C7.C07_06062718X7</t>
  </si>
  <si>
    <t>OFM-P2-A2.A02_060629135G</t>
  </si>
  <si>
    <t>OFM-P2-B2.B02_060629135G</t>
  </si>
  <si>
    <t>OFM-P2-B3.B03_06062914RU</t>
  </si>
  <si>
    <t>OFM-P2-C3.C03_06062914RU</t>
  </si>
  <si>
    <t>OFM-P2-G3.G03_06062914RU</t>
  </si>
  <si>
    <t>OFM-P2-G4.G04_06062916EJ</t>
  </si>
  <si>
    <t>OFM-P2-B6.B06_06062919NM</t>
  </si>
  <si>
    <t>OFM-P2-C6.C06_06062919NM</t>
  </si>
  <si>
    <t>OFM-P2-E6.E06_06062919NM</t>
  </si>
  <si>
    <t>OFM-P2-F6.F06_06062919NM</t>
  </si>
  <si>
    <t>OFM-P2-G6.G06_06062919NM</t>
  </si>
  <si>
    <t>OFM-P2-H6.H06_06062919NM</t>
  </si>
  <si>
    <t>OFM-P2-A8.A08_06062922WW</t>
  </si>
  <si>
    <t>OFM-P2-G8.G08_06062922WW</t>
  </si>
  <si>
    <t>OFM-P2-F9.F09_06063000JN</t>
  </si>
  <si>
    <t>OFM-P2-C10.C10_060630026E</t>
  </si>
  <si>
    <t>OFM-P2-H10.H10_060630026E</t>
  </si>
  <si>
    <t>OFM-P2-F11.F11_06063003ST</t>
  </si>
  <si>
    <t>OFM-P2-C12.C12_06063005FL</t>
  </si>
  <si>
    <t>OFM-P2-D12.D12_06063005FL</t>
  </si>
  <si>
    <t>OFS-P3-B5.C05_060629214V</t>
  </si>
  <si>
    <t>OFS-P3-A7.A07_06063000ET</t>
  </si>
  <si>
    <t>OFL-P4_B10.ab1</t>
  </si>
  <si>
    <t>OFL-P5_D12.ab1</t>
  </si>
  <si>
    <t>OFL-P5_G07.ab1</t>
  </si>
  <si>
    <t>OFL-P6_A01.ab1</t>
  </si>
  <si>
    <t>OFL-P6_B01.ab1</t>
  </si>
  <si>
    <t>OFL-P6_E02.ab1</t>
  </si>
  <si>
    <t>OFM-P7_A01.ab1</t>
  </si>
  <si>
    <t>OFM-P7_A04.ab1</t>
  </si>
  <si>
    <t>OFM-P7_A05.ab1</t>
  </si>
  <si>
    <t>OFM-P7_A06.ab1</t>
  </si>
  <si>
    <t>OFM-P7_A09.ab1</t>
  </si>
  <si>
    <t>OFM-P7_B04.ab1</t>
  </si>
  <si>
    <t>OFM-P7_B11.ab1</t>
  </si>
  <si>
    <t>OFM-P7_B12.ab1</t>
  </si>
  <si>
    <t>OFM-P7_C02.ab1</t>
  </si>
  <si>
    <t>OFM-P7_C03.ab1</t>
  </si>
  <si>
    <t>OFM-P7_C05.ab1</t>
  </si>
  <si>
    <t>OFM-P7_C09.ab1</t>
  </si>
  <si>
    <t>OFM-P7_D01.ab1</t>
  </si>
  <si>
    <t>OFM-P7_D02.ab1</t>
  </si>
  <si>
    <t>OFM-P7_D06.ab1</t>
  </si>
  <si>
    <t>OFM-P7_D08.ab1</t>
  </si>
  <si>
    <t>OFM-P7_D09.ab1</t>
  </si>
  <si>
    <t>OFM-P7_E02.ab1</t>
  </si>
  <si>
    <t>OFM-P7_E11.ab1</t>
  </si>
  <si>
    <t>OFM-P7_E12.ab1</t>
  </si>
  <si>
    <t>OFM-P7_F05.ab1</t>
  </si>
  <si>
    <t>OFM-P7_F06.ab1</t>
  </si>
  <si>
    <t>OFM-P7_F08.ab1</t>
  </si>
  <si>
    <t>OFM-P7_F09.ab1</t>
  </si>
  <si>
    <t>OFM-P7_F10.ab1</t>
  </si>
  <si>
    <t>OFM-P7_G03.ab1</t>
  </si>
  <si>
    <t>OFM-P7_G04.ab1</t>
  </si>
  <si>
    <t>OFM-P7_G08.ab1</t>
  </si>
  <si>
    <t>OFM-P7_G09.ab1</t>
  </si>
  <si>
    <t>OFM-P7_G11.ab1</t>
  </si>
  <si>
    <t>OFM-P7_H04.ab1</t>
  </si>
  <si>
    <t>OFM-P7_H10.ab1</t>
  </si>
  <si>
    <t>OFM-P8_A02.ab1</t>
  </si>
  <si>
    <t>OFM-P8_A04.ab1</t>
  </si>
  <si>
    <t>OFM-P8_B04.ab1</t>
  </si>
  <si>
    <t>OFM-P8_B07.ab1</t>
  </si>
  <si>
    <t>OFM-P8_C09.ab1</t>
  </si>
  <si>
    <t>OFM-P8_C10.ab1</t>
  </si>
  <si>
    <t>OFM-P8_C11.ab1</t>
  </si>
  <si>
    <t>OFM-P8_D04.ab1</t>
  </si>
  <si>
    <t>OFM-P8_D05.ab1</t>
  </si>
  <si>
    <t>OFM-P8_D08.ab1</t>
  </si>
  <si>
    <t>OFM-P8_D10.ab1</t>
  </si>
  <si>
    <t>OFM-P8_D12.ab1</t>
  </si>
  <si>
    <t>OFM-P8_E01.ab1</t>
  </si>
  <si>
    <t>OFM-P8_E05.ab1</t>
  </si>
  <si>
    <t>OFM-P8_E08.ab1</t>
  </si>
  <si>
    <t>OFM-P8_E09.ab1</t>
  </si>
  <si>
    <t>OFM-P8_E10.ab1</t>
  </si>
  <si>
    <t>OFM-P8_F02.ab1</t>
  </si>
  <si>
    <t>OFM-P8_F04.ab1</t>
  </si>
  <si>
    <t>OFM-P8_F07.ab1</t>
  </si>
  <si>
    <t>OFM-P8_F08.ab1</t>
  </si>
  <si>
    <t>OFM-P8_G02.ab1</t>
  </si>
  <si>
    <t>OFM-P8_G03.ab1</t>
  </si>
  <si>
    <t>OFM-P8_G05.ab1</t>
  </si>
  <si>
    <t>OFM-P8_G09.ab1</t>
  </si>
  <si>
    <t>OFM-P8_H01.ab1</t>
  </si>
  <si>
    <t>OFM-P8_H05.ab1</t>
  </si>
  <si>
    <t>OFM-P8_H07.ab1</t>
  </si>
  <si>
    <t>OFM-P8_H09.ab1</t>
  </si>
  <si>
    <t>OFM-P9_A01.ab1</t>
  </si>
  <si>
    <t>OFM-P9_A03.ab1</t>
  </si>
  <si>
    <t>OFM-P9_A07.ab1</t>
  </si>
  <si>
    <t>OFM-P9_A09.ab1</t>
  </si>
  <si>
    <t>OFM-P9_A10.ab1</t>
  </si>
  <si>
    <t>OFM-P9_A11.ab1</t>
  </si>
  <si>
    <t>OFM-P9_B03.ab1</t>
  </si>
  <si>
    <t>OFM-P9_B10.ab1</t>
  </si>
  <si>
    <t>OFM-P9_C02.ab1</t>
  </si>
  <si>
    <t>OFM-P9_C04.ab1</t>
  </si>
  <si>
    <t>OFM-P9_C11.ab1</t>
  </si>
  <si>
    <t>OFM-P9_C12.ab1</t>
  </si>
  <si>
    <t>OFM-P9_D02.ab1</t>
  </si>
  <si>
    <t>OFM-P9_D04.ab1</t>
  </si>
  <si>
    <t>OFM-P9_D10.ab1</t>
  </si>
  <si>
    <t>OFM-P9_D11.ab1</t>
  </si>
  <si>
    <t>OFM-P9_E03.ab1</t>
  </si>
  <si>
    <t>OFM-P9_E08.ab1</t>
  </si>
  <si>
    <t>OFM-P9_F03.ab1</t>
  </si>
  <si>
    <t>OFM-P9_F04.ab1</t>
  </si>
  <si>
    <t>OFM-P9_F06.ab1</t>
  </si>
  <si>
    <t>OFM-P9_G02.ab1</t>
  </si>
  <si>
    <t>OFM-P9_G03.ab1</t>
  </si>
  <si>
    <t>OFM-P9_G10.ab1</t>
  </si>
  <si>
    <t>OFM-P9_H02.ab1</t>
  </si>
  <si>
    <t>OFM-P9_H05.ab1</t>
  </si>
  <si>
    <t>OFM-P9_H08.ab1</t>
  </si>
  <si>
    <t>OFM-P9_H09.ab1</t>
  </si>
  <si>
    <t>OFS-P10_A02.ab1</t>
  </si>
  <si>
    <t>OFS-P10_B11.ab1</t>
  </si>
  <si>
    <t>OFS-P10_C02.ab1</t>
  </si>
  <si>
    <t>OFS-P10_C06.ab1</t>
  </si>
  <si>
    <t>OFS-P10_D01.ab1</t>
  </si>
  <si>
    <t>OFS-P10_D04.ab1</t>
  </si>
  <si>
    <t>OFS-P10_D07.ab1</t>
  </si>
  <si>
    <t>OFS-P10_D12.ab1</t>
  </si>
  <si>
    <t>OFS-P10_F02.ab1</t>
  </si>
  <si>
    <t>OFS-P10_F04.ab1</t>
  </si>
  <si>
    <t>OFS-P10_F11.ab1</t>
  </si>
  <si>
    <t>OFS-P10_F12.ab1</t>
  </si>
  <si>
    <t>OFS-P10_G02.ab1</t>
  </si>
  <si>
    <t>OFS-P10_G03.ab1</t>
  </si>
  <si>
    <t>OFS-P10_G06.ab1</t>
  </si>
  <si>
    <t>OFS-P10_G07.ab1</t>
  </si>
  <si>
    <t>OFS-P10_H05.ab1</t>
  </si>
  <si>
    <t>OFS-P10_H07.ab1</t>
  </si>
  <si>
    <t>OFS-P10_H09.ab1</t>
  </si>
  <si>
    <t>OFS-P10_H11.ab1</t>
  </si>
  <si>
    <t>OFS-P10_H12.ab1</t>
  </si>
  <si>
    <t>OFS-P11_B01.ab1</t>
  </si>
  <si>
    <t>OFS-P11_C03.ab1</t>
  </si>
  <si>
    <t>OFS-P11_C09.ab1</t>
  </si>
  <si>
    <t>OFS-P11_C12.ab1</t>
  </si>
  <si>
    <t>OFS-P11_E01.ab1</t>
  </si>
  <si>
    <t>OFS-P11_E04.ab1</t>
  </si>
  <si>
    <t>OFS-P11_E06.ab1</t>
  </si>
  <si>
    <t>OFS-P11_E10.ab1</t>
  </si>
  <si>
    <t>OFS-P11_F03.ab1</t>
  </si>
  <si>
    <t>OFS-P11_G02.ab1</t>
  </si>
  <si>
    <t>OFS-P11_G05.ab1</t>
  </si>
  <si>
    <t>OFS-P11_H01.ab1</t>
  </si>
  <si>
    <t>OFS-P11_H04.ab1</t>
  </si>
  <si>
    <t>OFL-P01_F12.ab1</t>
  </si>
  <si>
    <t>OFL-P01_G03.ab1</t>
  </si>
  <si>
    <t>OFL-P04_A08.ab1</t>
  </si>
  <si>
    <t>OFL-P04_D05.ab1</t>
  </si>
  <si>
    <t>OFL-P06_C11.ab1</t>
  </si>
  <si>
    <t>Best match to NR protein database</t>
  </si>
  <si>
    <t>E value</t>
  </si>
  <si>
    <t>Match</t>
  </si>
  <si>
    <t>Extent of match</t>
  </si>
  <si>
    <t>Length of best match</t>
  </si>
  <si>
    <t>% identity</t>
  </si>
  <si>
    <t>% Match length</t>
  </si>
  <si>
    <t>First residue of match</t>
  </si>
  <si>
    <t>First residue of sequence</t>
  </si>
  <si>
    <t>Number of segments</t>
  </si>
  <si>
    <t>Orientation of assembled output</t>
  </si>
  <si>
    <t>Species</t>
  </si>
  <si>
    <t>Key words</t>
  </si>
  <si>
    <t>Best match to GO database</t>
  </si>
  <si>
    <t>Function descriptors</t>
  </si>
  <si>
    <t>GO #</t>
  </si>
  <si>
    <t>E value of functional GO</t>
  </si>
  <si>
    <t>Component descriptors</t>
  </si>
  <si>
    <t>E value of component GO</t>
  </si>
  <si>
    <t>Process descriptors</t>
  </si>
  <si>
    <t>E value of process GO</t>
  </si>
  <si>
    <t>Best match to KOG database</t>
  </si>
  <si>
    <t>General class</t>
  </si>
  <si>
    <t>Best match to CDD database</t>
  </si>
  <si>
    <t>All CDD domains</t>
  </si>
  <si>
    <t>Best match to PFAM database</t>
  </si>
  <si>
    <t>Best match to SMART database</t>
  </si>
  <si>
    <t>gi|109463712</t>
  </si>
  <si>
    <t>FOR</t>
  </si>
  <si>
    <t>Rattus norvegicus</t>
  </si>
  <si>
    <t xml:space="preserve">HYPOTHETICAL RATTUS NORVEGICUS DDBDRAFT_0168484 DICTYOSTELIUM DISCOIDEUM AX4 SIMILAR TO LEISHMANIA MAJOR. PPG3 FLOCCULIN-LIKE CANDIDA ALBICANS FLOCCULIN LIKE CEMENT PRECURSOR 3B VARIANT 1 PHRAGMATOPOMA CALIFORNICA PARTIAL MACACA MULATTA 2 3 UNNAMED PRODUCT GLABRATA MAJOR STRAIN FRIEDLIN PROTEOPHOSPHOGLYCAN 5 PPG4 PECTATE LYASE-LIKE SACCHAROPHAGUS DEGRADANS 2-40 LYASE 40 SELECTED AS A WEAK SUPPRESSOR MUTANT SUBUNIT AC40 DNA DEPENDANT RNA POLYMERASE I III LACTOCOCCUS LACTIS SUBSP. UNKNOWN NUCLEOLAR SERINE-RICH WITH ROLE IN PRERIBOSOME ASSEMBLY OR TRANSPORT MAY FUNCTION CHAPERONE SMALL RIBONUCLEOPROTEIN PARTICLES SNORNPS IMMUNOLOGICALLY STRUCTURALLY RAT NOPP140 SRP40P SACCHAROMYCES CEREVISIAE SRP40_YEAST SRP40 SERINE RICH </t>
  </si>
  <si>
    <t>nucleolus - unfolded protein binding - nucleocytoplasmic transport</t>
  </si>
  <si>
    <t>unfolded protein binding||protein binding||binding||molecular_function</t>
  </si>
  <si>
    <t>GO:0051082</t>
  </si>
  <si>
    <t>&lt;nucleolus</t>
  </si>
  <si>
    <t>GO:0005730</t>
  </si>
  <si>
    <t>nucleocytoplasmic transport||intracellular transport||transport||chitin localization||localization||physiological process||biological_process</t>
  </si>
  <si>
    <t>GO:0006913</t>
  </si>
  <si>
    <t>Cell wall/membrane/envelope biogenesis</t>
  </si>
  <si>
    <t>Candida_ALS 3e-009| AF-4 5e-006| MCPsignal 3e-005| ROM1 1e-004| COG4886 3e-004| Herpes_gp2 6e-004| MA 6e-004| DUF566 7e-004| DMP1 0.001| Filament_head 0.003|</t>
  </si>
  <si>
    <t>gi|56756781</t>
  </si>
  <si>
    <t>Schistosoma japonicum</t>
  </si>
  <si>
    <t xml:space="preserve">SJCHGC09076 SCHISTOSOMA JAPONICUM LIPOPROTEIN PUTATIVE PSEUDOMONAS FLUORESCENS PF-5 ENTOMOPHILA L48 PUTIDA F1 HYPOTHETICAL RATTUS NORVEGICUS SURFACE ANTIGEN BURKHOLDERIA CENOCEPACIA AU 1054 OUTER MEMBRANE DROSOPHILA PSEUDOOBSCURA ORYZA SATIVA JAPONICA CULTIVAR-GROUP CULTIVAR GROUP PEPTIDASE M23B TRICHODESMIUM ERYTHRAEUM PFO-1 MESO_2136 MESORHIZOBIUM SP. BNC1 CONSERVED SFUM_1022 SYNTROPHOBACTER FUMAROXIDANS MPOB EXPRESSED MAJOR OMPA BACTEROIDES THETAIOTAOMICRON GIBBERELLA ZEAE PH-1 SIMILAR TO CPSF6 PARTIAL STRONGYLOCENTROTUS PURPURATUS 383 RHODOPSEUDOMONAS PALUSTRIS BISB18 ASPERGILLUS NIDULANS FGSC A4 IMMUNOGLOBULIN A1 PROTEASE PRECURSOR HAEMOPHILUS INFLUENZAE SYRINGAE PV. </t>
  </si>
  <si>
    <t>Expressed protein - plastid</t>
  </si>
  <si>
    <t>plastid||intracellular membrane-bound organelle||membrane-bound organelle||organelle||cellular_component</t>
  </si>
  <si>
    <t>GO:0009536</t>
  </si>
  <si>
    <t>Energy production and conversion</t>
  </si>
  <si>
    <t>Sporozoite_P67 |</t>
  </si>
  <si>
    <t>gi|70728812</t>
  </si>
  <si>
    <t>Pseudomonas fluorescens Pf-5</t>
  </si>
  <si>
    <t>regulation of transcription\, DNA-dependent||regulation of transcription||regulation of nucleobase\, nucleoside\, nucleotide and nucleic acid metabolism||regulation of cellular metabolism||regulation of metabolism||regulation of physiological process||regulation of biological process||biological_process</t>
  </si>
  <si>
    <t>GO:0006355</t>
  </si>
  <si>
    <t>Ribosomal_L6e 9e-033| RPL14A 2e-013| COG4864 | STE3 | TrkH | DUF1432 | COG4769 | Ribosomal_L18ae | KOW |</t>
  </si>
  <si>
    <t>gi|55495433</t>
  </si>
  <si>
    <t>Spilostethus hospes</t>
  </si>
  <si>
    <t xml:space="preserve">CYTOCHROME OXIDASE SUBUNIT I SPILOSTETHUS HOSPES CLETUS PUNCTIGER NYSIUS SP. ERTHESINA FULLO PYCANUM OCHRACEUM CARBULA OBTUSANGULA MEGACOPTA CRIBRARIA POECILOCORIS LATUS UROPHORA QUADRIFASCIATA RHAGOLETIS CINGULATA 1 BACTROCERA MUSAE DICTYOCHRYSA PETERESENI GLENOCHRYSA OPPOSITA MALLADA ALBOFACIALIS LUCTUOSUS APERTOCHRYSA EDWARDSI CHRYSOPERLA EXTERNA PLESIOCHRYSA ATALOTIS CHRYSOPODES DIVISA NOTHANCYLA VERREAUXI SPINELLA LYGUS LINEOLARIS C CERATITIS CAPITATA TAENIOSTOLA VITTIGERA </t>
  </si>
  <si>
    <t>mitochondrial Cytochrome c oxidase subunit I - cytochrome-c oxidase activity - mitochondrion - mitochondrial inner membrane - respiratory chain complex IV (sensu Eukaryota) - mitochondrial electron transport, cytochrome c to oxygen - sleep</t>
  </si>
  <si>
    <t>sleep||organismal physiological process||physiological process||biological_process</t>
  </si>
  <si>
    <t>GO:0030431</t>
  </si>
  <si>
    <t>Cyt_c_Oxidase_I e-102| Heme_Cu_Oxidase_I 1e-078| COX1 1e-071| CyoB 9e-068| Ubiquinol_Oxidase_I 4e-058| ba3-like_Oxidase_I 4e-018| COG1822 0.002| AtoE 0.008| ArsB 0.088| VAR1 |</t>
  </si>
  <si>
    <t>gi|90819968</t>
  </si>
  <si>
    <t>Graphocephala atropunctata</t>
  </si>
  <si>
    <t xml:space="preserve">PUTATIVE UBIQUITIN RIBOSOMAL S27AE FUSION GRAPHOCEPHALA ATROPUNCTATA MICROMALTHUS DEBILIS CARABUS GRANULATUS BIPHYLLUS LUNATUS CICINDELA CAMPESTRIS SIMILAR TO CG5271-PA TRIBOLIUM CASTANEUM S27A LYSIPHLEBUS TESTACEIPES TIMARCHA BALEARICA MELLIFERA AGRIOTES LINEATUS EUCINETUS SP. DIAPHORINA CITRI DROSOPHILA MELANOGASTER UBIQUITIN-HYBRID PRECURSOR RPS27A YAKUBA HYBRID BRANCHIOSTOMA BELCHERI TSINGTAUNESE GALLUS UNKNOWN CULICOIDES SONORENSIS ANOPHELES GAMBIAE STR. PEST AEDES ALBOPICTUS L40 AEGYPTI TROGLODYTES CANIS FAMILIARIS TAURUS HOMO SAPIENS HYPOTHETICAL XENOPUS TROPICALIS MACACA MULATTA UQHUR7 CYTOSOLIC VALIDATED HUMAN CARBOXYL EXTENSION HUBCEP80 EXTENTION CAVIA PORCELLUS UBIQUITIN-S27A LAEVIS UNNAMED PRODUCT FASCICULARIS MUS MUSCULUS RATTUS NORVEGICUS RAT BASES ISOFORM 1 PAN 40S ARGAS MONOLAKENSIS ANTHERAEA YAMAMAI </t>
  </si>
  <si>
    <t>Ubiquitin / ribosomal protein S27a - structural constituent of ribosome - ribosome - protein biosynthesis</t>
  </si>
  <si>
    <t>ribosome||ribonucleoprotein complex||protein complex||cellular_component</t>
  </si>
  <si>
    <t>GO:0005840</t>
  </si>
  <si>
    <t>Ubiquitin 3e-041| ubiquitin 6e-029| UBQ 1e-026| Nedd8 3e-025| UBL 2e-023| Ribosomal_S27 7e-022| AN1_N 2e-017| RAD23_N 5e-016| Scythe_N 6e-015| UBQ 3e-013|</t>
  </si>
  <si>
    <t>gi|82540761</t>
  </si>
  <si>
    <t>Plasmodium yoelii yoelii</t>
  </si>
  <si>
    <t xml:space="preserve">HYPOTHETICAL PLASMODIUM YOELII STR. 17XNL DOMAIN PUTATIVE CONSERVED EIMERIA TENELLA KINASE TRYPANOSOMA CRUZI STRAIN CL BRENER FALCIPARUM 3D7 SIMILAR TO LACCASE 1 STRONGYLOCENTROTUS PURPURATUS 4 BRUCEI MITOCHONDRION </t>
  </si>
  <si>
    <t>DUF216 0.012| COG5594 0.036| TatC | MviN | PqiA | COG4781 | PigN | COG2194 | COG4906 | DltB |</t>
  </si>
  <si>
    <t>gi|23619207</t>
  </si>
  <si>
    <t xml:space="preserve">HYPOTHETICAL PLASMODIUM FALCIPARUM 3D7 FUSOBACTERIUM NUCLEATUM SUBSP. VINCENTII ATCC BERGHEI STRAIN ANKA MANNOSYLTRANSFERASE ENTAMOEBA HISTOLYTICA HM-1 IMSS PUTATIVE HM 1 TETRAHYMENA THERMOPHILA UNNAMED PRODUCT ACTINOBACILLUS ACTINOMYCETEMCOMITANS NEUROSPORA CRASSA OR74A YOELII STR. 17XNL FLAVOBACTERIUM SP. LEEUWENHOEKIELLA BLANDENSIS SECY-INDEPENDENT TRANSPORTER THRAUSTOCHYTRIUM AUREUM SECY INDEPENDENT EIMERIA TENELLA TRANSCRIPTION INITIATION FACTOR TFIID SUBUNIT DICTYOSTELIUM DISCOIDEUM AX4 DDBDRAFT_0184025 RIBOSOMAL L36 Q4QXU4 MRGX2_TRAFR MAS-RELATED G-PROTEIN COUPLED RECEPTOR MEMBER X2 MRGX2 TRACHYPITHECUS FRANCOISI MAS RELATED G DDBDRAFT_0202128 </t>
  </si>
  <si>
    <t>DUF216 0.002| NolL | ABC2_membrane |</t>
  </si>
  <si>
    <t>gi|56757374</t>
  </si>
  <si>
    <t xml:space="preserve">SJCHGC01974 SCHISTOSOMA JAPONICUM YMF77 TETRAHYMENA PARAVORAX UNNAMED PRODUCT HOMO SAPIENS HYPOTHETICAL PLASMODIUM BERGHEI STRAIN ANKA PHAEOSPHAERIA NODORUM SN15 FALCIPARUM 3D7 NOVEL DANIO RERIO SJCHGC06800 POLYHEDRIN ANTHERAEA MYLITTA CYTOPLASMIC POLYHEDROSIS VIRUS RABBIT FIBROMA ORF54B PINUS KORAIENSIS KRUEPPEL-LIKE KRUEPPEL LIKE SJCHGC09842 </t>
  </si>
  <si>
    <t>AnsP | ADP_PFK_GK |</t>
  </si>
  <si>
    <t>gi|85001552</t>
  </si>
  <si>
    <t>Theileria annulata</t>
  </si>
  <si>
    <t xml:space="preserve">HYPOTHETICAL THEILERIA ANNULATA STRAIN ANKARA DEHYDROGENASE SUBUNIT 3 PARAMECIUM AURELIA NU3M_PARTE NADH-UBIQUINONE OXIDOREDUCTASE CHAIN UNNAMED PRODUCT UNKNOWN UBIQUINONE </t>
  </si>
  <si>
    <t>V_ATPase_I | DPCK |</t>
  </si>
  <si>
    <t>gi|37682521</t>
  </si>
  <si>
    <t>Human immunodeficiency virus 1</t>
  </si>
  <si>
    <t>triacylglycerol metabolism||acylglycerol metabolism||neutral lipid metabolism||cellular lipid metabolism||lipid metabolism||primary metabolism||metabolism||physiological process||biological_process</t>
  </si>
  <si>
    <t>GO:0006641</t>
  </si>
  <si>
    <t>Lipid transport and metabolism</t>
  </si>
  <si>
    <t>DAP2 0.090| PheB 0.092| ProW | COG0429 | DRG |</t>
  </si>
  <si>
    <t>gi|94985573</t>
  </si>
  <si>
    <t>Deinococcus geothermalis DSM 11300</t>
  </si>
  <si>
    <t xml:space="preserve">EMBRYOGENESIS ABUNDANT DEINOCOCCUS GEOTHERMALIS DSM XENOPUS LAEVIS HYPOTHETICAL NEUROSPORA CRASSA OR74A RADIODURANS R1 CONSERVED ENTAMOEBA HISTOLYTICA HM-1 IMSS STROPDRAFT_2343 SALINISPORA TROPICA CNB-440 FLA10_CHLRE KINESIN-LIKE FLA10 KINESIN LIKE STIAU_8525 STIGMATELLA AURANTIACA DW4 3-1 UNCULTURED BACTERIUM POLAROMONAS NAPHTHALENIVORANS CJ2 SP. UB72_DEIRA MYCOPLASMA CAPRICOLUM SUBSP. NEISSERIA MENINGITIDIS LIPOPROTEIN VMCA ATCC YARROWIA LIPOLYTICA UNNAMED PRODUCT CLIB122 PUTATIVE CHROMOSOME SEGREGATION ATPASE SYNTROPHOBACTER FUMAROXIDANS MPOB SIMILAR TO PLECTIN 1 PARTIAL DANIO RERIO OSTREOCOCCUS TAURI SYNECHOCOCCUS UNKNOWN ARABIDOPSIS THALIANA PROTEIN-LIKE BETULA PENDULA ROSEOVARIUS NUBINHIBENS ISM </t>
  </si>
  <si>
    <t>embryonic development (sensu Magnoliophyta)</t>
  </si>
  <si>
    <t>intermediate filament||cytoskeletal part||intracellular organelle part||organelle part||cellular_component</t>
  </si>
  <si>
    <t>GO:0005882</t>
  </si>
  <si>
    <t>cytoskeletal anchoring||cytoskeleton organization and biogenesis||organelle organization and biogenesis||cell organization and biogenesis||cellular physiological process||physiological process||biological_process</t>
  </si>
  <si>
    <t>GO:0007016</t>
  </si>
  <si>
    <t>TolA 3e-010| AtpF 2e-009| DUF745 1e-008| PspA_IM30 2e-008| LEA_4 7e-008| COG4372 2e-007| TolA 2e-007| ATP-synt_B 4e-007| Apolipoprotein 2e-006| COG1579 4e-005|</t>
  </si>
  <si>
    <t>gi|50288371</t>
  </si>
  <si>
    <t>Candida glabrata CBS138</t>
  </si>
  <si>
    <t xml:space="preserve">UNNAMED PRODUCT CANDIDA GLABRATA SIMILAR TO TRIBOLIUM CASTANEUM HYPOTHETICAL DDBDRAFT_0184005 DICTYOSTELIUM DISCOIDEUM AX4 DDBDRAFT_0188576 DDBDRAFT_0185644 KINESIN FAMILY MEMBER 12 NUCLEOLAR PHOSPHOPROTEIN P130 130 KDA 140 NOPP140 COILED-BODY 1 CANIS FAMILIARIS COILED BODY VITELLOGENIN PLASMODIUM YOELII STR. 17XNL MEMBRANE NUCLEASE LIPOPROTEIN MYCOPLASMA PULMONIS UAB CTIP TROGLODYTES MKIAA2022 MUSCULUS MUS SAPIENS NOVEL UNKNOWN ARABIDOPSIS THALIANA PUTATIVE DDBDRAFT_0206422 ALBICANS GIBBERELLA ZEAE PH-1 CONNECTIN TITIN STRONGYLOCENTROTUS PURPURATUS KINASE SLIME MOLD . NUCLEOTIDE EXCHANGE FACTOR RASGEF P </t>
  </si>
  <si>
    <t>kinesin family member 12 - nuclear division - spindle - midbody - spindle pole centrosome - nucleus - mitotic spindle elongation - microtubule motor activity - kinesin complex - cytokinesis, formation of actomyosin apparatus - cytoplasm</t>
  </si>
  <si>
    <t>microtubule motor activity||motor activity||molecular_function</t>
  </si>
  <si>
    <t>GO:0003777</t>
  </si>
  <si>
    <t>spindle||cytoskeletal part||intracellular organelle part||organelle part||cellular_component</t>
  </si>
  <si>
    <t>GO:0005819</t>
  </si>
  <si>
    <t>nuclear division||cellular physiological process||physiological process||biological_process</t>
  </si>
  <si>
    <t>GO:0000280</t>
  </si>
  <si>
    <t>DUF755 0.057| Voltage_CLC 0.091| ALK1 | COG3368 | Spore_permease |</t>
  </si>
  <si>
    <t>gi|68485334</t>
  </si>
  <si>
    <t>Candida albicans SC5314</t>
  </si>
  <si>
    <t xml:space="preserve">HYPOTHETICAL CANDIDA ALBICANS UNCULTURED METHANOGENIC ARCHAEON CRYPTOCOCCUS NEOFORMANS VAR. INVERTEBRATE IRIDESCENT VIRUS 6 CHILO CAENORHABDITIS BRIGGSAE PUTATIVE LIPOPROTEIN BURKHOLDERIA PSEUDOMALLEI AROMATIC ACID EXPORTER ARAE FAMILY XENOVORANS JEC21 ORF98 LACTOBACILLUS PLANTARUM BACTERIOPHAGE LP65 DROSOPHILA MELANOGASTER CG9682-PA IPIB1 SYNAPTOSOMAL-ASSOCIATED 91KDA HOMOLOG ISOFORM 10 PAN TROGLODYTES SYNAPTOSOMAL ASSOCIATED 3 2 11 MACACA MULATTA HOMO SAPIENS AP180_HUMAN CLATHRIN COAT ASSEMBLY COAT-ASSOCIATED 91 KDA SNAP91 TRYPANOSOMA CRUZI STRAIN CL BRENER CONSERVED </t>
  </si>
  <si>
    <t>angiomotin - lamellipodium - endocytic vesicle - receptor activity - chemotaxis - vasculogenesis - positive regulation of embryonic development - cell migration during gastrulation - regulation of cell migration - negative regulation of angiogenesis - embryonic development (sensu Mammalia) - external side of plasma membrane - ruffle - gastrulation (sensu Mammalia)</t>
  </si>
  <si>
    <t>receptor activity||signal transducer activity||molecular_function</t>
  </si>
  <si>
    <t>GO:0004872</t>
  </si>
  <si>
    <t>&lt;lamellipodium</t>
  </si>
  <si>
    <t>GO:0030027</t>
  </si>
  <si>
    <t>chemotaxis||taxis||response to external stimulus||response to stimulus||biological_process</t>
  </si>
  <si>
    <t>GO:0006935</t>
  </si>
  <si>
    <t>TrbL 4e-006| COG5651 7e-004| EspB 0.002| Keratin_B2 0.004| DctQ 0.004| DUF637 0.009| Stig1 0.016| Herpes_capsid 0.019| Hia 0.023| COG5301 0.024|</t>
  </si>
  <si>
    <t xml:space="preserve">SJCHGC09076 SCHISTOSOMA JAPONICUM PHOSPHATIDYLSERINE PHOSPHATIDYLGLYCEROPHOSPHATE CARDIOLIPIN SYNTHASES RELATED ENZYMES PSEUDOMONAS AERUGINOSA SAPIENS DEGRADATION ENHANCER MANNOSIDASE ALPHA-LIKE 1 HOMO EDEM1_HUMAN DEGRADATION-ENHANCING ALPHA-MANNOSIDASE-LIKE ALPHA LIKE ENHANCING MANNOSIDASE-LIKE BETA-GALACTOSIDASE POLYPEPTIDE BETA GALACTOSIDASE TRANSCRIPTION ELONGATION FACTOR GREA BUCHNERA APHIDICOLA STR. BP BAIZONGIA PISTACIAE GREA_BUCBP TRANSCRIPT CLEAVAGE SIMILAR TO CPSF6 PARTIAL STRONGYLOCENTROTUS PURPURATUS HYPOTHETICAL PSCL2.9.69.3C STREPTOMYCES CLAVULIGERUS 2-OXOISOVALERATE DEHYDROGENASE SUBUNIT TRYPANOSOMA CRUZI PUTATIVE 2 OXOISOVALERATE USTILAGO MAYDIS 521 CONSERVED LEISHMANIA MAJOR DROSOPHILA MELANOGASTER </t>
  </si>
  <si>
    <t>General function prediction only</t>
  </si>
  <si>
    <t>DAG1 0.096| COG4652 | COG4146 | SMN | Ribosomal_L19e_A | DUF405 | OATP |</t>
  </si>
  <si>
    <t>gi|50288385</t>
  </si>
  <si>
    <t xml:space="preserve">UNNAMED PRODUCT CANDIDA GLABRATA KERATIN COMPLEX 1 ACIDIC GENE 9 MUS MUSCULUS CYTOKERATIN HYPOTHETICAL YARROWIA LIPOLYTICA CLIB122 BAMB_2578 BURKHOLDERIA CEPACIA AMMD CONSERVED USTILAGO MAYDIS 521 GLYCINE-RICH CELL WALL MESORHIZOBIUM LOTI GLYCINE RICH RHODOBACTERALES BACTERIUM BCEN_1918 CENOCEPACIA AU 1054 KB2 RATTUS NORVEGICUS TPA_EXP SPERMATID PERINUCLEAR RING MANCHETTE K9 CANIS FAMILIARIS PHOTORHABDUS LUMINESCENS SUBSP. LAUMONDII TTO1 CRYPTOSPORIDIUM HOMINIS PHOSPHORIBOSYLFORMYLGLYCINAMIDINE SYNTHASE SUBUNIT II OCEANICOLA GRANULOSUS SPORE PROTEIN-1 ENCEPHALITOZOON CUNICULI GRP16 NUTRIENT RESERVOIR ARABIDOPSIS THALIANA ATGRP-6 PUTATIVE ATGRP 6 AAVEDRAFT_0245 ACIDOVORAX AVENAE CITRULLI AAC00-1 AAC00 SNORNP GAR1 TRYPANOSOMA CRUZI STRAIN CL BRENER </t>
  </si>
  <si>
    <t>extracellular region - sexual reproduction - membrane - sequestering of lipid - nutrient reservoir activity</t>
  </si>
  <si>
    <t>nutrient reservoir activity||molecular_function</t>
  </si>
  <si>
    <t>GO:0045735</t>
  </si>
  <si>
    <t>sexual reproduction||reproduction||biological_process</t>
  </si>
  <si>
    <t>GO:0019953</t>
  </si>
  <si>
    <t>Drf_FH1 1e-006| GRP 2e-005| Harpin 3e-005| eIF-4B 3e-005| Tymo_45kd_70kd 5e-005| COG1512 2e-004| DUF1210 5e-004| SMN 6e-004| Extensin_2 0.002| DUF729 0.002|</t>
  </si>
  <si>
    <t>gi|63055532</t>
  </si>
  <si>
    <t>Phragmatopoma californica</t>
  </si>
  <si>
    <t xml:space="preserve">CEMENT PRECURSOR 3B VARIANT 1 PHRAGMATOPOMA CALIFORNICA 3 HYPOTHETICAL PARTIAL MACACA MULATTA RATTUS NORVEGICUS 2 DDBDRAFT_0218769 DICTYOSTELIUM DISCOIDEUM AX4 4 DDBDRAFT_0168484 SIMILAR TO LEISHMANIA MAJOR. PPG3 PUTATIVE SECRETED BETA-MANNOSIDASE SACCHAROPHAGUS DEGRADANS 2-40 MANNOSIDASE 40 DENTIN SIALOPHOSPHOPROTEIN .-RELATED TETRAHYMENA THERMOPHILA RELATED C-TERMINAL CRYSTALLIN FOLD CONTAINING 11P C TERMINAL 4-BETA-CELLOBIOSIDASE XYLELLA FASTIDIOSA 9A5C BETA-CELLOBIOSIDASE BETA CELLOBIOSIDASE APIS MELLIFERA RHOGEF GUANINE NUCLEOTIDE EXCHANGE FACTOR FOR RHO RAC CDC42-LIKE GTPASES-LIKE CDC42 GTPASES </t>
  </si>
  <si>
    <t>PNUTS - protein targeting - protein phosphatase regulator activity - regulation of protein amino acid dephosphorylation - regulation of enzyme activity - nucleus</t>
  </si>
  <si>
    <t xml:space="preserve">LIPOPROTEIN PUTATIVE PSEUDOMONAS FLUORESCENS PF-5 PUTIDA F1 DROSOPHILA PSEUDOOBSCURA ENTOMOPHILA L48 MAJOR OUTER MEMBRANE OMPA BACTEROIDES THETAIOTAOMICRON PFO-1 BURKHOLDERIA SP. 383 HYPOTHETICAL PEPTIDASE M23B TRICHODESMIUM ERYTHRAEUM ASPERGILLUS NIDULANS FGSC A4 ORYZA SATIVA JAPONICA CULTIVAR-GROUP CULTIVAR GROUP SURFACE ANTIGEN CENOCEPACIA AU 1054 MESO_2136 MESORHIZOBIUM BNC1 CONSERVED SFUM_1022 SYNTROPHOBACTER FUMAROXIDANS MPOB ANOPHELES GAMBIAE STR. PEST RATTUS NORVEGICUS EXPRESSED CAENORHABDITIS ELEGANS BRIGGSAE BLASTOPIRELLULA MARINA DSM 3645 </t>
  </si>
  <si>
    <t>Inorganic ion transport and metabolism</t>
  </si>
  <si>
    <t>Peptidase_U34 |</t>
  </si>
  <si>
    <t xml:space="preserve">LIPOPROTEIN PUTATIVE PSEUDOMONAS FLUORESCENS PF-5 ENTOMOPHILA L48 PUTIDA F1 SURFACE ANTIGEN BURKHOLDERIA CENOCEPACIA AU 1054 OUTER MEMBRANE DROSOPHILA PSEUDOOBSCURA HYPOTHETICAL ORYZA SATIVA JAPONICA CULTIVAR-GROUP CULTIVAR GROUP PEPTIDASE M23B TRICHODESMIUM ERYTHRAEUM PFO-1 MESO_2136 MESORHIZOBIUM SP. BNC1 CONSERVED SFUM_1022 SYNTROPHOBACTER FUMAROXIDANS MPOB PLASMODIUM CHABAUDI EXPRESSED MAJOR OMPA BACTEROIDES THETAIOTAOMICRON 383 RHODOPSEUDOMONAS PALUSTRIS BISB18 ASPERGILLUS NIDULANS FGSC A4 MATURASE TETRAHYMENA PARAVORAX IMMUNOGLOBULIN A1 PROTEASE PRECURSOR HAEMOPHILUS INFLUENZAE MPXV-WRAIR169 MONKEYPOX VIRUS MPXV WRAIR169 SERINE INHIBITOR-LIKE SPI-1 INHIBITOR LIKE SPI 1 SYRINGAE PV. </t>
  </si>
  <si>
    <t>Signal transduction mechanisms</t>
  </si>
  <si>
    <t>COG5273 | DltB | COG5578 | PSN | UPF0104 | HyfB | TB2_DP1_HVA22 | COG4267 | COG3368 | 7tm_6 |</t>
  </si>
  <si>
    <t>gi|345543</t>
  </si>
  <si>
    <t xml:space="preserve">HYPOTHETICAL 18K GOLDFISH MITOCHONDRION PLASMODIUM FALCIPARUM YMF61 TETRAHYMENA MALACCENSIS </t>
  </si>
  <si>
    <t>Herpes_LMP1 | Spore_permease | DUF1430 |</t>
  </si>
  <si>
    <t>gi|53689386</t>
  </si>
  <si>
    <t>Leuconostoc mesenteroides subsp. mesenteroides ATCC 8293</t>
  </si>
  <si>
    <t xml:space="preserve">YMF71 TETRAHYMENA MALACCENSIS </t>
  </si>
  <si>
    <t>Inorganic ion transport and metabolism, Signal transduction mechanisms</t>
  </si>
  <si>
    <t>LAG1 |</t>
  </si>
  <si>
    <t>gi|110225182</t>
  </si>
  <si>
    <t>Manduca sexta</t>
  </si>
  <si>
    <t xml:space="preserve">MULTICYSTATIN MANDUCA SEXTA CYSTATIN ACTINIDIA ERIANTHA KININOGEN-I VARIANT MUS MUSCULUS MOLECULAR WEIGHT KININOGEN I ISOFORM DELTAD5 CYSTATIN-LIKE ARABIDOPSIS THALIANA LIKE KNG1_MOUSE KININOGEN-1 PRECURSOR CONTAINS HEAVY CHAIN BRADYKININ LIGHT PREKININOGEN SP. 1 T-KININOGEN II T ALPHA-1 MAJOR ACUTE PHASE PREPEPTIDE ALPHA RATTUS NORVEGICUS KNT2_RAT ALPHA-1-MAP THIOSTATIN T-KININ SIMILAR TO 1-MAP MAP KININ 2 PUTATIVE LONOMIA OBLIQUA HMW-KININOGEN-II HMW KININOGEN-II K-KININOGEN K KNG1_RAT CYSTEINE PROTEASE INHIBITOR UNNAMED PRODUCT XENOPUS LAEVIS KNT1_RAT KGRTM RAT FRAGMENT </t>
  </si>
  <si>
    <t>kininogen 1 - extracellular space</t>
  </si>
  <si>
    <t>enzyme regulator activity||molecular_function</t>
  </si>
  <si>
    <t>GO:0030234</t>
  </si>
  <si>
    <t>biological process unknown||biological_process</t>
  </si>
  <si>
    <t>GO:0000004</t>
  </si>
  <si>
    <t>CY 1e-010| CY 6e-010| Cystatin 2e-007| AlaS 0.049| MRG |</t>
  </si>
  <si>
    <t xml:space="preserve">MULTICYSTATIN MANDUCA SEXTA DROSOPHILA MELANOGASTER KININOGEN-I VARIANT MUS MUSCULUS MOLECULAR WEIGHT KININOGEN I ISOFORM DELTAD5 KNG1_MOUSE KININOGEN-1 PRECURSOR CONTAINS HEAVY CHAIN BRADYKININ LIGHT PREKININOGEN SP. 1 RATTUS NORVEGICUS K-KININOGEN K CYSTATIN XENOPUS LAEVIS KNG1_RAT T-KININOGEN II T ALPHA-1 MAJOR ACUTE PHASE PREPEPTIDE ALPHA KNT2_RAT ALPHA-1-MAP THIOSTATIN T-KININ SIMILAR TO 1-MAP MAP KININ 2 HMW-KININOGEN-II HMW KININOGEN-II ACTINIDIA ERIANTHA KNT1_RAT KGRTM RAT FRAGMENT S LM </t>
  </si>
  <si>
    <t>cysteine protease inhibitor activity||endopeptidase inhibitor activity||protease inhibitor activity||enzyme inhibitor activity||enzyme regulator activity||molecular_function</t>
  </si>
  <si>
    <t>GO:0004869</t>
  </si>
  <si>
    <t>CY 5e-011| CY 4e-010| Cystatin 6e-008| MRG 0.056| ATP-sulfurylase |</t>
  </si>
  <si>
    <t xml:space="preserve">MULTICYSTATIN MANDUCA SEXTA DROSOPHILA MELANOGASTER KININOGEN-I VARIANT MUS MUSCULUS MOLECULAR WEIGHT KININOGEN I ISOFORM DELTAD5 KNG1_MOUSE KININOGEN-1 PRECURSOR CONTAINS HEAVY CHAIN BRADYKININ LIGHT PREKININOGEN SP. 1 RATTUS NORVEGICUS K-KININOGEN K KNG1_RAT T-KININOGEN II T ALPHA-1 MAJOR ACUTE PHASE PREPEPTIDE ALPHA KNT2_RAT ALPHA-1-MAP THIOSTATIN T-KININ SIMILAR TO 1-MAP MAP KININ 2 HMW-KININOGEN-II HMW KININOGEN-II CYSTATIN XENOPUS LAEVIS KNT1_RAT KGRTM RAT FRAGMENT ACTINIDIA ERIANTHA PSEUDOOBSCURA </t>
  </si>
  <si>
    <t>CY 1e-010| CY 7e-010| Cystatin 3e-007| MRG 0.072|</t>
  </si>
  <si>
    <t xml:space="preserve">MULTICYSTATIN MANDUCA SEXTA DROSOPHILA MELANOGASTER PSEUDOOBSCURA RATTUS NORVEGICUS KININOGEN-I VARIANT MUS MUSCULUS MOLECULAR WEIGHT KININOGEN I ISOFORM DELTAD5 K-KININOGEN PRECURSOR K CYSTATIN XENOPUS LAEVIS KNG1_RAT KININOGEN-1 CONTAINS HEAVY CHAIN BRADYKININ LIGHT 1 KNG1_MOUSE PREKININOGEN SP. T-KININOGEN II T ALPHA-1 MAJOR ACUTE PHASE PREPEPTIDE ALPHA KNT2_RAT ALPHA-1-MAP THIOSTATIN T-KININ SIMILAR TO 1-MAP MAP KININ 2 HMW-KININOGEN-II HMW KININOGEN-II CYSTATIN-LIKE ARABIDOPSIS THALIANA LIKE KNT1_RAT KGRTM RAT FRAGMENT </t>
  </si>
  <si>
    <t>CY 1e-009| CY 6e-009| Cystatin 3e-006| MRG | COG5534 |</t>
  </si>
  <si>
    <t>gi|21322711</t>
  </si>
  <si>
    <t>Volvox carteri f. nagariensis</t>
  </si>
  <si>
    <t xml:space="preserve">PHEROPHORIN-DZ1 VOLVOX CARTERI F. NAGARIENSIS PHEROPHORIN DZ1 PUTATIVE MEMBRANE EMILIANIA HUXLEYI VIRUS 86 HYPOTHETICAL RATTUS NORVEGICUS PHEROPHORIN-C2 PRECURSOR CHLAMYDOMONAS REINHARDTII C2 PHEROPHORIN-C1 C1 ERYTHROCYTE 1 PFEMP1 PLASMODIUM FALCIPARUM 3D7 HYDROXYPROLINE-RICH GLYCOPROTEIN DZ-HRGP HYDROXYPROLINE RICH DZ HRGP BAMB_2578 BURKHOLDERIA CEPACIA AMMD CONSERVED PHEROPHORIN-S S ENDO-1 4-BETA-GLUCANASE XYLELLA FASTIDIOSA 9A5C BETA-GLUCANASE BETA GLUCANASE BCEN_1918 CENOCEPACIA AU 1054 GLYCINE-RICH ATGRP ARABIDOPSIS THALIANA GLYCINE GLYCINE-RICH_PROTEIN_ BRASSICA NAPUS RICH_PROTEIN_ AA1 291 STRONGYLOCENTROTUS PURPURATUS PHEROPHORIN-C5 C5 PBI-SS TOB SPPPP 18-EGFP SYNTHETIC CONSTRUCT PBI SS 18 EGFP NICOTIANA TABACUM UNNAMED PRODUCT PARTIAL </t>
  </si>
  <si>
    <t>Nucleotide transport and metabolism, Coenzyme transport and metabolism</t>
  </si>
  <si>
    <t>gi|34763099</t>
  </si>
  <si>
    <t xml:space="preserve">INTEGRAL MEMBRANE FUSOBACTERIUM NUCLEATUM SUBSP. VINCENTII ATCC </t>
  </si>
  <si>
    <t>FTSW_RODA_SPOVE 0.037|</t>
  </si>
  <si>
    <t>gi|25026959</t>
  </si>
  <si>
    <t>Corynebacterium efficiens YS-314</t>
  </si>
  <si>
    <t xml:space="preserve">HYPOTHETICAL CORYNEBACTERIUM EFFICIENS CONSERVED YS 314 POLARIBACTER IRGENSII 23-P </t>
  </si>
  <si>
    <t>gi|32189726</t>
  </si>
  <si>
    <t>Leishmania major</t>
  </si>
  <si>
    <t xml:space="preserve">HYPOTHETICAL LEISHMANIA MAJOR STRAIN FRIEDLIN PHAGE TAIL TAPE MEASURE REGION CHROMOHALOBACTER SALEXIGENS DSM 3043 SERPENTINE RECEPTOR CLASS E EPSILON FAMILY MEMBER SRE-31 CAENORHABDITIS ELEGANS SRE31_CAEEL EPSILON-31 PUTATIVE INITIATION FACTOR EIF-2B ALPHA SUBUNIT JANIBACTER SP. </t>
  </si>
  <si>
    <t>Translation, ribosomal structure and biogenesis, Lipid transport and metabolism, Signal transduction mechanisms</t>
  </si>
  <si>
    <t>MannoseP_isomer |</t>
  </si>
  <si>
    <t>gi|23509598</t>
  </si>
  <si>
    <t xml:space="preserve">HYPOTHETICAL PLASMODIUM FALCIPARUM 3D7 CHABAUDI CONSERVED FINGER ENTAMOEBA HISTOLYTICA HM-1 IMSS PUTATIVE HM 1 </t>
  </si>
  <si>
    <t>gi|109017583</t>
  </si>
  <si>
    <t>Macaca mulatta</t>
  </si>
  <si>
    <t xml:space="preserve">SIMILAR TO OLFACTORY RECEPTOR FAMILY 10 SUBFAMILY R MEMBER 2 MACACA MULATTA HYPOTHETICAL PLASMODIUM FALCIPARUM 3D7 GUANYLYL CYCLASE BERGHEI STRAIN ANKA PUTATIVE CHABAUDI FOLLICLE STIMULATING HORMONE FSHR ONCORHYNCHUS MYKISS NADH-UBIQUINONE OXIDOREDUCTASE SUBUNIT 1 GLOBODERA PALLIDA NADH UBIQUINONE </t>
  </si>
  <si>
    <t>Inorganic ion transport and metabolism, Secondary metabolites biosynthesis, transport and catabolism</t>
  </si>
  <si>
    <t>ComEC 0.064| PtsA | 7tm_5 | Ion_trans | Dicty_CAR |</t>
  </si>
  <si>
    <t>gi|91079126</t>
  </si>
  <si>
    <t xml:space="preserve">SIMILAR TO TRIBOLIUM CASTANEUM MELLIFERA CONSERVED HYPOTHETICAL AEDES AEGYPTI DROSOPHILA PSEUDOOBSCURA ANOPHELES GAMBIAE STR. PEST MELANOGASTER XENOPUS LAEVIS MUSCULUS UNNAMED PRODUCT MUS PUTATIVE TRANSMEMBRANE DANIO RERIO RATTUS NORVEGICUS HOMO SAPIENS UNKNOWN FOR IMAGE ISOFORM 3 CANIS FAMILIARIS TMEM135 135 </t>
  </si>
  <si>
    <t>UbiA 0.032| GlpG 0.072| 7tm_3 0.088| PIG-U 0.099| COG3274 | COG1784 | CeuC | Rhomboid | COG4589 | COG3202 |</t>
  </si>
  <si>
    <t>gi|71655134</t>
  </si>
  <si>
    <t>Trypanosoma cruzi</t>
  </si>
  <si>
    <t xml:space="preserve">HYPOTHETICAL TRYPANOSOMA CRUZI STRAIN CL BRENER CONSERVED ORF98 TETRAHYMENA PYRIFORMIS UNKNOWN PLASMODIUM FALCIPARUM 3D7 ZYCICP074 ZYGNEMA CIRCUMCARINATUM </t>
  </si>
  <si>
    <t>COG5578 0.038|</t>
  </si>
  <si>
    <t>COG5643 0.002| comFA | RPR2 |</t>
  </si>
  <si>
    <t>gi|114052170</t>
  </si>
  <si>
    <t>Bombyx mori</t>
  </si>
  <si>
    <t xml:space="preserve">EUKARYOTIC TRANSLATION INITIATION FACTOR 6 BOMBYX MORI SIMILAR TO EIF6 ISOFORM 1 APIS MELLIFERA AEDES AEGYPTI EIF-6 INTEGRIN INTERACTOR CAB P27 BBP B 2 GCN HOMOLOG PARTIAL MACACA MULATTA EIF BETA 4 BINDING C HOMO SAPIENS TROGLODYTES P27BBP ITGB4BP BOS TAURUS SYNTHETIC CONSTRUCT 3 CANIS FAMILIARIS A IF6_HUMAN GALLUS HYPOTHETICAL NOVEL VERTEBRATE DANIO RERIO MUS MUSCULUS RATTUS NORVEGICUS UNNAMED PRODUCT IF6_MOUSE ITGB4BP4 XENOPUS LAEVIS TROPICALIS UNKNOWN FOR MGC </t>
  </si>
  <si>
    <t>ITGB4BP, EIF6, OK/SW-cl.27: Eukaryotic translation initiation factor 6 - protein binding - nucleus</t>
  </si>
  <si>
    <t>translation initiation factor activity||translation factor activity\, nucleic acid binding||translation regulator activity||molecular_function</t>
  </si>
  <si>
    <t>GO:0003743</t>
  </si>
  <si>
    <t>cytosol||cytoplasmic part||intracellular part||cell part||cellular_component</t>
  </si>
  <si>
    <t>GO:0005829</t>
  </si>
  <si>
    <t>IF6 9e-013| eIF6 0.003| GspL |</t>
  </si>
  <si>
    <t>gi|21038943</t>
  </si>
  <si>
    <t>Tenebrio molitor</t>
  </si>
  <si>
    <t xml:space="preserve">CHITINASE TENEBRIO MOLITOR 10 TRIBOLIUM CASTANEUM HYPOTHETICAL AAEL_AAEL000585 AEDES AEGYPTI BRAIN CHIA ANOPHELES GAMBIAE STR. PEST CONSERVED CG7290-PA DROSOPHILA MELANOGASTER CAENORHABDITIS ELEGANS CG7348-PA 1 CHITOTRIOSIDASE MUS MUSCULUS CHIT1_MOUSE CHITOTRIOSIDASE-1 PRECURSOR CHITINASE-1 INSECT INTESTINAL MUCIN IIM14 TRICHOPLUSIA NI MUSCA DOMESTICA SIMILAR TO MELLIFERA VARIABLE REGION-CONTAINING CHITIN-BINDING 4 BRANCHIOSTOMA BELCHERI TSINGTAUNESE REGION CONTAINING CHITIN BINDING EOSINOPHIL CHEMOTACTIC CYTOKINE GALLUS CBPCH04 2 HYDRACTINIA ECHINATA ISOFORM MACACA MULATTA AAEL_AAEL011337 </t>
  </si>
  <si>
    <t>CG7290 - structural constituent of peritrophic membrane (sensu Insecta)</t>
  </si>
  <si>
    <t>transporter activity||molecular_function</t>
  </si>
  <si>
    <t>GO:0005215</t>
  </si>
  <si>
    <t>ATP-binding cassette (ABC) transporter complex||protein complex||cellular_component</t>
  </si>
  <si>
    <t>GO:0043190</t>
  </si>
  <si>
    <t>transport||chitin localization||localization||physiological process||biological_process</t>
  </si>
  <si>
    <t>GO:0006810</t>
  </si>
  <si>
    <t>Replication, recombination and repair</t>
  </si>
  <si>
    <t>ChtBD2 1e-009| CBM_14 4e-009| Cyt_c_Oxidase_III | Trans_IPPS_HT | Glyco_hydro_18 |</t>
  </si>
  <si>
    <t>gi|70936057</t>
  </si>
  <si>
    <t>Plasmodium chabaudi</t>
  </si>
  <si>
    <t xml:space="preserve">HYPOTHETICAL PLASMODIUM CHABAUDI CONSERVED OUTER MEMBRANE CYTOPHAGA HUTCHINSONII ATCC </t>
  </si>
  <si>
    <t>TLC | COG4394 |</t>
  </si>
  <si>
    <t>gi|112818724</t>
  </si>
  <si>
    <t>Prochlorococcus marinus str. NATL1A</t>
  </si>
  <si>
    <t xml:space="preserve">PUTATIVE PHOSPHATE ABC TRANSPORTER PROCHLOROCOCCUS MARINUS STR. NATL1A PERMEASE PSTC NATL2A HYPOTHETICAL PLASMODIUM FALCIPARUM 3D7 BUCHNERA APHIDICOLA CC CINARA CEDRI BCC_173 RF1 HELICOSPORIDIUM SP. EX SIMULIUM JONESII </t>
  </si>
  <si>
    <t>Lipid transport and metabolism, Signal transduction mechanisms</t>
  </si>
  <si>
    <t>HRD1 | TAS2R | PAP2_dolichyldiphosphatase | 7tm_5 |</t>
  </si>
  <si>
    <t>gi|21704210</t>
  </si>
  <si>
    <t xml:space="preserve">KELCH DOMAIN CONTAINING 4 MUS MUSCULUS KLDC4_MOUSE DOMAIN-CONTAINING SIMILAR TO RATTUS NORVEGICUS REPEAT AEDES AEGYPTI CG4069-PA ISOFORM 2 TRIBOLIUM CASTANEUM 1 DROSOPHILA PSEUDOOBSCURA MELANOGASTER XENOPUS LAEVIS GALLUS HYPOTHETICAL PARTIAL 3 BOS TAURUS DANIO RERIO ORYZA SATIVA JAPONICA CULTIVAR-GROUP CULTIVAR GROUP OSJNBA0081L15.6 UNKNOWN ARABIDOPSIS THALIANA MXI22_1 UNNAMED PRODUCT PAN TROGLODYTES USTILAGO MAYDIS 521 </t>
  </si>
  <si>
    <t>molecular function unknown - cellular component unknown - biological process unknown</t>
  </si>
  <si>
    <t>DNA_pol_V 0.002| MAK16 0.013| MFAP1_C 0.024| Sigma70_ner 0.046| CDC45 0.065| COG5406 | TFIIF_alpha | COG5644 | Cwf_Cwc_15 | RRN3 |</t>
  </si>
  <si>
    <t>gi|28564113</t>
  </si>
  <si>
    <t>Saccharomyces bayanus</t>
  </si>
  <si>
    <t xml:space="preserve">TOM71 SACCHAROMYCES BAYANUS TREACLE XENOPUS LAEVIS ANOPHELES GAMBIAE STR. PEST 3-OXOACYL- ACYL-CARRIER-PROTEIN SYNTHASE BURKHOLDERIA CENOCEPACIA OXOACYL- OXOACYL ACYL CARRIER-PROTEIN CARRIER HYPOTHETICAL GUILLARDIA THETA </t>
  </si>
  <si>
    <t>Ion_trans | COG5273 | TAS2R | Cyt_c_Oxidase_III |</t>
  </si>
  <si>
    <t>gi|68052726</t>
  </si>
  <si>
    <t>Hordeum patagonicum subsp. santacrucense</t>
  </si>
  <si>
    <t>Best match to rRNA database</t>
  </si>
  <si>
    <t>Best match to mitochondrial DNA sequences</t>
  </si>
  <si>
    <t>PolyA of larger sequence at</t>
  </si>
  <si>
    <t>insoluble fraction||cell fraction||cell part||cellular_component</t>
  </si>
  <si>
    <t>GO:0005626</t>
  </si>
  <si>
    <t>cell cycle||cellular physiological process||physiological process||biological_process</t>
  </si>
  <si>
    <t>GO:0007049</t>
  </si>
  <si>
    <t>RNA processing and modification, General function prediction only</t>
  </si>
  <si>
    <t>Duffy_binding 4e-007| FAP 4e-007| DEC-1_N 1e-005| COG5373 3e-004| TolA 3e-004| COG4625 7e-004| TolA 0.001| DMP1 0.002| FimV 0.002| TolC 0.003|</t>
  </si>
  <si>
    <t>gi|116130701</t>
  </si>
  <si>
    <t>Anopheles gambiae str. PEST</t>
  </si>
  <si>
    <t xml:space="preserve">ANOPHELES GAMBIAE STR. PEST HYPOTHETICAL PHAEOSPHAERIA NODORUM SN15 FRAAL6416 FRANKIA ALNI ACN14A PE_PGRS FAMILY MYCOBACTERIUM TUBERCULOSIS PE-PGRS FIRST PART BOVIS H37RV PG03_MYCTU PE_PGRS3 PRECURSOR F11 RALSTONIA EUTROPHA H16 CONSERVED UNNAMED PRODUCT CANDIDA GLABRATA STAPHYLOCOCCUS EPIDERMIDIS ATCC RP62A Q8CQQ7 Y2353_STAES HOMO SAPIENS UNKNOWN FUNCTION BACTERIAL SURFACE METHANOSARCINA ACETIVORANS C2A ORYZA SATIVA JAPONICA CULTIVAR-GROUP FIBROIN HEAVY CHAIN PRECURSOR-LIKE CULTIVAR GROUP LIKE LIPOPROTEIN MYCOPLASMA CONJUNCTIVAE CHAETOMIUM GLOBOSUM CBS SECRETION HLYD SP. EAN1PEC SARO_1594 NOVOSPHINGOBIUM AROMATICIVORANS DSM MEROZOITE 2 PLASMODIUM FALCIPARUM MEMBRANE ASSOCIATED BACILLUS CEREUS E33L CONJUGAL TRANSFER XYLELLA FASTIDIOSA 9A5C COPRINOPSIS CINEREA OKAYAMA7#130 OUTER AUTOTRANSPORTER BARREL DOMAIN MESORHIZOBIUM BNC1 METALLIDURANS CH34 </t>
  </si>
  <si>
    <t>Fibroin heavy chain-like - cytoplasmic membrane-bound vesicle - secretory pathway</t>
  </si>
  <si>
    <t>molecular function unknown||molecular_function</t>
  </si>
  <si>
    <t>GO:0005554</t>
  </si>
  <si>
    <t>Harpin | TrkH | HCO3_cotransp | Sec10 | PilY1 | COG4231 | DUF337 | Glutenin_hmw |</t>
  </si>
  <si>
    <t>gi|52142106</t>
  </si>
  <si>
    <t>Bacillus cereus E33L</t>
  </si>
  <si>
    <t xml:space="preserve">MEMBRANE ASSOCIATED BACILLUS CEREUS E33L HYPOTHETICAL ANTHRACIS STR. STERNE CONSERVED AMES 'AMES ANCESTOR' NEISSERIA MENINGITIDIS THURINGIENSIS SEROVAR KONKUKIAN ATCC CAENORHABDITIS ELEGANS UNNAMED PRODUCT CANDIDA GLABRATA SIMILAR TO CIRCUMSPOROZOITE PROTEIN-PUTATIVE RHODOPIRELLULA BALTICA SH 1 PUTATIVE ISRAELENSIS DDBDRAFT_0187174 DICTYOSTELIUM DISCOIDEUM AX4 DROSOPHILA PSEUDOOBSCURA PC-FAM-2 PLASMODIUM CHABAUDI PC FAM-2 FAM TRANSCRIPTIONAL REGULATOR LYSR FAMILY VERMINEPHROBACTER EISENIAE THEILERIA ANNULATA STRAIN ANKARA PE-PGRS MYCOBACTERIUM BOVIS MELANOGASTER MC58 PHOSPHATIDYLGLYCEROPHOSPHATASE ACIDOVORAX AVENAE SUBSP. TETRAODON NIGROVIRIDIS PROBABLE CONJUGAL TRANSFER PARVULARCULA BERMUDENSIS PC-FAM-4 FAM-4 </t>
  </si>
  <si>
    <t>conserved hypothetical protein - biological process unknown - molecular function unknown</t>
  </si>
  <si>
    <t>cellular component unknown||cellular_component</t>
  </si>
  <si>
    <t>GO:0008372</t>
  </si>
  <si>
    <t>Transcription</t>
  </si>
  <si>
    <t>PilY1 0.091| Ni_hydr_CYTB 0.098| TrkH | HCO3_cotransp | Atrophin-1 | GntT | Glutenin_hmw | TrkG | COG1273 |</t>
  </si>
  <si>
    <t>gi|71008169</t>
  </si>
  <si>
    <t>Ustilago maydis 521</t>
  </si>
  <si>
    <t xml:space="preserve">HYPOTHETICAL USTILAGO MAYDIS 521 PHAEOSPHAERIA NODORUM SN15 VASA-LIKE AEDES AEGYPTI ATP-DEPENDENT RNA HELICASE VASA LIKE ATP DEPENDENT DDBDRAFT_0186028 DICTYOSTELIUM DISCOIDEUM AX4 RHOGAP18B-PC DROSOPHILA MELANOGASTER RHOGAP18B MACACA MULATTA HYOTHETICAL TOXOPLASMA GONDII RH CG7502-PA HOMO SAPIENS SCRIBBLER SHORT ISOFORM BRAKELESS LONG BRAKELESS-B B CG5580-PB LACTOCOCCUS LACTIS SUBSP. UNKNOWN CG5580-PA A CG5580-PC C BRAKELESS-A MUCIN-ASSOCIATED SURFACE MASP TRYPANOSOMA CRUZI STRAIN CL BRENER PUTATIVE MUCIN ASSOCIATED RMET_2499 RALSTONIA METALLIDURANS CH34 CONSERVED SIMILAR TO UBAP2 STRONGYLOCENTROTUS PURPURATUS TRANSCRIPTION FACTOR SP1 MSP1-S MUS SP. MSP1 </t>
  </si>
  <si>
    <t>kismet - nucleus - blastoderm segmentation - segment specification - ATP-dependent helicase activity</t>
  </si>
  <si>
    <t>ATP-dependent helicase activity||ATPase activity\, coupled||ATPase activity||nucleoside-triphosphatase activity||pyrophosphatase activity||hydrolase activity\, acting on acid anhydrides\, in phosphorus-containing anhydrides||hydrolase activity\, acting on acid anhydrides||hydrolase activity||catalytic activity||molecular_function</t>
  </si>
  <si>
    <t>GO:0008026</t>
  </si>
  <si>
    <t>nucleus||intracellular membrane-bound organelle||membrane-bound organelle||organelle||cellular_component</t>
  </si>
  <si>
    <t>GO:0005634</t>
  </si>
  <si>
    <t>blastoderm segmentation||segmentation||development||biological_process</t>
  </si>
  <si>
    <t>GO:0007350</t>
  </si>
  <si>
    <t>Nuclear structure, Intracellular trafficking, secretion, and vesicular transport</t>
  </si>
  <si>
    <t>COG4371 | TMP_2 | DUF566 | Gag_spuma | TrkH | HCO3_cotransp | OsmY | IPT_plexin_repeat1 | Sporozoite_P67 | Rubella_Capsid |</t>
  </si>
  <si>
    <t>gi|6900491</t>
  </si>
  <si>
    <t>Neisseria meningitidis</t>
  </si>
  <si>
    <t xml:space="preserve">HYPOTHETICAL NEISSERIA MENINGITIDIS MEMBRANE ASSOCIATED BACILLUS CEREUS E33L ANTHRACIS STR. STERNE CONSERVED AMES 'AMES ANCESTOR' ATCC DDBDRAFT_0187174 DICTYOSTELIUM DISCOIDEUM AX4 PC-FAM-2 PLASMODIUM CHABAUDI PUTATIVE PC FAM-2 FAM THURINGIENSIS SEROVAR KONKUKIAN PHOSPHATIDYLGLYCEROPHOSPHATASE ACIDOVORAX AVENAE SUBSP. SIMILAR TO CIRCUMSPOROZOITE PROTEIN-PUTATIVE RHODOPIRELLULA BALTICA SH 1 PE-PGRS FAMILY MYCOBACTERIUM BOVIS CHAETOMIUM GLOBOSUM CBS ISRAELENSIS MC58 UNNAMED PRODUCT CANDIDA GLABRATA CAENORHABDITIS ELEGANS MULTIPLE ANKYRIN REPEAT SINGLE KH DOMAIN DROSOPHILA MELANOGASTER REPEATS ISOFORM A TRANSCRIPTIONAL REGULATOR LYSR VERMINEPHROBACTER EISENIAE MEROZOITE SURFACE 2 FALCIPARUM TETRAODON NIGROVIRIDIS CONTAINING SOLIBACTER USITATUS ELLIN6076 GIBBERELLA ZEAE PH-1 </t>
  </si>
  <si>
    <t>mitochondrion||intracellular membrane-bound organelle||membrane-bound organelle||organelle||cellular_component</t>
  </si>
  <si>
    <t>GO:0005739</t>
  </si>
  <si>
    <t>PilY1 0.044| Ni_hydr_CYTB 0.081| HCO3_cotransp | AraJ | Oleosin | TrkH | GntT | SUL1 | Atrophin-1 | Glutenin_hmw |</t>
  </si>
  <si>
    <t>PilY1 0.087| Ni_hydr_CYTB 0.095| TrkH | HCO3_cotransp | Atrophin-1 | GntT | Glutenin_hmw | TrkG | COG1273 |</t>
  </si>
  <si>
    <t>gi|115898454</t>
  </si>
  <si>
    <t>Strongylocentrotus purpuratus</t>
  </si>
  <si>
    <t xml:space="preserve">SIMILAR TO P63 47 TRANSCRIPTION FACTOR STRONGYLOCENTROTUS PURPURATUS PHAEOSPHAERIA NODORUM SN15 HYPOTHETICAL COLLETOTRICHUM LAGENARIUM SALIVARY LUTZOMYIA LONGIPALPIS CG6305-PA TRIBOLIUM CASTANEUM SYNAPSE-ASSOCIATED 47KD CG8884-PG ISOFORM G DROSOPHILA MELANOGASTER SYNAPSE ASSOCIATED CG8884-PB B CG8884-PF F SAP47-2 FRUIT FLY SAP47 CG8884-PA A CG8884-PC CG8884-PD CG8884-PE CG8884-PH SAP47_DROME CRYPTOCOCCUS NEOFORMANS VAR. COLD-RESPONSIVE TRITICUM AESTIVUM COLD RESPONSIVE LEISHMANIA MAJOR STRAIN FRIEDLIN PROTEOPHOSPHOGLYCAN PPG4 DEBARYOMYCES HANSENII UNNAMED PRODUCT 5 JEC21 PILUS ASSEMBLY CPAB BURKHOLDERIA SP. 383 C-TERMINAL RALSTONIA EUTROPHA TERMINAL ASPERGILLUS NIDULANS FGSC A4 COPRINOPSIS CINEREA OKAYAMA7#130 ARABIDOPSIS THALIANA MUTATOR-LIKE TRANSPOSASE MUTATOR LIKE ELONGATION VERY LONG CHAIN FATTY ACIDS FEN1 ELO2 SUR4 ELO3 YEAST -LIKE 4 BOS TAURUS PHOTORHABDUS LUMINESCENS SUBSP. LAUMONDII TTO1 </t>
  </si>
  <si>
    <t>Synapse-associated protein 47kD - synapse - synaptic transmission - molecular function unknown</t>
  </si>
  <si>
    <t>Cytoskeleton</t>
  </si>
  <si>
    <t>DEC-1_N 0.013| DamX | Menin | Extensin_2 | ECM1 | FAP | Drf_FH1 |</t>
  </si>
  <si>
    <t>gi|111058092</t>
  </si>
  <si>
    <t>Phaeosphaeria nodorum SN15</t>
  </si>
  <si>
    <t xml:space="preserve">XENOPUS TROPICALIS ORYZA SATIVA JAPONICA CULTIVAR-GROUP CULTIVAR GROUP UNKNOWN FOR MGC LAEVIS PUTATIVE MEMBRANE EMILIANIA HUXLEYI VIRUS 86 Q9FPQ6 GP1_CHLRE VEGETATIVE CELL WALL GP1 PRECURSOR HYDROXYPROLINE-RICH GLYCOPROTEIN 1 CHLAMYDOMONAS REINHARDTII HYDROXYPROLINE RICH DROSOPHILA MELANOGASTER SIMILAR TO NUCLEOLIN LIKE CIRGG1 STRONGYLOCENTROTUS PURPURATUS KERATIN 77 MUS MUSCULUS AGGLUTININ EARLY SALT STRESS COLD ACCLIMATION-INDUCED 2-1 LOPHOPYRUM ELONGATUM ACCLIMATION INDUCED 2 COMPLEX BASIC GENE 39 Q6IFZ6 K2C1B_MOUSE CYTOSKELETAL 1B KB39 EMBRYONIC KERATIN-1 TPA_EXP TRANSLATION INITIATION FACTOR IF-2 STREPTOMYCES COELICOLOR A3 Q8CJQ8 IF2_STRCO PROBABLE TRANSLATIONAL IF ISOFORM 5 MACACA MULATTA MINUS HEMAGGLUTININ DOMAIN BURKHOLDERIA MALLEI ATCC PROTEIN-LIKE PWWP GAS31 UNNAMED PRODUCT OSTREOCOCCUS TAURI HYPOTHETICAL RATTUS NORVEGICUS GAMETE-SPECIFIC A2 GAMETE SPECIFIC CRYPTOSPORIDIUM PARVUM IOWA II PROLINE C-TERMINUS SIGNAL PEPTIDE VERY LARGE C TERMINUS </t>
  </si>
  <si>
    <t>Putative PWWP domain protein - mitochondrion</t>
  </si>
  <si>
    <t>RNA binding||nucleic acid binding||binding||molecular_function</t>
  </si>
  <si>
    <t>GO:0003723</t>
  </si>
  <si>
    <t>dense fibrillar component||vacuolar membrane (sensu Magnoliophyta)||vacuolar membrane||vacuolar part||intracellular organelle part||organelle part||cellular_component</t>
  </si>
  <si>
    <t>GO:0001651</t>
  </si>
  <si>
    <t>RNA processing||RNA metabolism||nucleobase\, nucleoside\, nucleotide and nucleic acid metabolism||primary metabolism||metabolism||physiological process||biological_process</t>
  </si>
  <si>
    <t>GO:0006396</t>
  </si>
  <si>
    <t>RNA processing and modification</t>
  </si>
  <si>
    <t>Drf_FH1 8e-005| COG4371 2e-004| PMG 6e-004| Gag_spuma 0.001| DUF1210 0.001| Tsg101 0.002| DUF1517 0.002| Atrophin-1 0.002| Tymo_45kd_70kd 0.003| GRP 0.008|</t>
  </si>
  <si>
    <t>gi|66802658</t>
  </si>
  <si>
    <t xml:space="preserve">HYPOTHETICAL DDBDRAFT_0183884 DICTYOSTELIUM DISCOIDEUM AX4 DROSOPHILA MELANOGASTER CANDIDA ALBICANS ORYZA SATIVA JAPONICA CULTIVAR-GROUP CULTIVAR GROUP EXTRA LARGE ALPHA STIMULATING GUANINE-NUCLEOTIDE BINDING MUS MUSCULUS GUANINE NUCLEOTIDE CAENORHABDITIS ELEGANS MUCIN TCMUCI TRYPANOSOMA CRUZI STRAIN CL BRENER PUTATIVE DDBDRAFT_0186206 SIMILAR TO JUMONJI DOMAIN CONTAINING 3 ISOFORM HOMO SAPIENS 1 BRAIN CHITINASE CHIA AEDES AEGYPTI MUCIN-LIKE LIKE TCMUCII CRYPTOSPORIDIUM PARVUM IOWA II UDP-GALACTOSE N-ACETYLGALACTOSAMINE-ALPHA-R BETA 3- GALACTOSY UDP GALACTOSE N ACETYLGALACTOSAMINE-ALPHA-R ACETYLGALACTOSAMINE ALPHA-R R SERINE PROTEASE FAMILY WITH SEQUENCE SIMILARITY 48 MEMBER A B CANIS FAMILIARIS POTASSIUM VOLTAGE-GATED CHANNEL SUBFAMILY 6 SUBUNIT KV1.6 VOLTAGE GATED SYNTHETIC LETHAL MEC SYM-1 DDBDRAFT_0188474 </t>
  </si>
  <si>
    <t>Hypothetical protein P0428A03.22 - mitochondrion</t>
  </si>
  <si>
    <t>DNA-directed RNA polymerase activity||nucleotidyltransferase activity||transferase activity\, transferring phosphorus-containing groups||transferase activity||catalytic activity||molecular_function</t>
  </si>
  <si>
    <t>GO:0003899</t>
  </si>
  <si>
    <t>DNA-directed RNA polymerase III complex||RNA polymerase complex||protein complex||cellular_component</t>
  </si>
  <si>
    <t>GO:0005666</t>
  </si>
  <si>
    <t>transcription from RNA polymerase III promoter||transcription\, DNA-dependent||transcription||nucleobase\, nucleoside\, nucleotide and nucleic acid metabolism||primary metabolism||metabolism||physiological process||biological_process</t>
  </si>
  <si>
    <t>GO:0006383</t>
  </si>
  <si>
    <t>Amino acid transport and metabolism</t>
  </si>
  <si>
    <t>Prominin 0.010| DUF1205 | Ribonuclease_BN | MepA | COG2409 | Yip1 | Ribosomal_S26e | VirD4 | COG5523 | COG5524 |</t>
  </si>
  <si>
    <t>gi|37651399</t>
  </si>
  <si>
    <t>Choristoneura fumiferana defective nucleopolyhedrovirus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</si>
</sst>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8"/>
      <name val="Arial"/>
      <family val="0"/>
    </font>
    <font>
      <b/>
      <sz val="8"/>
      <color indexed="12"/>
      <name val="Arial"/>
      <family val="2"/>
    </font>
    <font>
      <u val="single"/>
      <sz val="8"/>
      <color indexed="12"/>
      <name val="Arial"/>
      <family val="0"/>
    </font>
    <font>
      <u val="single"/>
      <sz val="8"/>
      <color indexed="36"/>
      <name val="Arial"/>
      <family val="0"/>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7">
    <border>
      <left/>
      <right/>
      <top/>
      <bottom/>
      <diagonal/>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11" fontId="0" fillId="0" borderId="0" xfId="0" applyNumberFormat="1" applyAlignment="1">
      <alignment/>
    </xf>
    <xf numFmtId="0" fontId="0" fillId="0" borderId="0" xfId="0" applyAlignment="1">
      <alignment horizontal="center"/>
    </xf>
    <xf numFmtId="0" fontId="0" fillId="2" borderId="1" xfId="0" applyFill="1" applyBorder="1" applyAlignment="1">
      <alignment/>
    </xf>
    <xf numFmtId="0" fontId="0" fillId="3" borderId="1" xfId="0" applyFill="1" applyBorder="1" applyAlignment="1">
      <alignment/>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 fillId="3" borderId="2" xfId="0" applyFont="1" applyFill="1" applyBorder="1" applyAlignment="1">
      <alignment wrapText="1"/>
    </xf>
    <xf numFmtId="0" fontId="1" fillId="3" borderId="5" xfId="0" applyFont="1" applyFill="1" applyBorder="1" applyAlignment="1">
      <alignment/>
    </xf>
    <xf numFmtId="0" fontId="1" fillId="3" borderId="6"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33"/>
  <sheetViews>
    <sheetView tabSelected="1" workbookViewId="0" topLeftCell="A1">
      <pane xSplit="6" ySplit="1" topLeftCell="G2" activePane="bottomRight" state="frozen"/>
      <selection pane="topLeft" activeCell="A1" sqref="A1"/>
      <selection pane="topRight" activeCell="B1" sqref="B1"/>
      <selection pane="bottomLeft" activeCell="A2" sqref="A2"/>
      <selection pane="bottomRight" activeCell="A2" sqref="A2"/>
    </sheetView>
  </sheetViews>
  <sheetFormatPr defaultColWidth="9.33203125" defaultRowHeight="11.25"/>
  <cols>
    <col min="1" max="1" width="17" style="0" customWidth="1"/>
    <col min="13" max="13" width="18.5" style="3" customWidth="1"/>
    <col min="14" max="14" width="9.33203125" style="2" customWidth="1"/>
    <col min="18" max="18" width="5.16015625" style="0" customWidth="1"/>
    <col min="19" max="19" width="6" style="0" customWidth="1"/>
    <col min="26" max="26" width="19" style="4" customWidth="1"/>
    <col min="28" max="28" width="15" style="3" customWidth="1"/>
    <col min="29" max="29" width="9.83203125" style="2" customWidth="1"/>
    <col min="30" max="30" width="9.33203125" style="4" customWidth="1"/>
    <col min="33" max="33" width="9.33203125" style="4" customWidth="1"/>
    <col min="36" max="36" width="9.33203125" style="4" customWidth="1"/>
    <col min="38" max="38" width="8.33203125" style="0" customWidth="1"/>
    <col min="39" max="39" width="15" style="3" customWidth="1"/>
    <col min="40" max="40" width="9.83203125" style="2" customWidth="1"/>
    <col min="42" max="42" width="15" style="3" customWidth="1"/>
    <col min="43" max="43" width="9.83203125" style="2" customWidth="1"/>
    <col min="45" max="45" width="15" style="3" customWidth="1"/>
    <col min="46" max="46" width="9.83203125" style="2" customWidth="1"/>
    <col min="47" max="47" width="15" style="3" customWidth="1"/>
    <col min="48" max="48" width="9.83203125" style="2" customWidth="1"/>
    <col min="49" max="49" width="15" style="3" customWidth="1"/>
    <col min="50" max="50" width="9.83203125" style="2" customWidth="1"/>
    <col min="51" max="51" width="15" style="3" customWidth="1"/>
    <col min="52" max="52" width="9.83203125" style="2" customWidth="1"/>
  </cols>
  <sheetData>
    <row r="1" spans="1:52" s="5" customFormat="1" ht="56.25">
      <c r="A1" s="5" t="s">
        <v>530</v>
      </c>
      <c r="B1" s="5" t="s">
        <v>531</v>
      </c>
      <c r="C1" s="5" t="s">
        <v>532</v>
      </c>
      <c r="D1" s="5" t="s">
        <v>533</v>
      </c>
      <c r="E1" s="5" t="s">
        <v>534</v>
      </c>
      <c r="F1" s="5" t="s">
        <v>535</v>
      </c>
      <c r="G1" s="5" t="s">
        <v>536</v>
      </c>
      <c r="H1" s="5" t="s">
        <v>537</v>
      </c>
      <c r="I1" s="5" t="s">
        <v>538</v>
      </c>
      <c r="J1" s="5" t="s">
        <v>539</v>
      </c>
      <c r="K1" s="5" t="s">
        <v>540</v>
      </c>
      <c r="L1" s="6" t="s">
        <v>1620</v>
      </c>
      <c r="M1" s="5" t="s">
        <v>1384</v>
      </c>
      <c r="N1" s="5" t="s">
        <v>1385</v>
      </c>
      <c r="O1" s="5" t="s">
        <v>1386</v>
      </c>
      <c r="P1" s="5" t="s">
        <v>1387</v>
      </c>
      <c r="Q1" s="5" t="s">
        <v>1388</v>
      </c>
      <c r="R1" s="5" t="s">
        <v>1389</v>
      </c>
      <c r="S1" s="5" t="s">
        <v>1390</v>
      </c>
      <c r="T1" s="5" t="s">
        <v>1391</v>
      </c>
      <c r="U1" s="5" t="s">
        <v>1392</v>
      </c>
      <c r="V1" s="5" t="s">
        <v>1393</v>
      </c>
      <c r="W1" s="5" t="s">
        <v>1394</v>
      </c>
      <c r="X1" s="5" t="s">
        <v>1395</v>
      </c>
      <c r="Y1" s="6" t="s">
        <v>1396</v>
      </c>
      <c r="Z1" s="8" t="s">
        <v>1002</v>
      </c>
      <c r="AA1" s="7" t="s">
        <v>1003</v>
      </c>
      <c r="AB1" s="5" t="s">
        <v>1397</v>
      </c>
      <c r="AC1" s="5" t="s">
        <v>1385</v>
      </c>
      <c r="AD1" s="5" t="s">
        <v>1398</v>
      </c>
      <c r="AE1" s="5" t="s">
        <v>1399</v>
      </c>
      <c r="AF1" s="5" t="s">
        <v>1400</v>
      </c>
      <c r="AG1" s="5" t="s">
        <v>1401</v>
      </c>
      <c r="AH1" s="5" t="s">
        <v>1399</v>
      </c>
      <c r="AI1" s="5" t="s">
        <v>1402</v>
      </c>
      <c r="AJ1" s="5" t="s">
        <v>1403</v>
      </c>
      <c r="AK1" s="5" t="s">
        <v>1399</v>
      </c>
      <c r="AL1" s="5" t="s">
        <v>1404</v>
      </c>
      <c r="AM1" s="5" t="s">
        <v>1405</v>
      </c>
      <c r="AN1" s="5" t="s">
        <v>1385</v>
      </c>
      <c r="AO1" s="5" t="s">
        <v>1406</v>
      </c>
      <c r="AP1" s="5" t="s">
        <v>1407</v>
      </c>
      <c r="AQ1" s="5" t="s">
        <v>1385</v>
      </c>
      <c r="AR1" s="5" t="s">
        <v>1408</v>
      </c>
      <c r="AS1" s="5" t="s">
        <v>1409</v>
      </c>
      <c r="AT1" s="5" t="s">
        <v>1385</v>
      </c>
      <c r="AU1" s="5" t="s">
        <v>1410</v>
      </c>
      <c r="AV1" s="5" t="s">
        <v>1385</v>
      </c>
      <c r="AW1" s="5" t="s">
        <v>1618</v>
      </c>
      <c r="AX1" s="5" t="s">
        <v>1385</v>
      </c>
      <c r="AY1" s="5" t="s">
        <v>1619</v>
      </c>
      <c r="AZ1" s="5" t="s">
        <v>1385</v>
      </c>
    </row>
    <row r="2" s="10" customFormat="1" ht="11.25">
      <c r="A2" s="9" t="s">
        <v>55</v>
      </c>
    </row>
    <row r="3" s="12" customFormat="1" ht="11.25">
      <c r="A3" s="11" t="s">
        <v>59</v>
      </c>
    </row>
    <row r="4" spans="1:52" ht="11.25">
      <c r="A4" t="str">
        <f>HYPERLINK("http://exon.niaid.nih.gov/transcriptome/O_fasciatus/Sup_tab1/links/of-new\of-new-contig_36.txt","of-new-contig_36")</f>
        <v>of-new-contig_36</v>
      </c>
      <c r="B4" t="str">
        <f>HYPERLINK("http://exon.niaid.nih.gov/transcriptome/O_fasciatus/Sup_tab1/links/of-new\of-new-5-64-64-asb-36.txt","Contig-36")</f>
        <v>Contig-36</v>
      </c>
      <c r="C4" t="str">
        <f>HYPERLINK("http://exon.niaid.nih.gov/transcriptome/O_fasciatus/Sup_tab1/links/of-new\of-new-5-64-64-36-CLU.txt","Contig36")</f>
        <v>Contig36</v>
      </c>
      <c r="D4">
        <v>7</v>
      </c>
      <c r="E4">
        <v>605</v>
      </c>
      <c r="F4" t="str">
        <f>HYPERLINK("http://exon.niaid.nih.gov/transcriptome/O_fasciatus/Sup_tab1/links/of-new\of-new-5-64-64-36-qual.txt","60.3")</f>
        <v>60.3</v>
      </c>
      <c r="G4" t="s">
        <v>541</v>
      </c>
      <c r="H4">
        <v>48.4</v>
      </c>
      <c r="I4">
        <v>534</v>
      </c>
      <c r="J4">
        <v>36</v>
      </c>
      <c r="K4" t="s">
        <v>577</v>
      </c>
      <c r="L4">
        <v>209</v>
      </c>
      <c r="M4" s="3" t="str">
        <f>HYPERLINK("http://exon.niaid.nih.gov/transcriptome/O_fasciatus/Sup_tab1/links/NR\of-new-contig_36-NR.txt","unknown [Choristoneura fumiferana defective nucleopolyhedrovirus]")</f>
        <v>unknown [Choristoneura fumiferana defective nucleopolyhedrovirus]</v>
      </c>
      <c r="N4" s="2" t="str">
        <f>HYPERLINK("http://www.ncbi.nlm.nih.gov/sutils/blink.cgi?pid=37651399","3E-006")</f>
        <v>3E-006</v>
      </c>
      <c r="O4" t="s">
        <v>1690</v>
      </c>
      <c r="P4">
        <v>54</v>
      </c>
      <c r="Q4">
        <v>218</v>
      </c>
      <c r="R4">
        <v>53</v>
      </c>
      <c r="S4">
        <v>25</v>
      </c>
      <c r="T4">
        <v>28</v>
      </c>
      <c r="U4">
        <v>112</v>
      </c>
      <c r="V4">
        <v>6</v>
      </c>
      <c r="W4" t="s">
        <v>1412</v>
      </c>
      <c r="X4" t="s">
        <v>1691</v>
      </c>
      <c r="Y4" t="s">
        <v>941</v>
      </c>
      <c r="Z4" s="4" t="s">
        <v>1018</v>
      </c>
      <c r="AA4" t="s">
        <v>1019</v>
      </c>
      <c r="AB4" s="3" t="s">
        <v>942</v>
      </c>
      <c r="AC4" s="2">
        <f>HYPERLINK("http://exon.niaid.nih.gov/transcriptome/O_fasciatus/Sup_tab1/links/GO\of-new-contig_36-GO.txt",0.0006)</f>
        <v>0</v>
      </c>
      <c r="AD4" s="4" t="s">
        <v>1631</v>
      </c>
      <c r="AE4" t="s">
        <v>1632</v>
      </c>
      <c r="AF4">
        <v>0.002</v>
      </c>
      <c r="AG4" s="4" t="s">
        <v>1638</v>
      </c>
      <c r="AH4" t="s">
        <v>1639</v>
      </c>
      <c r="AI4">
        <v>0.002</v>
      </c>
      <c r="AJ4" s="4" t="s">
        <v>1537</v>
      </c>
      <c r="AK4" t="s">
        <v>1538</v>
      </c>
      <c r="AL4">
        <v>0.002</v>
      </c>
      <c r="AM4" s="3" t="str">
        <f>HYPERLINK("http://exon.niaid.nih.gov/transcriptome/O_fasciatus/Sup_tab1/links/KOG\of-new-contig_36-KOG.txt","RNA polymerase II, large subunit")</f>
        <v>RNA polymerase II, large subunit</v>
      </c>
      <c r="AN4" s="2" t="str">
        <f>HYPERLINK("http://www.ncbi.nlm.nih.gov/COG/new/shokog.cgi?KOG0260","3E-004")</f>
        <v>3E-004</v>
      </c>
      <c r="AO4" t="s">
        <v>1640</v>
      </c>
      <c r="AP4" s="3" t="str">
        <f>HYPERLINK("http://exon.niaid.nih.gov/transcriptome/O_fasciatus/Sup_tab1/links/CDD\of-new-contig_36-CDD.txt","BLVR")</f>
        <v>BLVR</v>
      </c>
      <c r="AQ4" s="2" t="str">
        <f>HYPERLINK("http://www.ncbi.nlm.nih.gov/Structure/cdd/cddsrv.cgi?uid=pfam06375&amp;version=v4.0","0.001")</f>
        <v>0.001</v>
      </c>
      <c r="AR4" t="s">
        <v>943</v>
      </c>
      <c r="AS4" s="3" t="str">
        <f>HYPERLINK("http://exon.niaid.nih.gov/transcriptome/O_fasciatus/Sup_tab1/links/PFAM\of-new-contig_36-PFAM.txt","Glycoprotein_B")</f>
        <v>Glycoprotein_B</v>
      </c>
      <c r="AT4" s="2" t="str">
        <f>HYPERLINK("http://pfam.wustl.edu/cgi-bin/getdesc?acc=PF00606","3E-004")</f>
        <v>3E-004</v>
      </c>
      <c r="AU4" s="3" t="str">
        <f>HYPERLINK("http://exon.niaid.nih.gov/transcriptome/O_fasciatus/Sup_tab1/links/SMART\of-new-contig_36-SMART.txt","DM6")</f>
        <v>DM6</v>
      </c>
      <c r="AV4" s="2" t="str">
        <f>HYPERLINK("http://smart.embl-heidelberg.de/smart/do_annotation.pl?DOMAIN=DM6&amp;BLAST=DUMMY","4E-004")</f>
        <v>4E-004</v>
      </c>
      <c r="AW4" s="3" t="s">
        <v>547</v>
      </c>
      <c r="AX4" s="2" t="s">
        <v>547</v>
      </c>
      <c r="AY4" s="3" t="s">
        <v>547</v>
      </c>
      <c r="AZ4" s="2" t="s">
        <v>547</v>
      </c>
    </row>
    <row r="5" spans="1:52" ht="11.25">
      <c r="A5" t="str">
        <f>HYPERLINK("http://exon.niaid.nih.gov/transcriptome/O_fasciatus/Sup_tab1/links/of-new\of-new-contig_1.txt","of-new-contig_1")</f>
        <v>of-new-contig_1</v>
      </c>
      <c r="B5" t="str">
        <f>HYPERLINK("http://exon.niaid.nih.gov/transcriptome/O_fasciatus/Sup_tab1/links/of-new\of-new-5-64-64-asb-1.txt","Contig-1")</f>
        <v>Contig-1</v>
      </c>
      <c r="C5" t="str">
        <f>HYPERLINK("http://exon.niaid.nih.gov/transcriptome/O_fasciatus/Sup_tab1/links/of-new\of-new-5-64-64-1-CLU.txt","Contig1")</f>
        <v>Contig1</v>
      </c>
      <c r="D5">
        <v>108</v>
      </c>
      <c r="E5">
        <v>830</v>
      </c>
      <c r="F5" t="str">
        <f>HYPERLINK("http://exon.niaid.nih.gov/transcriptome/O_fasciatus/Sup_tab1/links/of-new\of-new-5-64-64-1-qual.txt","92.")</f>
        <v>92.</v>
      </c>
      <c r="G5" t="s">
        <v>541</v>
      </c>
      <c r="H5">
        <v>57</v>
      </c>
      <c r="I5">
        <v>779</v>
      </c>
      <c r="J5">
        <v>1</v>
      </c>
      <c r="K5" t="s">
        <v>542</v>
      </c>
      <c r="L5">
        <v>598</v>
      </c>
      <c r="M5" s="3" t="str">
        <f>HYPERLINK("http://exon.niaid.nih.gov/transcriptome/O_fasciatus/Sup_tab1/links/NR\of-new-contig_1-NR.txt","PREDICTED: hypothetical protein")</f>
        <v>PREDICTED: hypothetical protein</v>
      </c>
      <c r="N5" s="2" t="str">
        <f>HYPERLINK("http://www.ncbi.nlm.nih.gov/sutils/blink.cgi?pid=109463712","3E-023")</f>
        <v>3E-023</v>
      </c>
      <c r="O5" t="s">
        <v>1411</v>
      </c>
      <c r="P5">
        <v>225</v>
      </c>
      <c r="Q5">
        <v>426</v>
      </c>
      <c r="R5">
        <v>38</v>
      </c>
      <c r="S5">
        <v>53</v>
      </c>
      <c r="T5">
        <v>0</v>
      </c>
      <c r="U5">
        <v>0</v>
      </c>
      <c r="V5">
        <v>138</v>
      </c>
      <c r="W5" t="s">
        <v>1412</v>
      </c>
      <c r="X5" t="s">
        <v>1413</v>
      </c>
      <c r="Y5" t="s">
        <v>1414</v>
      </c>
      <c r="Z5" s="4" t="s">
        <v>64</v>
      </c>
      <c r="AA5" t="s">
        <v>65</v>
      </c>
      <c r="AB5" s="3" t="s">
        <v>1415</v>
      </c>
      <c r="AC5" s="2">
        <f>HYPERLINK("http://exon.niaid.nih.gov/transcriptome/O_fasciatus/Sup_tab1/links/GO\of-new-contig_1-GO.txt",0.000000000000001)</f>
        <v>0</v>
      </c>
      <c r="AD5" s="4" t="s">
        <v>1416</v>
      </c>
      <c r="AE5" t="s">
        <v>1417</v>
      </c>
      <c r="AF5">
        <v>1E-15</v>
      </c>
      <c r="AG5" s="4" t="s">
        <v>1418</v>
      </c>
      <c r="AH5" t="s">
        <v>1419</v>
      </c>
      <c r="AI5">
        <v>1E-15</v>
      </c>
      <c r="AJ5" s="4" t="s">
        <v>1420</v>
      </c>
      <c r="AK5" t="s">
        <v>1421</v>
      </c>
      <c r="AL5">
        <v>1E-15</v>
      </c>
      <c r="AM5" s="3" t="str">
        <f>HYPERLINK("http://exon.niaid.nih.gov/transcriptome/O_fasciatus/Sup_tab1/links/KOG\of-new-contig_1-KOG.txt","Chitinase")</f>
        <v>Chitinase</v>
      </c>
      <c r="AN5" s="2" t="str">
        <f>HYPERLINK("http://www.ncbi.nlm.nih.gov/COG/new/shokog.cgi?KOG4701","1E-011")</f>
        <v>1E-011</v>
      </c>
      <c r="AO5" t="s">
        <v>1422</v>
      </c>
      <c r="AP5" s="3" t="str">
        <f>HYPERLINK("http://exon.niaid.nih.gov/transcriptome/O_fasciatus/Sup_tab1/links/CDD\of-new-contig_1-CDD.txt","Candida_ALS")</f>
        <v>Candida_ALS</v>
      </c>
      <c r="AQ5" s="2" t="str">
        <f>HYPERLINK("http://www.ncbi.nlm.nih.gov/Structure/cdd/cddsrv.cgi?uid=pfam05792&amp;version=v4.0","3E-009")</f>
        <v>3E-009</v>
      </c>
      <c r="AR5" t="s">
        <v>1423</v>
      </c>
      <c r="AS5" s="3" t="str">
        <f>HYPERLINK("http://exon.niaid.nih.gov/transcriptome/O_fasciatus/Sup_tab1/links/PFAM\of-new-contig_1-PFAM.txt","Candida_ALS")</f>
        <v>Candida_ALS</v>
      </c>
      <c r="AT5" s="2" t="str">
        <f>HYPERLINK("http://pfam.wustl.edu/cgi-bin/getdesc?acc=PF05792","1E-009")</f>
        <v>1E-009</v>
      </c>
      <c r="AU5" s="3" t="str">
        <f>HYPERLINK("http://exon.niaid.nih.gov/transcriptome/O_fasciatus/Sup_tab1/links/SMART\of-new-contig_1-SMART.txt","MA")</f>
        <v>MA</v>
      </c>
      <c r="AV5" s="2" t="str">
        <f>HYPERLINK("http://smart.embl-heidelberg.de/smart/do_annotation.pl?DOMAIN=MA&amp;BLAST=DUMMY","1E-005")</f>
        <v>1E-005</v>
      </c>
      <c r="AW5" s="3" t="s">
        <v>547</v>
      </c>
      <c r="AX5" s="2" t="s">
        <v>547</v>
      </c>
      <c r="AY5" s="3" t="s">
        <v>547</v>
      </c>
      <c r="AZ5" s="2" t="s">
        <v>547</v>
      </c>
    </row>
    <row r="6" spans="1:52" ht="11.25">
      <c r="A6" t="str">
        <f>HYPERLINK("http://exon.niaid.nih.gov/transcriptome/O_fasciatus/Sup_tab1/links/of-new\of-new-contig_14.txt","of-new-contig_14")</f>
        <v>of-new-contig_14</v>
      </c>
      <c r="B6" t="str">
        <f>HYPERLINK("http://exon.niaid.nih.gov/transcriptome/O_fasciatus/Sup_tab1/links/of-new\of-new-5-64-64-asb-14.txt","Contig-14")</f>
        <v>Contig-14</v>
      </c>
      <c r="C6" t="str">
        <f>HYPERLINK("http://exon.niaid.nih.gov/transcriptome/O_fasciatus/Sup_tab1/links/of-new\of-new-5-64-64-14-CLU.txt","Contig14")</f>
        <v>Contig14</v>
      </c>
      <c r="D6">
        <v>27</v>
      </c>
      <c r="E6">
        <v>1367</v>
      </c>
      <c r="F6" t="str">
        <f>HYPERLINK("http://exon.niaid.nih.gov/transcriptome/O_fasciatus/Sup_tab1/links/of-new\of-new-5-64-64-14-qual.txt","85.1")</f>
        <v>85.1</v>
      </c>
      <c r="G6" t="s">
        <v>541</v>
      </c>
      <c r="H6">
        <v>52.8</v>
      </c>
      <c r="I6">
        <v>1237</v>
      </c>
      <c r="J6">
        <v>14</v>
      </c>
      <c r="K6" t="s">
        <v>556</v>
      </c>
      <c r="L6">
        <v>1194</v>
      </c>
      <c r="M6" s="3" t="str">
        <f>HYPERLINK("http://exon.niaid.nih.gov/transcriptome/O_fasciatus/Sup_tab1/links/NR\of-new-contig_14-NR.txt","cell wall surface anchor family protein [Streptococcus pneumoniae TIGR4]")</f>
        <v>cell wall surface anchor family protein [Streptococcus pneumoniae TIGR4]</v>
      </c>
      <c r="N6" s="2" t="str">
        <f>HYPERLINK("http://www.ncbi.nlm.nih.gov/sutils/blink.cgi?pid=15901602","1E-016")</f>
        <v>1E-016</v>
      </c>
      <c r="O6" t="s">
        <v>852</v>
      </c>
      <c r="P6">
        <v>343</v>
      </c>
      <c r="Q6">
        <v>4776</v>
      </c>
      <c r="R6">
        <v>23</v>
      </c>
      <c r="S6">
        <v>7</v>
      </c>
      <c r="T6">
        <v>0</v>
      </c>
      <c r="U6">
        <v>0</v>
      </c>
      <c r="V6">
        <v>83</v>
      </c>
      <c r="W6" t="s">
        <v>1412</v>
      </c>
      <c r="X6" t="s">
        <v>853</v>
      </c>
      <c r="Y6" t="s">
        <v>854</v>
      </c>
      <c r="Z6" s="4" t="s">
        <v>60</v>
      </c>
      <c r="AA6" t="s">
        <v>1016</v>
      </c>
      <c r="AB6" s="3" t="s">
        <v>855</v>
      </c>
      <c r="AC6" s="2">
        <f>HYPERLINK("http://exon.niaid.nih.gov/transcriptome/O_fasciatus/Sup_tab1/links/GO\of-new-contig_14-GO.txt",0.00000000007)</f>
        <v>0</v>
      </c>
      <c r="AD6" s="4" t="s">
        <v>856</v>
      </c>
      <c r="AE6" t="s">
        <v>857</v>
      </c>
      <c r="AF6">
        <v>1E-09</v>
      </c>
      <c r="AG6" s="4" t="s">
        <v>1621</v>
      </c>
      <c r="AH6" t="s">
        <v>1622</v>
      </c>
      <c r="AI6">
        <v>1E-09</v>
      </c>
      <c r="AJ6" s="4" t="s">
        <v>1623</v>
      </c>
      <c r="AK6" t="s">
        <v>1624</v>
      </c>
      <c r="AL6">
        <v>1E-09</v>
      </c>
      <c r="AM6" s="3" t="str">
        <f>HYPERLINK("http://exon.niaid.nih.gov/transcriptome/O_fasciatus/Sup_tab1/links/KOG\of-new-contig_14-KOG.txt","RNA-binding protein Fusilli, contains RRM domain")</f>
        <v>RNA-binding protein Fusilli, contains RRM domain</v>
      </c>
      <c r="AN6" s="2" t="str">
        <f>HYPERLINK("http://www.ncbi.nlm.nih.gov/COG/new/shokog.cgi?KOG1365","1E-006")</f>
        <v>1E-006</v>
      </c>
      <c r="AO6" t="s">
        <v>1625</v>
      </c>
      <c r="AP6" s="3" t="str">
        <f>HYPERLINK("http://exon.niaid.nih.gov/transcriptome/O_fasciatus/Sup_tab1/links/CDD\of-new-contig_14-CDD.txt","Duffy_binding")</f>
        <v>Duffy_binding</v>
      </c>
      <c r="AQ6" s="2" t="str">
        <f>HYPERLINK("http://www.ncbi.nlm.nih.gov/Structure/cdd/cddsrv.cgi?uid=pfam05424&amp;version=v4.0","4E-007")</f>
        <v>4E-007</v>
      </c>
      <c r="AR6" t="s">
        <v>1626</v>
      </c>
      <c r="AS6" s="3" t="str">
        <f>HYPERLINK("http://exon.niaid.nih.gov/transcriptome/O_fasciatus/Sup_tab1/links/PFAM\of-new-contig_14-PFAM.txt","Duffy_binding")</f>
        <v>Duffy_binding</v>
      </c>
      <c r="AT6" s="2" t="str">
        <f>HYPERLINK("http://pfam.wustl.edu/cgi-bin/getdesc?acc=PF05424","2E-007")</f>
        <v>2E-007</v>
      </c>
      <c r="AU6" s="3" t="str">
        <f>HYPERLINK("http://exon.niaid.nih.gov/transcriptome/O_fasciatus/Sup_tab1/links/SMART\of-new-contig_14-SMART.txt","MA")</f>
        <v>MA</v>
      </c>
      <c r="AV6" s="2" t="str">
        <f>HYPERLINK("http://smart.embl-heidelberg.de/smart/do_annotation.pl?DOMAIN=MA&amp;BLAST=DUMMY","0.055")</f>
        <v>0.055</v>
      </c>
      <c r="AW6" s="3" t="s">
        <v>547</v>
      </c>
      <c r="AX6" s="2" t="s">
        <v>547</v>
      </c>
      <c r="AY6" s="3" t="s">
        <v>547</v>
      </c>
      <c r="AZ6" s="2" t="s">
        <v>547</v>
      </c>
    </row>
    <row r="7" spans="1:52" ht="11.25">
      <c r="A7" t="str">
        <f>HYPERLINK("http://exon.niaid.nih.gov/transcriptome/O_fasciatus/Sup_tab1/links/of-new\of-new-contig_20.txt","of-new-contig_20")</f>
        <v>of-new-contig_20</v>
      </c>
      <c r="B7" t="str">
        <f>HYPERLINK("http://exon.niaid.nih.gov/transcriptome/O_fasciatus/Sup_tab1/links/of-new\of-new-5-64-64-asb-20.txt","Contig-20")</f>
        <v>Contig-20</v>
      </c>
      <c r="C7" t="str">
        <f>HYPERLINK("http://exon.niaid.nih.gov/transcriptome/O_fasciatus/Sup_tab1/links/of-new\of-new-5-64-64-20-CLU.txt","Contig20")</f>
        <v>Contig20</v>
      </c>
      <c r="D7">
        <v>13</v>
      </c>
      <c r="E7">
        <v>585</v>
      </c>
      <c r="F7" t="str">
        <f>HYPERLINK("http://exon.niaid.nih.gov/transcriptome/O_fasciatus/Sup_tab1/links/of-new\of-new-5-64-64-20-qual.txt","80.8")</f>
        <v>80.8</v>
      </c>
      <c r="G7" t="s">
        <v>541</v>
      </c>
      <c r="H7">
        <v>48.2</v>
      </c>
      <c r="I7">
        <v>469</v>
      </c>
      <c r="J7">
        <v>20</v>
      </c>
      <c r="K7" t="s">
        <v>562</v>
      </c>
      <c r="L7">
        <v>463</v>
      </c>
      <c r="M7" s="3" t="str">
        <f>HYPERLINK("http://exon.niaid.nih.gov/transcriptome/O_fasciatus/Sup_tab1/links/NR\of-new-contig_20-NR.txt","PREDICTED: similar to p63(47) transcription factor [Strongylocentrotus")</f>
        <v>PREDICTED: similar to p63(47) transcription factor [Strongylocentrotus</v>
      </c>
      <c r="N7" s="2" t="str">
        <f>HYPERLINK("http://www.ncbi.nlm.nih.gov/sutils/blink.cgi?pid=115898454","0.010")</f>
        <v>0.010</v>
      </c>
      <c r="O7" t="s">
        <v>1661</v>
      </c>
      <c r="P7">
        <v>46</v>
      </c>
      <c r="Q7">
        <v>665</v>
      </c>
      <c r="R7">
        <v>45</v>
      </c>
      <c r="S7">
        <v>7</v>
      </c>
      <c r="T7">
        <v>81</v>
      </c>
      <c r="U7">
        <v>248</v>
      </c>
      <c r="V7">
        <v>1</v>
      </c>
      <c r="W7" t="s">
        <v>1412</v>
      </c>
      <c r="X7" t="s">
        <v>1662</v>
      </c>
      <c r="Y7" t="s">
        <v>1663</v>
      </c>
      <c r="Z7" s="4" t="s">
        <v>1023</v>
      </c>
      <c r="AA7" t="s">
        <v>1024</v>
      </c>
      <c r="AB7" s="3" t="s">
        <v>1664</v>
      </c>
      <c r="AC7" s="2">
        <f>HYPERLINK("http://exon.niaid.nih.gov/transcriptome/O_fasciatus/Sup_tab1/links/GO\of-new-contig_20-GO.txt",0.001)</f>
        <v>0</v>
      </c>
      <c r="AD7" s="4" t="s">
        <v>547</v>
      </c>
      <c r="AE7" t="s">
        <v>547</v>
      </c>
      <c r="AF7" t="s">
        <v>547</v>
      </c>
      <c r="AG7" s="4" t="s">
        <v>839</v>
      </c>
      <c r="AH7" t="s">
        <v>840</v>
      </c>
      <c r="AI7">
        <v>0.08</v>
      </c>
      <c r="AJ7" s="4" t="s">
        <v>841</v>
      </c>
      <c r="AK7" t="s">
        <v>842</v>
      </c>
      <c r="AL7">
        <v>0.08</v>
      </c>
      <c r="AM7" s="3" t="str">
        <f>HYPERLINK("http://exon.niaid.nih.gov/transcriptome/O_fasciatus/Sup_tab1/links/KOG\of-new-contig_20-KOG.txt","WASP-interacting protein VRP1/WIP, contains WH2 domain")</f>
        <v>WASP-interacting protein VRP1/WIP, contains WH2 domain</v>
      </c>
      <c r="AN7" s="2" t="str">
        <f>HYPERLINK("http://www.ncbi.nlm.nih.gov/COG/new/shokog.cgi?KOG4462","0.009")</f>
        <v>0.009</v>
      </c>
      <c r="AO7" t="s">
        <v>1665</v>
      </c>
      <c r="AP7" s="3" t="str">
        <f>HYPERLINK("http://exon.niaid.nih.gov/transcriptome/O_fasciatus/Sup_tab1/links/CDD\of-new-contig_20-CDD.txt","DEC-1_N")</f>
        <v>DEC-1_N</v>
      </c>
      <c r="AQ7" s="2" t="str">
        <f>HYPERLINK("http://www.ncbi.nlm.nih.gov/Structure/cdd/cddsrv.cgi?uid=pfam04625&amp;version=v4.0","0.013")</f>
        <v>0.013</v>
      </c>
      <c r="AR7" t="s">
        <v>1666</v>
      </c>
      <c r="AS7" s="3" t="str">
        <f>HYPERLINK("http://exon.niaid.nih.gov/transcriptome/O_fasciatus/Sup_tab1/links/PFAM\of-new-contig_20-PFAM.txt","DEC-1_N")</f>
        <v>DEC-1_N</v>
      </c>
      <c r="AT7" s="2" t="str">
        <f>HYPERLINK("http://pfam.wustl.edu/cgi-bin/getdesc?acc=PF04625","0.007")</f>
        <v>0.007</v>
      </c>
      <c r="AU7" s="3" t="str">
        <f>HYPERLINK("http://exon.niaid.nih.gov/transcriptome/O_fasciatus/Sup_tab1/links/SMART\of-new-contig_20-SMART.txt","DM6")</f>
        <v>DM6</v>
      </c>
      <c r="AV7" s="2" t="str">
        <f>HYPERLINK("http://smart.embl-heidelberg.de/smart/do_annotation.pl?DOMAIN=DM6&amp;BLAST=DUMMY","0.36")</f>
        <v>0.36</v>
      </c>
      <c r="AW7" s="3" t="s">
        <v>547</v>
      </c>
      <c r="AX7" s="2" t="s">
        <v>547</v>
      </c>
      <c r="AY7" s="3" t="s">
        <v>547</v>
      </c>
      <c r="AZ7" s="2" t="s">
        <v>547</v>
      </c>
    </row>
    <row r="8" spans="1:52" ht="11.25">
      <c r="A8" t="str">
        <f>HYPERLINK("http://exon.niaid.nih.gov/transcriptome/O_fasciatus/Sup_tab1/links/of-new\of-new-contig_21.txt","of-new-contig_21")</f>
        <v>of-new-contig_21</v>
      </c>
      <c r="B8" t="str">
        <f>HYPERLINK("http://exon.niaid.nih.gov/transcriptome/O_fasciatus/Sup_tab1/links/of-new\of-new-5-64-64-asb-21.txt","Contig-21")</f>
        <v>Contig-21</v>
      </c>
      <c r="C8" t="str">
        <f>HYPERLINK("http://exon.niaid.nih.gov/transcriptome/O_fasciatus/Sup_tab1/links/of-new\of-new-5-64-64-21-CLU.txt","Contig21")</f>
        <v>Contig21</v>
      </c>
      <c r="D8">
        <v>10</v>
      </c>
      <c r="E8">
        <v>508</v>
      </c>
      <c r="F8" t="str">
        <f>HYPERLINK("http://exon.niaid.nih.gov/transcriptome/O_fasciatus/Sup_tab1/links/of-new\of-new-5-64-64-21-qual.txt","93.")</f>
        <v>93.</v>
      </c>
      <c r="G8" t="s">
        <v>541</v>
      </c>
      <c r="H8">
        <v>50</v>
      </c>
      <c r="I8">
        <v>472</v>
      </c>
      <c r="J8">
        <v>21</v>
      </c>
      <c r="K8" t="s">
        <v>563</v>
      </c>
      <c r="L8">
        <v>473</v>
      </c>
      <c r="M8" s="3" t="str">
        <f>HYPERLINK("http://exon.niaid.nih.gov/transcriptome/O_fasciatus/Sup_tab1/links/NR\of-new-contig_21-NR.txt","predicted protein")</f>
        <v>predicted protein</v>
      </c>
      <c r="N8" s="2" t="str">
        <f>HYPERLINK("http://www.ncbi.nlm.nih.gov/sutils/blink.cgi?pid=111058092","2E-004")</f>
        <v>2E-004</v>
      </c>
      <c r="O8" t="s">
        <v>1667</v>
      </c>
      <c r="P8">
        <v>52</v>
      </c>
      <c r="Q8">
        <v>979</v>
      </c>
      <c r="R8">
        <v>48</v>
      </c>
      <c r="S8">
        <v>5</v>
      </c>
      <c r="T8">
        <v>325</v>
      </c>
      <c r="U8">
        <v>220</v>
      </c>
      <c r="V8">
        <v>11</v>
      </c>
      <c r="W8" t="s">
        <v>1412</v>
      </c>
      <c r="X8" t="s">
        <v>1668</v>
      </c>
      <c r="Y8" t="s">
        <v>993</v>
      </c>
      <c r="Z8" s="4" t="s">
        <v>1023</v>
      </c>
      <c r="AA8" t="s">
        <v>1024</v>
      </c>
      <c r="AB8" s="3" t="s">
        <v>1664</v>
      </c>
      <c r="AC8" s="2">
        <f>HYPERLINK("http://exon.niaid.nih.gov/transcriptome/O_fasciatus/Sup_tab1/links/GO\of-new-contig_21-GO.txt",0.000009)</f>
        <v>0</v>
      </c>
      <c r="AD8" s="4" t="s">
        <v>994</v>
      </c>
      <c r="AE8" t="s">
        <v>995</v>
      </c>
      <c r="AF8">
        <v>0.035</v>
      </c>
      <c r="AG8" s="4" t="s">
        <v>1648</v>
      </c>
      <c r="AH8" t="s">
        <v>1649</v>
      </c>
      <c r="AI8">
        <v>0.035</v>
      </c>
      <c r="AJ8" s="4" t="s">
        <v>996</v>
      </c>
      <c r="AK8" t="s">
        <v>997</v>
      </c>
      <c r="AL8">
        <v>0.035</v>
      </c>
      <c r="AM8" s="3" t="str">
        <f>HYPERLINK("http://exon.niaid.nih.gov/transcriptome/O_fasciatus/Sup_tab1/links/KOG\of-new-contig_21-KOG.txt","WASP-interacting protein VRP1/WIP, contains WH2 domain")</f>
        <v>WASP-interacting protein VRP1/WIP, contains WH2 domain</v>
      </c>
      <c r="AN8" s="2" t="str">
        <f>HYPERLINK("http://www.ncbi.nlm.nih.gov/COG/new/shokog.cgi?KOG4462","0.005")</f>
        <v>0.005</v>
      </c>
      <c r="AO8" t="s">
        <v>1665</v>
      </c>
      <c r="AP8" s="3" t="str">
        <f>HYPERLINK("http://exon.niaid.nih.gov/transcriptome/O_fasciatus/Sup_tab1/links/CDD\of-new-contig_21-CDD.txt","DEC-1_N")</f>
        <v>DEC-1_N</v>
      </c>
      <c r="AQ8" s="2" t="str">
        <f>HYPERLINK("http://www.ncbi.nlm.nih.gov/Structure/cdd/cddsrv.cgi?uid=pfam04625&amp;version=v4.0","0.023")</f>
        <v>0.023</v>
      </c>
      <c r="AR8" t="s">
        <v>998</v>
      </c>
      <c r="AS8" s="3" t="str">
        <f>HYPERLINK("http://exon.niaid.nih.gov/transcriptome/O_fasciatus/Sup_tab1/links/PFAM\of-new-contig_21-PFAM.txt","DEC-1_N")</f>
        <v>DEC-1_N</v>
      </c>
      <c r="AT8" s="2" t="str">
        <f>HYPERLINK("http://pfam.wustl.edu/cgi-bin/getdesc?acc=PF04625","0.012")</f>
        <v>0.012</v>
      </c>
      <c r="AU8" s="3" t="str">
        <f>HYPERLINK("http://exon.niaid.nih.gov/transcriptome/O_fasciatus/Sup_tab1/links/SMART\of-new-contig_21-SMART.txt","Galanin")</f>
        <v>Galanin</v>
      </c>
      <c r="AV8" s="2" t="str">
        <f>HYPERLINK("http://smart.embl-heidelberg.de/smart/do_annotation.pl?DOMAIN=Galanin&amp;BLAST=DUMMY","0.20")</f>
        <v>0.20</v>
      </c>
      <c r="AW8" s="3" t="s">
        <v>547</v>
      </c>
      <c r="AX8" s="2" t="s">
        <v>547</v>
      </c>
      <c r="AY8" s="3" t="s">
        <v>547</v>
      </c>
      <c r="AZ8" s="2" t="s">
        <v>547</v>
      </c>
    </row>
    <row r="9" spans="1:52" ht="11.25">
      <c r="A9" t="str">
        <f>HYPERLINK("http://exon.niaid.nih.gov/transcriptome/O_fasciatus/Sup_tab1/links/of-new\of-new-contig_35.txt","of-new-contig_35")</f>
        <v>of-new-contig_35</v>
      </c>
      <c r="B9" t="str">
        <f>HYPERLINK("http://exon.niaid.nih.gov/transcriptome/O_fasciatus/Sup_tab1/links/of-new\of-new-5-64-64-asb-35.txt","Contig-35")</f>
        <v>Contig-35</v>
      </c>
      <c r="C9" t="str">
        <f>HYPERLINK("http://exon.niaid.nih.gov/transcriptome/O_fasciatus/Sup_tab1/links/of-new\of-new-5-64-64-35-CLU.txt","Contig35")</f>
        <v>Contig35</v>
      </c>
      <c r="D9">
        <v>8</v>
      </c>
      <c r="E9">
        <v>411</v>
      </c>
      <c r="F9" t="str">
        <f>HYPERLINK("http://exon.niaid.nih.gov/transcriptome/O_fasciatus/Sup_tab1/links/of-new\of-new-5-64-64-35-qual.txt","86.1")</f>
        <v>86.1</v>
      </c>
      <c r="G9" t="s">
        <v>541</v>
      </c>
      <c r="H9">
        <v>58.9</v>
      </c>
      <c r="I9">
        <v>369</v>
      </c>
      <c r="J9">
        <v>35</v>
      </c>
      <c r="K9" t="s">
        <v>576</v>
      </c>
      <c r="L9">
        <v>369</v>
      </c>
      <c r="M9" s="3" t="str">
        <f>HYPERLINK("http://exon.niaid.nih.gov/transcriptome/O_fasciatus/Sup_tab1/links/NR\of-new-contig_35-NR.txt","hypothetical protein DDBDRAFT_0183884 [Dictyostelium discoideum AX4]")</f>
        <v>hypothetical protein DDBDRAFT_0183884 [Dictyostelium discoideum AX4]</v>
      </c>
      <c r="N9" s="2" t="str">
        <f>HYPERLINK("http://www.ncbi.nlm.nih.gov/sutils/blink.cgi?pid=66802658","0.044")</f>
        <v>0.044</v>
      </c>
      <c r="O9" t="s">
        <v>1679</v>
      </c>
      <c r="P9">
        <v>54</v>
      </c>
      <c r="Q9">
        <v>902</v>
      </c>
      <c r="R9">
        <v>46</v>
      </c>
      <c r="S9">
        <v>6</v>
      </c>
      <c r="T9">
        <v>93</v>
      </c>
      <c r="U9">
        <v>187</v>
      </c>
      <c r="V9">
        <v>1</v>
      </c>
      <c r="W9" t="s">
        <v>1412</v>
      </c>
      <c r="X9" t="s">
        <v>295</v>
      </c>
      <c r="Y9" t="s">
        <v>1680</v>
      </c>
      <c r="Z9" s="4" t="s">
        <v>1035</v>
      </c>
      <c r="AA9" t="s">
        <v>1036</v>
      </c>
      <c r="AB9" s="3" t="s">
        <v>1681</v>
      </c>
      <c r="AC9" s="2">
        <f>HYPERLINK("http://exon.niaid.nih.gov/transcriptome/O_fasciatus/Sup_tab1/links/GO\of-new-contig_35-GO.txt",0.012)</f>
        <v>0</v>
      </c>
      <c r="AD9" s="4" t="s">
        <v>1682</v>
      </c>
      <c r="AE9" t="s">
        <v>1683</v>
      </c>
      <c r="AF9">
        <v>0.047</v>
      </c>
      <c r="AG9" s="4" t="s">
        <v>1684</v>
      </c>
      <c r="AH9" t="s">
        <v>1685</v>
      </c>
      <c r="AI9">
        <v>0.047</v>
      </c>
      <c r="AJ9" s="4" t="s">
        <v>1686</v>
      </c>
      <c r="AK9" t="s">
        <v>1687</v>
      </c>
      <c r="AL9">
        <v>0.047</v>
      </c>
      <c r="AM9" s="3" t="str">
        <f>HYPERLINK("http://exon.niaid.nih.gov/transcriptome/O_fasciatus/Sup_tab1/links/KOG\of-new-contig_35-KOG.txt","Amino acid transporter protein")</f>
        <v>Amino acid transporter protein</v>
      </c>
      <c r="AN9" s="2" t="str">
        <f>HYPERLINK("http://www.ncbi.nlm.nih.gov/COG/new/shokog.cgi?KOG1305","0.22")</f>
        <v>0.22</v>
      </c>
      <c r="AO9" t="s">
        <v>1688</v>
      </c>
      <c r="AP9" s="3" t="str">
        <f>HYPERLINK("http://exon.niaid.nih.gov/transcriptome/O_fasciatus/Sup_tab1/links/CDD\of-new-contig_35-CDD.txt","Prominin")</f>
        <v>Prominin</v>
      </c>
      <c r="AQ9" s="2" t="str">
        <f>HYPERLINK("http://www.ncbi.nlm.nih.gov/Structure/cdd/cddsrv.cgi?uid=pfam05478&amp;version=v4.0","0.010")</f>
        <v>0.010</v>
      </c>
      <c r="AR9" t="s">
        <v>1689</v>
      </c>
      <c r="AS9" s="3" t="str">
        <f>HYPERLINK("http://exon.niaid.nih.gov/transcriptome/O_fasciatus/Sup_tab1/links/PFAM\of-new-contig_35-PFAM.txt","Baculo_11_kDa")</f>
        <v>Baculo_11_kDa</v>
      </c>
      <c r="AT9" s="2" t="str">
        <f>HYPERLINK("http://pfam.wustl.edu/cgi-bin/getdesc?acc=PF06143","0.005")</f>
        <v>0.005</v>
      </c>
      <c r="AU9" s="3" t="str">
        <f>HYPERLINK("http://exon.niaid.nih.gov/transcriptome/O_fasciatus/Sup_tab1/links/SMART\of-new-contig_35-SMART.txt","Glyco_32")</f>
        <v>Glyco_32</v>
      </c>
      <c r="AV9" s="2" t="str">
        <f>HYPERLINK("http://smart.embl-heidelberg.de/smart/do_annotation.pl?DOMAIN=Glyco_32&amp;BLAST=DUMMY","0.059")</f>
        <v>0.059</v>
      </c>
      <c r="AW9" s="3" t="s">
        <v>547</v>
      </c>
      <c r="AX9" s="2" t="s">
        <v>547</v>
      </c>
      <c r="AY9" s="3" t="s">
        <v>547</v>
      </c>
      <c r="AZ9" s="2" t="s">
        <v>547</v>
      </c>
    </row>
    <row r="10" spans="1:52" ht="11.25">
      <c r="A10" t="str">
        <f>HYPERLINK("http://exon.niaid.nih.gov/transcriptome/O_fasciatus/Sup_tab1/links/of-new\of-new-contig_34.txt","of-new-contig_34")</f>
        <v>of-new-contig_34</v>
      </c>
      <c r="B10" t="str">
        <f>HYPERLINK("http://exon.niaid.nih.gov/transcriptome/O_fasciatus/Sup_tab1/links/of-new\of-new-5-64-64-asb-34.txt","Contig-34")</f>
        <v>Contig-34</v>
      </c>
      <c r="C10" t="str">
        <f>HYPERLINK("http://exon.niaid.nih.gov/transcriptome/O_fasciatus/Sup_tab1/links/of-new\of-new-5-64-64-34-CLU.txt","Contig34")</f>
        <v>Contig34</v>
      </c>
      <c r="D10">
        <v>8</v>
      </c>
      <c r="E10">
        <v>588</v>
      </c>
      <c r="F10" t="str">
        <f>HYPERLINK("http://exon.niaid.nih.gov/transcriptome/O_fasciatus/Sup_tab1/links/of-new\of-new-5-64-64-34-qual.txt","84.3")</f>
        <v>84.3</v>
      </c>
      <c r="G10" t="s">
        <v>541</v>
      </c>
      <c r="H10">
        <v>53.7</v>
      </c>
      <c r="I10">
        <v>569</v>
      </c>
      <c r="J10">
        <v>34</v>
      </c>
      <c r="K10" t="s">
        <v>575</v>
      </c>
      <c r="L10">
        <v>571</v>
      </c>
      <c r="M10" s="3" t="str">
        <f>HYPERLINK("http://exon.niaid.nih.gov/transcriptome/O_fasciatus/Sup_tab1/links/NR\of-new-contig_34-NR.txt","MGC69562 protein [Xenopus tropicalis]")</f>
        <v>MGC69562 protein [Xenopus tropicalis]</v>
      </c>
      <c r="N10" s="2" t="str">
        <f>HYPERLINK("http://www.ncbi.nlm.nih.gov/sutils/blink.cgi?pid=52345468","2E-007")</f>
        <v>2E-007</v>
      </c>
      <c r="O10" t="s">
        <v>890</v>
      </c>
      <c r="P10">
        <v>61</v>
      </c>
      <c r="Q10">
        <v>412</v>
      </c>
      <c r="R10">
        <v>44</v>
      </c>
      <c r="S10">
        <v>15</v>
      </c>
      <c r="T10">
        <v>250</v>
      </c>
      <c r="U10">
        <v>224</v>
      </c>
      <c r="V10">
        <v>7</v>
      </c>
      <c r="W10" t="s">
        <v>1412</v>
      </c>
      <c r="X10" t="s">
        <v>891</v>
      </c>
      <c r="Y10" t="s">
        <v>1669</v>
      </c>
      <c r="Z10" s="4" t="s">
        <v>1033</v>
      </c>
      <c r="AA10" t="s">
        <v>1034</v>
      </c>
      <c r="AB10" s="3" t="s">
        <v>1670</v>
      </c>
      <c r="AC10" s="2">
        <f>HYPERLINK("http://exon.niaid.nih.gov/transcriptome/O_fasciatus/Sup_tab1/links/GO\of-new-contig_34-GO.txt",0.0000003)</f>
        <v>0</v>
      </c>
      <c r="AD10" s="4" t="s">
        <v>1671</v>
      </c>
      <c r="AE10" t="s">
        <v>1672</v>
      </c>
      <c r="AF10">
        <v>3E-06</v>
      </c>
      <c r="AG10" s="4" t="s">
        <v>1673</v>
      </c>
      <c r="AH10" t="s">
        <v>1674</v>
      </c>
      <c r="AI10">
        <v>3E-06</v>
      </c>
      <c r="AJ10" s="4" t="s">
        <v>1675</v>
      </c>
      <c r="AK10" t="s">
        <v>1676</v>
      </c>
      <c r="AL10">
        <v>3E-06</v>
      </c>
      <c r="AM10" s="3" t="str">
        <f>HYPERLINK("http://exon.niaid.nih.gov/transcriptome/O_fasciatus/Sup_tab1/links/KOG\of-new-contig_34-KOG.txt","Fibrillarin and related nucleolar RNA-binding proteins")</f>
        <v>Fibrillarin and related nucleolar RNA-binding proteins</v>
      </c>
      <c r="AN10" s="2" t="str">
        <f>HYPERLINK("http://www.ncbi.nlm.nih.gov/COG/new/shokog.cgi?KOG1596","2E-006")</f>
        <v>2E-006</v>
      </c>
      <c r="AO10" t="s">
        <v>1677</v>
      </c>
      <c r="AP10" s="3" t="str">
        <f>HYPERLINK("http://exon.niaid.nih.gov/transcriptome/O_fasciatus/Sup_tab1/links/CDD\of-new-contig_34-CDD.txt","Drf_FH1")</f>
        <v>Drf_FH1</v>
      </c>
      <c r="AQ10" s="2" t="str">
        <f>HYPERLINK("http://www.ncbi.nlm.nih.gov/Structure/cdd/cddsrv.cgi?uid=pfam06346&amp;version=v4.0","8E-005")</f>
        <v>8E-005</v>
      </c>
      <c r="AR10" t="s">
        <v>1678</v>
      </c>
      <c r="AS10" s="3" t="str">
        <f>HYPERLINK("http://exon.niaid.nih.gov/transcriptome/O_fasciatus/Sup_tab1/links/PFAM\of-new-contig_34-PFAM.txt","Drf_FH1")</f>
        <v>Drf_FH1</v>
      </c>
      <c r="AT10" s="2" t="str">
        <f>HYPERLINK("http://pfam.wustl.edu/cgi-bin/getdesc?acc=PF06346","4E-005")</f>
        <v>4E-005</v>
      </c>
      <c r="AU10" s="3" t="str">
        <f>HYPERLINK("http://exon.niaid.nih.gov/transcriptome/O_fasciatus/Sup_tab1/links/SMART\of-new-contig_34-SMART.txt","Int_alpha")</f>
        <v>Int_alpha</v>
      </c>
      <c r="AV10" s="2" t="str">
        <f>HYPERLINK("http://smart.embl-heidelberg.de/smart/do_annotation.pl?DOMAIN=Int_alpha&amp;BLAST=DUMMY","0.27")</f>
        <v>0.27</v>
      </c>
      <c r="AW10" s="3" t="s">
        <v>547</v>
      </c>
      <c r="AX10" s="2" t="s">
        <v>547</v>
      </c>
      <c r="AY10" s="3" t="s">
        <v>547</v>
      </c>
      <c r="AZ10" s="2" t="s">
        <v>547</v>
      </c>
    </row>
    <row r="11" spans="1:52" ht="11.25">
      <c r="A11" t="str">
        <f>HYPERLINK("http://exon.niaid.nih.gov/transcriptome/O_fasciatus/Sup_tab1/links/of-new\of-new-contig_30.txt","of-new-contig_30")</f>
        <v>of-new-contig_30</v>
      </c>
      <c r="B11" t="str">
        <f>HYPERLINK("http://exon.niaid.nih.gov/transcriptome/O_fasciatus/Sup_tab1/links/of-new\of-new-5-64-64-asb-30.txt","Contig-30")</f>
        <v>Contig-30</v>
      </c>
      <c r="C11" t="str">
        <f>HYPERLINK("http://exon.niaid.nih.gov/transcriptome/O_fasciatus/Sup_tab1/links/of-new\of-new-5-64-64-30-CLU.txt","Contig30")</f>
        <v>Contig30</v>
      </c>
      <c r="D11">
        <v>7</v>
      </c>
      <c r="E11">
        <v>463</v>
      </c>
      <c r="F11" t="str">
        <f>HYPERLINK("http://exon.niaid.nih.gov/transcriptome/O_fasciatus/Sup_tab1/links/of-new\of-new-5-64-64-30-qual.txt","92.1")</f>
        <v>92.1</v>
      </c>
      <c r="G11" t="s">
        <v>541</v>
      </c>
      <c r="H11">
        <v>60.5</v>
      </c>
      <c r="I11">
        <v>442</v>
      </c>
      <c r="J11">
        <v>30</v>
      </c>
      <c r="K11" t="s">
        <v>557</v>
      </c>
      <c r="L11">
        <v>445</v>
      </c>
      <c r="M11" s="3" t="str">
        <f>HYPERLINK("http://exon.niaid.nih.gov/transcriptome/O_fasciatus/Sup_tab1/links/NR\of-new-contig_30-NR.txt","PREDICTED: hypothetical protein [Rattus norvegicus]")</f>
        <v>PREDICTED: hypothetical protein [Rattus norvegicus]</v>
      </c>
      <c r="N11" s="2" t="str">
        <f>HYPERLINK("http://www.ncbi.nlm.nih.gov/sutils/blink.cgi?pid=109493062","1E-015")</f>
        <v>1E-015</v>
      </c>
      <c r="O11" t="s">
        <v>870</v>
      </c>
      <c r="P11">
        <v>74</v>
      </c>
      <c r="Q11">
        <v>136</v>
      </c>
      <c r="R11">
        <v>52</v>
      </c>
      <c r="S11">
        <v>54</v>
      </c>
      <c r="T11">
        <v>2</v>
      </c>
      <c r="U11">
        <v>2</v>
      </c>
      <c r="V11">
        <v>5</v>
      </c>
      <c r="W11" t="s">
        <v>1412</v>
      </c>
      <c r="X11" t="s">
        <v>1413</v>
      </c>
      <c r="Y11" t="s">
        <v>871</v>
      </c>
      <c r="Z11" s="4" t="s">
        <v>1014</v>
      </c>
      <c r="AA11" t="s">
        <v>1030</v>
      </c>
      <c r="AB11" s="3" t="s">
        <v>872</v>
      </c>
      <c r="AC11" s="2">
        <f>HYPERLINK("http://exon.niaid.nih.gov/transcriptome/O_fasciatus/Sup_tab1/links/GO\of-new-contig_30-GO.txt",0.0000000000000008)</f>
        <v>0</v>
      </c>
      <c r="AD11" s="4" t="s">
        <v>547</v>
      </c>
      <c r="AE11" t="s">
        <v>547</v>
      </c>
      <c r="AF11" t="s">
        <v>547</v>
      </c>
      <c r="AG11" s="4" t="s">
        <v>1428</v>
      </c>
      <c r="AH11" t="s">
        <v>1429</v>
      </c>
      <c r="AI11">
        <v>7E-14</v>
      </c>
      <c r="AJ11" s="4" t="s">
        <v>547</v>
      </c>
      <c r="AK11" t="s">
        <v>547</v>
      </c>
      <c r="AL11" t="s">
        <v>547</v>
      </c>
      <c r="AM11" s="3" t="str">
        <f>HYPERLINK("http://exon.niaid.nih.gov/transcriptome/O_fasciatus/Sup_tab1/links/KOG\of-new-contig_30-KOG.txt","RhoA GTPase effector DIA/Diaphanous")</f>
        <v>RhoA GTPase effector DIA/Diaphanous</v>
      </c>
      <c r="AN11" s="2" t="str">
        <f>HYPERLINK("http://www.ncbi.nlm.nih.gov/COG/new/shokog.cgi?KOG1924","2E-014")</f>
        <v>2E-014</v>
      </c>
      <c r="AO11" t="s">
        <v>836</v>
      </c>
      <c r="AP11" s="3" t="str">
        <f>HYPERLINK("http://exon.niaid.nih.gov/transcriptome/O_fasciatus/Sup_tab1/links/CDD\of-new-contig_30-CDD.txt","Drf_FH1")</f>
        <v>Drf_FH1</v>
      </c>
      <c r="AQ11" s="2" t="str">
        <f>HYPERLINK("http://www.ncbi.nlm.nih.gov/Structure/cdd/cddsrv.cgi?uid=pfam06346&amp;version=v4.0","2E-010")</f>
        <v>2E-010</v>
      </c>
      <c r="AR11" t="s">
        <v>873</v>
      </c>
      <c r="AS11" s="3" t="str">
        <f>HYPERLINK("http://exon.niaid.nih.gov/transcriptome/O_fasciatus/Sup_tab1/links/PFAM\of-new-contig_30-PFAM.txt","Drf_FH1")</f>
        <v>Drf_FH1</v>
      </c>
      <c r="AT11" s="2" t="str">
        <f>HYPERLINK("http://pfam.wustl.edu/cgi-bin/getdesc?acc=PF06346","8E-011")</f>
        <v>8E-011</v>
      </c>
      <c r="AU11" s="3" t="str">
        <f>HYPERLINK("http://exon.niaid.nih.gov/transcriptome/O_fasciatus/Sup_tab1/links/SMART\of-new-contig_30-SMART.txt","PRP")</f>
        <v>PRP</v>
      </c>
      <c r="AV11" s="2" t="str">
        <f>HYPERLINK("http://smart.embl-heidelberg.de/smart/do_annotation.pl?DOMAIN=PRP&amp;BLAST=DUMMY","2E-005")</f>
        <v>2E-005</v>
      </c>
      <c r="AW11" s="3" t="s">
        <v>547</v>
      </c>
      <c r="AX11" s="2" t="s">
        <v>547</v>
      </c>
      <c r="AY11" s="3" t="s">
        <v>547</v>
      </c>
      <c r="AZ11" s="2" t="s">
        <v>547</v>
      </c>
    </row>
    <row r="12" spans="1:52" ht="11.25">
      <c r="A12" t="str">
        <f>HYPERLINK("http://exon.niaid.nih.gov/transcriptome/O_fasciatus/Sup_tab1/links/of-new\of-new-contig_60.txt","of-new-contig_60")</f>
        <v>of-new-contig_60</v>
      </c>
      <c r="B12" t="str">
        <f>HYPERLINK("http://exon.niaid.nih.gov/transcriptome/O_fasciatus/Sup_tab1/links/of-new\of-new-5-64-64-asb-60.txt","Contig-60")</f>
        <v>Contig-60</v>
      </c>
      <c r="C12" t="str">
        <f>HYPERLINK("http://exon.niaid.nih.gov/transcriptome/O_fasciatus/Sup_tab1/links/of-new\of-new-5-64-64-60-CLU.txt","Contig60")</f>
        <v>Contig60</v>
      </c>
      <c r="D12">
        <v>3</v>
      </c>
      <c r="E12">
        <v>408</v>
      </c>
      <c r="F12" t="str">
        <f>HYPERLINK("http://exon.niaid.nih.gov/transcriptome/O_fasciatus/Sup_tab1/links/of-new\of-new-5-64-64-60-qual.txt","87.")</f>
        <v>87.</v>
      </c>
      <c r="G12" t="s">
        <v>541</v>
      </c>
      <c r="H12">
        <v>55.6</v>
      </c>
      <c r="I12">
        <v>389</v>
      </c>
      <c r="J12">
        <v>60</v>
      </c>
      <c r="K12" t="s">
        <v>601</v>
      </c>
      <c r="L12">
        <v>388</v>
      </c>
      <c r="M12" s="3" t="str">
        <f>HYPERLINK("http://exon.niaid.nih.gov/transcriptome/O_fasciatus/Sup_tab1/links/NR\of-new-contig_60-NR.txt","CDSN protein")</f>
        <v>CDSN protein</v>
      </c>
      <c r="N12" s="2" t="str">
        <f>HYPERLINK("http://www.ncbi.nlm.nih.gov/sutils/blink.cgi?pid=112362194","9E-011")</f>
        <v>9E-011</v>
      </c>
      <c r="O12" t="s">
        <v>654</v>
      </c>
      <c r="P12">
        <v>89</v>
      </c>
      <c r="Q12">
        <v>562</v>
      </c>
      <c r="R12">
        <v>55</v>
      </c>
      <c r="S12">
        <v>16</v>
      </c>
      <c r="T12">
        <v>65</v>
      </c>
      <c r="U12">
        <v>1</v>
      </c>
      <c r="V12">
        <v>3</v>
      </c>
      <c r="W12" t="s">
        <v>1412</v>
      </c>
      <c r="X12" t="s">
        <v>655</v>
      </c>
      <c r="Y12" t="s">
        <v>656</v>
      </c>
      <c r="Z12" s="4" t="s">
        <v>1052</v>
      </c>
      <c r="AA12" t="s">
        <v>1016</v>
      </c>
      <c r="AB12" s="3" t="s">
        <v>1630</v>
      </c>
      <c r="AC12" s="2">
        <f>HYPERLINK("http://exon.niaid.nih.gov/transcriptome/O_fasciatus/Sup_tab1/links/GO\of-new-contig_60-GO.txt",0.000000002)</f>
        <v>0</v>
      </c>
      <c r="AD12" s="4" t="s">
        <v>1508</v>
      </c>
      <c r="AE12" t="s">
        <v>1509</v>
      </c>
      <c r="AF12">
        <v>3E-07</v>
      </c>
      <c r="AG12" s="4" t="s">
        <v>847</v>
      </c>
      <c r="AH12" t="s">
        <v>848</v>
      </c>
      <c r="AI12">
        <v>3E-07</v>
      </c>
      <c r="AJ12" s="4" t="s">
        <v>1510</v>
      </c>
      <c r="AK12" t="s">
        <v>1511</v>
      </c>
      <c r="AL12">
        <v>3E-07</v>
      </c>
      <c r="AM12" s="3" t="str">
        <f>HYPERLINK("http://exon.niaid.nih.gov/transcriptome/O_fasciatus/Sup_tab1/links/KOG\of-new-contig_60-KOG.txt","RNA binding protein RBM12/SWAN")</f>
        <v>RNA binding protein RBM12/SWAN</v>
      </c>
      <c r="AN12" s="2" t="str">
        <f>HYPERLINK("http://www.ncbi.nlm.nih.gov/COG/new/shokog.cgi?KOG4307","7E-005")</f>
        <v>7E-005</v>
      </c>
      <c r="AO12" t="s">
        <v>1503</v>
      </c>
      <c r="AP12" s="3" t="str">
        <f>HYPERLINK("http://exon.niaid.nih.gov/transcriptome/O_fasciatus/Sup_tab1/links/CDD\of-new-contig_60-CDD.txt","FimD")</f>
        <v>FimD</v>
      </c>
      <c r="AQ12" s="2" t="str">
        <f>HYPERLINK("http://www.ncbi.nlm.nih.gov/Structure/cdd/cddsrv.cgi?uid=COG3188&amp;version=v4.0","8E-005")</f>
        <v>8E-005</v>
      </c>
      <c r="AR12" t="s">
        <v>657</v>
      </c>
      <c r="AS12" s="3" t="str">
        <f>HYPERLINK("http://exon.niaid.nih.gov/transcriptome/O_fasciatus/Sup_tab1/links/PFAM\of-new-contig_60-PFAM.txt","Herpes_capsid")</f>
        <v>Herpes_capsid</v>
      </c>
      <c r="AT12" s="2" t="str">
        <f>HYPERLINK("http://pfam.wustl.edu/cgi-bin/getdesc?acc=PF06112","0.002")</f>
        <v>0.002</v>
      </c>
      <c r="AU12" s="3" t="str">
        <f>HYPERLINK("http://exon.niaid.nih.gov/transcriptome/O_fasciatus/Sup_tab1/links/SMART\of-new-contig_60-SMART.txt","PRP")</f>
        <v>PRP</v>
      </c>
      <c r="AV12" s="2" t="str">
        <f>HYPERLINK("http://smart.embl-heidelberg.de/smart/do_annotation.pl?DOMAIN=PRP&amp;BLAST=DUMMY","0.007")</f>
        <v>0.007</v>
      </c>
      <c r="AW12" s="3" t="s">
        <v>547</v>
      </c>
      <c r="AX12" s="2" t="s">
        <v>547</v>
      </c>
      <c r="AY12" s="3" t="s">
        <v>547</v>
      </c>
      <c r="AZ12" s="2" t="s">
        <v>547</v>
      </c>
    </row>
    <row r="13" spans="1:52" ht="11.25">
      <c r="A13" t="str">
        <f>HYPERLINK("http://exon.niaid.nih.gov/transcriptome/O_fasciatus/Sup_tab1/links/of-new\of-new-contig_22.txt","of-new-contig_22")</f>
        <v>of-new-contig_22</v>
      </c>
      <c r="B13" t="str">
        <f>HYPERLINK("http://exon.niaid.nih.gov/transcriptome/O_fasciatus/Sup_tab1/links/of-new\of-new-5-64-64-asb-22.txt","Contig-22")</f>
        <v>Contig-22</v>
      </c>
      <c r="C13" t="str">
        <f>HYPERLINK("http://exon.niaid.nih.gov/transcriptome/O_fasciatus/Sup_tab1/links/of-new\of-new-5-64-64-22-CLU.txt","Contig22")</f>
        <v>Contig22</v>
      </c>
      <c r="D13">
        <v>3</v>
      </c>
      <c r="E13">
        <v>247</v>
      </c>
      <c r="F13" t="str">
        <f>HYPERLINK("http://exon.niaid.nih.gov/transcriptome/O_fasciatus/Sup_tab1/links/of-new\of-new-5-64-64-22-qual.txt","86.3")</f>
        <v>86.3</v>
      </c>
      <c r="G13" t="s">
        <v>541</v>
      </c>
      <c r="H13">
        <v>55.5</v>
      </c>
      <c r="I13">
        <v>227</v>
      </c>
      <c r="J13">
        <v>22</v>
      </c>
      <c r="K13" t="s">
        <v>564</v>
      </c>
      <c r="L13">
        <v>233</v>
      </c>
      <c r="M13" s="3" t="str">
        <f>HYPERLINK("http://exon.niaid.nih.gov/transcriptome/O_fasciatus/Sup_tab1/links/NR\of-new-contig_22-NR.txt","PREDICTED: similar to p63(47) transcription factor [Strongylocentrotus")</f>
        <v>PREDICTED: similar to p63(47) transcription factor [Strongylocentrotus</v>
      </c>
      <c r="N13" s="2" t="str">
        <f>HYPERLINK("http://www.ncbi.nlm.nih.gov/sutils/blink.cgi?pid=115898454","0.48")</f>
        <v>0.48</v>
      </c>
      <c r="O13" t="s">
        <v>1661</v>
      </c>
      <c r="P13">
        <v>42</v>
      </c>
      <c r="Q13">
        <v>665</v>
      </c>
      <c r="R13">
        <v>42</v>
      </c>
      <c r="S13">
        <v>6</v>
      </c>
      <c r="T13">
        <v>85</v>
      </c>
      <c r="U13">
        <v>19</v>
      </c>
      <c r="V13">
        <v>1</v>
      </c>
      <c r="W13" t="s">
        <v>1412</v>
      </c>
      <c r="X13" t="s">
        <v>1662</v>
      </c>
      <c r="Y13" t="s">
        <v>999</v>
      </c>
      <c r="Z13" s="4" t="s">
        <v>1023</v>
      </c>
      <c r="AA13" t="s">
        <v>1024</v>
      </c>
      <c r="AB13" s="3" t="s">
        <v>547</v>
      </c>
      <c r="AC13" s="2" t="s">
        <v>547</v>
      </c>
      <c r="AD13" s="4" t="s">
        <v>547</v>
      </c>
      <c r="AE13" t="s">
        <v>547</v>
      </c>
      <c r="AF13" t="s">
        <v>547</v>
      </c>
      <c r="AG13" s="4" t="s">
        <v>547</v>
      </c>
      <c r="AH13" t="s">
        <v>547</v>
      </c>
      <c r="AI13" t="s">
        <v>547</v>
      </c>
      <c r="AJ13" s="4" t="s">
        <v>547</v>
      </c>
      <c r="AK13" t="s">
        <v>547</v>
      </c>
      <c r="AL13" t="s">
        <v>547</v>
      </c>
      <c r="AM13" s="3" t="str">
        <f>HYPERLINK("http://exon.niaid.nih.gov/transcriptome/O_fasciatus/Sup_tab1/links/KOG\of-new-contig_22-KOG.txt","Actin regulatory protein (Wiskott-Aldrich syndrome protein)")</f>
        <v>Actin regulatory protein (Wiskott-Aldrich syndrome protein)</v>
      </c>
      <c r="AN13" s="2" t="str">
        <f>HYPERLINK("http://www.ncbi.nlm.nih.gov/COG/new/shokog.cgi?KOG3671","0.27")</f>
        <v>0.27</v>
      </c>
      <c r="AO13" t="s">
        <v>836</v>
      </c>
      <c r="AP13" s="3" t="str">
        <f>HYPERLINK("http://exon.niaid.nih.gov/transcriptome/O_fasciatus/Sup_tab1/links/CDD\of-new-contig_22-CDD.txt","Atrophin-1")</f>
        <v>Atrophin-1</v>
      </c>
      <c r="AQ13" s="2" t="str">
        <f>HYPERLINK("http://www.ncbi.nlm.nih.gov/Structure/cdd/cddsrv.cgi?uid=pfam03154&amp;version=v4.0","0.94")</f>
        <v>0.94</v>
      </c>
      <c r="AR13" t="s">
        <v>1000</v>
      </c>
      <c r="AS13" s="3" t="str">
        <f>HYPERLINK("http://exon.niaid.nih.gov/transcriptome/O_fasciatus/Sup_tab1/links/PFAM\of-new-contig_22-PFAM.txt","REV")</f>
        <v>REV</v>
      </c>
      <c r="AT13" s="2" t="str">
        <f>HYPERLINK("http://pfam.wustl.edu/cgi-bin/getdesc?acc=PF00424","0.17")</f>
        <v>0.17</v>
      </c>
      <c r="AU13" s="3" t="str">
        <f>HYPERLINK("http://exon.niaid.nih.gov/transcriptome/O_fasciatus/Sup_tab1/links/SMART\of-new-contig_22-SMART.txt","HSF")</f>
        <v>HSF</v>
      </c>
      <c r="AV13" s="2" t="str">
        <f>HYPERLINK("http://smart.embl-heidelberg.de/smart/do_annotation.pl?DOMAIN=HSF&amp;BLAST=DUMMY","0.57")</f>
        <v>0.57</v>
      </c>
      <c r="AW13" s="3" t="s">
        <v>547</v>
      </c>
      <c r="AX13" s="2" t="s">
        <v>547</v>
      </c>
      <c r="AY13" s="3" t="s">
        <v>547</v>
      </c>
      <c r="AZ13" s="2" t="s">
        <v>547</v>
      </c>
    </row>
    <row r="14" spans="1:52" ht="11.25">
      <c r="A14" t="str">
        <f>HYPERLINK("http://exon.niaid.nih.gov/transcriptome/O_fasciatus/Sup_tab1/links/of-new\of-new-contig_77.txt","of-new-contig_77")</f>
        <v>of-new-contig_77</v>
      </c>
      <c r="B14" t="str">
        <f>HYPERLINK("http://exon.niaid.nih.gov/transcriptome/O_fasciatus/Sup_tab1/links/of-new\of-new-5-64-64-asb-77.txt","Contig-77")</f>
        <v>Contig-77</v>
      </c>
      <c r="C14" t="str">
        <f>HYPERLINK("http://exon.niaid.nih.gov/transcriptome/O_fasciatus/Sup_tab1/links/of-new\of-new-5-64-64-77-CLU.txt","Contig77")</f>
        <v>Contig77</v>
      </c>
      <c r="D14">
        <v>2</v>
      </c>
      <c r="E14">
        <v>525</v>
      </c>
      <c r="F14" t="str">
        <f>HYPERLINK("http://exon.niaid.nih.gov/transcriptome/O_fasciatus/Sup_tab1/links/of-new\of-new-5-64-64-77-qual.txt","77.3")</f>
        <v>77.3</v>
      </c>
      <c r="G14" t="s">
        <v>541</v>
      </c>
      <c r="H14">
        <v>63</v>
      </c>
      <c r="I14">
        <v>489</v>
      </c>
      <c r="J14">
        <v>77</v>
      </c>
      <c r="K14" t="s">
        <v>618</v>
      </c>
      <c r="L14">
        <v>460</v>
      </c>
      <c r="M14" s="3" t="str">
        <f>HYPERLINK("http://exon.niaid.nih.gov/transcriptome/O_fasciatus/Sup_tab1/links/NR\of-new-contig_77-NR.txt","hypothetical protein LMJ_0188 [Leishmania major strain Friedlin]")</f>
        <v>hypothetical protein LMJ_0188 [Leishmania major strain Friedlin]</v>
      </c>
      <c r="N14" s="2" t="str">
        <f>HYPERLINK("http://www.ncbi.nlm.nih.gov/sutils/blink.cgi?pid=32189726","1.5")</f>
        <v>1.5</v>
      </c>
      <c r="O14" t="s">
        <v>1558</v>
      </c>
      <c r="P14">
        <v>71</v>
      </c>
      <c r="Q14">
        <v>2087</v>
      </c>
      <c r="R14">
        <v>29</v>
      </c>
      <c r="S14">
        <v>3</v>
      </c>
      <c r="T14">
        <v>930</v>
      </c>
      <c r="U14">
        <v>41</v>
      </c>
      <c r="V14">
        <v>1</v>
      </c>
      <c r="W14" t="s">
        <v>1412</v>
      </c>
      <c r="X14" t="s">
        <v>1559</v>
      </c>
      <c r="Y14" t="s">
        <v>1560</v>
      </c>
      <c r="Z14" s="4" t="s">
        <v>1017</v>
      </c>
      <c r="AA14" t="s">
        <v>1022</v>
      </c>
      <c r="AB14" s="3" t="s">
        <v>547</v>
      </c>
      <c r="AC14" s="2" t="s">
        <v>547</v>
      </c>
      <c r="AD14" s="4" t="s">
        <v>547</v>
      </c>
      <c r="AE14" t="s">
        <v>547</v>
      </c>
      <c r="AF14" t="s">
        <v>547</v>
      </c>
      <c r="AG14" s="4" t="s">
        <v>547</v>
      </c>
      <c r="AH14" t="s">
        <v>547</v>
      </c>
      <c r="AI14" t="s">
        <v>547</v>
      </c>
      <c r="AJ14" s="4" t="s">
        <v>547</v>
      </c>
      <c r="AK14" t="s">
        <v>547</v>
      </c>
      <c r="AL14" t="s">
        <v>547</v>
      </c>
      <c r="AM14" s="3" t="str">
        <f>HYPERLINK("http://exon.niaid.nih.gov/transcriptome/O_fasciatus/Sup_tab1/links/KOG\of-new-contig_77-KOG.txt","Amidases")</f>
        <v>Amidases</v>
      </c>
      <c r="AN14" s="2" t="str">
        <f>HYPERLINK("http://www.ncbi.nlm.nih.gov/COG/new/shokog.cgi?KOG1212","0.57")</f>
        <v>0.57</v>
      </c>
      <c r="AO14" t="s">
        <v>1561</v>
      </c>
      <c r="AP14" s="3" t="str">
        <f>HYPERLINK("http://exon.niaid.nih.gov/transcriptome/O_fasciatus/Sup_tab1/links/CDD\of-new-contig_77-CDD.txt","MannoseP_isomer")</f>
        <v>MannoseP_isomer</v>
      </c>
      <c r="AQ14" s="2" t="str">
        <f>HYPERLINK("http://www.ncbi.nlm.nih.gov/Structure/cdd/cddsrv.cgi?uid=pfam01050&amp;version=v4.0","0.53")</f>
        <v>0.53</v>
      </c>
      <c r="AR14" t="s">
        <v>1562</v>
      </c>
      <c r="AS14" s="3" t="str">
        <f>HYPERLINK("http://exon.niaid.nih.gov/transcriptome/O_fasciatus/Sup_tab1/links/PFAM\of-new-contig_77-PFAM.txt","Baculo_helicase")</f>
        <v>Baculo_helicase</v>
      </c>
      <c r="AT14" s="2" t="str">
        <f>HYPERLINK("http://pfam.wustl.edu/cgi-bin/getdesc?acc=PF04735","0.24")</f>
        <v>0.24</v>
      </c>
      <c r="AU14" s="3" t="str">
        <f>HYPERLINK("http://exon.niaid.nih.gov/transcriptome/O_fasciatus/Sup_tab1/links/SMART\of-new-contig_77-SMART.txt","TR_FER")</f>
        <v>TR_FER</v>
      </c>
      <c r="AV14" s="2" t="str">
        <f>HYPERLINK("http://smart.embl-heidelberg.de/smart/do_annotation.pl?DOMAIN=TR_FER&amp;BLAST=DUMMY","0.15")</f>
        <v>0.15</v>
      </c>
      <c r="AW14" s="3" t="s">
        <v>547</v>
      </c>
      <c r="AX14" s="2" t="s">
        <v>547</v>
      </c>
      <c r="AY14" s="3" t="s">
        <v>547</v>
      </c>
      <c r="AZ14" s="2" t="s">
        <v>547</v>
      </c>
    </row>
    <row r="15" spans="1:52" ht="11.25">
      <c r="A15" t="str">
        <f>HYPERLINK("http://exon.niaid.nih.gov/transcriptome/O_fasciatus/Sup_tab1/links/of-new\of-new-contig_228.txt","of-new-contig_228")</f>
        <v>of-new-contig_228</v>
      </c>
      <c r="B15" t="str">
        <f>HYPERLINK("http://exon.niaid.nih.gov/transcriptome/O_fasciatus/Sup_tab1/links/of-new\of-new-5-64-64-asb-228.txt","Contig-228")</f>
        <v>Contig-228</v>
      </c>
      <c r="C15" t="str">
        <f>HYPERLINK("http://exon.niaid.nih.gov/transcriptome/O_fasciatus/Sup_tab1/links/of-new\of-new-5-64-64-228-CLU.txt","Contig228")</f>
        <v>Contig228</v>
      </c>
      <c r="D15">
        <v>1</v>
      </c>
      <c r="E15">
        <v>89</v>
      </c>
      <c r="F15" t="str">
        <f>HYPERLINK("http://exon.niaid.nih.gov/transcriptome/O_fasciatus/Sup_tab1/links/of-new\of-new-5-64-64-228-qual.txt","52.8")</f>
        <v>52.8</v>
      </c>
      <c r="G15" t="s">
        <v>541</v>
      </c>
      <c r="H15">
        <v>87.6</v>
      </c>
      <c r="I15">
        <v>70</v>
      </c>
      <c r="J15">
        <v>228</v>
      </c>
      <c r="K15" t="s">
        <v>1306</v>
      </c>
      <c r="L15">
        <v>70</v>
      </c>
      <c r="N15" s="2" t="s">
        <v>547</v>
      </c>
      <c r="O15" t="s">
        <v>547</v>
      </c>
      <c r="P15" t="s">
        <v>547</v>
      </c>
      <c r="Q15" t="s">
        <v>547</v>
      </c>
      <c r="R15" t="s">
        <v>547</v>
      </c>
      <c r="S15" t="s">
        <v>547</v>
      </c>
      <c r="T15" t="s">
        <v>547</v>
      </c>
      <c r="U15" t="s">
        <v>547</v>
      </c>
      <c r="V15" t="s">
        <v>547</v>
      </c>
      <c r="W15" t="s">
        <v>547</v>
      </c>
      <c r="X15" t="s">
        <v>547</v>
      </c>
      <c r="Y15" t="s">
        <v>547</v>
      </c>
      <c r="Z15" s="4" t="s">
        <v>1035</v>
      </c>
      <c r="AA15" t="s">
        <v>1036</v>
      </c>
      <c r="AB15" s="3" t="s">
        <v>547</v>
      </c>
      <c r="AC15" s="2" t="s">
        <v>547</v>
      </c>
      <c r="AD15" s="4" t="s">
        <v>547</v>
      </c>
      <c r="AE15" t="s">
        <v>547</v>
      </c>
      <c r="AF15" t="s">
        <v>547</v>
      </c>
      <c r="AG15" s="4" t="s">
        <v>547</v>
      </c>
      <c r="AH15" t="s">
        <v>547</v>
      </c>
      <c r="AI15" t="s">
        <v>547</v>
      </c>
      <c r="AJ15" s="4" t="s">
        <v>547</v>
      </c>
      <c r="AK15" t="s">
        <v>547</v>
      </c>
      <c r="AL15" t="s">
        <v>547</v>
      </c>
      <c r="AM15" s="3" t="s">
        <v>547</v>
      </c>
      <c r="AN15" s="2" t="s">
        <v>547</v>
      </c>
      <c r="AO15" t="s">
        <v>547</v>
      </c>
      <c r="AP15" s="3" t="s">
        <v>547</v>
      </c>
      <c r="AQ15" s="2" t="s">
        <v>547</v>
      </c>
      <c r="AR15" t="s">
        <v>547</v>
      </c>
      <c r="AS15" s="3" t="s">
        <v>547</v>
      </c>
      <c r="AT15" s="2" t="s">
        <v>547</v>
      </c>
      <c r="AU15" s="3" t="s">
        <v>547</v>
      </c>
      <c r="AV15" s="2" t="s">
        <v>547</v>
      </c>
      <c r="AW15" s="3" t="s">
        <v>547</v>
      </c>
      <c r="AX15" s="2" t="s">
        <v>547</v>
      </c>
      <c r="AY15" s="3" t="s">
        <v>547</v>
      </c>
      <c r="AZ15" s="2" t="s">
        <v>547</v>
      </c>
    </row>
    <row r="16" s="12" customFormat="1" ht="11.25">
      <c r="A16" s="11" t="s">
        <v>61</v>
      </c>
    </row>
    <row r="17" spans="1:52" ht="11.25">
      <c r="A17" t="str">
        <f>HYPERLINK("http://exon.niaid.nih.gov/transcriptome/O_fasciatus/Sup_tab1/links/of-new\of-new-contig_13.txt","of-new-contig_13")</f>
        <v>of-new-contig_13</v>
      </c>
      <c r="B17" t="str">
        <f>HYPERLINK("http://exon.niaid.nih.gov/transcriptome/O_fasciatus/Sup_tab1/links/of-new\of-new-5-64-64-asb-13.txt","Contig-13")</f>
        <v>Contig-13</v>
      </c>
      <c r="C17" t="str">
        <f>HYPERLINK("http://exon.niaid.nih.gov/transcriptome/O_fasciatus/Sup_tab1/links/of-new\of-new-5-64-64-13-CLU.txt","Contig13")</f>
        <v>Contig13</v>
      </c>
      <c r="D17">
        <v>38</v>
      </c>
      <c r="E17">
        <v>490</v>
      </c>
      <c r="F17" t="str">
        <f>HYPERLINK("http://exon.niaid.nih.gov/transcriptome/O_fasciatus/Sup_tab1/links/of-new\of-new-5-64-64-13-qual.txt","94.8")</f>
        <v>94.8</v>
      </c>
      <c r="G17" t="s">
        <v>541</v>
      </c>
      <c r="H17">
        <v>57.3</v>
      </c>
      <c r="I17">
        <v>440</v>
      </c>
      <c r="J17">
        <v>13</v>
      </c>
      <c r="K17" t="s">
        <v>555</v>
      </c>
      <c r="L17">
        <v>440</v>
      </c>
      <c r="M17" s="3" t="str">
        <f>HYPERLINK("http://exon.niaid.nih.gov/transcriptome/O_fasciatus/Sup_tab1/links/NR\of-new-contig_13-NR.txt","multicystatin")</f>
        <v>multicystatin</v>
      </c>
      <c r="N17" s="2" t="str">
        <f>HYPERLINK("http://www.ncbi.nlm.nih.gov/sutils/blink.cgi?pid=110225182","1E-006")</f>
        <v>1E-006</v>
      </c>
      <c r="O17" t="s">
        <v>1531</v>
      </c>
      <c r="P17">
        <v>93</v>
      </c>
      <c r="Q17">
        <v>629</v>
      </c>
      <c r="R17">
        <v>30</v>
      </c>
      <c r="S17">
        <v>15</v>
      </c>
      <c r="T17">
        <v>6</v>
      </c>
      <c r="U17">
        <v>115</v>
      </c>
      <c r="V17">
        <v>6</v>
      </c>
      <c r="W17" t="s">
        <v>1412</v>
      </c>
      <c r="X17" t="s">
        <v>1532</v>
      </c>
      <c r="Y17" t="s">
        <v>844</v>
      </c>
      <c r="Z17" s="4" t="s">
        <v>1010</v>
      </c>
      <c r="AA17" t="s">
        <v>1011</v>
      </c>
      <c r="AB17" s="3" t="s">
        <v>1534</v>
      </c>
      <c r="AC17" s="2">
        <f>HYPERLINK("http://exon.niaid.nih.gov/transcriptome/O_fasciatus/Sup_tab1/links/GO\of-new-contig_13-GO.txt",0.000006)</f>
        <v>0</v>
      </c>
      <c r="AD17" s="4" t="s">
        <v>845</v>
      </c>
      <c r="AE17" t="s">
        <v>846</v>
      </c>
      <c r="AF17">
        <v>0.043</v>
      </c>
      <c r="AG17" s="4" t="s">
        <v>847</v>
      </c>
      <c r="AH17" t="s">
        <v>848</v>
      </c>
      <c r="AI17">
        <v>0.043</v>
      </c>
      <c r="AJ17" s="4" t="s">
        <v>849</v>
      </c>
      <c r="AK17" t="s">
        <v>850</v>
      </c>
      <c r="AL17">
        <v>0.043</v>
      </c>
      <c r="AM17" s="3" t="s">
        <v>547</v>
      </c>
      <c r="AN17" s="2" t="s">
        <v>547</v>
      </c>
      <c r="AO17" t="s">
        <v>547</v>
      </c>
      <c r="AP17" s="3" t="str">
        <f>HYPERLINK("http://exon.niaid.nih.gov/transcriptome/O_fasciatus/Sup_tab1/links/CDD\of-new-contig_13-CDD.txt","CY")</f>
        <v>CY</v>
      </c>
      <c r="AQ17" s="2" t="str">
        <f>HYPERLINK("http://www.ncbi.nlm.nih.gov/Structure/cdd/cddsrv.cgi?uid=cd00042&amp;version=v4.0","6E-010")</f>
        <v>6E-010</v>
      </c>
      <c r="AR17" t="s">
        <v>851</v>
      </c>
      <c r="AS17" s="3" t="str">
        <f>HYPERLINK("http://exon.niaid.nih.gov/transcriptome/O_fasciatus/Sup_tab1/links/PFAM\of-new-contig_13-PFAM.txt","Cystatin")</f>
        <v>Cystatin</v>
      </c>
      <c r="AT17" s="2" t="str">
        <f>HYPERLINK("http://pfam.wustl.edu/cgi-bin/getdesc?acc=PF00031","1E-007")</f>
        <v>1E-007</v>
      </c>
      <c r="AU17" s="3" t="str">
        <f>HYPERLINK("http://exon.niaid.nih.gov/transcriptome/O_fasciatus/Sup_tab1/links/SMART\of-new-contig_13-SMART.txt","CY")</f>
        <v>CY</v>
      </c>
      <c r="AV17" s="2" t="str">
        <f>HYPERLINK("http://smart.embl-heidelberg.de/smart/do_annotation.pl?DOMAIN=CY&amp;BLAST=DUMMY","1E-010")</f>
        <v>1E-010</v>
      </c>
      <c r="AW17" s="3" t="s">
        <v>547</v>
      </c>
      <c r="AX17" s="2" t="s">
        <v>547</v>
      </c>
      <c r="AY17" s="3" t="s">
        <v>547</v>
      </c>
      <c r="AZ17" s="2" t="s">
        <v>547</v>
      </c>
    </row>
    <row r="18" spans="1:52" ht="11.25">
      <c r="A18" t="str">
        <f>HYPERLINK("http://exon.niaid.nih.gov/transcriptome/O_fasciatus/Sup_tab1/links/of-new\of-new-contig_7.txt","of-new-contig_7")</f>
        <v>of-new-contig_7</v>
      </c>
      <c r="B18" t="str">
        <f>HYPERLINK("http://exon.niaid.nih.gov/transcriptome/O_fasciatus/Sup_tab1/links/of-new\of-new-5-64-64-asb-7.txt","Contig-7")</f>
        <v>Contig-7</v>
      </c>
      <c r="C18" t="str">
        <f>HYPERLINK("http://exon.niaid.nih.gov/transcriptome/O_fasciatus/Sup_tab1/links/of-new\of-new-5-64-64-7-CLU.txt","Contig7")</f>
        <v>Contig7</v>
      </c>
      <c r="D18">
        <v>26</v>
      </c>
      <c r="E18">
        <v>480</v>
      </c>
      <c r="F18" t="str">
        <f>HYPERLINK("http://exon.niaid.nih.gov/transcriptome/O_fasciatus/Sup_tab1/links/of-new\of-new-5-64-64-7-qual.txt","92.3")</f>
        <v>92.3</v>
      </c>
      <c r="G18" t="s">
        <v>541</v>
      </c>
      <c r="H18">
        <v>57.1</v>
      </c>
      <c r="I18">
        <v>440</v>
      </c>
      <c r="J18">
        <v>7</v>
      </c>
      <c r="K18" t="s">
        <v>549</v>
      </c>
      <c r="L18">
        <v>441</v>
      </c>
      <c r="M18" s="3" t="str">
        <f>HYPERLINK("http://exon.niaid.nih.gov/transcriptome/O_fasciatus/Sup_tab1/links/NR\of-new-contig_7-NR.txt","multicystatin")</f>
        <v>multicystatin</v>
      </c>
      <c r="N18" s="2" t="str">
        <f>HYPERLINK("http://www.ncbi.nlm.nih.gov/sutils/blink.cgi?pid=110225182","2E-006")</f>
        <v>2E-006</v>
      </c>
      <c r="O18" t="s">
        <v>1531</v>
      </c>
      <c r="P18">
        <v>93</v>
      </c>
      <c r="Q18">
        <v>629</v>
      </c>
      <c r="R18">
        <v>32</v>
      </c>
      <c r="S18">
        <v>15</v>
      </c>
      <c r="T18">
        <v>4</v>
      </c>
      <c r="U18">
        <v>107</v>
      </c>
      <c r="V18">
        <v>6</v>
      </c>
      <c r="W18" t="s">
        <v>1412</v>
      </c>
      <c r="X18" t="s">
        <v>1532</v>
      </c>
      <c r="Y18" t="s">
        <v>1533</v>
      </c>
      <c r="Z18" s="4" t="s">
        <v>1010</v>
      </c>
      <c r="AA18" t="s">
        <v>1011</v>
      </c>
      <c r="AB18" s="3" t="s">
        <v>1534</v>
      </c>
      <c r="AC18" s="2">
        <f>HYPERLINK("http://exon.niaid.nih.gov/transcriptome/O_fasciatus/Sup_tab1/links/GO\of-new-contig_7-GO.txt",0.0003)</f>
        <v>0</v>
      </c>
      <c r="AD18" s="4" t="s">
        <v>1535</v>
      </c>
      <c r="AE18" t="s">
        <v>1536</v>
      </c>
      <c r="AF18">
        <v>0.011</v>
      </c>
      <c r="AG18" s="4" t="s">
        <v>547</v>
      </c>
      <c r="AH18" t="s">
        <v>547</v>
      </c>
      <c r="AI18" t="s">
        <v>547</v>
      </c>
      <c r="AJ18" s="4" t="s">
        <v>1537</v>
      </c>
      <c r="AK18" t="s">
        <v>1538</v>
      </c>
      <c r="AL18">
        <v>0.011</v>
      </c>
      <c r="AM18" s="3" t="s">
        <v>547</v>
      </c>
      <c r="AN18" s="2" t="s">
        <v>547</v>
      </c>
      <c r="AO18" t="s">
        <v>547</v>
      </c>
      <c r="AP18" s="3" t="str">
        <f>HYPERLINK("http://exon.niaid.nih.gov/transcriptome/O_fasciatus/Sup_tab1/links/CDD\of-new-contig_7-CDD.txt","CY")</f>
        <v>CY</v>
      </c>
      <c r="AQ18" s="2" t="str">
        <f>HYPERLINK("http://www.ncbi.nlm.nih.gov/Structure/cdd/cddsrv.cgi?uid=cd00042&amp;version=v4.0","1E-010")</f>
        <v>1E-010</v>
      </c>
      <c r="AR18" t="s">
        <v>1539</v>
      </c>
      <c r="AS18" s="3" t="str">
        <f>HYPERLINK("http://exon.niaid.nih.gov/transcriptome/O_fasciatus/Sup_tab1/links/PFAM\of-new-contig_7-PFAM.txt","Cystatin")</f>
        <v>Cystatin</v>
      </c>
      <c r="AT18" s="2" t="str">
        <f>HYPERLINK("http://pfam.wustl.edu/cgi-bin/getdesc?acc=PF00031","8E-008")</f>
        <v>8E-008</v>
      </c>
      <c r="AU18" s="3" t="str">
        <f>HYPERLINK("http://exon.niaid.nih.gov/transcriptome/O_fasciatus/Sup_tab1/links/SMART\of-new-contig_7-SMART.txt","CY")</f>
        <v>CY</v>
      </c>
      <c r="AV18" s="2" t="str">
        <f>HYPERLINK("http://smart.embl-heidelberg.de/smart/do_annotation.pl?DOMAIN=CY&amp;BLAST=DUMMY","2E-011")</f>
        <v>2E-011</v>
      </c>
      <c r="AW18" s="3" t="s">
        <v>547</v>
      </c>
      <c r="AX18" s="2" t="s">
        <v>547</v>
      </c>
      <c r="AY18" s="3" t="s">
        <v>547</v>
      </c>
      <c r="AZ18" s="2" t="s">
        <v>547</v>
      </c>
    </row>
    <row r="19" spans="1:52" ht="11.25">
      <c r="A19" t="str">
        <f>HYPERLINK("http://exon.niaid.nih.gov/transcriptome/O_fasciatus/Sup_tab1/links/of-new\of-new-contig_9.txt","of-new-contig_9")</f>
        <v>of-new-contig_9</v>
      </c>
      <c r="B19" t="str">
        <f>HYPERLINK("http://exon.niaid.nih.gov/transcriptome/O_fasciatus/Sup_tab1/links/of-new\of-new-5-64-64-asb-9.txt","Contig-9")</f>
        <v>Contig-9</v>
      </c>
      <c r="C19" t="str">
        <f>HYPERLINK("http://exon.niaid.nih.gov/transcriptome/O_fasciatus/Sup_tab1/links/of-new\of-new-5-64-64-9-CLU.txt","Contig9")</f>
        <v>Contig9</v>
      </c>
      <c r="D19">
        <v>11</v>
      </c>
      <c r="E19">
        <v>488</v>
      </c>
      <c r="F19" t="str">
        <f>HYPERLINK("http://exon.niaid.nih.gov/transcriptome/O_fasciatus/Sup_tab1/links/of-new\of-new-5-64-64-9-qual.txt","91.9")</f>
        <v>91.9</v>
      </c>
      <c r="G19" t="s">
        <v>541</v>
      </c>
      <c r="H19">
        <v>56.8</v>
      </c>
      <c r="I19">
        <v>440</v>
      </c>
      <c r="J19">
        <v>9</v>
      </c>
      <c r="K19" t="s">
        <v>551</v>
      </c>
      <c r="L19">
        <v>440</v>
      </c>
      <c r="M19" s="3" t="str">
        <f>HYPERLINK("http://exon.niaid.nih.gov/transcriptome/O_fasciatus/Sup_tab1/links/NR\of-new-contig_9-NR.txt","multicystatin")</f>
        <v>multicystatin</v>
      </c>
      <c r="N19" s="2" t="str">
        <f>HYPERLINK("http://www.ncbi.nlm.nih.gov/sutils/blink.cgi?pid=110225182","4E-005")</f>
        <v>4E-005</v>
      </c>
      <c r="O19" t="s">
        <v>1531</v>
      </c>
      <c r="P19">
        <v>82</v>
      </c>
      <c r="Q19">
        <v>629</v>
      </c>
      <c r="R19">
        <v>32</v>
      </c>
      <c r="S19">
        <v>13</v>
      </c>
      <c r="T19">
        <v>4</v>
      </c>
      <c r="U19">
        <v>107</v>
      </c>
      <c r="V19">
        <v>6</v>
      </c>
      <c r="W19" t="s">
        <v>1412</v>
      </c>
      <c r="X19" t="s">
        <v>1532</v>
      </c>
      <c r="Y19" t="s">
        <v>1544</v>
      </c>
      <c r="Z19" s="4" t="s">
        <v>1010</v>
      </c>
      <c r="AA19" t="s">
        <v>1011</v>
      </c>
      <c r="AB19" s="3" t="s">
        <v>1534</v>
      </c>
      <c r="AC19" s="2">
        <f>HYPERLINK("http://exon.niaid.nih.gov/transcriptome/O_fasciatus/Sup_tab1/links/GO\of-new-contig_9-GO.txt",0.00005)</f>
        <v>0</v>
      </c>
      <c r="AD19" s="4" t="s">
        <v>1541</v>
      </c>
      <c r="AE19" t="s">
        <v>1542</v>
      </c>
      <c r="AF19">
        <v>0.055</v>
      </c>
      <c r="AG19" s="4" t="s">
        <v>547</v>
      </c>
      <c r="AH19" t="s">
        <v>547</v>
      </c>
      <c r="AI19" t="s">
        <v>547</v>
      </c>
      <c r="AJ19" s="4" t="s">
        <v>547</v>
      </c>
      <c r="AK19" t="s">
        <v>547</v>
      </c>
      <c r="AL19" t="s">
        <v>547</v>
      </c>
      <c r="AM19" s="3" t="str">
        <f>HYPERLINK("http://exon.niaid.nih.gov/transcriptome/O_fasciatus/Sup_tab1/links/KOG\of-new-contig_9-KOG.txt","Ammonia permease")</f>
        <v>Ammonia permease</v>
      </c>
      <c r="AN19" s="2" t="str">
        <f>HYPERLINK("http://www.ncbi.nlm.nih.gov/COG/new/shokog.cgi?KOG0682","0.26")</f>
        <v>0.26</v>
      </c>
      <c r="AO19" t="s">
        <v>1518</v>
      </c>
      <c r="AP19" s="3" t="str">
        <f>HYPERLINK("http://exon.niaid.nih.gov/transcriptome/O_fasciatus/Sup_tab1/links/CDD\of-new-contig_9-CDD.txt","CY")</f>
        <v>CY</v>
      </c>
      <c r="AQ19" s="2" t="str">
        <f>HYPERLINK("http://www.ncbi.nlm.nih.gov/Structure/cdd/cddsrv.cgi?uid=cd00042&amp;version=v4.0","1E-010")</f>
        <v>1E-010</v>
      </c>
      <c r="AR19" t="s">
        <v>1545</v>
      </c>
      <c r="AS19" s="3" t="str">
        <f>HYPERLINK("http://exon.niaid.nih.gov/transcriptome/O_fasciatus/Sup_tab1/links/PFAM\of-new-contig_9-PFAM.txt","Cystatin")</f>
        <v>Cystatin</v>
      </c>
      <c r="AT19" s="2" t="str">
        <f>HYPERLINK("http://pfam.wustl.edu/cgi-bin/getdesc?acc=PF00031","1E-007")</f>
        <v>1E-007</v>
      </c>
      <c r="AU19" s="3" t="str">
        <f>HYPERLINK("http://exon.niaid.nih.gov/transcriptome/O_fasciatus/Sup_tab1/links/SMART\of-new-contig_9-SMART.txt","CY")</f>
        <v>CY</v>
      </c>
      <c r="AV19" s="2" t="str">
        <f>HYPERLINK("http://smart.embl-heidelberg.de/smart/do_annotation.pl?DOMAIN=CY&amp;BLAST=DUMMY","2E-011")</f>
        <v>2E-011</v>
      </c>
      <c r="AW19" s="3" t="s">
        <v>547</v>
      </c>
      <c r="AX19" s="2" t="s">
        <v>547</v>
      </c>
      <c r="AY19" s="3" t="s">
        <v>547</v>
      </c>
      <c r="AZ19" s="2" t="s">
        <v>547</v>
      </c>
    </row>
    <row r="20" spans="1:52" ht="11.25">
      <c r="A20" t="str">
        <f>HYPERLINK("http://exon.niaid.nih.gov/transcriptome/O_fasciatus/Sup_tab1/links/of-new\of-new-contig_10.txt","of-new-contig_10")</f>
        <v>of-new-contig_10</v>
      </c>
      <c r="B20" t="str">
        <f>HYPERLINK("http://exon.niaid.nih.gov/transcriptome/O_fasciatus/Sup_tab1/links/of-new\of-new-5-64-64-asb-10.txt","Contig-10")</f>
        <v>Contig-10</v>
      </c>
      <c r="C20" t="str">
        <f>HYPERLINK("http://exon.niaid.nih.gov/transcriptome/O_fasciatus/Sup_tab1/links/of-new\of-new-5-64-64-10-CLU.txt","Contig10")</f>
        <v>Contig10</v>
      </c>
      <c r="D20">
        <v>7</v>
      </c>
      <c r="E20">
        <v>444</v>
      </c>
      <c r="F20" t="str">
        <f>HYPERLINK("http://exon.niaid.nih.gov/transcriptome/O_fasciatus/Sup_tab1/links/of-new\of-new-5-64-64-10-qual.txt","93.3")</f>
        <v>93.3</v>
      </c>
      <c r="G20" t="s">
        <v>541</v>
      </c>
      <c r="H20">
        <v>56.8</v>
      </c>
      <c r="I20">
        <v>411</v>
      </c>
      <c r="J20">
        <v>10</v>
      </c>
      <c r="K20" t="s">
        <v>552</v>
      </c>
      <c r="L20">
        <v>421</v>
      </c>
      <c r="M20" s="3" t="str">
        <f>HYPERLINK("http://exon.niaid.nih.gov/transcriptome/O_fasciatus/Sup_tab1/links/NR\of-new-contig_10-NR.txt","multicystatin")</f>
        <v>multicystatin</v>
      </c>
      <c r="N20" s="2" t="str">
        <f>HYPERLINK("http://www.ncbi.nlm.nih.gov/sutils/blink.cgi?pid=110225182","5E-005")</f>
        <v>5E-005</v>
      </c>
      <c r="O20" t="s">
        <v>1531</v>
      </c>
      <c r="P20">
        <v>82</v>
      </c>
      <c r="Q20">
        <v>629</v>
      </c>
      <c r="R20">
        <v>32</v>
      </c>
      <c r="S20">
        <v>13</v>
      </c>
      <c r="T20">
        <v>4</v>
      </c>
      <c r="U20">
        <v>78</v>
      </c>
      <c r="V20">
        <v>6</v>
      </c>
      <c r="W20" t="s">
        <v>1412</v>
      </c>
      <c r="X20" t="s">
        <v>1532</v>
      </c>
      <c r="Y20" t="s">
        <v>1546</v>
      </c>
      <c r="Z20" s="4" t="s">
        <v>1010</v>
      </c>
      <c r="AA20" t="s">
        <v>1011</v>
      </c>
      <c r="AB20" s="3" t="s">
        <v>1534</v>
      </c>
      <c r="AC20" s="2">
        <f>HYPERLINK("http://exon.niaid.nih.gov/transcriptome/O_fasciatus/Sup_tab1/links/GO\of-new-contig_10-GO.txt",0.0005)</f>
        <v>0</v>
      </c>
      <c r="AD20" s="4" t="s">
        <v>1541</v>
      </c>
      <c r="AE20" t="s">
        <v>1542</v>
      </c>
      <c r="AF20">
        <v>0.098</v>
      </c>
      <c r="AG20" s="4" t="s">
        <v>547</v>
      </c>
      <c r="AH20" t="s">
        <v>547</v>
      </c>
      <c r="AI20" t="s">
        <v>547</v>
      </c>
      <c r="AJ20" s="4" t="s">
        <v>547</v>
      </c>
      <c r="AK20" t="s">
        <v>547</v>
      </c>
      <c r="AL20" t="s">
        <v>547</v>
      </c>
      <c r="AM20" s="3" t="s">
        <v>547</v>
      </c>
      <c r="AN20" s="2" t="s">
        <v>547</v>
      </c>
      <c r="AO20" t="s">
        <v>547</v>
      </c>
      <c r="AP20" s="3" t="str">
        <f>HYPERLINK("http://exon.niaid.nih.gov/transcriptome/O_fasciatus/Sup_tab1/links/CDD\of-new-contig_10-CDD.txt","CY")</f>
        <v>CY</v>
      </c>
      <c r="AQ20" s="2" t="str">
        <f>HYPERLINK("http://www.ncbi.nlm.nih.gov/Structure/cdd/cddsrv.cgi?uid=cd00042&amp;version=v4.0","1E-009")</f>
        <v>1E-009</v>
      </c>
      <c r="AR20" t="s">
        <v>1547</v>
      </c>
      <c r="AS20" s="3" t="str">
        <f>HYPERLINK("http://exon.niaid.nih.gov/transcriptome/O_fasciatus/Sup_tab1/links/PFAM\of-new-contig_10-PFAM.txt","Cystatin")</f>
        <v>Cystatin</v>
      </c>
      <c r="AT20" s="2" t="str">
        <f>HYPERLINK("http://pfam.wustl.edu/cgi-bin/getdesc?acc=PF00031","1E-006")</f>
        <v>1E-006</v>
      </c>
      <c r="AU20" s="3" t="str">
        <f>HYPERLINK("http://exon.niaid.nih.gov/transcriptome/O_fasciatus/Sup_tab1/links/SMART\of-new-contig_10-SMART.txt","CY")</f>
        <v>CY</v>
      </c>
      <c r="AV20" s="2" t="str">
        <f>HYPERLINK("http://smart.embl-heidelberg.de/smart/do_annotation.pl?DOMAIN=CY&amp;BLAST=DUMMY","2E-010")</f>
        <v>2E-010</v>
      </c>
      <c r="AW20" s="3" t="s">
        <v>547</v>
      </c>
      <c r="AX20" s="2" t="s">
        <v>547</v>
      </c>
      <c r="AY20" s="3" t="s">
        <v>547</v>
      </c>
      <c r="AZ20" s="2" t="s">
        <v>547</v>
      </c>
    </row>
    <row r="21" spans="1:52" ht="11.25">
      <c r="A21" t="str">
        <f>HYPERLINK("http://exon.niaid.nih.gov/transcriptome/O_fasciatus/Sup_tab1/links/of-new\of-new-contig_8.txt","of-new-contig_8")</f>
        <v>of-new-contig_8</v>
      </c>
      <c r="B21" t="str">
        <f>HYPERLINK("http://exon.niaid.nih.gov/transcriptome/O_fasciatus/Sup_tab1/links/of-new\of-new-5-64-64-asb-8.txt","Contig-8")</f>
        <v>Contig-8</v>
      </c>
      <c r="C21" t="str">
        <f>HYPERLINK("http://exon.niaid.nih.gov/transcriptome/O_fasciatus/Sup_tab1/links/of-new\of-new-5-64-64-8-CLU.txt","Contig8")</f>
        <v>Contig8</v>
      </c>
      <c r="D21">
        <v>3</v>
      </c>
      <c r="E21">
        <v>427</v>
      </c>
      <c r="F21" t="str">
        <f>HYPERLINK("http://exon.niaid.nih.gov/transcriptome/O_fasciatus/Sup_tab1/links/of-new\of-new-5-64-64-8-qual.txt","91.")</f>
        <v>91.</v>
      </c>
      <c r="G21" t="s">
        <v>541</v>
      </c>
      <c r="H21">
        <v>55.3</v>
      </c>
      <c r="I21">
        <v>405</v>
      </c>
      <c r="J21">
        <v>8</v>
      </c>
      <c r="K21" t="s">
        <v>550</v>
      </c>
      <c r="L21">
        <v>405</v>
      </c>
      <c r="M21" s="3" t="str">
        <f>HYPERLINK("http://exon.niaid.nih.gov/transcriptome/O_fasciatus/Sup_tab1/links/NR\of-new-contig_8-NR.txt","multicystatin")</f>
        <v>multicystatin</v>
      </c>
      <c r="N21" s="2" t="str">
        <f>HYPERLINK("http://www.ncbi.nlm.nih.gov/sutils/blink.cgi?pid=110225182","1E-005")</f>
        <v>1E-005</v>
      </c>
      <c r="O21" t="s">
        <v>1531</v>
      </c>
      <c r="P21">
        <v>82</v>
      </c>
      <c r="Q21">
        <v>629</v>
      </c>
      <c r="R21">
        <v>32</v>
      </c>
      <c r="S21">
        <v>13</v>
      </c>
      <c r="T21">
        <v>4</v>
      </c>
      <c r="U21">
        <v>77</v>
      </c>
      <c r="V21">
        <v>6</v>
      </c>
      <c r="W21" t="s">
        <v>1412</v>
      </c>
      <c r="X21" t="s">
        <v>1532</v>
      </c>
      <c r="Y21" t="s">
        <v>1540</v>
      </c>
      <c r="Z21" s="4" t="s">
        <v>1010</v>
      </c>
      <c r="AA21" t="s">
        <v>1011</v>
      </c>
      <c r="AB21" s="3" t="s">
        <v>1534</v>
      </c>
      <c r="AC21" s="2">
        <f>HYPERLINK("http://exon.niaid.nih.gov/transcriptome/O_fasciatus/Sup_tab1/links/GO\of-new-contig_8-GO.txt",0.00005)</f>
        <v>0</v>
      </c>
      <c r="AD21" s="4" t="s">
        <v>1541</v>
      </c>
      <c r="AE21" t="s">
        <v>1542</v>
      </c>
      <c r="AF21">
        <v>0.023</v>
      </c>
      <c r="AG21" s="4" t="s">
        <v>547</v>
      </c>
      <c r="AH21" t="s">
        <v>547</v>
      </c>
      <c r="AI21" t="s">
        <v>547</v>
      </c>
      <c r="AJ21" s="4" t="s">
        <v>547</v>
      </c>
      <c r="AK21" t="s">
        <v>547</v>
      </c>
      <c r="AL21" t="s">
        <v>547</v>
      </c>
      <c r="AM21" s="3" t="s">
        <v>547</v>
      </c>
      <c r="AN21" s="2" t="s">
        <v>547</v>
      </c>
      <c r="AO21" t="s">
        <v>547</v>
      </c>
      <c r="AP21" s="3" t="str">
        <f>HYPERLINK("http://exon.niaid.nih.gov/transcriptome/O_fasciatus/Sup_tab1/links/CDD\of-new-contig_8-CDD.txt","CY")</f>
        <v>CY</v>
      </c>
      <c r="AQ21" s="2" t="str">
        <f>HYPERLINK("http://www.ncbi.nlm.nih.gov/Structure/cdd/cddsrv.cgi?uid=cd00042&amp;version=v4.0","5E-011")</f>
        <v>5E-011</v>
      </c>
      <c r="AR21" t="s">
        <v>1543</v>
      </c>
      <c r="AS21" s="3" t="str">
        <f>HYPERLINK("http://exon.niaid.nih.gov/transcriptome/O_fasciatus/Sup_tab1/links/PFAM\of-new-contig_8-PFAM.txt","Cystatin")</f>
        <v>Cystatin</v>
      </c>
      <c r="AT21" s="2" t="str">
        <f>HYPERLINK("http://pfam.wustl.edu/cgi-bin/getdesc?acc=PF00031","3E-008")</f>
        <v>3E-008</v>
      </c>
      <c r="AU21" s="3" t="str">
        <f>HYPERLINK("http://exon.niaid.nih.gov/transcriptome/O_fasciatus/Sup_tab1/links/SMART\of-new-contig_8-SMART.txt","CY")</f>
        <v>CY</v>
      </c>
      <c r="AV21" s="2" t="str">
        <f>HYPERLINK("http://smart.embl-heidelberg.de/smart/do_annotation.pl?DOMAIN=CY&amp;BLAST=DUMMY","1E-011")</f>
        <v>1E-011</v>
      </c>
      <c r="AW21" s="3" t="s">
        <v>547</v>
      </c>
      <c r="AX21" s="2" t="s">
        <v>547</v>
      </c>
      <c r="AY21" s="3" t="s">
        <v>547</v>
      </c>
      <c r="AZ21" s="2" t="s">
        <v>547</v>
      </c>
    </row>
    <row r="22" spans="1:52" ht="11.25">
      <c r="A22" t="str">
        <f>HYPERLINK("http://exon.niaid.nih.gov/transcriptome/O_fasciatus/Sup_tab1/links/of-new\of-new-contig_126.txt","of-new-contig_126")</f>
        <v>of-new-contig_126</v>
      </c>
      <c r="B22" t="str">
        <f>HYPERLINK("http://exon.niaid.nih.gov/transcriptome/O_fasciatus/Sup_tab1/links/of-new\of-new-5-64-64-asb-126.txt","Contig-126")</f>
        <v>Contig-126</v>
      </c>
      <c r="C22" t="str">
        <f>HYPERLINK("http://exon.niaid.nih.gov/transcriptome/O_fasciatus/Sup_tab1/links/of-new\of-new-5-64-64-126-CLU.txt","Contig126")</f>
        <v>Contig126</v>
      </c>
      <c r="D22">
        <v>2</v>
      </c>
      <c r="E22">
        <v>614</v>
      </c>
      <c r="F22" t="str">
        <f>HYPERLINK("http://exon.niaid.nih.gov/transcriptome/O_fasciatus/Sup_tab1/links/of-new\of-new-5-64-64-126-qual.txt","74.7")</f>
        <v>74.7</v>
      </c>
      <c r="G22">
        <v>0.2</v>
      </c>
      <c r="H22">
        <v>59.3</v>
      </c>
      <c r="I22">
        <v>595</v>
      </c>
      <c r="J22">
        <v>126</v>
      </c>
      <c r="K22" t="s">
        <v>1205</v>
      </c>
      <c r="L22">
        <v>595</v>
      </c>
      <c r="M22" s="3" t="str">
        <f>HYPERLINK("http://exon.niaid.nih.gov/transcriptome/O_fasciatus/Sup_tab1/links/NR\of-new-contig_126-NR.txt","ENSANGP00000018532")</f>
        <v>ENSANGP00000018532</v>
      </c>
      <c r="N22" s="2" t="str">
        <f>HYPERLINK("http://www.ncbi.nlm.nih.gov/sutils/blink.cgi?pid=116131573","0.002")</f>
        <v>0.002</v>
      </c>
      <c r="O22" t="s">
        <v>53</v>
      </c>
      <c r="P22">
        <v>64</v>
      </c>
      <c r="Q22">
        <v>232</v>
      </c>
      <c r="R22">
        <v>34</v>
      </c>
      <c r="S22">
        <v>28</v>
      </c>
      <c r="T22">
        <v>17</v>
      </c>
      <c r="U22">
        <v>32</v>
      </c>
      <c r="V22">
        <v>2</v>
      </c>
      <c r="W22" t="s">
        <v>1412</v>
      </c>
      <c r="X22" t="s">
        <v>1628</v>
      </c>
      <c r="Y22" t="s">
        <v>892</v>
      </c>
      <c r="Z22" s="4" t="s">
        <v>1078</v>
      </c>
      <c r="AA22" t="s">
        <v>1079</v>
      </c>
      <c r="AB22" s="3" t="s">
        <v>547</v>
      </c>
      <c r="AC22" s="2" t="s">
        <v>547</v>
      </c>
      <c r="AD22" s="4" t="s">
        <v>547</v>
      </c>
      <c r="AE22" t="s">
        <v>547</v>
      </c>
      <c r="AF22" t="s">
        <v>547</v>
      </c>
      <c r="AG22" s="4" t="s">
        <v>547</v>
      </c>
      <c r="AH22" t="s">
        <v>547</v>
      </c>
      <c r="AI22" t="s">
        <v>547</v>
      </c>
      <c r="AJ22" s="4" t="s">
        <v>547</v>
      </c>
      <c r="AK22" t="s">
        <v>547</v>
      </c>
      <c r="AL22" t="s">
        <v>547</v>
      </c>
      <c r="AM22" s="3" t="str">
        <f>HYPERLINK("http://exon.niaid.nih.gov/transcriptome/O_fasciatus/Sup_tab1/links/KOG\of-new-contig_126-KOG.txt","Ultrahigh sulfur keratin-associated protein")</f>
        <v>Ultrahigh sulfur keratin-associated protein</v>
      </c>
      <c r="AN22" s="2" t="str">
        <f>HYPERLINK("http://www.ncbi.nlm.nih.gov/COG/new/shokog.cgi?KOG4726","0.012")</f>
        <v>0.012</v>
      </c>
      <c r="AO22" t="s">
        <v>293</v>
      </c>
      <c r="AP22" s="3" t="str">
        <f>HYPERLINK("http://exon.niaid.nih.gov/transcriptome/O_fasciatus/Sup_tab1/links/CDD\of-new-contig_126-CDD.txt","VWC_out")</f>
        <v>VWC_out</v>
      </c>
      <c r="AQ22" s="2" t="str">
        <f>HYPERLINK("http://www.ncbi.nlm.nih.gov/Structure/cdd/cddsrv.cgi?uid=smart00215&amp;version=v4.0","3E-004")</f>
        <v>3E-004</v>
      </c>
      <c r="AR22" t="s">
        <v>893</v>
      </c>
      <c r="AS22" s="3" t="str">
        <f>HYPERLINK("http://exon.niaid.nih.gov/transcriptome/O_fasciatus/Sup_tab1/links/PFAM\of-new-contig_126-PFAM.txt","Pacifastin_I")</f>
        <v>Pacifastin_I</v>
      </c>
      <c r="AT22" s="2" t="str">
        <f>HYPERLINK("http://pfam.wustl.edu/cgi-bin/getdesc?acc=PF05375","9E-008")</f>
        <v>9E-008</v>
      </c>
      <c r="AU22" s="3" t="str">
        <f>HYPERLINK("http://exon.niaid.nih.gov/transcriptome/O_fasciatus/Sup_tab1/links/SMART\of-new-contig_126-SMART.txt","VWC_out")</f>
        <v>VWC_out</v>
      </c>
      <c r="AV22" s="2" t="str">
        <f>HYPERLINK("http://smart.embl-heidelberg.de/smart/do_annotation.pl?DOMAIN=VWC_out&amp;BLAST=DUMMY","6E-006")</f>
        <v>6E-006</v>
      </c>
      <c r="AW22" s="3" t="s">
        <v>547</v>
      </c>
      <c r="AX22" s="2" t="s">
        <v>547</v>
      </c>
      <c r="AY22" s="3" t="s">
        <v>547</v>
      </c>
      <c r="AZ22" s="2" t="s">
        <v>547</v>
      </c>
    </row>
    <row r="23" s="12" customFormat="1" ht="11.25">
      <c r="A23" s="11" t="s">
        <v>67</v>
      </c>
    </row>
    <row r="24" spans="1:52" ht="11.25">
      <c r="A24" t="str">
        <f>HYPERLINK("http://exon.niaid.nih.gov/transcriptome/O_fasciatus/Sup_tab1/links/of-new\of-new-contig_3.txt","of-new-contig_3")</f>
        <v>of-new-contig_3</v>
      </c>
      <c r="B24" t="str">
        <f>HYPERLINK("http://exon.niaid.nih.gov/transcriptome/O_fasciatus/Sup_tab1/links/of-new\of-new-5-64-64-asb-3.txt","Contig-3")</f>
        <v>Contig-3</v>
      </c>
      <c r="C24" t="str">
        <f>HYPERLINK("http://exon.niaid.nih.gov/transcriptome/O_fasciatus/Sup_tab1/links/of-new\of-new-5-64-64-3-CLU.txt","Contig3")</f>
        <v>Contig3</v>
      </c>
      <c r="D24">
        <v>52</v>
      </c>
      <c r="E24">
        <v>656</v>
      </c>
      <c r="F24" t="str">
        <f>HYPERLINK("http://exon.niaid.nih.gov/transcriptome/O_fasciatus/Sup_tab1/links/of-new\of-new-5-64-64-3-qual.txt","92.")</f>
        <v>92.</v>
      </c>
      <c r="G24" t="s">
        <v>541</v>
      </c>
      <c r="H24">
        <v>63.7</v>
      </c>
      <c r="I24">
        <v>446</v>
      </c>
      <c r="J24">
        <v>3</v>
      </c>
      <c r="K24" t="s">
        <v>544</v>
      </c>
      <c r="L24">
        <v>618</v>
      </c>
      <c r="M24" s="3" t="str">
        <f>HYPERLINK("http://exon.niaid.nih.gov/transcriptome/O_fasciatus/Sup_tab1/links/NR\of-new-contig_3-NR.txt","lipoprotein, putative [Pseudomonas fluorescens Pf-5]")</f>
        <v>lipoprotein, putative [Pseudomonas fluorescens Pf-5]</v>
      </c>
      <c r="N24" s="2" t="str">
        <f>HYPERLINK("http://www.ncbi.nlm.nih.gov/sutils/blink.cgi?pid=70728812","0.003")</f>
        <v>0.003</v>
      </c>
      <c r="O24" t="s">
        <v>1432</v>
      </c>
      <c r="P24">
        <v>87</v>
      </c>
      <c r="Q24">
        <v>131</v>
      </c>
      <c r="R24">
        <v>37</v>
      </c>
      <c r="S24">
        <v>66</v>
      </c>
      <c r="T24">
        <v>6</v>
      </c>
      <c r="U24">
        <v>69</v>
      </c>
      <c r="V24">
        <v>1</v>
      </c>
      <c r="W24" t="s">
        <v>1412</v>
      </c>
      <c r="X24" t="s">
        <v>1433</v>
      </c>
      <c r="Y24" t="s">
        <v>1517</v>
      </c>
      <c r="Z24" s="4" t="s">
        <v>1006</v>
      </c>
      <c r="AA24" t="s">
        <v>1007</v>
      </c>
      <c r="AB24" s="3" t="s">
        <v>1427</v>
      </c>
      <c r="AC24" s="2">
        <f>HYPERLINK("http://exon.niaid.nih.gov/transcriptome/O_fasciatus/Sup_tab1/links/GO\of-new-contig_3-GO.txt",0.077)</f>
        <v>0</v>
      </c>
      <c r="AD24" s="4" t="s">
        <v>547</v>
      </c>
      <c r="AE24" t="s">
        <v>547</v>
      </c>
      <c r="AF24" t="s">
        <v>547</v>
      </c>
      <c r="AG24" s="4" t="s">
        <v>1428</v>
      </c>
      <c r="AH24" t="s">
        <v>1429</v>
      </c>
      <c r="AI24">
        <v>0.077</v>
      </c>
      <c r="AJ24" s="4" t="s">
        <v>547</v>
      </c>
      <c r="AK24" t="s">
        <v>547</v>
      </c>
      <c r="AL24" t="s">
        <v>547</v>
      </c>
      <c r="AM24" s="3" t="str">
        <f>HYPERLINK("http://exon.niaid.nih.gov/transcriptome/O_fasciatus/Sup_tab1/links/KOG\of-new-contig_3-KOG.txt","TPR-containing nuclear phosphoprotein that regulates K(+) uptake")</f>
        <v>TPR-containing nuclear phosphoprotein that regulates K(+) uptake</v>
      </c>
      <c r="AN24" s="2" t="str">
        <f>HYPERLINK("http://www.ncbi.nlm.nih.gov/COG/new/shokog.cgi?KOG2002","0.18")</f>
        <v>0.18</v>
      </c>
      <c r="AO24" t="s">
        <v>1518</v>
      </c>
      <c r="AP24" s="3" t="str">
        <f>HYPERLINK("http://exon.niaid.nih.gov/transcriptome/O_fasciatus/Sup_tab1/links/CDD\of-new-contig_3-CDD.txt","Peptidase_U34")</f>
        <v>Peptidase_U34</v>
      </c>
      <c r="AQ24" s="2" t="str">
        <f>HYPERLINK("http://www.ncbi.nlm.nih.gov/Structure/cdd/cddsrv.cgi?uid=pfam03577&amp;version=v4.0","0.48")</f>
        <v>0.48</v>
      </c>
      <c r="AR24" t="s">
        <v>1519</v>
      </c>
      <c r="AS24" s="3" t="str">
        <f>HYPERLINK("http://exon.niaid.nih.gov/transcriptome/O_fasciatus/Sup_tab1/links/PFAM\of-new-contig_3-PFAM.txt","Peptidase_U34")</f>
        <v>Peptidase_U34</v>
      </c>
      <c r="AT24" s="2" t="str">
        <f>HYPERLINK("http://pfam.wustl.edu/cgi-bin/getdesc?acc=PF03577","0.24")</f>
        <v>0.24</v>
      </c>
      <c r="AU24" s="3" t="str">
        <f>HYPERLINK("http://exon.niaid.nih.gov/transcriptome/O_fasciatus/Sup_tab1/links/SMART\of-new-contig_3-SMART.txt","NUC")</f>
        <v>NUC</v>
      </c>
      <c r="AV24" s="2" t="str">
        <f>HYPERLINK("http://smart.embl-heidelberg.de/smart/do_annotation.pl?DOMAIN=NUC&amp;BLAST=DUMMY","0.18")</f>
        <v>0.18</v>
      </c>
      <c r="AW24" s="3" t="s">
        <v>547</v>
      </c>
      <c r="AX24" s="2" t="s">
        <v>547</v>
      </c>
      <c r="AY24" s="3" t="s">
        <v>547</v>
      </c>
      <c r="AZ24" s="2" t="s">
        <v>547</v>
      </c>
    </row>
    <row r="25" spans="1:52" ht="11.25">
      <c r="A25" t="str">
        <f>HYPERLINK("http://exon.niaid.nih.gov/transcriptome/O_fasciatus/Sup_tab1/links/of-new\of-new-contig_2.txt","of-new-contig_2")</f>
        <v>of-new-contig_2</v>
      </c>
      <c r="B25" t="str">
        <f>HYPERLINK("http://exon.niaid.nih.gov/transcriptome/O_fasciatus/Sup_tab1/links/of-new\of-new-5-64-64-asb-2.txt","Contig-2")</f>
        <v>Contig-2</v>
      </c>
      <c r="C25" t="str">
        <f>HYPERLINK("http://exon.niaid.nih.gov/transcriptome/O_fasciatus/Sup_tab1/links/of-new\of-new-5-64-64-2-CLU.txt","Contig2")</f>
        <v>Contig2</v>
      </c>
      <c r="D25">
        <v>22</v>
      </c>
      <c r="E25">
        <v>669</v>
      </c>
      <c r="F25" t="str">
        <f>HYPERLINK("http://exon.niaid.nih.gov/transcriptome/O_fasciatus/Sup_tab1/links/of-new\of-new-5-64-64-2-qual.txt","71.1")</f>
        <v>71.1</v>
      </c>
      <c r="G25" t="s">
        <v>541</v>
      </c>
      <c r="H25">
        <v>52.2</v>
      </c>
      <c r="I25">
        <v>447</v>
      </c>
      <c r="J25">
        <v>2</v>
      </c>
      <c r="K25" t="s">
        <v>543</v>
      </c>
      <c r="L25">
        <v>449</v>
      </c>
      <c r="M25" s="3" t="str">
        <f>HYPERLINK("http://exon.niaid.nih.gov/transcriptome/O_fasciatus/Sup_tab1/links/NR\of-new-contig_2-NR.txt","SJCHGC09076 protein")</f>
        <v>SJCHGC09076 protein</v>
      </c>
      <c r="N25" s="2" t="str">
        <f>HYPERLINK("http://www.ncbi.nlm.nih.gov/sutils/blink.cgi?pid=56756781","7E-004")</f>
        <v>7E-004</v>
      </c>
      <c r="O25" t="s">
        <v>1424</v>
      </c>
      <c r="P25">
        <v>38</v>
      </c>
      <c r="Q25">
        <v>109</v>
      </c>
      <c r="R25">
        <v>63</v>
      </c>
      <c r="S25">
        <v>35</v>
      </c>
      <c r="T25">
        <v>45</v>
      </c>
      <c r="U25">
        <v>556</v>
      </c>
      <c r="V25">
        <v>1</v>
      </c>
      <c r="W25" t="s">
        <v>1412</v>
      </c>
      <c r="X25" t="s">
        <v>1425</v>
      </c>
      <c r="Y25" t="s">
        <v>1426</v>
      </c>
      <c r="Z25" s="4" t="s">
        <v>1006</v>
      </c>
      <c r="AA25" t="s">
        <v>1007</v>
      </c>
      <c r="AB25" s="3" t="s">
        <v>1427</v>
      </c>
      <c r="AC25" s="2">
        <f>HYPERLINK("http://exon.niaid.nih.gov/transcriptome/O_fasciatus/Sup_tab1/links/GO\of-new-contig_2-GO.txt",0.079)</f>
        <v>0</v>
      </c>
      <c r="AD25" s="4" t="s">
        <v>547</v>
      </c>
      <c r="AE25" t="s">
        <v>547</v>
      </c>
      <c r="AF25" t="s">
        <v>547</v>
      </c>
      <c r="AG25" s="4" t="s">
        <v>1428</v>
      </c>
      <c r="AH25" t="s">
        <v>1429</v>
      </c>
      <c r="AI25">
        <v>0.079</v>
      </c>
      <c r="AJ25" s="4" t="s">
        <v>547</v>
      </c>
      <c r="AK25" t="s">
        <v>547</v>
      </c>
      <c r="AL25" t="s">
        <v>547</v>
      </c>
      <c r="AM25" s="3" t="str">
        <f>HYPERLINK("http://exon.niaid.nih.gov/transcriptome/O_fasciatus/Sup_tab1/links/KOG\of-new-contig_2-KOG.txt","Pyruvate carboxylase")</f>
        <v>Pyruvate carboxylase</v>
      </c>
      <c r="AN25" s="2" t="str">
        <f>HYPERLINK("http://www.ncbi.nlm.nih.gov/COG/new/shokog.cgi?KOG0369","0.090")</f>
        <v>0.090</v>
      </c>
      <c r="AO25" t="s">
        <v>1430</v>
      </c>
      <c r="AP25" s="3" t="str">
        <f>HYPERLINK("http://exon.niaid.nih.gov/transcriptome/O_fasciatus/Sup_tab1/links/CDD\of-new-contig_2-CDD.txt","Sporozoite_P67")</f>
        <v>Sporozoite_P67</v>
      </c>
      <c r="AQ25" s="2" t="str">
        <f>HYPERLINK("http://www.ncbi.nlm.nih.gov/Structure/cdd/cddsrv.cgi?uid=pfam05642&amp;version=v4.0","0.20")</f>
        <v>0.20</v>
      </c>
      <c r="AR25" t="s">
        <v>1431</v>
      </c>
      <c r="AS25" s="3" t="str">
        <f>HYPERLINK("http://exon.niaid.nih.gov/transcriptome/O_fasciatus/Sup_tab1/links/PFAM\of-new-contig_2-PFAM.txt","Sporozoite_P67")</f>
        <v>Sporozoite_P67</v>
      </c>
      <c r="AT25" s="2" t="str">
        <f>HYPERLINK("http://pfam.wustl.edu/cgi-bin/getdesc?acc=PF05642","0.10")</f>
        <v>0.10</v>
      </c>
      <c r="AU25" s="3" t="str">
        <f>HYPERLINK("http://exon.niaid.nih.gov/transcriptome/O_fasciatus/Sup_tab1/links/SMART\of-new-contig_2-SMART.txt","NUC")</f>
        <v>NUC</v>
      </c>
      <c r="AV25" s="2" t="str">
        <f>HYPERLINK("http://smart.embl-heidelberg.de/smart/do_annotation.pl?DOMAIN=NUC&amp;BLAST=DUMMY","0.18")</f>
        <v>0.18</v>
      </c>
      <c r="AW25" s="3" t="s">
        <v>547</v>
      </c>
      <c r="AX25" s="2" t="s">
        <v>547</v>
      </c>
      <c r="AY25" s="3" t="s">
        <v>547</v>
      </c>
      <c r="AZ25" s="2" t="s">
        <v>547</v>
      </c>
    </row>
    <row r="26" spans="1:52" ht="11.25">
      <c r="A26" t="str">
        <f>HYPERLINK("http://exon.niaid.nih.gov/transcriptome/O_fasciatus/Sup_tab1/links/of-new\of-new-contig_4.txt","of-new-contig_4")</f>
        <v>of-new-contig_4</v>
      </c>
      <c r="B26" t="str">
        <f>HYPERLINK("http://exon.niaid.nih.gov/transcriptome/O_fasciatus/Sup_tab1/links/of-new\of-new-5-64-64-asb-4.txt","Contig-4")</f>
        <v>Contig-4</v>
      </c>
      <c r="C26" t="str">
        <f>HYPERLINK("http://exon.niaid.nih.gov/transcriptome/O_fasciatus/Sup_tab1/links/of-new\of-new-5-64-64-4-CLU.txt","Contig4")</f>
        <v>Contig4</v>
      </c>
      <c r="D26">
        <v>3</v>
      </c>
      <c r="E26">
        <v>634</v>
      </c>
      <c r="F26" t="str">
        <f>HYPERLINK("http://exon.niaid.nih.gov/transcriptome/O_fasciatus/Sup_tab1/links/of-new\of-new-5-64-64-4-qual.txt","87.6")</f>
        <v>87.6</v>
      </c>
      <c r="G26">
        <v>0.5</v>
      </c>
      <c r="H26">
        <v>64.2</v>
      </c>
      <c r="I26">
        <v>615</v>
      </c>
      <c r="J26">
        <v>4</v>
      </c>
      <c r="K26" t="s">
        <v>545</v>
      </c>
      <c r="L26">
        <v>614</v>
      </c>
      <c r="M26" s="3" t="str">
        <f>HYPERLINK("http://exon.niaid.nih.gov/transcriptome/O_fasciatus/Sup_tab1/links/NR\of-new-contig_4-NR.txt","lipoprotein, putative [Pseudomonas fluorescens Pf-5]")</f>
        <v>lipoprotein, putative [Pseudomonas fluorescens Pf-5]</v>
      </c>
      <c r="N26" s="2" t="str">
        <f>HYPERLINK("http://www.ncbi.nlm.nih.gov/sutils/blink.cgi?pid=70728812","0.001")</f>
        <v>0.001</v>
      </c>
      <c r="O26" t="s">
        <v>1432</v>
      </c>
      <c r="P26">
        <v>87</v>
      </c>
      <c r="Q26">
        <v>131</v>
      </c>
      <c r="R26">
        <v>37</v>
      </c>
      <c r="S26">
        <v>66</v>
      </c>
      <c r="T26">
        <v>6</v>
      </c>
      <c r="U26">
        <v>46</v>
      </c>
      <c r="V26">
        <v>1</v>
      </c>
      <c r="W26" t="s">
        <v>1412</v>
      </c>
      <c r="X26" t="s">
        <v>1433</v>
      </c>
      <c r="Y26" t="s">
        <v>1520</v>
      </c>
      <c r="Z26" s="4" t="s">
        <v>1006</v>
      </c>
      <c r="AA26" t="s">
        <v>1007</v>
      </c>
      <c r="AB26" s="3" t="s">
        <v>1427</v>
      </c>
      <c r="AC26" s="2">
        <f>HYPERLINK("http://exon.niaid.nih.gov/transcriptome/O_fasciatus/Sup_tab1/links/GO\of-new-contig_4-GO.txt",0.072)</f>
        <v>0</v>
      </c>
      <c r="AD26" s="4" t="s">
        <v>547</v>
      </c>
      <c r="AE26" t="s">
        <v>547</v>
      </c>
      <c r="AF26" t="s">
        <v>547</v>
      </c>
      <c r="AG26" s="4" t="s">
        <v>1428</v>
      </c>
      <c r="AH26" t="s">
        <v>1429</v>
      </c>
      <c r="AI26">
        <v>0.072</v>
      </c>
      <c r="AJ26" s="4" t="s">
        <v>547</v>
      </c>
      <c r="AK26" t="s">
        <v>547</v>
      </c>
      <c r="AL26" t="s">
        <v>547</v>
      </c>
      <c r="AM26" s="3" t="str">
        <f>HYPERLINK("http://exon.niaid.nih.gov/transcriptome/O_fasciatus/Sup_tab1/links/KOG\of-new-contig_4-KOG.txt","Predicted G-protein coupled receptor")</f>
        <v>Predicted G-protein coupled receptor</v>
      </c>
      <c r="AN26" s="2" t="str">
        <f>HYPERLINK("http://www.ncbi.nlm.nih.gov/COG/new/shokog.cgi?KOG2417","0.14")</f>
        <v>0.14</v>
      </c>
      <c r="AO26" t="s">
        <v>1521</v>
      </c>
      <c r="AP26" s="3" t="str">
        <f>HYPERLINK("http://exon.niaid.nih.gov/transcriptome/O_fasciatus/Sup_tab1/links/CDD\of-new-contig_4-CDD.txt","COG5273")</f>
        <v>COG5273</v>
      </c>
      <c r="AQ26" s="2" t="str">
        <f>HYPERLINK("http://www.ncbi.nlm.nih.gov/Structure/cdd/cddsrv.cgi?uid=COG5273&amp;version=v4.0","0.10")</f>
        <v>0.10</v>
      </c>
      <c r="AR26" t="s">
        <v>1522</v>
      </c>
      <c r="AS26" s="3" t="str">
        <f>HYPERLINK("http://exon.niaid.nih.gov/transcriptome/O_fasciatus/Sup_tab1/links/PFAM\of-new-contig_4-PFAM.txt","Sre")</f>
        <v>Sre</v>
      </c>
      <c r="AT26" s="2" t="str">
        <f>HYPERLINK("http://pfam.wustl.edu/cgi-bin/getdesc?acc=PF03125","0.075")</f>
        <v>0.075</v>
      </c>
      <c r="AU26" s="3" t="str">
        <f>HYPERLINK("http://exon.niaid.nih.gov/transcriptome/O_fasciatus/Sup_tab1/links/SMART\of-new-contig_4-SMART.txt","PSN")</f>
        <v>PSN</v>
      </c>
      <c r="AV26" s="2" t="str">
        <f>HYPERLINK("http://smart.embl-heidelberg.de/smart/do_annotation.pl?DOMAIN=PSN&amp;BLAST=DUMMY","0.009")</f>
        <v>0.009</v>
      </c>
      <c r="AW26" s="3" t="s">
        <v>547</v>
      </c>
      <c r="AX26" s="2" t="s">
        <v>547</v>
      </c>
      <c r="AY26" s="3" t="s">
        <v>547</v>
      </c>
      <c r="AZ26" s="2" t="s">
        <v>547</v>
      </c>
    </row>
    <row r="27" s="12" customFormat="1" ht="11.25">
      <c r="A27" s="11" t="s">
        <v>63</v>
      </c>
    </row>
    <row r="28" spans="1:52" ht="11.25">
      <c r="A28" t="str">
        <f>HYPERLINK("http://exon.niaid.nih.gov/transcriptome/O_fasciatus/Sup_tab1/links/of-new\of-new-contig_163.txt","of-new-contig_163")</f>
        <v>of-new-contig_163</v>
      </c>
      <c r="B28" t="str">
        <f>HYPERLINK("http://exon.niaid.nih.gov/transcriptome/O_fasciatus/Sup_tab1/links/of-new\of-new-5-64-64-asb-163.txt","Contig-163")</f>
        <v>Contig-163</v>
      </c>
      <c r="C28" t="str">
        <f>HYPERLINK("http://exon.niaid.nih.gov/transcriptome/O_fasciatus/Sup_tab1/links/of-new\of-new-5-64-64-163-CLU.txt","Contig163")</f>
        <v>Contig163</v>
      </c>
      <c r="D28">
        <v>1</v>
      </c>
      <c r="E28">
        <v>296</v>
      </c>
      <c r="F28" t="str">
        <f>HYPERLINK("http://exon.niaid.nih.gov/transcriptome/O_fasciatus/Sup_tab1/links/of-new\of-new-5-64-64-163-qual.txt","38.1")</f>
        <v>38.1</v>
      </c>
      <c r="G28">
        <v>0.3</v>
      </c>
      <c r="H28">
        <v>57.1</v>
      </c>
      <c r="I28">
        <v>277</v>
      </c>
      <c r="J28">
        <v>163</v>
      </c>
      <c r="K28" t="s">
        <v>1241</v>
      </c>
      <c r="L28">
        <v>277</v>
      </c>
      <c r="M28" s="3" t="str">
        <f>HYPERLINK("http://exon.niaid.nih.gov/transcriptome/O_fasciatus/Sup_tab1/links/NR\of-new-contig_163-NR.txt","serine protease")</f>
        <v>serine protease</v>
      </c>
      <c r="N28" s="2" t="str">
        <f>HYPERLINK("http://www.ncbi.nlm.nih.gov/sutils/blink.cgi?pid=16304416","2E-015")</f>
        <v>2E-015</v>
      </c>
      <c r="O28" t="s">
        <v>483</v>
      </c>
      <c r="P28">
        <v>70</v>
      </c>
      <c r="Q28">
        <v>293</v>
      </c>
      <c r="R28">
        <v>51</v>
      </c>
      <c r="S28">
        <v>24</v>
      </c>
      <c r="T28">
        <v>224</v>
      </c>
      <c r="U28">
        <v>22</v>
      </c>
      <c r="V28">
        <v>1</v>
      </c>
      <c r="W28" t="s">
        <v>1412</v>
      </c>
      <c r="X28" t="s">
        <v>484</v>
      </c>
      <c r="Y28" t="s">
        <v>485</v>
      </c>
      <c r="Z28" s="4" t="s">
        <v>1089</v>
      </c>
      <c r="AA28" t="s">
        <v>1090</v>
      </c>
      <c r="AB28" s="3" t="s">
        <v>486</v>
      </c>
      <c r="AC28" s="2">
        <f>HYPERLINK("http://exon.niaid.nih.gov/transcriptome/O_fasciatus/Sup_tab1/links/GO\of-new-contig_163-GO.txt",0.00000002)</f>
        <v>0</v>
      </c>
      <c r="AD28" s="4" t="s">
        <v>487</v>
      </c>
      <c r="AE28" t="s">
        <v>488</v>
      </c>
      <c r="AF28">
        <v>2E-08</v>
      </c>
      <c r="AG28" s="4" t="s">
        <v>847</v>
      </c>
      <c r="AH28" t="s">
        <v>848</v>
      </c>
      <c r="AI28">
        <v>2E-08</v>
      </c>
      <c r="AJ28" s="4" t="s">
        <v>489</v>
      </c>
      <c r="AK28" t="s">
        <v>490</v>
      </c>
      <c r="AL28">
        <v>2E-08</v>
      </c>
      <c r="AM28" s="3" t="str">
        <f>HYPERLINK("http://exon.niaid.nih.gov/transcriptome/O_fasciatus/Sup_tab1/links/KOG\of-new-contig_163-KOG.txt","Trypsin")</f>
        <v>Trypsin</v>
      </c>
      <c r="AN28" s="2" t="str">
        <f>HYPERLINK("http://www.ncbi.nlm.nih.gov/COG/new/shokog.cgi?KOG3627","2E-012")</f>
        <v>2E-012</v>
      </c>
      <c r="AO28" t="s">
        <v>1688</v>
      </c>
      <c r="AP28" s="3" t="str">
        <f>HYPERLINK("http://exon.niaid.nih.gov/transcriptome/O_fasciatus/Sup_tab1/links/CDD\of-new-contig_163-CDD.txt","Tryp_SPc")</f>
        <v>Tryp_SPc</v>
      </c>
      <c r="AQ28" s="2" t="str">
        <f>HYPERLINK("http://www.ncbi.nlm.nih.gov/Structure/cdd/cddsrv.cgi?uid=cd00190&amp;version=v4.0","3E-014")</f>
        <v>3E-014</v>
      </c>
      <c r="AR28" t="s">
        <v>491</v>
      </c>
      <c r="AS28" s="3" t="str">
        <f>HYPERLINK("http://exon.niaid.nih.gov/transcriptome/O_fasciatus/Sup_tab1/links/PFAM\of-new-contig_163-PFAM.txt","Trypsin")</f>
        <v>Trypsin</v>
      </c>
      <c r="AT28" s="2" t="str">
        <f>HYPERLINK("http://pfam.wustl.edu/cgi-bin/getdesc?acc=PF00089","5E-010")</f>
        <v>5E-010</v>
      </c>
      <c r="AU28" s="3" t="str">
        <f>HYPERLINK("http://exon.niaid.nih.gov/transcriptome/O_fasciatus/Sup_tab1/links/SMART\of-new-contig_163-SMART.txt","Tryp_SPc")</f>
        <v>Tryp_SPc</v>
      </c>
      <c r="AV28" s="2" t="str">
        <f>HYPERLINK("http://smart.embl-heidelberg.de/smart/do_annotation.pl?DOMAIN=Tryp_SPc&amp;BLAST=DUMMY","1E-014")</f>
        <v>1E-014</v>
      </c>
      <c r="AW28" s="3" t="s">
        <v>547</v>
      </c>
      <c r="AX28" s="2" t="s">
        <v>547</v>
      </c>
      <c r="AY28" s="3" t="s">
        <v>547</v>
      </c>
      <c r="AZ28" s="2" t="s">
        <v>547</v>
      </c>
    </row>
    <row r="29" spans="1:52" ht="11.25">
      <c r="A29" t="str">
        <f>HYPERLINK("http://exon.niaid.nih.gov/transcriptome/O_fasciatus/Sup_tab1/links/of-new\of-new-contig_42.txt","of-new-contig_42")</f>
        <v>of-new-contig_42</v>
      </c>
      <c r="B29" t="str">
        <f>HYPERLINK("http://exon.niaid.nih.gov/transcriptome/O_fasciatus/Sup_tab1/links/of-new\of-new-5-64-64-asb-42.txt","Contig-42")</f>
        <v>Contig-42</v>
      </c>
      <c r="C29" t="str">
        <f>HYPERLINK("http://exon.niaid.nih.gov/transcriptome/O_fasciatus/Sup_tab1/links/of-new\of-new-5-64-64-42-CLU.txt","Contig42")</f>
        <v>Contig42</v>
      </c>
      <c r="D29">
        <v>5</v>
      </c>
      <c r="E29">
        <v>598</v>
      </c>
      <c r="F29" t="str">
        <f>HYPERLINK("http://exon.niaid.nih.gov/transcriptome/O_fasciatus/Sup_tab1/links/of-new\of-new-5-64-64-42-qual.txt","89.2")</f>
        <v>89.2</v>
      </c>
      <c r="G29" t="s">
        <v>541</v>
      </c>
      <c r="H29">
        <v>57.4</v>
      </c>
      <c r="I29">
        <v>554</v>
      </c>
      <c r="J29">
        <v>42</v>
      </c>
      <c r="K29" t="s">
        <v>583</v>
      </c>
      <c r="L29">
        <v>556</v>
      </c>
      <c r="M29" s="3" t="str">
        <f>HYPERLINK("http://exon.niaid.nih.gov/transcriptome/O_fasciatus/Sup_tab1/links/NR\of-new-contig_42-NR.txt","lysosomal acid lipase, putative")</f>
        <v>lysosomal acid lipase, putative</v>
      </c>
      <c r="N29" s="2" t="str">
        <f>HYPERLINK("http://www.ncbi.nlm.nih.gov/sutils/blink.cgi?pid=108871267","2E-011")</f>
        <v>2E-011</v>
      </c>
      <c r="O29" t="s">
        <v>1163</v>
      </c>
      <c r="P29">
        <v>154</v>
      </c>
      <c r="Q29">
        <v>503</v>
      </c>
      <c r="R29">
        <v>30</v>
      </c>
      <c r="S29">
        <v>31</v>
      </c>
      <c r="T29">
        <v>348</v>
      </c>
      <c r="U29">
        <v>63</v>
      </c>
      <c r="V29">
        <v>1</v>
      </c>
      <c r="W29" t="s">
        <v>1412</v>
      </c>
      <c r="X29" t="s">
        <v>1164</v>
      </c>
      <c r="Y29" t="s">
        <v>1165</v>
      </c>
      <c r="Z29" s="4" t="s">
        <v>1041</v>
      </c>
      <c r="AA29" t="s">
        <v>1042</v>
      </c>
      <c r="AB29" s="3" t="s">
        <v>1166</v>
      </c>
      <c r="AC29" s="2">
        <f>HYPERLINK("http://exon.niaid.nih.gov/transcriptome/O_fasciatus/Sup_tab1/links/GO\of-new-contig_42-GO.txt",0.00000000003)</f>
        <v>0</v>
      </c>
      <c r="AD29" s="4" t="s">
        <v>1167</v>
      </c>
      <c r="AE29" t="s">
        <v>1168</v>
      </c>
      <c r="AF29">
        <v>5E-07</v>
      </c>
      <c r="AG29" s="4" t="s">
        <v>1638</v>
      </c>
      <c r="AH29" t="s">
        <v>1639</v>
      </c>
      <c r="AI29">
        <v>5E-07</v>
      </c>
      <c r="AJ29" s="4" t="s">
        <v>1467</v>
      </c>
      <c r="AK29" t="s">
        <v>1468</v>
      </c>
      <c r="AL29">
        <v>5E-07</v>
      </c>
      <c r="AM29" s="3" t="str">
        <f>HYPERLINK("http://exon.niaid.nih.gov/transcriptome/O_fasciatus/Sup_tab1/links/KOG\of-new-contig_42-KOG.txt","Triglyceride lipase-cholesterol esterase")</f>
        <v>Triglyceride lipase-cholesterol esterase</v>
      </c>
      <c r="AN29" s="2" t="str">
        <f>HYPERLINK("http://www.ncbi.nlm.nih.gov/COG/new/shokog.cgi?KOG2624","1E-022")</f>
        <v>1E-022</v>
      </c>
      <c r="AO29" t="s">
        <v>1469</v>
      </c>
      <c r="AP29" s="3" t="str">
        <f>HYPERLINK("http://exon.niaid.nih.gov/transcriptome/O_fasciatus/Sup_tab1/links/CDD\of-new-contig_42-CDD.txt","DAP2")</f>
        <v>DAP2</v>
      </c>
      <c r="AQ29" s="2" t="str">
        <f>HYPERLINK("http://www.ncbi.nlm.nih.gov/Structure/cdd/cddsrv.cgi?uid=COG1506&amp;version=v4.0","0.090")</f>
        <v>0.090</v>
      </c>
      <c r="AR29" t="s">
        <v>1470</v>
      </c>
      <c r="AS29" s="3" t="s">
        <v>547</v>
      </c>
      <c r="AT29" s="2" t="s">
        <v>547</v>
      </c>
      <c r="AU29" s="3" t="str">
        <f>HYPERLINK("http://exon.niaid.nih.gov/transcriptome/O_fasciatus/Sup_tab1/links/SMART\of-new-contig_42-SMART.txt","RGS")</f>
        <v>RGS</v>
      </c>
      <c r="AV29" s="2" t="str">
        <f>HYPERLINK("http://smart.embl-heidelberg.de/smart/do_annotation.pl?DOMAIN=RGS&amp;BLAST=DUMMY","0.33")</f>
        <v>0.33</v>
      </c>
      <c r="AW29" s="3" t="s">
        <v>547</v>
      </c>
      <c r="AX29" s="2" t="s">
        <v>547</v>
      </c>
      <c r="AY29" s="3" t="s">
        <v>547</v>
      </c>
      <c r="AZ29" s="2" t="s">
        <v>547</v>
      </c>
    </row>
    <row r="30" spans="1:52" ht="11.25">
      <c r="A30" t="str">
        <f>HYPERLINK("http://exon.niaid.nih.gov/transcriptome/O_fasciatus/Sup_tab1/links/of-new\of-new-contig_85.txt","of-new-contig_85")</f>
        <v>of-new-contig_85</v>
      </c>
      <c r="B30" t="str">
        <f>HYPERLINK("http://exon.niaid.nih.gov/transcriptome/O_fasciatus/Sup_tab1/links/of-new\of-new-5-64-64-asb-85.txt","Contig-85")</f>
        <v>Contig-85</v>
      </c>
      <c r="C30" t="str">
        <f>HYPERLINK("http://exon.niaid.nih.gov/transcriptome/O_fasciatus/Sup_tab1/links/of-new\of-new-5-64-64-85-CLU.txt","Contig85")</f>
        <v>Contig85</v>
      </c>
      <c r="D30">
        <v>2</v>
      </c>
      <c r="E30">
        <v>471</v>
      </c>
      <c r="F30" t="str">
        <f>HYPERLINK("http://exon.niaid.nih.gov/transcriptome/O_fasciatus/Sup_tab1/links/of-new\of-new-5-64-64-85-qual.txt","72.7")</f>
        <v>72.7</v>
      </c>
      <c r="G30" t="s">
        <v>541</v>
      </c>
      <c r="H30">
        <v>52.9</v>
      </c>
      <c r="I30">
        <v>452</v>
      </c>
      <c r="J30">
        <v>85</v>
      </c>
      <c r="K30" t="s">
        <v>626</v>
      </c>
      <c r="L30">
        <v>452</v>
      </c>
      <c r="M30" s="3" t="str">
        <f>HYPERLINK("http://exon.niaid.nih.gov/transcriptome/O_fasciatus/Sup_tab1/links/NR\of-new-contig_85-NR.txt","chitinase")</f>
        <v>chitinase</v>
      </c>
      <c r="N30" s="2" t="str">
        <f>HYPERLINK("http://www.ncbi.nlm.nih.gov/sutils/blink.cgi?pid=21038943","3E-006")</f>
        <v>3E-006</v>
      </c>
      <c r="O30" t="s">
        <v>1587</v>
      </c>
      <c r="P30">
        <v>129</v>
      </c>
      <c r="Q30">
        <v>2838</v>
      </c>
      <c r="R30">
        <v>29</v>
      </c>
      <c r="S30">
        <v>5</v>
      </c>
      <c r="T30">
        <v>587</v>
      </c>
      <c r="U30">
        <v>3</v>
      </c>
      <c r="V30">
        <v>5</v>
      </c>
      <c r="W30" t="s">
        <v>1412</v>
      </c>
      <c r="X30" t="s">
        <v>1588</v>
      </c>
      <c r="Y30" t="s">
        <v>1589</v>
      </c>
      <c r="Z30" s="4" t="s">
        <v>1004</v>
      </c>
      <c r="AA30" t="s">
        <v>1005</v>
      </c>
      <c r="AB30" s="3" t="s">
        <v>1590</v>
      </c>
      <c r="AC30" s="2">
        <f>HYPERLINK("http://exon.niaid.nih.gov/transcriptome/O_fasciatus/Sup_tab1/links/GO\of-new-contig_85-GO.txt",0.0001)</f>
        <v>0</v>
      </c>
      <c r="AD30" s="4" t="s">
        <v>1591</v>
      </c>
      <c r="AE30" t="s">
        <v>1592</v>
      </c>
      <c r="AF30">
        <v>0.0004</v>
      </c>
      <c r="AG30" s="4" t="s">
        <v>1593</v>
      </c>
      <c r="AH30" t="s">
        <v>1594</v>
      </c>
      <c r="AI30">
        <v>0.0004</v>
      </c>
      <c r="AJ30" s="4" t="s">
        <v>1595</v>
      </c>
      <c r="AK30" t="s">
        <v>1596</v>
      </c>
      <c r="AL30">
        <v>0.0004</v>
      </c>
      <c r="AM30" s="3" t="str">
        <f>HYPERLINK("http://exon.niaid.nih.gov/transcriptome/O_fasciatus/Sup_tab1/links/KOG\of-new-contig_85-KOG.txt","DNA-binding subunit of a DNA-dependent protein kinase (Ku80 autoantigen)")</f>
        <v>DNA-binding subunit of a DNA-dependent protein kinase (Ku80 autoantigen)</v>
      </c>
      <c r="AN30" s="2" t="str">
        <f>HYPERLINK("http://www.ncbi.nlm.nih.gov/COG/new/shokog.cgi?KOG2326","0.025")</f>
        <v>0.025</v>
      </c>
      <c r="AO30" t="s">
        <v>1597</v>
      </c>
      <c r="AP30" s="3" t="str">
        <f>HYPERLINK("http://exon.niaid.nih.gov/transcriptome/O_fasciatus/Sup_tab1/links/CDD\of-new-contig_85-CDD.txt","ChtBD2")</f>
        <v>ChtBD2</v>
      </c>
      <c r="AQ30" s="2" t="str">
        <f>HYPERLINK("http://www.ncbi.nlm.nih.gov/Structure/cdd/cddsrv.cgi?uid=smart00494&amp;version=v4.0","1E-009")</f>
        <v>1E-009</v>
      </c>
      <c r="AR30" t="s">
        <v>1598</v>
      </c>
      <c r="AS30" s="3" t="str">
        <f>HYPERLINK("http://exon.niaid.nih.gov/transcriptome/O_fasciatus/Sup_tab1/links/PFAM\of-new-contig_85-PFAM.txt","CBM_14")</f>
        <v>CBM_14</v>
      </c>
      <c r="AT30" s="2" t="str">
        <f>HYPERLINK("http://pfam.wustl.edu/cgi-bin/getdesc?acc=PF01607","2E-009")</f>
        <v>2E-009</v>
      </c>
      <c r="AU30" s="3" t="str">
        <f>HYPERLINK("http://exon.niaid.nih.gov/transcriptome/O_fasciatus/Sup_tab1/links/SMART\of-new-contig_85-SMART.txt","ChtBD2")</f>
        <v>ChtBD2</v>
      </c>
      <c r="AV30" s="2" t="str">
        <f>HYPERLINK("http://smart.embl-heidelberg.de/smart/do_annotation.pl?DOMAIN=ChtBD2&amp;BLAST=DUMMY","3E-011")</f>
        <v>3E-011</v>
      </c>
      <c r="AW30" s="3" t="s">
        <v>547</v>
      </c>
      <c r="AX30" s="2" t="s">
        <v>547</v>
      </c>
      <c r="AY30" s="3" t="s">
        <v>547</v>
      </c>
      <c r="AZ30" s="2" t="s">
        <v>547</v>
      </c>
    </row>
    <row r="31" s="12" customFormat="1" ht="11.25">
      <c r="A31" s="11" t="s">
        <v>62</v>
      </c>
    </row>
    <row r="32" spans="1:52" ht="11.25">
      <c r="A32" t="str">
        <f>HYPERLINK("http://exon.niaid.nih.gov/transcriptome/O_fasciatus/Sup_tab1/links/of-new\of-new-contig_27.txt","of-new-contig_27")</f>
        <v>of-new-contig_27</v>
      </c>
      <c r="B32" t="str">
        <f>HYPERLINK("http://exon.niaid.nih.gov/transcriptome/O_fasciatus/Sup_tab1/links/of-new\of-new-5-64-64-asb-27.txt","Contig-27")</f>
        <v>Contig-27</v>
      </c>
      <c r="C32" t="str">
        <f>HYPERLINK("http://exon.niaid.nih.gov/transcriptome/O_fasciatus/Sup_tab1/links/of-new\of-new-5-64-64-27-CLU.txt","Contig27")</f>
        <v>Contig27</v>
      </c>
      <c r="D32">
        <v>17</v>
      </c>
      <c r="E32">
        <v>732</v>
      </c>
      <c r="F32" t="str">
        <f>HYPERLINK("http://exon.niaid.nih.gov/transcriptome/O_fasciatus/Sup_tab1/links/of-new\of-new-5-64-64-27-qual.txt","88.5")</f>
        <v>88.5</v>
      </c>
      <c r="G32" t="s">
        <v>541</v>
      </c>
      <c r="H32">
        <v>53.4</v>
      </c>
      <c r="I32">
        <v>560</v>
      </c>
      <c r="J32">
        <v>27</v>
      </c>
      <c r="K32" t="s">
        <v>569</v>
      </c>
      <c r="L32">
        <v>515</v>
      </c>
      <c r="M32" s="3" t="str">
        <f>HYPERLINK("http://exon.niaid.nih.gov/transcriptome/O_fasciatus/Sup_tab1/links/NR\of-new-contig_27-NR.txt","Chain A, 4ank: A Designed Ankyrin Repeat Protein With Four Identical Consensus")</f>
        <v>Chain A, 4ank: A Designed Ankyrin Repeat Protein With Four Identical Consensus</v>
      </c>
      <c r="N32" s="2" t="str">
        <f>HYPERLINK("http://www.ncbi.nlm.nih.gov/sutils/blink.cgi?pid=28373837","4E-028")</f>
        <v>4E-028</v>
      </c>
      <c r="O32" t="s">
        <v>302</v>
      </c>
      <c r="P32">
        <v>124</v>
      </c>
      <c r="Q32">
        <v>126</v>
      </c>
      <c r="R32">
        <v>50</v>
      </c>
      <c r="S32">
        <v>98</v>
      </c>
      <c r="T32">
        <v>1</v>
      </c>
      <c r="U32">
        <v>21</v>
      </c>
      <c r="V32">
        <v>2</v>
      </c>
      <c r="W32" t="s">
        <v>1412</v>
      </c>
      <c r="X32" t="s">
        <v>547</v>
      </c>
      <c r="Y32" t="s">
        <v>303</v>
      </c>
      <c r="Z32" s="4" t="s">
        <v>1027</v>
      </c>
      <c r="AA32" t="s">
        <v>1022</v>
      </c>
      <c r="AB32" s="3" t="s">
        <v>304</v>
      </c>
      <c r="AC32" s="2">
        <f>HYPERLINK("http://exon.niaid.nih.gov/transcriptome/O_fasciatus/Sup_tab1/links/GO\of-new-contig_27-GO.txt",1E-21)</f>
        <v>0</v>
      </c>
      <c r="AD32" s="4" t="s">
        <v>1631</v>
      </c>
      <c r="AE32" t="s">
        <v>1632</v>
      </c>
      <c r="AF32" s="1">
        <v>1E-21</v>
      </c>
      <c r="AG32" s="4" t="s">
        <v>1638</v>
      </c>
      <c r="AH32" t="s">
        <v>1639</v>
      </c>
      <c r="AI32" s="1">
        <v>1E-21</v>
      </c>
      <c r="AJ32" s="4" t="s">
        <v>305</v>
      </c>
      <c r="AK32" t="s">
        <v>858</v>
      </c>
      <c r="AL32" s="1">
        <v>1E-21</v>
      </c>
      <c r="AM32" s="3" t="str">
        <f>HYPERLINK("http://exon.niaid.nih.gov/transcriptome/O_fasciatus/Sup_tab1/links/KOG\of-new-contig_27-KOG.txt","Ankyrin")</f>
        <v>Ankyrin</v>
      </c>
      <c r="AN32" s="2" t="str">
        <f>HYPERLINK("http://www.ncbi.nlm.nih.gov/COG/new/shokog.cgi?KOG4177","1E-026")</f>
        <v>1E-026</v>
      </c>
      <c r="AO32" t="s">
        <v>1422</v>
      </c>
      <c r="AP32" s="3" t="str">
        <f>HYPERLINK("http://exon.niaid.nih.gov/transcriptome/O_fasciatus/Sup_tab1/links/CDD\of-new-contig_27-CDD.txt","ANK")</f>
        <v>ANK</v>
      </c>
      <c r="AQ32" s="2" t="str">
        <f>HYPERLINK("http://www.ncbi.nlm.nih.gov/Structure/cdd/cddsrv.cgi?uid=cd00204&amp;version=v4.0","2E-034")</f>
        <v>2E-034</v>
      </c>
      <c r="AR32" t="s">
        <v>859</v>
      </c>
      <c r="AS32" s="3" t="str">
        <f>HYPERLINK("http://exon.niaid.nih.gov/transcriptome/O_fasciatus/Sup_tab1/links/PFAM\of-new-contig_27-PFAM.txt","Ank")</f>
        <v>Ank</v>
      </c>
      <c r="AT32" s="2" t="str">
        <f>HYPERLINK("http://pfam.wustl.edu/cgi-bin/getdesc?acc=PF00023","2E-008")</f>
        <v>2E-008</v>
      </c>
      <c r="AU32" s="3" t="str">
        <f>HYPERLINK("http://exon.niaid.nih.gov/transcriptome/O_fasciatus/Sup_tab1/links/SMART\of-new-contig_27-SMART.txt","ANK")</f>
        <v>ANK</v>
      </c>
      <c r="AV32" s="2" t="str">
        <f>HYPERLINK("http://smart.embl-heidelberg.de/smart/do_annotation.pl?DOMAIN=ANK&amp;BLAST=DUMMY","3E-007")</f>
        <v>3E-007</v>
      </c>
      <c r="AW32" s="3" t="s">
        <v>547</v>
      </c>
      <c r="AX32" s="2" t="s">
        <v>547</v>
      </c>
      <c r="AY32" s="3" t="s">
        <v>547</v>
      </c>
      <c r="AZ32" s="2" t="s">
        <v>547</v>
      </c>
    </row>
    <row r="33" spans="1:52" ht="11.25">
      <c r="A33" t="str">
        <f>HYPERLINK("http://exon.niaid.nih.gov/transcriptome/O_fasciatus/Sup_tab1/links/of-new\of-new-contig_16.txt","of-new-contig_16")</f>
        <v>of-new-contig_16</v>
      </c>
      <c r="B33" t="str">
        <f>HYPERLINK("http://exon.niaid.nih.gov/transcriptome/O_fasciatus/Sup_tab1/links/of-new\of-new-5-64-64-asb-16.txt","Contig-16")</f>
        <v>Contig-16</v>
      </c>
      <c r="C33" t="str">
        <f>HYPERLINK("http://exon.niaid.nih.gov/transcriptome/O_fasciatus/Sup_tab1/links/of-new\of-new-5-64-64-16-CLU.txt","Contig16")</f>
        <v>Contig16</v>
      </c>
      <c r="D33">
        <v>15</v>
      </c>
      <c r="E33">
        <v>468</v>
      </c>
      <c r="F33" t="str">
        <f>HYPERLINK("http://exon.niaid.nih.gov/transcriptome/O_fasciatus/Sup_tab1/links/of-new\of-new-5-64-64-16-qual.txt","92.")</f>
        <v>92.</v>
      </c>
      <c r="G33" t="s">
        <v>541</v>
      </c>
      <c r="H33">
        <v>51.3</v>
      </c>
      <c r="I33">
        <v>449</v>
      </c>
      <c r="J33">
        <v>16</v>
      </c>
      <c r="K33" t="s">
        <v>558</v>
      </c>
      <c r="L33">
        <v>507</v>
      </c>
      <c r="M33" s="3" t="str">
        <f>HYPERLINK("http://exon.niaid.nih.gov/transcriptome/O_fasciatus/Sup_tab1/links/NR\of-new-contig_16-NR.txt","membrane associated protein [Bacillus cereus E33L]")</f>
        <v>membrane associated protein [Bacillus cereus E33L]</v>
      </c>
      <c r="N33" s="2" t="str">
        <f>HYPERLINK("http://www.ncbi.nlm.nih.gov/sutils/blink.cgi?pid=52142106","0.007")</f>
        <v>0.007</v>
      </c>
      <c r="O33" t="s">
        <v>1634</v>
      </c>
      <c r="P33">
        <v>98</v>
      </c>
      <c r="Q33">
        <v>456</v>
      </c>
      <c r="R33">
        <v>31</v>
      </c>
      <c r="S33">
        <v>21</v>
      </c>
      <c r="T33">
        <v>354</v>
      </c>
      <c r="U33">
        <v>124</v>
      </c>
      <c r="V33">
        <v>1</v>
      </c>
      <c r="W33" t="s">
        <v>1412</v>
      </c>
      <c r="X33" t="s">
        <v>1635</v>
      </c>
      <c r="Y33" t="s">
        <v>1636</v>
      </c>
      <c r="Z33" s="4" t="s">
        <v>1018</v>
      </c>
      <c r="AA33" t="s">
        <v>1019</v>
      </c>
      <c r="AB33" s="3" t="s">
        <v>1637</v>
      </c>
      <c r="AC33" s="2">
        <f>HYPERLINK("http://exon.niaid.nih.gov/transcriptome/O_fasciatus/Sup_tab1/links/GO\of-new-contig_16-GO.txt",0.001)</f>
        <v>0</v>
      </c>
      <c r="AD33" s="4" t="s">
        <v>1631</v>
      </c>
      <c r="AE33" t="s">
        <v>1632</v>
      </c>
      <c r="AF33">
        <v>0.023</v>
      </c>
      <c r="AG33" s="4" t="s">
        <v>1638</v>
      </c>
      <c r="AH33" t="s">
        <v>1639</v>
      </c>
      <c r="AI33">
        <v>0.023</v>
      </c>
      <c r="AJ33" s="4" t="s">
        <v>1537</v>
      </c>
      <c r="AK33" t="s">
        <v>1538</v>
      </c>
      <c r="AL33">
        <v>0.023</v>
      </c>
      <c r="AM33" s="3" t="str">
        <f>HYPERLINK("http://exon.niaid.nih.gov/transcriptome/O_fasciatus/Sup_tab1/links/KOG\of-new-contig_16-KOG.txt","Transcription factor OCT-1, contains POU and HOX domains")</f>
        <v>Transcription factor OCT-1, contains POU and HOX domains</v>
      </c>
      <c r="AN33" s="2" t="str">
        <f>HYPERLINK("http://www.ncbi.nlm.nih.gov/COG/new/shokog.cgi?KOG3802","0.082")</f>
        <v>0.082</v>
      </c>
      <c r="AO33" t="s">
        <v>1640</v>
      </c>
      <c r="AP33" s="3" t="str">
        <f>HYPERLINK("http://exon.niaid.nih.gov/transcriptome/O_fasciatus/Sup_tab1/links/CDD\of-new-contig_16-CDD.txt","PilY1")</f>
        <v>PilY1</v>
      </c>
      <c r="AQ33" s="2" t="str">
        <f>HYPERLINK("http://www.ncbi.nlm.nih.gov/Structure/cdd/cddsrv.cgi?uid=COG3419&amp;version=v4.0","0.091")</f>
        <v>0.091</v>
      </c>
      <c r="AR33" t="s">
        <v>1641</v>
      </c>
      <c r="AS33" s="3" t="str">
        <f>HYPERLINK("http://exon.niaid.nih.gov/transcriptome/O_fasciatus/Sup_tab1/links/PFAM\of-new-contig_16-PFAM.txt","Ni_hydr_CYTB")</f>
        <v>Ni_hydr_CYTB</v>
      </c>
      <c r="AT33" s="2" t="str">
        <f>HYPERLINK("http://pfam.wustl.edu/cgi-bin/getdesc?acc=PF01292","0.051")</f>
        <v>0.051</v>
      </c>
      <c r="AU33" s="3" t="str">
        <f>HYPERLINK("http://exon.niaid.nih.gov/transcriptome/O_fasciatus/Sup_tab1/links/SMART\of-new-contig_16-SMART.txt","PRP")</f>
        <v>PRP</v>
      </c>
      <c r="AV33" s="2" t="str">
        <f>HYPERLINK("http://smart.embl-heidelberg.de/smart/do_annotation.pl?DOMAIN=PRP&amp;BLAST=DUMMY","0.24")</f>
        <v>0.24</v>
      </c>
      <c r="AW33" s="3" t="s">
        <v>547</v>
      </c>
      <c r="AX33" s="2" t="s">
        <v>547</v>
      </c>
      <c r="AY33" s="3" t="s">
        <v>547</v>
      </c>
      <c r="AZ33" s="2" t="s">
        <v>547</v>
      </c>
    </row>
    <row r="34" spans="1:52" ht="11.25">
      <c r="A34" t="str">
        <f>HYPERLINK("http://exon.niaid.nih.gov/transcriptome/O_fasciatus/Sup_tab1/links/of-new\of-new-contig_28.txt","of-new-contig_28")</f>
        <v>of-new-contig_28</v>
      </c>
      <c r="B34" t="str">
        <f>HYPERLINK("http://exon.niaid.nih.gov/transcriptome/O_fasciatus/Sup_tab1/links/of-new\of-new-5-64-64-asb-28.txt","Contig-28")</f>
        <v>Contig-28</v>
      </c>
      <c r="C34" t="str">
        <f>HYPERLINK("http://exon.niaid.nih.gov/transcriptome/O_fasciatus/Sup_tab1/links/of-new\of-new-5-64-64-28-CLU.txt","Contig28")</f>
        <v>Contig28</v>
      </c>
      <c r="D34">
        <v>14</v>
      </c>
      <c r="E34">
        <v>373</v>
      </c>
      <c r="F34" t="str">
        <f>HYPERLINK("http://exon.niaid.nih.gov/transcriptome/O_fasciatus/Sup_tab1/links/of-new\of-new-5-64-64-28-qual.txt","92.1")</f>
        <v>92.1</v>
      </c>
      <c r="G34" t="s">
        <v>541</v>
      </c>
      <c r="H34">
        <v>51.7</v>
      </c>
      <c r="I34">
        <v>353</v>
      </c>
      <c r="J34">
        <v>28</v>
      </c>
      <c r="K34" t="s">
        <v>570</v>
      </c>
      <c r="L34">
        <v>353</v>
      </c>
      <c r="M34" s="3" t="str">
        <f>HYPERLINK("http://exon.niaid.nih.gov/transcriptome/O_fasciatus/Sup_tab1/links/NR\of-new-contig_28-NR.txt","hypothetical protein FG02195.1 [Gibberella zeae PH-1]")</f>
        <v>hypothetical protein FG02195.1 [Gibberella zeae PH-1]</v>
      </c>
      <c r="N34" s="2" t="str">
        <f>HYPERLINK("http://www.ncbi.nlm.nih.gov/sutils/blink.cgi?pid=46110627","0.38")</f>
        <v>0.38</v>
      </c>
      <c r="O34" t="s">
        <v>860</v>
      </c>
      <c r="P34">
        <v>87</v>
      </c>
      <c r="Q34">
        <v>141</v>
      </c>
      <c r="R34">
        <v>32</v>
      </c>
      <c r="S34">
        <v>62</v>
      </c>
      <c r="T34">
        <v>1</v>
      </c>
      <c r="U34">
        <v>37</v>
      </c>
      <c r="V34">
        <v>1</v>
      </c>
      <c r="W34" t="s">
        <v>1412</v>
      </c>
      <c r="X34" t="s">
        <v>861</v>
      </c>
      <c r="Y34" t="s">
        <v>862</v>
      </c>
      <c r="Z34" s="4" t="s">
        <v>1028</v>
      </c>
      <c r="AA34" t="s">
        <v>1019</v>
      </c>
      <c r="AB34" s="3" t="s">
        <v>547</v>
      </c>
      <c r="AC34" s="2" t="s">
        <v>547</v>
      </c>
      <c r="AD34" s="4" t="s">
        <v>547</v>
      </c>
      <c r="AE34" t="s">
        <v>547</v>
      </c>
      <c r="AF34" t="s">
        <v>547</v>
      </c>
      <c r="AG34" s="4" t="s">
        <v>547</v>
      </c>
      <c r="AH34" t="s">
        <v>547</v>
      </c>
      <c r="AI34" t="s">
        <v>547</v>
      </c>
      <c r="AJ34" s="4" t="s">
        <v>547</v>
      </c>
      <c r="AK34" t="s">
        <v>547</v>
      </c>
      <c r="AL34" t="s">
        <v>547</v>
      </c>
      <c r="AM34" s="3" t="str">
        <f>HYPERLINK("http://exon.niaid.nih.gov/transcriptome/O_fasciatus/Sup_tab1/links/KOG\of-new-contig_28-KOG.txt","beta-1,6-N-acetylglucosaminyltransferase, contains WSC domain")</f>
        <v>beta-1,6-N-acetylglucosaminyltransferase, contains WSC domain</v>
      </c>
      <c r="AN34" s="2" t="str">
        <f>HYPERLINK("http://www.ncbi.nlm.nih.gov/COG/new/shokog.cgi?KOG4157","0.20")</f>
        <v>0.20</v>
      </c>
      <c r="AO34" t="s">
        <v>863</v>
      </c>
      <c r="AP34" s="3" t="str">
        <f>HYPERLINK("http://exon.niaid.nih.gov/transcriptome/O_fasciatus/Sup_tab1/links/CDD\of-new-contig_28-CDD.txt","TrbI")</f>
        <v>TrbI</v>
      </c>
      <c r="AQ34" s="2" t="str">
        <f>HYPERLINK("http://www.ncbi.nlm.nih.gov/Structure/cdd/cddsrv.cgi?uid=pfam03743&amp;version=v4.0","0.026")</f>
        <v>0.026</v>
      </c>
      <c r="AR34" t="s">
        <v>864</v>
      </c>
      <c r="AS34" s="3" t="str">
        <f>HYPERLINK("http://exon.niaid.nih.gov/transcriptome/O_fasciatus/Sup_tab1/links/PFAM\of-new-contig_28-PFAM.txt","TrbI")</f>
        <v>TrbI</v>
      </c>
      <c r="AT34" s="2" t="str">
        <f>HYPERLINK("http://pfam.wustl.edu/cgi-bin/getdesc?acc=PF03743","0.013")</f>
        <v>0.013</v>
      </c>
      <c r="AU34" s="3" t="str">
        <f>HYPERLINK("http://exon.niaid.nih.gov/transcriptome/O_fasciatus/Sup_tab1/links/SMART\of-new-contig_28-SMART.txt","CBF")</f>
        <v>CBF</v>
      </c>
      <c r="AV34" s="2" t="str">
        <f>HYPERLINK("http://smart.embl-heidelberg.de/smart/do_annotation.pl?DOMAIN=CBF&amp;BLAST=DUMMY","0.053")</f>
        <v>0.053</v>
      </c>
      <c r="AW34" s="3" t="s">
        <v>547</v>
      </c>
      <c r="AX34" s="2" t="s">
        <v>547</v>
      </c>
      <c r="AY34" s="3" t="s">
        <v>547</v>
      </c>
      <c r="AZ34" s="2" t="s">
        <v>547</v>
      </c>
    </row>
    <row r="35" spans="1:52" ht="11.25">
      <c r="A35" t="str">
        <f>HYPERLINK("http://exon.niaid.nih.gov/transcriptome/O_fasciatus/Sup_tab1/links/of-new\of-new-contig_46.txt","of-new-contig_46")</f>
        <v>of-new-contig_46</v>
      </c>
      <c r="B35" t="str">
        <f>HYPERLINK("http://exon.niaid.nih.gov/transcriptome/O_fasciatus/Sup_tab1/links/of-new\of-new-5-64-64-asb-46.txt","Contig-46")</f>
        <v>Contig-46</v>
      </c>
      <c r="C35" t="str">
        <f>HYPERLINK("http://exon.niaid.nih.gov/transcriptome/O_fasciatus/Sup_tab1/links/of-new\of-new-5-64-64-46-CLU.txt","Contig46")</f>
        <v>Contig46</v>
      </c>
      <c r="D35">
        <v>4</v>
      </c>
      <c r="E35">
        <v>600</v>
      </c>
      <c r="F35" t="str">
        <f>HYPERLINK("http://exon.niaid.nih.gov/transcriptome/O_fasciatus/Sup_tab1/links/of-new\of-new-5-64-64-46-qual.txt","58.2")</f>
        <v>58.2</v>
      </c>
      <c r="G35">
        <v>0.2</v>
      </c>
      <c r="H35">
        <v>53</v>
      </c>
      <c r="I35">
        <v>391</v>
      </c>
      <c r="J35">
        <v>46</v>
      </c>
      <c r="K35" t="s">
        <v>587</v>
      </c>
      <c r="L35">
        <v>364</v>
      </c>
      <c r="M35" s="3" t="str">
        <f>HYPERLINK("http://exon.niaid.nih.gov/transcriptome/O_fasciatus/Sup_tab1/links/NR\of-new-contig_46-NR.txt","SJCHGC09076 protein")</f>
        <v>SJCHGC09076 protein</v>
      </c>
      <c r="N35" s="2" t="str">
        <f>HYPERLINK("http://www.ncbi.nlm.nih.gov/sutils/blink.cgi?pid=56756781","4E-005")</f>
        <v>4E-005</v>
      </c>
      <c r="O35" t="s">
        <v>1424</v>
      </c>
      <c r="P35">
        <v>37</v>
      </c>
      <c r="Q35">
        <v>109</v>
      </c>
      <c r="R35">
        <v>62</v>
      </c>
      <c r="S35">
        <v>34</v>
      </c>
      <c r="T35">
        <v>44</v>
      </c>
      <c r="U35">
        <v>488</v>
      </c>
      <c r="V35">
        <v>1</v>
      </c>
      <c r="W35" t="s">
        <v>1412</v>
      </c>
      <c r="X35" t="s">
        <v>1425</v>
      </c>
      <c r="Y35" t="s">
        <v>1502</v>
      </c>
      <c r="Z35" s="4" t="s">
        <v>1044</v>
      </c>
      <c r="AA35" t="s">
        <v>1019</v>
      </c>
      <c r="AB35" s="3" t="s">
        <v>547</v>
      </c>
      <c r="AC35" s="2" t="s">
        <v>547</v>
      </c>
      <c r="AD35" s="4" t="s">
        <v>547</v>
      </c>
      <c r="AE35" t="s">
        <v>547</v>
      </c>
      <c r="AF35" t="s">
        <v>547</v>
      </c>
      <c r="AG35" s="4" t="s">
        <v>547</v>
      </c>
      <c r="AH35" t="s">
        <v>547</v>
      </c>
      <c r="AI35" t="s">
        <v>547</v>
      </c>
      <c r="AJ35" s="4" t="s">
        <v>547</v>
      </c>
      <c r="AK35" t="s">
        <v>547</v>
      </c>
      <c r="AL35" t="s">
        <v>547</v>
      </c>
      <c r="AM35" s="3" t="str">
        <f>HYPERLINK("http://exon.niaid.nih.gov/transcriptome/O_fasciatus/Sup_tab1/links/KOG\of-new-contig_46-KOG.txt","Predicted DNA-binding protein, contains SAP domain")</f>
        <v>Predicted DNA-binding protein, contains SAP domain</v>
      </c>
      <c r="AN35" s="2" t="str">
        <f>HYPERLINK("http://www.ncbi.nlm.nih.gov/COG/new/shokog.cgi?KOG4246","0.062")</f>
        <v>0.062</v>
      </c>
      <c r="AO35" t="s">
        <v>1503</v>
      </c>
      <c r="AP35" s="3" t="str">
        <f>HYPERLINK("http://exon.niaid.nih.gov/transcriptome/O_fasciatus/Sup_tab1/links/CDD\of-new-contig_46-CDD.txt","DAG1")</f>
        <v>DAG1</v>
      </c>
      <c r="AQ35" s="2" t="str">
        <f>HYPERLINK("http://www.ncbi.nlm.nih.gov/Structure/cdd/cddsrv.cgi?uid=pfam05454&amp;version=v4.0","0.096")</f>
        <v>0.096</v>
      </c>
      <c r="AR35" t="s">
        <v>1504</v>
      </c>
      <c r="AS35" s="3" t="str">
        <f>HYPERLINK("http://exon.niaid.nih.gov/transcriptome/O_fasciatus/Sup_tab1/links/PFAM\of-new-contig_46-PFAM.txt","TT_ORF1")</f>
        <v>TT_ORF1</v>
      </c>
      <c r="AT35" s="2" t="str">
        <f>HYPERLINK("http://pfam.wustl.edu/cgi-bin/getdesc?acc=PF02956","0.029")</f>
        <v>0.029</v>
      </c>
      <c r="AU35" s="3" t="str">
        <f>HYPERLINK("http://exon.niaid.nih.gov/transcriptome/O_fasciatus/Sup_tab1/links/SMART\of-new-contig_46-SMART.txt","DM6")</f>
        <v>DM6</v>
      </c>
      <c r="AV35" s="2" t="str">
        <f>HYPERLINK("http://smart.embl-heidelberg.de/smart/do_annotation.pl?DOMAIN=DM6&amp;BLAST=DUMMY","0.18")</f>
        <v>0.18</v>
      </c>
      <c r="AW35" s="3" t="s">
        <v>547</v>
      </c>
      <c r="AX35" s="2" t="s">
        <v>547</v>
      </c>
      <c r="AY35" s="3" t="s">
        <v>547</v>
      </c>
      <c r="AZ35" s="2" t="s">
        <v>547</v>
      </c>
    </row>
    <row r="36" spans="1:52" ht="11.25">
      <c r="A36" t="str">
        <f>HYPERLINK("http://exon.niaid.nih.gov/transcriptome/O_fasciatus/Sup_tab1/links/of-new\of-new-contig_18.txt","of-new-contig_18")</f>
        <v>of-new-contig_18</v>
      </c>
      <c r="B36" t="str">
        <f>HYPERLINK("http://exon.niaid.nih.gov/transcriptome/O_fasciatus/Sup_tab1/links/of-new\of-new-5-64-64-asb-18.txt","Contig-18")</f>
        <v>Contig-18</v>
      </c>
      <c r="C36" t="str">
        <f>HYPERLINK("http://exon.niaid.nih.gov/transcriptome/O_fasciatus/Sup_tab1/links/of-new\of-new-5-64-64-18-CLU.txt","Contig18")</f>
        <v>Contig18</v>
      </c>
      <c r="D36">
        <v>3</v>
      </c>
      <c r="E36">
        <v>462</v>
      </c>
      <c r="F36" t="str">
        <f>HYPERLINK("http://exon.niaid.nih.gov/transcriptome/O_fasciatus/Sup_tab1/links/of-new\of-new-5-64-64-18-qual.txt","91.4")</f>
        <v>91.4</v>
      </c>
      <c r="G36" t="s">
        <v>541</v>
      </c>
      <c r="H36">
        <v>50.2</v>
      </c>
      <c r="I36">
        <v>443</v>
      </c>
      <c r="J36">
        <v>18</v>
      </c>
      <c r="K36" t="s">
        <v>560</v>
      </c>
      <c r="L36">
        <v>445</v>
      </c>
      <c r="M36" s="3" t="str">
        <f>HYPERLINK("http://exon.niaid.nih.gov/transcriptome/O_fasciatus/Sup_tab1/links/NR\of-new-contig_18-NR.txt","hypothetical protein")</f>
        <v>hypothetical protein</v>
      </c>
      <c r="N36" s="2" t="str">
        <f>HYPERLINK("http://www.ncbi.nlm.nih.gov/sutils/blink.cgi?pid=6900491","0.015")</f>
        <v>0.015</v>
      </c>
      <c r="O36" t="s">
        <v>1654</v>
      </c>
      <c r="P36">
        <v>92</v>
      </c>
      <c r="Q36">
        <v>500</v>
      </c>
      <c r="R36">
        <v>35</v>
      </c>
      <c r="S36">
        <v>18</v>
      </c>
      <c r="T36">
        <v>68</v>
      </c>
      <c r="U36">
        <v>25</v>
      </c>
      <c r="V36">
        <v>1</v>
      </c>
      <c r="W36" t="s">
        <v>1412</v>
      </c>
      <c r="X36" t="s">
        <v>1655</v>
      </c>
      <c r="Y36" t="s">
        <v>1656</v>
      </c>
      <c r="Z36" s="4" t="s">
        <v>1017</v>
      </c>
      <c r="AA36" t="s">
        <v>1129</v>
      </c>
      <c r="AB36" s="3" t="s">
        <v>1637</v>
      </c>
      <c r="AC36" s="2">
        <f>HYPERLINK("http://exon.niaid.nih.gov/transcriptome/O_fasciatus/Sup_tab1/links/GO\of-new-contig_18-GO.txt",0.003)</f>
        <v>0</v>
      </c>
      <c r="AD36" s="4" t="s">
        <v>547</v>
      </c>
      <c r="AE36" t="s">
        <v>547</v>
      </c>
      <c r="AF36" t="s">
        <v>547</v>
      </c>
      <c r="AG36" s="4" t="s">
        <v>1657</v>
      </c>
      <c r="AH36" t="s">
        <v>1658</v>
      </c>
      <c r="AI36">
        <v>0.049</v>
      </c>
      <c r="AJ36" s="4" t="s">
        <v>547</v>
      </c>
      <c r="AK36" t="s">
        <v>547</v>
      </c>
      <c r="AL36" t="s">
        <v>547</v>
      </c>
      <c r="AM36" s="3" t="str">
        <f>HYPERLINK("http://exon.niaid.nih.gov/transcriptome/O_fasciatus/Sup_tab1/links/KOG\of-new-contig_18-KOG.txt","Transcription factor OCT-1, contains POU and HOX domains")</f>
        <v>Transcription factor OCT-1, contains POU and HOX domains</v>
      </c>
      <c r="AN36" s="2" t="str">
        <f>HYPERLINK("http://www.ncbi.nlm.nih.gov/COG/new/shokog.cgi?KOG3802","0.052")</f>
        <v>0.052</v>
      </c>
      <c r="AO36" t="s">
        <v>1640</v>
      </c>
      <c r="AP36" s="3" t="str">
        <f>HYPERLINK("http://exon.niaid.nih.gov/transcriptome/O_fasciatus/Sup_tab1/links/CDD\of-new-contig_18-CDD.txt","PilY1")</f>
        <v>PilY1</v>
      </c>
      <c r="AQ36" s="2" t="str">
        <f>HYPERLINK("http://www.ncbi.nlm.nih.gov/Structure/cdd/cddsrv.cgi?uid=COG3419&amp;version=v4.0","0.044")</f>
        <v>0.044</v>
      </c>
      <c r="AR36" t="s">
        <v>1659</v>
      </c>
      <c r="AS36" s="3" t="str">
        <f>HYPERLINK("http://exon.niaid.nih.gov/transcriptome/O_fasciatus/Sup_tab1/links/PFAM\of-new-contig_18-PFAM.txt","Ni_hydr_CYTB")</f>
        <v>Ni_hydr_CYTB</v>
      </c>
      <c r="AT36" s="2" t="str">
        <f>HYPERLINK("http://pfam.wustl.edu/cgi-bin/getdesc?acc=PF01292","0.041")</f>
        <v>0.041</v>
      </c>
      <c r="AU36" s="3" t="str">
        <f>HYPERLINK("http://exon.niaid.nih.gov/transcriptome/O_fasciatus/Sup_tab1/links/SMART\of-new-contig_18-SMART.txt","PRP")</f>
        <v>PRP</v>
      </c>
      <c r="AV36" s="2" t="str">
        <f>HYPERLINK("http://smart.embl-heidelberg.de/smart/do_annotation.pl?DOMAIN=PRP&amp;BLAST=DUMMY","0.14")</f>
        <v>0.14</v>
      </c>
      <c r="AW36" s="3" t="s">
        <v>547</v>
      </c>
      <c r="AX36" s="2" t="s">
        <v>547</v>
      </c>
      <c r="AY36" s="3" t="s">
        <v>547</v>
      </c>
      <c r="AZ36" s="2" t="s">
        <v>547</v>
      </c>
    </row>
    <row r="37" spans="1:52" ht="11.25">
      <c r="A37" t="str">
        <f>HYPERLINK("http://exon.niaid.nih.gov/transcriptome/O_fasciatus/Sup_tab1/links/of-new\of-new-contig_19.txt","of-new-contig_19")</f>
        <v>of-new-contig_19</v>
      </c>
      <c r="B37" t="str">
        <f>HYPERLINK("http://exon.niaid.nih.gov/transcriptome/O_fasciatus/Sup_tab1/links/of-new\of-new-5-64-64-asb-19.txt","Contig-19")</f>
        <v>Contig-19</v>
      </c>
      <c r="C37" t="str">
        <f>HYPERLINK("http://exon.niaid.nih.gov/transcriptome/O_fasciatus/Sup_tab1/links/of-new\of-new-5-64-64-19-CLU.txt","Contig19")</f>
        <v>Contig19</v>
      </c>
      <c r="D37">
        <v>1</v>
      </c>
      <c r="E37">
        <v>454</v>
      </c>
      <c r="F37" t="str">
        <f>HYPERLINK("http://exon.niaid.nih.gov/transcriptome/O_fasciatus/Sup_tab1/links/of-new\of-new-5-64-64-19-qual.txt","60.8")</f>
        <v>60.8</v>
      </c>
      <c r="G37" t="s">
        <v>541</v>
      </c>
      <c r="H37">
        <v>49.6</v>
      </c>
      <c r="I37">
        <v>435</v>
      </c>
      <c r="J37">
        <v>19</v>
      </c>
      <c r="K37" t="s">
        <v>561</v>
      </c>
      <c r="L37">
        <v>435</v>
      </c>
      <c r="M37" s="3" t="str">
        <f>HYPERLINK("http://exon.niaid.nih.gov/transcriptome/O_fasciatus/Sup_tab1/links/NR\of-new-contig_19-NR.txt","membrane associated protein [Bacillus cereus E33L]")</f>
        <v>membrane associated protein [Bacillus cereus E33L]</v>
      </c>
      <c r="N37" s="2" t="str">
        <f>HYPERLINK("http://www.ncbi.nlm.nih.gov/sutils/blink.cgi?pid=52142106","0.007")</f>
        <v>0.007</v>
      </c>
      <c r="O37" t="s">
        <v>1634</v>
      </c>
      <c r="P37">
        <v>98</v>
      </c>
      <c r="Q37">
        <v>456</v>
      </c>
      <c r="R37">
        <v>31</v>
      </c>
      <c r="S37">
        <v>21</v>
      </c>
      <c r="T37">
        <v>354</v>
      </c>
      <c r="U37">
        <v>122</v>
      </c>
      <c r="V37">
        <v>1</v>
      </c>
      <c r="W37" t="s">
        <v>1412</v>
      </c>
      <c r="X37" t="s">
        <v>1635</v>
      </c>
      <c r="Y37" t="s">
        <v>1636</v>
      </c>
      <c r="Z37" s="4" t="s">
        <v>1018</v>
      </c>
      <c r="AA37" t="s">
        <v>1019</v>
      </c>
      <c r="AB37" s="3" t="s">
        <v>1637</v>
      </c>
      <c r="AC37" s="2">
        <f>HYPERLINK("http://exon.niaid.nih.gov/transcriptome/O_fasciatus/Sup_tab1/links/GO\of-new-contig_19-GO.txt",0.0008)</f>
        <v>0</v>
      </c>
      <c r="AD37" s="4" t="s">
        <v>1631</v>
      </c>
      <c r="AE37" t="s">
        <v>1632</v>
      </c>
      <c r="AF37">
        <v>0.021</v>
      </c>
      <c r="AG37" s="4" t="s">
        <v>1638</v>
      </c>
      <c r="AH37" t="s">
        <v>1639</v>
      </c>
      <c r="AI37">
        <v>0.021</v>
      </c>
      <c r="AJ37" s="4" t="s">
        <v>1537</v>
      </c>
      <c r="AK37" t="s">
        <v>1538</v>
      </c>
      <c r="AL37">
        <v>0.021</v>
      </c>
      <c r="AM37" s="3" t="str">
        <f>HYPERLINK("http://exon.niaid.nih.gov/transcriptome/O_fasciatus/Sup_tab1/links/KOG\of-new-contig_19-KOG.txt","Transcription factor OCT-1, contains POU and HOX domains")</f>
        <v>Transcription factor OCT-1, contains POU and HOX domains</v>
      </c>
      <c r="AN37" s="2" t="str">
        <f>HYPERLINK("http://www.ncbi.nlm.nih.gov/COG/new/shokog.cgi?KOG3802","0.076")</f>
        <v>0.076</v>
      </c>
      <c r="AO37" t="s">
        <v>1640</v>
      </c>
      <c r="AP37" s="3" t="str">
        <f>HYPERLINK("http://exon.niaid.nih.gov/transcriptome/O_fasciatus/Sup_tab1/links/CDD\of-new-contig_19-CDD.txt","PilY1")</f>
        <v>PilY1</v>
      </c>
      <c r="AQ37" s="2" t="str">
        <f>HYPERLINK("http://www.ncbi.nlm.nih.gov/Structure/cdd/cddsrv.cgi?uid=COG3419&amp;version=v4.0","0.087")</f>
        <v>0.087</v>
      </c>
      <c r="AR37" t="s">
        <v>1660</v>
      </c>
      <c r="AS37" s="3" t="str">
        <f>HYPERLINK("http://exon.niaid.nih.gov/transcriptome/O_fasciatus/Sup_tab1/links/PFAM\of-new-contig_19-PFAM.txt","Ni_hydr_CYTB")</f>
        <v>Ni_hydr_CYTB</v>
      </c>
      <c r="AT37" s="2" t="str">
        <f>HYPERLINK("http://pfam.wustl.edu/cgi-bin/getdesc?acc=PF01292","0.048")</f>
        <v>0.048</v>
      </c>
      <c r="AU37" s="3" t="str">
        <f>HYPERLINK("http://exon.niaid.nih.gov/transcriptome/O_fasciatus/Sup_tab1/links/SMART\of-new-contig_19-SMART.txt","PRP")</f>
        <v>PRP</v>
      </c>
      <c r="AV37" s="2" t="str">
        <f>HYPERLINK("http://smart.embl-heidelberg.de/smart/do_annotation.pl?DOMAIN=PRP&amp;BLAST=DUMMY","0.23")</f>
        <v>0.23</v>
      </c>
      <c r="AW37" s="3" t="s">
        <v>547</v>
      </c>
      <c r="AX37" s="2" t="s">
        <v>547</v>
      </c>
      <c r="AY37" s="3" t="s">
        <v>547</v>
      </c>
      <c r="AZ37" s="2" t="s">
        <v>547</v>
      </c>
    </row>
    <row r="38" s="10" customFormat="1" ht="11.25">
      <c r="A38" s="9" t="s">
        <v>56</v>
      </c>
    </row>
    <row r="39" s="12" customFormat="1" ht="11.25">
      <c r="A39" s="11" t="s">
        <v>73</v>
      </c>
    </row>
    <row r="40" spans="1:52" ht="11.25">
      <c r="A40" t="str">
        <f>HYPERLINK("http://exon.niaid.nih.gov/transcriptome/O_fasciatus/Sup_tab1/links/of-new\of-new-contig_67.txt","of-new-contig_67")</f>
        <v>of-new-contig_67</v>
      </c>
      <c r="B40" t="str">
        <f>HYPERLINK("http://exon.niaid.nih.gov/transcriptome/O_fasciatus/Sup_tab1/links/of-new\of-new-5-64-64-asb-67.txt","Contig-67")</f>
        <v>Contig-67</v>
      </c>
      <c r="C40" t="str">
        <f>HYPERLINK("http://exon.niaid.nih.gov/transcriptome/O_fasciatus/Sup_tab1/links/of-new\of-new-5-64-64-67-CLU.txt","Contig67")</f>
        <v>Contig67</v>
      </c>
      <c r="D40">
        <v>3</v>
      </c>
      <c r="E40">
        <v>560</v>
      </c>
      <c r="F40" t="str">
        <f>HYPERLINK("http://exon.niaid.nih.gov/transcriptome/O_fasciatus/Sup_tab1/links/of-new\of-new-5-64-64-67-qual.txt","74.1")</f>
        <v>74.1</v>
      </c>
      <c r="G40" t="s">
        <v>541</v>
      </c>
      <c r="H40">
        <v>62.9</v>
      </c>
      <c r="I40">
        <v>540</v>
      </c>
      <c r="J40">
        <v>67</v>
      </c>
      <c r="K40" t="s">
        <v>608</v>
      </c>
      <c r="L40">
        <v>542</v>
      </c>
      <c r="M40" s="3" t="str">
        <f>HYPERLINK("http://exon.niaid.nih.gov/transcriptome/O_fasciatus/Sup_tab1/links/NR\of-new-contig_67-NR.txt","putative ubiquitin/ribosomal protein S27Ae fusion protein")</f>
        <v>putative ubiquitin/ribosomal protein S27Ae fusion protein</v>
      </c>
      <c r="N40" s="2" t="str">
        <f>HYPERLINK("http://www.ncbi.nlm.nih.gov/sutils/blink.cgi?pid=90819968","6E-084")</f>
        <v>6E-084</v>
      </c>
      <c r="O40" t="s">
        <v>1444</v>
      </c>
      <c r="P40">
        <v>156</v>
      </c>
      <c r="Q40">
        <v>156</v>
      </c>
      <c r="R40">
        <v>97</v>
      </c>
      <c r="S40">
        <v>100</v>
      </c>
      <c r="T40">
        <v>1</v>
      </c>
      <c r="U40">
        <v>18</v>
      </c>
      <c r="V40">
        <v>1</v>
      </c>
      <c r="W40" t="s">
        <v>1412</v>
      </c>
      <c r="X40" t="s">
        <v>1445</v>
      </c>
      <c r="Y40" t="s">
        <v>1446</v>
      </c>
      <c r="Z40" s="4" t="s">
        <v>1059</v>
      </c>
      <c r="AA40" t="s">
        <v>1009</v>
      </c>
      <c r="AB40" s="3" t="s">
        <v>1447</v>
      </c>
      <c r="AC40" s="2">
        <f>HYPERLINK("http://exon.niaid.nih.gov/transcriptome/O_fasciatus/Sup_tab1/links/GO\of-new-contig_67-GO.txt",8E-68)</f>
        <v>0</v>
      </c>
      <c r="AD40" s="4" t="s">
        <v>150</v>
      </c>
      <c r="AE40" t="s">
        <v>151</v>
      </c>
      <c r="AF40" s="1">
        <v>8E-68</v>
      </c>
      <c r="AG40" s="4" t="s">
        <v>1448</v>
      </c>
      <c r="AH40" t="s">
        <v>1449</v>
      </c>
      <c r="AI40" s="1">
        <v>8E-68</v>
      </c>
      <c r="AJ40" s="4" t="s">
        <v>527</v>
      </c>
      <c r="AK40" t="s">
        <v>528</v>
      </c>
      <c r="AL40" s="1">
        <v>8E-68</v>
      </c>
      <c r="AM40" s="3" t="str">
        <f>HYPERLINK("http://exon.niaid.nih.gov/transcriptome/O_fasciatus/Sup_tab1/links/KOG\of-new-contig_67-KOG.txt","Ubiquitin/40S ribosomal protein S27a fusion")</f>
        <v>Ubiquitin/40S ribosomal protein S27a fusion</v>
      </c>
      <c r="AN40" s="2" t="str">
        <f>HYPERLINK("http://www.ncbi.nlm.nih.gov/COG/new/shokog.cgi?KOG0004","1E-072")</f>
        <v>1E-072</v>
      </c>
      <c r="AO40" t="s">
        <v>529</v>
      </c>
      <c r="AP40" s="3" t="str">
        <f>HYPERLINK("http://exon.niaid.nih.gov/transcriptome/O_fasciatus/Sup_tab1/links/CDD\of-new-contig_67-CDD.txt","Ubiquitin")</f>
        <v>Ubiquitin</v>
      </c>
      <c r="AQ40" s="2" t="str">
        <f>HYPERLINK("http://www.ncbi.nlm.nih.gov/Structure/cdd/cddsrv.cgi?uid=cd01803&amp;version=v4.0","3E-041")</f>
        <v>3E-041</v>
      </c>
      <c r="AR40" t="s">
        <v>1450</v>
      </c>
      <c r="AS40" s="3" t="str">
        <f>HYPERLINK("http://exon.niaid.nih.gov/transcriptome/O_fasciatus/Sup_tab1/links/PFAM\of-new-contig_67-PFAM.txt","ubiquitin")</f>
        <v>ubiquitin</v>
      </c>
      <c r="AT40" s="2" t="str">
        <f>HYPERLINK("http://pfam.wustl.edu/cgi-bin/getdesc?acc=PF00240","3E-029")</f>
        <v>3E-029</v>
      </c>
      <c r="AU40" s="3" t="str">
        <f>HYPERLINK("http://exon.niaid.nih.gov/transcriptome/O_fasciatus/Sup_tab1/links/SMART\of-new-contig_67-SMART.txt","UBQ")</f>
        <v>UBQ</v>
      </c>
      <c r="AV40" s="2" t="str">
        <f>HYPERLINK("http://smart.embl-heidelberg.de/smart/do_annotation.pl?DOMAIN=UBQ&amp;BLAST=DUMMY","4E-028")</f>
        <v>4E-028</v>
      </c>
      <c r="AW40" s="3" t="s">
        <v>547</v>
      </c>
      <c r="AX40" s="2" t="s">
        <v>547</v>
      </c>
      <c r="AY40" s="3" t="s">
        <v>547</v>
      </c>
      <c r="AZ40" s="2" t="s">
        <v>547</v>
      </c>
    </row>
    <row r="41" spans="1:52" ht="11.25">
      <c r="A41" t="str">
        <f>HYPERLINK("http://exon.niaid.nih.gov/transcriptome/O_fasciatus/Sup_tab1/links/of-new\of-new-contig_56.txt","of-new-contig_56")</f>
        <v>of-new-contig_56</v>
      </c>
      <c r="B41" t="str">
        <f>HYPERLINK("http://exon.niaid.nih.gov/transcriptome/O_fasciatus/Sup_tab1/links/of-new\of-new-5-64-64-asb-56.txt","Contig-56")</f>
        <v>Contig-56</v>
      </c>
      <c r="C41" t="str">
        <f>HYPERLINK("http://exon.niaid.nih.gov/transcriptome/O_fasciatus/Sup_tab1/links/of-new\of-new-5-64-64-56-CLU.txt","Contig56")</f>
        <v>Contig56</v>
      </c>
      <c r="D41">
        <v>3</v>
      </c>
      <c r="E41">
        <v>297</v>
      </c>
      <c r="F41" t="str">
        <f>HYPERLINK("http://exon.niaid.nih.gov/transcriptome/O_fasciatus/Sup_tab1/links/of-new\of-new-5-64-64-56-qual.txt","65.6")</f>
        <v>65.6</v>
      </c>
      <c r="G41" t="s">
        <v>541</v>
      </c>
      <c r="H41">
        <v>65.3</v>
      </c>
      <c r="I41">
        <v>278</v>
      </c>
      <c r="J41">
        <v>56</v>
      </c>
      <c r="K41" t="s">
        <v>597</v>
      </c>
      <c r="L41">
        <v>205</v>
      </c>
      <c r="M41" s="3" t="str">
        <f>HYPERLINK("http://exon.niaid.nih.gov/transcriptome/O_fasciatus/Sup_tab1/links/NR\of-new-contig_56-NR.txt","PREDICTED: similar to poly A binding protein, cytoplasmic 1 isoform 1")</f>
        <v>PREDICTED: similar to poly A binding protein, cytoplasmic 1 isoform 1</v>
      </c>
      <c r="N41" s="2" t="str">
        <f>HYPERLINK("http://www.ncbi.nlm.nih.gov/sutils/blink.cgi?pid=110759996","3E-009")</f>
        <v>3E-009</v>
      </c>
      <c r="O41" t="s">
        <v>636</v>
      </c>
      <c r="P41">
        <v>35</v>
      </c>
      <c r="Q41">
        <v>630</v>
      </c>
      <c r="R41">
        <v>91</v>
      </c>
      <c r="S41">
        <v>6</v>
      </c>
      <c r="T41">
        <v>596</v>
      </c>
      <c r="U41">
        <v>1</v>
      </c>
      <c r="V41">
        <v>1</v>
      </c>
      <c r="W41" t="s">
        <v>1412</v>
      </c>
      <c r="X41" t="s">
        <v>520</v>
      </c>
      <c r="Y41" t="s">
        <v>637</v>
      </c>
      <c r="Z41" s="4" t="s">
        <v>1050</v>
      </c>
      <c r="AA41" t="s">
        <v>1009</v>
      </c>
      <c r="AB41" s="3" t="s">
        <v>638</v>
      </c>
      <c r="AC41" s="2">
        <f>HYPERLINK("http://exon.niaid.nih.gov/transcriptome/O_fasciatus/Sup_tab1/links/GO\of-new-contig_56-GO.txt",0.000002)</f>
        <v>0</v>
      </c>
      <c r="AD41" s="4" t="s">
        <v>639</v>
      </c>
      <c r="AE41" t="s">
        <v>640</v>
      </c>
      <c r="AF41">
        <v>2E-06</v>
      </c>
      <c r="AG41" s="4" t="s">
        <v>641</v>
      </c>
      <c r="AH41" t="s">
        <v>642</v>
      </c>
      <c r="AI41">
        <v>2E-06</v>
      </c>
      <c r="AJ41" s="4" t="s">
        <v>643</v>
      </c>
      <c r="AK41" t="s">
        <v>644</v>
      </c>
      <c r="AL41">
        <v>2E-06</v>
      </c>
      <c r="AM41" s="3" t="str">
        <f>HYPERLINK("http://exon.niaid.nih.gov/transcriptome/O_fasciatus/Sup_tab1/links/KOG\of-new-contig_56-KOG.txt","Members of chemokine-like factor super family and related proteins")</f>
        <v>Members of chemokine-like factor super family and related proteins</v>
      </c>
      <c r="AN41" s="2" t="str">
        <f>HYPERLINK("http://www.ncbi.nlm.nih.gov/COG/new/shokog.cgi?KOG4788","0.010")</f>
        <v>0.010</v>
      </c>
      <c r="AO41" t="s">
        <v>645</v>
      </c>
      <c r="AP41" s="3" t="str">
        <f>HYPERLINK("http://exon.niaid.nih.gov/transcriptome/O_fasciatus/Sup_tab1/links/CDD\of-new-contig_56-CDD.txt","PolyA")</f>
        <v>PolyA</v>
      </c>
      <c r="AQ41" s="2" t="str">
        <f>HYPERLINK("http://www.ncbi.nlm.nih.gov/Structure/cdd/cddsrv.cgi?uid=smart00517&amp;version=v4.0","0.001")</f>
        <v>0.001</v>
      </c>
      <c r="AR41" t="s">
        <v>646</v>
      </c>
      <c r="AS41" s="3" t="str">
        <f>HYPERLINK("http://exon.niaid.nih.gov/transcriptome/O_fasciatus/Sup_tab1/links/PFAM\of-new-contig_56-PFAM.txt","PABP")</f>
        <v>PABP</v>
      </c>
      <c r="AT41" s="2" t="str">
        <f>HYPERLINK("http://pfam.wustl.edu/cgi-bin/getdesc?acc=PF00658","0.002")</f>
        <v>0.002</v>
      </c>
      <c r="AU41" s="3" t="str">
        <f>HYPERLINK("http://exon.niaid.nih.gov/transcriptome/O_fasciatus/Sup_tab1/links/SMART\of-new-contig_56-SMART.txt","PolyA")</f>
        <v>PolyA</v>
      </c>
      <c r="AV41" s="2" t="str">
        <f>HYPERLINK("http://smart.embl-heidelberg.de/smart/do_annotation.pl?DOMAIN=PolyA&amp;BLAST=DUMMY","4E-005")</f>
        <v>4E-005</v>
      </c>
      <c r="AW41" s="3" t="s">
        <v>547</v>
      </c>
      <c r="AX41" s="2" t="s">
        <v>547</v>
      </c>
      <c r="AY41" s="3" t="s">
        <v>547</v>
      </c>
      <c r="AZ41" s="2" t="s">
        <v>547</v>
      </c>
    </row>
    <row r="42" spans="1:52" ht="11.25">
      <c r="A42" t="str">
        <f>HYPERLINK("http://exon.niaid.nih.gov/transcriptome/O_fasciatus/Sup_tab1/links/of-new\of-new-contig_304.txt","of-new-contig_304")</f>
        <v>of-new-contig_304</v>
      </c>
      <c r="B42" t="str">
        <f>HYPERLINK("http://exon.niaid.nih.gov/transcriptome/O_fasciatus/Sup_tab1/links/of-new\of-new-5-64-64-asb-304.txt","Contig-304")</f>
        <v>Contig-304</v>
      </c>
      <c r="C42" t="str">
        <f>HYPERLINK("http://exon.niaid.nih.gov/transcriptome/O_fasciatus/Sup_tab1/links/of-new\of-new-5-64-64-304-CLU.txt","Contig304")</f>
        <v>Contig304</v>
      </c>
      <c r="D42">
        <v>1</v>
      </c>
      <c r="E42">
        <v>715</v>
      </c>
      <c r="F42" t="str">
        <f>HYPERLINK("http://exon.niaid.nih.gov/transcriptome/O_fasciatus/Sup_tab1/links/of-new\of-new-5-64-64-304-qual.txt","52.3")</f>
        <v>52.3</v>
      </c>
      <c r="G42">
        <v>0.6</v>
      </c>
      <c r="H42">
        <v>70.6</v>
      </c>
      <c r="I42">
        <v>681</v>
      </c>
      <c r="J42">
        <v>304</v>
      </c>
      <c r="K42" t="s">
        <v>1382</v>
      </c>
      <c r="L42" t="s">
        <v>547</v>
      </c>
      <c r="M42" s="3" t="str">
        <f>HYPERLINK("http://exon.niaid.nih.gov/transcriptome/O_fasciatus/Sup_tab1/links/NR\of-new-contig_304-NR.txt","PREDICTED: similar to Protein translation factor SUI1 homolog")</f>
        <v>PREDICTED: similar to Protein translation factor SUI1 homolog</v>
      </c>
      <c r="N42" s="2" t="str">
        <f>HYPERLINK("http://www.ncbi.nlm.nih.gov/sutils/blink.cgi?pid=48099870","4E-044")</f>
        <v>4E-044</v>
      </c>
      <c r="O42" t="s">
        <v>695</v>
      </c>
      <c r="P42">
        <v>88</v>
      </c>
      <c r="Q42">
        <v>110</v>
      </c>
      <c r="R42">
        <v>97</v>
      </c>
      <c r="S42">
        <v>80</v>
      </c>
      <c r="T42">
        <v>23</v>
      </c>
      <c r="U42">
        <v>2</v>
      </c>
      <c r="V42">
        <v>1</v>
      </c>
      <c r="W42" t="s">
        <v>1412</v>
      </c>
      <c r="X42" t="s">
        <v>520</v>
      </c>
      <c r="Y42" t="s">
        <v>696</v>
      </c>
      <c r="Z42" s="4" t="s">
        <v>1128</v>
      </c>
      <c r="AA42" t="s">
        <v>1009</v>
      </c>
      <c r="AB42" s="3" t="s">
        <v>697</v>
      </c>
      <c r="AC42" s="2">
        <f>HYPERLINK("http://exon.niaid.nih.gov/transcriptome/O_fasciatus/Sup_tab1/links/GO\of-new-contig_304-GO.txt",9E-45)</f>
        <v>0</v>
      </c>
      <c r="AD42" s="4" t="s">
        <v>1582</v>
      </c>
      <c r="AE42" t="s">
        <v>1583</v>
      </c>
      <c r="AF42" s="1">
        <v>2E-34</v>
      </c>
      <c r="AG42" s="4" t="s">
        <v>12</v>
      </c>
      <c r="AH42" t="s">
        <v>13</v>
      </c>
      <c r="AI42" s="1">
        <v>2E-34</v>
      </c>
      <c r="AJ42" s="4" t="s">
        <v>698</v>
      </c>
      <c r="AK42" t="s">
        <v>699</v>
      </c>
      <c r="AL42" s="1">
        <v>2E-34</v>
      </c>
      <c r="AM42" s="3" t="str">
        <f>HYPERLINK("http://exon.niaid.nih.gov/transcriptome/O_fasciatus/Sup_tab1/links/KOG\of-new-contig_304-KOG.txt","Translation initiation factor 1 (eIF-1/SUI1)")</f>
        <v>Translation initiation factor 1 (eIF-1/SUI1)</v>
      </c>
      <c r="AN42" s="2" t="str">
        <f>HYPERLINK("http://www.ncbi.nlm.nih.gov/COG/new/shokog.cgi?KOG1770","8E-040")</f>
        <v>8E-040</v>
      </c>
      <c r="AO42" t="s">
        <v>529</v>
      </c>
      <c r="AP42" s="3" t="str">
        <f>HYPERLINK("http://exon.niaid.nih.gov/transcriptome/O_fasciatus/Sup_tab1/links/CDD\of-new-contig_304-CDD.txt","SUI1")</f>
        <v>SUI1</v>
      </c>
      <c r="AQ42" s="2" t="str">
        <f>HYPERLINK("http://www.ncbi.nlm.nih.gov/Structure/cdd/cddsrv.cgi?uid=pfam01253&amp;version=v4.0","1E-028")</f>
        <v>1E-028</v>
      </c>
      <c r="AR42" t="s">
        <v>700</v>
      </c>
      <c r="AS42" s="3" t="str">
        <f>HYPERLINK("http://exon.niaid.nih.gov/transcriptome/O_fasciatus/Sup_tab1/links/PFAM\of-new-contig_304-PFAM.txt","SUI1")</f>
        <v>SUI1</v>
      </c>
      <c r="AT42" s="2" t="str">
        <f>HYPERLINK("http://pfam.wustl.edu/cgi-bin/getdesc?acc=PF01253","7E-029")</f>
        <v>7E-029</v>
      </c>
      <c r="AU42" s="3" t="str">
        <f>HYPERLINK("http://exon.niaid.nih.gov/transcriptome/O_fasciatus/Sup_tab1/links/SMART\of-new-contig_304-SMART.txt","TLC")</f>
        <v>TLC</v>
      </c>
      <c r="AV42" s="2" t="str">
        <f>HYPERLINK("http://smart.embl-heidelberg.de/smart/do_annotation.pl?DOMAIN=TLC&amp;BLAST=DUMMY","0.27")</f>
        <v>0.27</v>
      </c>
      <c r="AW42" s="3" t="s">
        <v>547</v>
      </c>
      <c r="AX42" s="2" t="s">
        <v>547</v>
      </c>
      <c r="AY42" s="3" t="s">
        <v>547</v>
      </c>
      <c r="AZ42" s="2" t="s">
        <v>547</v>
      </c>
    </row>
    <row r="43" spans="1:52" ht="11.25">
      <c r="A43" t="str">
        <f>HYPERLINK("http://exon.niaid.nih.gov/transcriptome/O_fasciatus/Sup_tab1/links/of-new\of-new-contig_84.txt","of-new-contig_84")</f>
        <v>of-new-contig_84</v>
      </c>
      <c r="B43" t="str">
        <f>HYPERLINK("http://exon.niaid.nih.gov/transcriptome/O_fasciatus/Sup_tab1/links/of-new\of-new-5-64-64-asb-84.txt","Contig-84")</f>
        <v>Contig-84</v>
      </c>
      <c r="C43" t="str">
        <f>HYPERLINK("http://exon.niaid.nih.gov/transcriptome/O_fasciatus/Sup_tab1/links/of-new\of-new-5-64-64-84-CLU.txt","Contig84")</f>
        <v>Contig84</v>
      </c>
      <c r="D43">
        <v>2</v>
      </c>
      <c r="E43">
        <v>429</v>
      </c>
      <c r="F43" t="str">
        <f>HYPERLINK("http://exon.niaid.nih.gov/transcriptome/O_fasciatus/Sup_tab1/links/of-new\of-new-5-64-64-84-qual.txt","70.")</f>
        <v>70.</v>
      </c>
      <c r="G43" t="s">
        <v>541</v>
      </c>
      <c r="H43">
        <v>64.1</v>
      </c>
      <c r="I43">
        <v>410</v>
      </c>
      <c r="J43">
        <v>84</v>
      </c>
      <c r="K43" t="s">
        <v>625</v>
      </c>
      <c r="L43">
        <v>410</v>
      </c>
      <c r="M43" s="3" t="str">
        <f>HYPERLINK("http://exon.niaid.nih.gov/transcriptome/O_fasciatus/Sup_tab1/links/NR\of-new-contig_84-NR.txt","eukaryotic translation initiation factor 6 [Bombyx mori]")</f>
        <v>eukaryotic translation initiation factor 6 [Bombyx mori]</v>
      </c>
      <c r="N43" s="2" t="str">
        <f>HYPERLINK("http://www.ncbi.nlm.nih.gov/sutils/blink.cgi?pid=114052170","1E-021")</f>
        <v>1E-021</v>
      </c>
      <c r="O43" t="s">
        <v>1578</v>
      </c>
      <c r="P43">
        <v>60</v>
      </c>
      <c r="Q43">
        <v>245</v>
      </c>
      <c r="R43">
        <v>81</v>
      </c>
      <c r="S43">
        <v>24</v>
      </c>
      <c r="T43">
        <v>186</v>
      </c>
      <c r="U43">
        <v>14</v>
      </c>
      <c r="V43">
        <v>1</v>
      </c>
      <c r="W43" t="s">
        <v>1412</v>
      </c>
      <c r="X43" t="s">
        <v>1579</v>
      </c>
      <c r="Y43" t="s">
        <v>1580</v>
      </c>
      <c r="Z43" s="4" t="s">
        <v>1061</v>
      </c>
      <c r="AA43" t="s">
        <v>1009</v>
      </c>
      <c r="AB43" s="3" t="s">
        <v>1581</v>
      </c>
      <c r="AC43" s="2">
        <f>HYPERLINK("http://exon.niaid.nih.gov/transcriptome/O_fasciatus/Sup_tab1/links/GO\of-new-contig_84-GO.txt",1E-21)</f>
        <v>0</v>
      </c>
      <c r="AD43" s="4" t="s">
        <v>1582</v>
      </c>
      <c r="AE43" t="s">
        <v>1583</v>
      </c>
      <c r="AF43" s="1">
        <v>2E-19</v>
      </c>
      <c r="AG43" s="4" t="s">
        <v>1584</v>
      </c>
      <c r="AH43" t="s">
        <v>1585</v>
      </c>
      <c r="AI43" s="1">
        <v>2E-19</v>
      </c>
      <c r="AJ43" s="4" t="s">
        <v>527</v>
      </c>
      <c r="AK43" t="s">
        <v>528</v>
      </c>
      <c r="AL43" s="1">
        <v>2E-19</v>
      </c>
      <c r="AM43" s="3" t="str">
        <f>HYPERLINK("http://exon.niaid.nih.gov/transcriptome/O_fasciatus/Sup_tab1/links/KOG\of-new-contig_84-KOG.txt","Translation initiation factor 6 (eIF-6)")</f>
        <v>Translation initiation factor 6 (eIF-6)</v>
      </c>
      <c r="AN43" s="2" t="str">
        <f>HYPERLINK("http://www.ncbi.nlm.nih.gov/COG/new/shokog.cgi?KOG3185","3E-024")</f>
        <v>3E-024</v>
      </c>
      <c r="AO43" t="s">
        <v>529</v>
      </c>
      <c r="AP43" s="3" t="str">
        <f>HYPERLINK("http://exon.niaid.nih.gov/transcriptome/O_fasciatus/Sup_tab1/links/CDD\of-new-contig_84-CDD.txt","IF6")</f>
        <v>IF6</v>
      </c>
      <c r="AQ43" s="2" t="str">
        <f>HYPERLINK("http://www.ncbi.nlm.nih.gov/Structure/cdd/cddsrv.cgi?uid=cd00527&amp;version=v4.0","9E-013")</f>
        <v>9E-013</v>
      </c>
      <c r="AR43" t="s">
        <v>1586</v>
      </c>
      <c r="AS43" s="3" t="str">
        <f>HYPERLINK("http://exon.niaid.nih.gov/transcriptome/O_fasciatus/Sup_tab1/links/PFAM\of-new-contig_84-PFAM.txt","eIF-6")</f>
        <v>eIF-6</v>
      </c>
      <c r="AT43" s="2" t="str">
        <f>HYPERLINK("http://pfam.wustl.edu/cgi-bin/getdesc?acc=PF01912","0.006")</f>
        <v>0.006</v>
      </c>
      <c r="AU43" s="3" t="str">
        <f>HYPERLINK("http://exon.niaid.nih.gov/transcriptome/O_fasciatus/Sup_tab1/links/SMART\of-new-contig_84-SMART.txt","eIF6")</f>
        <v>eIF6</v>
      </c>
      <c r="AV43" s="2" t="str">
        <f>HYPERLINK("http://smart.embl-heidelberg.de/smart/do_annotation.pl?DOMAIN=eIF6&amp;BLAST=DUMMY","8E-005")</f>
        <v>8E-005</v>
      </c>
      <c r="AW43" s="3" t="s">
        <v>547</v>
      </c>
      <c r="AX43" s="2" t="s">
        <v>547</v>
      </c>
      <c r="AY43" s="3" t="s">
        <v>547</v>
      </c>
      <c r="AZ43" s="2" t="s">
        <v>547</v>
      </c>
    </row>
    <row r="44" spans="1:52" ht="11.25">
      <c r="A44" t="str">
        <f>HYPERLINK("http://exon.niaid.nih.gov/transcriptome/O_fasciatus/Sup_tab1/links/of-new\of-new-contig_98.txt","of-new-contig_98")</f>
        <v>of-new-contig_98</v>
      </c>
      <c r="B44" t="str">
        <f>HYPERLINK("http://exon.niaid.nih.gov/transcriptome/O_fasciatus/Sup_tab1/links/of-new\of-new-5-64-64-asb-98.txt","Contig-98")</f>
        <v>Contig-98</v>
      </c>
      <c r="C44" t="str">
        <f>HYPERLINK("http://exon.niaid.nih.gov/transcriptome/O_fasciatus/Sup_tab1/links/of-new\of-new-5-64-64-98-CLU.txt","Contig98")</f>
        <v>Contig98</v>
      </c>
      <c r="D44">
        <v>2</v>
      </c>
      <c r="E44">
        <v>162</v>
      </c>
      <c r="F44" t="str">
        <f>HYPERLINK("http://exon.niaid.nih.gov/transcriptome/O_fasciatus/Sup_tab1/links/of-new\of-new-5-64-64-98-qual.txt","82.6")</f>
        <v>82.6</v>
      </c>
      <c r="G44" t="s">
        <v>541</v>
      </c>
      <c r="H44">
        <v>69.8</v>
      </c>
      <c r="I44">
        <v>143</v>
      </c>
      <c r="J44">
        <v>98</v>
      </c>
      <c r="K44" t="s">
        <v>1177</v>
      </c>
      <c r="L44">
        <v>143</v>
      </c>
      <c r="M44" s="3" t="str">
        <f>HYPERLINK("http://exon.niaid.nih.gov/transcriptome/O_fasciatus/Sup_tab1/links/NR\of-new-contig_98-NR.txt","ribosomal protein L13 [Bombyx mori]")</f>
        <v>ribosomal protein L13 [Bombyx mori]</v>
      </c>
      <c r="N44" s="2" t="str">
        <f>HYPERLINK("http://www.ncbi.nlm.nih.gov/sutils/blink.cgi?pid=112983562","0.001")</f>
        <v>0.001</v>
      </c>
      <c r="O44" t="s">
        <v>811</v>
      </c>
      <c r="P44">
        <v>32</v>
      </c>
      <c r="Q44">
        <v>220</v>
      </c>
      <c r="R44">
        <v>68</v>
      </c>
      <c r="S44">
        <v>15</v>
      </c>
      <c r="T44">
        <v>188</v>
      </c>
      <c r="U44">
        <v>6</v>
      </c>
      <c r="V44">
        <v>1</v>
      </c>
      <c r="W44" t="s">
        <v>1412</v>
      </c>
      <c r="X44" t="s">
        <v>1579</v>
      </c>
      <c r="Y44" t="s">
        <v>812</v>
      </c>
      <c r="Z44" s="4" t="s">
        <v>1067</v>
      </c>
      <c r="AA44" t="s">
        <v>1009</v>
      </c>
      <c r="AB44" s="3" t="s">
        <v>547</v>
      </c>
      <c r="AC44" s="2" t="s">
        <v>547</v>
      </c>
      <c r="AD44" s="4" t="s">
        <v>547</v>
      </c>
      <c r="AE44" t="s">
        <v>547</v>
      </c>
      <c r="AF44" t="s">
        <v>547</v>
      </c>
      <c r="AG44" s="4" t="s">
        <v>547</v>
      </c>
      <c r="AH44" t="s">
        <v>547</v>
      </c>
      <c r="AI44" t="s">
        <v>547</v>
      </c>
      <c r="AJ44" s="4" t="s">
        <v>547</v>
      </c>
      <c r="AK44" t="s">
        <v>547</v>
      </c>
      <c r="AL44" t="s">
        <v>547</v>
      </c>
      <c r="AM44" s="3" t="str">
        <f>HYPERLINK("http://exon.niaid.nih.gov/transcriptome/O_fasciatus/Sup_tab1/links/KOG\of-new-contig_98-KOG.txt","Predicted membrane protein")</f>
        <v>Predicted membrane protein</v>
      </c>
      <c r="AN44" s="2" t="str">
        <f>HYPERLINK("http://www.ncbi.nlm.nih.gov/COG/new/shokog.cgi?KOG3402","0.82")</f>
        <v>0.82</v>
      </c>
      <c r="AO44" t="s">
        <v>881</v>
      </c>
      <c r="AP44" s="3" t="str">
        <f>HYPERLINK("http://exon.niaid.nih.gov/transcriptome/O_fasciatus/Sup_tab1/links/CDD\of-new-contig_98-CDD.txt","Cons_hypoth698")</f>
        <v>Cons_hypoth698</v>
      </c>
      <c r="AQ44" s="2" t="str">
        <f>HYPERLINK("http://www.ncbi.nlm.nih.gov/Structure/cdd/cddsrv.cgi?uid=pfam03601&amp;version=v4.0","0.63")</f>
        <v>0.63</v>
      </c>
      <c r="AR44" t="s">
        <v>813</v>
      </c>
      <c r="AS44" s="3" t="str">
        <f>HYPERLINK("http://exon.niaid.nih.gov/transcriptome/O_fasciatus/Sup_tab1/links/PFAM\of-new-contig_98-PFAM.txt","Cons_hypoth698")</f>
        <v>Cons_hypoth698</v>
      </c>
      <c r="AT44" s="2" t="str">
        <f>HYPERLINK("http://pfam.wustl.edu/cgi-bin/getdesc?acc=PF03601","0.31")</f>
        <v>0.31</v>
      </c>
      <c r="AU44" s="3" t="str">
        <f>HYPERLINK("http://exon.niaid.nih.gov/transcriptome/O_fasciatus/Sup_tab1/links/SMART\of-new-contig_98-SMART.txt","DM11")</f>
        <v>DM11</v>
      </c>
      <c r="AV44" s="2" t="str">
        <f>HYPERLINK("http://smart.embl-heidelberg.de/smart/do_annotation.pl?DOMAIN=DM11&amp;BLAST=DUMMY","0.084")</f>
        <v>0.084</v>
      </c>
      <c r="AW44" s="3" t="s">
        <v>547</v>
      </c>
      <c r="AX44" s="2" t="s">
        <v>547</v>
      </c>
      <c r="AY44" s="3" t="s">
        <v>547</v>
      </c>
      <c r="AZ44" s="2" t="s">
        <v>547</v>
      </c>
    </row>
    <row r="45" spans="1:52" ht="11.25">
      <c r="A45" t="str">
        <f>HYPERLINK("http://exon.niaid.nih.gov/transcriptome/O_fasciatus/Sup_tab1/links/of-new\of-new-contig_219.txt","of-new-contig_219")</f>
        <v>of-new-contig_219</v>
      </c>
      <c r="B45" t="str">
        <f>HYPERLINK("http://exon.niaid.nih.gov/transcriptome/O_fasciatus/Sup_tab1/links/of-new\of-new-5-64-64-asb-219.txt","Contig-219")</f>
        <v>Contig-219</v>
      </c>
      <c r="C45" t="str">
        <f>HYPERLINK("http://exon.niaid.nih.gov/transcriptome/O_fasciatus/Sup_tab1/links/of-new\of-new-5-64-64-219-CLU.txt","Contig219")</f>
        <v>Contig219</v>
      </c>
      <c r="D45">
        <v>1</v>
      </c>
      <c r="E45">
        <v>310</v>
      </c>
      <c r="F45" t="str">
        <f>HYPERLINK("http://exon.niaid.nih.gov/transcriptome/O_fasciatus/Sup_tab1/links/of-new\of-new-5-64-64-219-qual.txt","54.3")</f>
        <v>54.3</v>
      </c>
      <c r="G45">
        <v>0.6</v>
      </c>
      <c r="H45">
        <v>71.3</v>
      </c>
      <c r="I45">
        <v>291</v>
      </c>
      <c r="J45">
        <v>219</v>
      </c>
      <c r="K45" t="s">
        <v>1297</v>
      </c>
      <c r="L45">
        <v>291</v>
      </c>
      <c r="M45" s="3" t="str">
        <f>HYPERLINK("http://exon.niaid.nih.gov/transcriptome/O_fasciatus/Sup_tab1/links/NR\of-new-contig_219-NR.txt","PREDICTED: similar to brix domain containing 1")</f>
        <v>PREDICTED: similar to brix domain containing 1</v>
      </c>
      <c r="N45" s="2" t="str">
        <f>HYPERLINK("http://www.ncbi.nlm.nih.gov/sutils/blink.cgi?pid=110764235","3E-011")</f>
        <v>3E-011</v>
      </c>
      <c r="O45" t="s">
        <v>220</v>
      </c>
      <c r="P45">
        <v>52</v>
      </c>
      <c r="Q45">
        <v>323</v>
      </c>
      <c r="R45">
        <v>59</v>
      </c>
      <c r="S45">
        <v>16</v>
      </c>
      <c r="T45">
        <v>242</v>
      </c>
      <c r="U45">
        <v>1</v>
      </c>
      <c r="V45">
        <v>1</v>
      </c>
      <c r="W45" t="s">
        <v>1412</v>
      </c>
      <c r="X45" t="s">
        <v>520</v>
      </c>
      <c r="Y45" t="s">
        <v>221</v>
      </c>
      <c r="Z45" s="4" t="s">
        <v>1107</v>
      </c>
      <c r="AA45" t="s">
        <v>1009</v>
      </c>
      <c r="AB45" s="3" t="s">
        <v>222</v>
      </c>
      <c r="AC45" s="2">
        <f>HYPERLINK("http://exon.niaid.nih.gov/transcriptome/O_fasciatus/Sup_tab1/links/GO\of-new-contig_219-GO.txt",0.0000000001)</f>
        <v>0</v>
      </c>
      <c r="AD45" s="4" t="s">
        <v>1631</v>
      </c>
      <c r="AE45" t="s">
        <v>1632</v>
      </c>
      <c r="AF45">
        <v>1E-10</v>
      </c>
      <c r="AG45" s="4" t="s">
        <v>1638</v>
      </c>
      <c r="AH45" t="s">
        <v>1639</v>
      </c>
      <c r="AI45">
        <v>1E-10</v>
      </c>
      <c r="AJ45" s="4" t="s">
        <v>1537</v>
      </c>
      <c r="AK45" t="s">
        <v>1538</v>
      </c>
      <c r="AL45">
        <v>1E-10</v>
      </c>
      <c r="AM45" s="3" t="str">
        <f>HYPERLINK("http://exon.niaid.nih.gov/transcriptome/O_fasciatus/Sup_tab1/links/KOG\of-new-contig_219-KOG.txt","Protein required for biogenesis of the ribosomal 60S subunit")</f>
        <v>Protein required for biogenesis of the ribosomal 60S subunit</v>
      </c>
      <c r="AN45" s="2" t="str">
        <f>HYPERLINK("http://www.ncbi.nlm.nih.gov/COG/new/shokog.cgi?KOG3031","2E-015")</f>
        <v>2E-015</v>
      </c>
      <c r="AO45" t="s">
        <v>529</v>
      </c>
      <c r="AP45" s="3" t="str">
        <f>HYPERLINK("http://exon.niaid.nih.gov/transcriptome/O_fasciatus/Sup_tab1/links/CDD\of-new-contig_219-CDD.txt","RPF2")</f>
        <v>RPF2</v>
      </c>
      <c r="AQ45" s="2" t="str">
        <f>HYPERLINK("http://www.ncbi.nlm.nih.gov/Structure/cdd/cddsrv.cgi?uid=COG5106&amp;version=v4.0","7E-011")</f>
        <v>7E-011</v>
      </c>
      <c r="AR45" t="s">
        <v>223</v>
      </c>
      <c r="AS45" s="3" t="str">
        <f>HYPERLINK("http://exon.niaid.nih.gov/transcriptome/O_fasciatus/Sup_tab1/links/PFAM\of-new-contig_219-PFAM.txt","RofA")</f>
        <v>RofA</v>
      </c>
      <c r="AT45" s="2" t="str">
        <f>HYPERLINK("http://pfam.wustl.edu/cgi-bin/getdesc?acc=PF07003","0.13")</f>
        <v>0.13</v>
      </c>
      <c r="AU45" s="3" t="str">
        <f>HYPERLINK("http://exon.niaid.nih.gov/transcriptome/O_fasciatus/Sup_tab1/links/SMART\of-new-contig_219-SMART.txt","STE")</f>
        <v>STE</v>
      </c>
      <c r="AV45" s="2" t="str">
        <f>HYPERLINK("http://smart.embl-heidelberg.de/smart/do_annotation.pl?DOMAIN=STE&amp;BLAST=DUMMY","0.56")</f>
        <v>0.56</v>
      </c>
      <c r="AW45" s="3" t="s">
        <v>547</v>
      </c>
      <c r="AX45" s="2" t="s">
        <v>547</v>
      </c>
      <c r="AY45" s="3" t="s">
        <v>547</v>
      </c>
      <c r="AZ45" s="2" t="s">
        <v>547</v>
      </c>
    </row>
    <row r="46" spans="1:52" ht="11.25">
      <c r="A46" t="str">
        <f>HYPERLINK("http://exon.niaid.nih.gov/transcriptome/O_fasciatus/Sup_tab1/links/of-new\of-new-contig_37.txt","of-new-contig_37")</f>
        <v>of-new-contig_37</v>
      </c>
      <c r="B46" t="str">
        <f>HYPERLINK("http://exon.niaid.nih.gov/transcriptome/O_fasciatus/Sup_tab1/links/of-new\of-new-5-64-64-asb-37.txt","Contig-37")</f>
        <v>Contig-37</v>
      </c>
      <c r="C46" t="str">
        <f>HYPERLINK("http://exon.niaid.nih.gov/transcriptome/O_fasciatus/Sup_tab1/links/of-new\of-new-5-64-64-37-CLU.txt","Contig37")</f>
        <v>Contig37</v>
      </c>
      <c r="D46">
        <v>7</v>
      </c>
      <c r="E46">
        <v>685</v>
      </c>
      <c r="F46" t="str">
        <f>HYPERLINK("http://exon.niaid.nih.gov/transcriptome/O_fasciatus/Sup_tab1/links/of-new\of-new-5-64-64-37-qual.txt","79.3")</f>
        <v>79.3</v>
      </c>
      <c r="G46" t="s">
        <v>541</v>
      </c>
      <c r="H46">
        <v>67.9</v>
      </c>
      <c r="I46">
        <v>630</v>
      </c>
      <c r="J46">
        <v>37</v>
      </c>
      <c r="K46" t="s">
        <v>578</v>
      </c>
      <c r="L46">
        <v>421</v>
      </c>
      <c r="M46" s="3" t="str">
        <f>HYPERLINK("http://exon.niaid.nih.gov/transcriptome/O_fasciatus/Sup_tab1/links/NR\of-new-contig_37-NR.txt","GA16804-PA")</f>
        <v>GA16804-PA</v>
      </c>
      <c r="N46" s="2" t="str">
        <f>HYPERLINK("http://www.ncbi.nlm.nih.gov/sutils/blink.cgi?pid=54642231","1E-023")</f>
        <v>1E-023</v>
      </c>
      <c r="O46" t="s">
        <v>944</v>
      </c>
      <c r="P46">
        <v>64</v>
      </c>
      <c r="Q46">
        <v>64</v>
      </c>
      <c r="R46">
        <v>84</v>
      </c>
      <c r="S46">
        <v>100</v>
      </c>
      <c r="T46">
        <v>1</v>
      </c>
      <c r="U46">
        <v>33</v>
      </c>
      <c r="V46">
        <v>1</v>
      </c>
      <c r="W46" t="s">
        <v>1412</v>
      </c>
      <c r="X46" t="s">
        <v>945</v>
      </c>
      <c r="Y46" t="s">
        <v>946</v>
      </c>
      <c r="Z46" s="4" t="s">
        <v>1037</v>
      </c>
      <c r="AA46" t="s">
        <v>1009</v>
      </c>
      <c r="AB46" s="3" t="s">
        <v>947</v>
      </c>
      <c r="AC46" s="2">
        <f>HYPERLINK("http://exon.niaid.nih.gov/transcriptome/O_fasciatus/Sup_tab1/links/GO\of-new-contig_37-GO.txt",2E-24)</f>
        <v>0</v>
      </c>
      <c r="AD46" s="4" t="s">
        <v>1631</v>
      </c>
      <c r="AE46" t="s">
        <v>1632</v>
      </c>
      <c r="AF46" s="1">
        <v>1E-18</v>
      </c>
      <c r="AG46" s="4" t="s">
        <v>1638</v>
      </c>
      <c r="AH46" t="s">
        <v>1639</v>
      </c>
      <c r="AI46" s="1">
        <v>1E-18</v>
      </c>
      <c r="AJ46" s="4" t="s">
        <v>1537</v>
      </c>
      <c r="AK46" t="s">
        <v>1538</v>
      </c>
      <c r="AL46" s="1">
        <v>1E-18</v>
      </c>
      <c r="AM46" s="3" t="str">
        <f>HYPERLINK("http://exon.niaid.nih.gov/transcriptome/O_fasciatus/Sup_tab1/links/KOG\of-new-contig_37-KOG.txt","Predicted membrane protein")</f>
        <v>Predicted membrane protein</v>
      </c>
      <c r="AN46" s="2" t="str">
        <f>HYPERLINK("http://www.ncbi.nlm.nih.gov/COG/new/shokog.cgi?KOG3491","2E-025")</f>
        <v>2E-025</v>
      </c>
      <c r="AO46" t="s">
        <v>881</v>
      </c>
      <c r="AP46" s="3" t="str">
        <f>HYPERLINK("http://exon.niaid.nih.gov/transcriptome/O_fasciatus/Sup_tab1/links/CDD\of-new-contig_37-CDD.txt","RAMP4")</f>
        <v>RAMP4</v>
      </c>
      <c r="AQ46" s="2" t="str">
        <f>HYPERLINK("http://www.ncbi.nlm.nih.gov/Structure/cdd/cddsrv.cgi?uid=pfam06624&amp;version=v4.0","2E-027")</f>
        <v>2E-027</v>
      </c>
      <c r="AR46" t="s">
        <v>1130</v>
      </c>
      <c r="AS46" s="3" t="str">
        <f>HYPERLINK("http://exon.niaid.nih.gov/transcriptome/O_fasciatus/Sup_tab1/links/PFAM\of-new-contig_37-PFAM.txt","RAMP4")</f>
        <v>RAMP4</v>
      </c>
      <c r="AT46" s="2" t="str">
        <f>HYPERLINK("http://pfam.wustl.edu/cgi-bin/getdesc?acc=PF06624","1E-027")</f>
        <v>1E-027</v>
      </c>
      <c r="AU46" s="3" t="str">
        <f>HYPERLINK("http://exon.niaid.nih.gov/transcriptome/O_fasciatus/Sup_tab1/links/SMART\of-new-contig_37-SMART.txt","LITAF")</f>
        <v>LITAF</v>
      </c>
      <c r="AV46" s="2" t="str">
        <f>HYPERLINK("http://smart.embl-heidelberg.de/smart/do_annotation.pl?DOMAIN=LITAF&amp;BLAST=DUMMY","0.32")</f>
        <v>0.32</v>
      </c>
      <c r="AW46" s="3" t="s">
        <v>547</v>
      </c>
      <c r="AX46" s="2" t="s">
        <v>547</v>
      </c>
      <c r="AY46" s="3" t="s">
        <v>547</v>
      </c>
      <c r="AZ46" s="2" t="s">
        <v>547</v>
      </c>
    </row>
    <row r="47" spans="1:52" ht="11.25">
      <c r="A47" t="str">
        <f>HYPERLINK("http://exon.niaid.nih.gov/transcriptome/O_fasciatus/Sup_tab1/links/of-new\of-new-contig_102.txt","of-new-contig_102")</f>
        <v>of-new-contig_102</v>
      </c>
      <c r="B47" t="str">
        <f>HYPERLINK("http://exon.niaid.nih.gov/transcriptome/O_fasciatus/Sup_tab1/links/of-new\of-new-5-64-64-asb-102.txt","Contig-102")</f>
        <v>Contig-102</v>
      </c>
      <c r="C47" t="str">
        <f>HYPERLINK("http://exon.niaid.nih.gov/transcriptome/O_fasciatus/Sup_tab1/links/of-new\of-new-5-64-64-102-CLU.txt","Contig102")</f>
        <v>Contig102</v>
      </c>
      <c r="D47">
        <v>2</v>
      </c>
      <c r="E47">
        <v>367</v>
      </c>
      <c r="F47" t="str">
        <f>HYPERLINK("http://exon.niaid.nih.gov/transcriptome/O_fasciatus/Sup_tab1/links/of-new\of-new-5-64-64-102-qual.txt","91.4")</f>
        <v>91.4</v>
      </c>
      <c r="G47" t="s">
        <v>541</v>
      </c>
      <c r="H47">
        <v>71.4</v>
      </c>
      <c r="I47">
        <v>348</v>
      </c>
      <c r="J47">
        <v>102</v>
      </c>
      <c r="K47" t="s">
        <v>1181</v>
      </c>
      <c r="L47">
        <v>350</v>
      </c>
      <c r="M47" s="3" t="str">
        <f>HYPERLINK("http://exon.niaid.nih.gov/transcriptome/O_fasciatus/Sup_tab1/links/NR\of-new-contig_102-NR.txt","PREDICTED: similar to Nonsense-mediated mRNA 3 CG3460-PA")</f>
        <v>PREDICTED: similar to Nonsense-mediated mRNA 3 CG3460-PA</v>
      </c>
      <c r="N47" s="2" t="str">
        <f>HYPERLINK("http://www.ncbi.nlm.nih.gov/sutils/blink.cgi?pid=66559176","3E-027")</f>
        <v>3E-027</v>
      </c>
      <c r="O47" t="s">
        <v>821</v>
      </c>
      <c r="P47">
        <v>109</v>
      </c>
      <c r="Q47">
        <v>503</v>
      </c>
      <c r="R47">
        <v>52</v>
      </c>
      <c r="S47">
        <v>22</v>
      </c>
      <c r="T47">
        <v>394</v>
      </c>
      <c r="U47">
        <v>1</v>
      </c>
      <c r="V47">
        <v>1</v>
      </c>
      <c r="W47" t="s">
        <v>1412</v>
      </c>
      <c r="X47" t="s">
        <v>520</v>
      </c>
      <c r="Y47" t="s">
        <v>822</v>
      </c>
      <c r="Z47" s="4" t="s">
        <v>1069</v>
      </c>
      <c r="AA47" t="s">
        <v>1009</v>
      </c>
      <c r="AB47" s="3" t="s">
        <v>823</v>
      </c>
      <c r="AC47" s="2">
        <f>HYPERLINK("http://exon.niaid.nih.gov/transcriptome/O_fasciatus/Sup_tab1/links/GO\of-new-contig_102-GO.txt",0.000000000000000000005)</f>
        <v>0</v>
      </c>
      <c r="AD47" s="4" t="s">
        <v>1671</v>
      </c>
      <c r="AE47" t="s">
        <v>1672</v>
      </c>
      <c r="AF47">
        <v>1E-15</v>
      </c>
      <c r="AG47" s="4" t="s">
        <v>1584</v>
      </c>
      <c r="AH47" t="s">
        <v>1585</v>
      </c>
      <c r="AI47">
        <v>1E-15</v>
      </c>
      <c r="AJ47" s="4" t="s">
        <v>824</v>
      </c>
      <c r="AK47" t="s">
        <v>825</v>
      </c>
      <c r="AL47">
        <v>1E-15</v>
      </c>
      <c r="AM47" s="3" t="str">
        <f>HYPERLINK("http://exon.niaid.nih.gov/transcriptome/O_fasciatus/Sup_tab1/links/KOG\of-new-contig_102-KOG.txt","NMD protein affecting ribosome stability and mRNA decay")</f>
        <v>NMD protein affecting ribosome stability and mRNA decay</v>
      </c>
      <c r="AN47" s="2" t="str">
        <f>HYPERLINK("http://www.ncbi.nlm.nih.gov/COG/new/shokog.cgi?KOG2613","8E-026")</f>
        <v>8E-026</v>
      </c>
      <c r="AO47" t="s">
        <v>529</v>
      </c>
      <c r="AP47" s="3" t="str">
        <f>HYPERLINK("http://exon.niaid.nih.gov/transcriptome/O_fasciatus/Sup_tab1/links/CDD\of-new-contig_102-CDD.txt","COG5523")</f>
        <v>COG5523</v>
      </c>
      <c r="AQ47" s="2" t="str">
        <f>HYPERLINK("http://www.ncbi.nlm.nih.gov/Structure/cdd/cddsrv.cgi?uid=COG5523&amp;version=v4.0","0.042")</f>
        <v>0.042</v>
      </c>
      <c r="AR47" t="s">
        <v>826</v>
      </c>
      <c r="AS47" s="3" t="str">
        <f>HYPERLINK("http://exon.niaid.nih.gov/transcriptome/O_fasciatus/Sup_tab1/links/PFAM\of-new-contig_102-PFAM.txt","Vinculin")</f>
        <v>Vinculin</v>
      </c>
      <c r="AT47" s="2" t="str">
        <f>HYPERLINK("http://pfam.wustl.edu/cgi-bin/getdesc?acc=PF01044","0.13")</f>
        <v>0.13</v>
      </c>
      <c r="AU47" s="3" t="str">
        <f>HYPERLINK("http://exon.niaid.nih.gov/transcriptome/O_fasciatus/Sup_tab1/links/SMART\of-new-contig_102-SMART.txt","NUC")</f>
        <v>NUC</v>
      </c>
      <c r="AV47" s="2" t="str">
        <f>HYPERLINK("http://smart.embl-heidelberg.de/smart/do_annotation.pl?DOMAIN=NUC&amp;BLAST=DUMMY","0.007")</f>
        <v>0.007</v>
      </c>
      <c r="AW47" s="3" t="s">
        <v>547</v>
      </c>
      <c r="AX47" s="2" t="s">
        <v>547</v>
      </c>
      <c r="AY47" s="3" t="s">
        <v>547</v>
      </c>
      <c r="AZ47" s="2" t="s">
        <v>547</v>
      </c>
    </row>
    <row r="48" spans="1:52" ht="11.25">
      <c r="A48" t="str">
        <f>HYPERLINK("http://exon.niaid.nih.gov/transcriptome/O_fasciatus/Sup_tab1/links/of-new\of-new-contig_65.txt","of-new-contig_65")</f>
        <v>of-new-contig_65</v>
      </c>
      <c r="B48" t="str">
        <f>HYPERLINK("http://exon.niaid.nih.gov/transcriptome/O_fasciatus/Sup_tab1/links/of-new\of-new-5-64-64-asb-65.txt","Contig-65")</f>
        <v>Contig-65</v>
      </c>
      <c r="C48" t="str">
        <f>HYPERLINK("http://exon.niaid.nih.gov/transcriptome/O_fasciatus/Sup_tab1/links/of-new\of-new-5-64-64-65-CLU.txt","Contig65")</f>
        <v>Contig65</v>
      </c>
      <c r="D48">
        <v>3</v>
      </c>
      <c r="E48">
        <v>670</v>
      </c>
      <c r="F48" t="str">
        <f>HYPERLINK("http://exon.niaid.nih.gov/transcriptome/O_fasciatus/Sup_tab1/links/of-new\of-new-5-64-64-65-qual.txt","91.5")</f>
        <v>91.5</v>
      </c>
      <c r="G48" t="s">
        <v>541</v>
      </c>
      <c r="H48">
        <v>58.2</v>
      </c>
      <c r="I48" t="s">
        <v>547</v>
      </c>
      <c r="J48">
        <v>65</v>
      </c>
      <c r="K48" t="s">
        <v>606</v>
      </c>
      <c r="L48">
        <v>1016</v>
      </c>
      <c r="M48" s="3" t="str">
        <f>HYPERLINK("http://exon.niaid.nih.gov/transcriptome/O_fasciatus/Sup_tab1/links/NR\of-new-contig_65-NR.txt","PREDICTED: similar to CG11522-PB, isoform B")</f>
        <v>PREDICTED: similar to CG11522-PB, isoform B</v>
      </c>
      <c r="N48" s="2" t="str">
        <f>HYPERLINK("http://www.ncbi.nlm.nih.gov/sutils/blink.cgi?pid=91085243","2E-058")</f>
        <v>2E-058</v>
      </c>
      <c r="O48" t="s">
        <v>675</v>
      </c>
      <c r="P48">
        <v>193</v>
      </c>
      <c r="Q48">
        <v>263</v>
      </c>
      <c r="R48">
        <v>57</v>
      </c>
      <c r="S48">
        <v>73</v>
      </c>
      <c r="T48">
        <v>71</v>
      </c>
      <c r="U48">
        <v>1</v>
      </c>
      <c r="V48">
        <v>1</v>
      </c>
      <c r="W48" t="s">
        <v>1412</v>
      </c>
      <c r="X48" t="s">
        <v>676</v>
      </c>
      <c r="Y48" t="s">
        <v>677</v>
      </c>
      <c r="Z48" s="4" t="s">
        <v>1057</v>
      </c>
      <c r="AA48" t="s">
        <v>1009</v>
      </c>
      <c r="AB48" s="3" t="s">
        <v>678</v>
      </c>
      <c r="AC48" s="2">
        <f>HYPERLINK("http://exon.niaid.nih.gov/transcriptome/O_fasciatus/Sup_tab1/links/GO\of-new-contig_65-GO.txt",5E-57)</f>
        <v>0</v>
      </c>
      <c r="AD48" s="4" t="s">
        <v>679</v>
      </c>
      <c r="AE48" t="s">
        <v>680</v>
      </c>
      <c r="AF48" s="1">
        <v>1E-44</v>
      </c>
      <c r="AG48" s="4" t="s">
        <v>633</v>
      </c>
      <c r="AH48" t="s">
        <v>634</v>
      </c>
      <c r="AI48" s="1">
        <v>1E-44</v>
      </c>
      <c r="AJ48" s="4" t="s">
        <v>1434</v>
      </c>
      <c r="AK48" t="s">
        <v>1435</v>
      </c>
      <c r="AL48" s="1">
        <v>1E-44</v>
      </c>
      <c r="AM48" s="3" t="str">
        <f>HYPERLINK("http://exon.niaid.nih.gov/transcriptome/O_fasciatus/Sup_tab1/links/KOG\of-new-contig_65-KOG.txt","60s ribosomal protein L6")</f>
        <v>60s ribosomal protein L6</v>
      </c>
      <c r="AN48" s="2" t="str">
        <f>HYPERLINK("http://www.ncbi.nlm.nih.gov/COG/new/shokog.cgi?KOG1694","4E-028")</f>
        <v>4E-028</v>
      </c>
      <c r="AO48" t="s">
        <v>529</v>
      </c>
      <c r="AP48" s="3" t="str">
        <f>HYPERLINK("http://exon.niaid.nih.gov/transcriptome/O_fasciatus/Sup_tab1/links/CDD\of-new-contig_65-CDD.txt","Ribosomal_L6e")</f>
        <v>Ribosomal_L6e</v>
      </c>
      <c r="AQ48" s="2" t="str">
        <f>HYPERLINK("http://www.ncbi.nlm.nih.gov/Structure/cdd/cddsrv.cgi?uid=pfam01159&amp;version=v4.0","9E-033")</f>
        <v>9E-033</v>
      </c>
      <c r="AR48" t="s">
        <v>1436</v>
      </c>
      <c r="AS48" s="3" t="str">
        <f>HYPERLINK("http://exon.niaid.nih.gov/transcriptome/O_fasciatus/Sup_tab1/links/PFAM\of-new-contig_65-PFAM.txt","Ribosomal_L6e")</f>
        <v>Ribosomal_L6e</v>
      </c>
      <c r="AT48" s="2" t="str">
        <f>HYPERLINK("http://pfam.wustl.edu/cgi-bin/getdesc?acc=PF01159","5E-033")</f>
        <v>5E-033</v>
      </c>
      <c r="AU48" s="3" t="str">
        <f>HYPERLINK("http://exon.niaid.nih.gov/transcriptome/O_fasciatus/Sup_tab1/links/SMART\of-new-contig_65-SMART.txt","KOW")</f>
        <v>KOW</v>
      </c>
      <c r="AV48" s="2" t="str">
        <f>HYPERLINK("http://smart.embl-heidelberg.de/smart/do_annotation.pl?DOMAIN=KOW&amp;BLAST=DUMMY","0.073")</f>
        <v>0.073</v>
      </c>
      <c r="AW48" s="3" t="s">
        <v>547</v>
      </c>
      <c r="AX48" s="2" t="s">
        <v>547</v>
      </c>
      <c r="AY48" s="3" t="s">
        <v>547</v>
      </c>
      <c r="AZ48" s="2" t="s">
        <v>547</v>
      </c>
    </row>
    <row r="49" spans="1:52" ht="11.25">
      <c r="A49" t="str">
        <f>HYPERLINK("http://exon.niaid.nih.gov/transcriptome/O_fasciatus/Sup_tab1/links/of-new\of-new-contig_256.txt","of-new-contig_256")</f>
        <v>of-new-contig_256</v>
      </c>
      <c r="B49" t="str">
        <f>HYPERLINK("http://exon.niaid.nih.gov/transcriptome/O_fasciatus/Sup_tab1/links/of-new\of-new-5-64-64-asb-256.txt","Contig-256")</f>
        <v>Contig-256</v>
      </c>
      <c r="C49" t="str">
        <f>HYPERLINK("http://exon.niaid.nih.gov/transcriptome/O_fasciatus/Sup_tab1/links/of-new\of-new-5-64-64-256-CLU.txt","Contig256")</f>
        <v>Contig256</v>
      </c>
      <c r="D49">
        <v>1</v>
      </c>
      <c r="E49">
        <v>404</v>
      </c>
      <c r="F49" t="str">
        <f>HYPERLINK("http://exon.niaid.nih.gov/transcriptome/O_fasciatus/Sup_tab1/links/of-new\of-new-5-64-64-256-qual.txt","62.5")</f>
        <v>62.5</v>
      </c>
      <c r="G49" t="s">
        <v>541</v>
      </c>
      <c r="H49">
        <v>61.9</v>
      </c>
      <c r="I49">
        <v>385</v>
      </c>
      <c r="J49">
        <v>256</v>
      </c>
      <c r="K49" t="s">
        <v>1334</v>
      </c>
      <c r="L49">
        <v>385</v>
      </c>
      <c r="M49" s="3" t="str">
        <f>HYPERLINK("http://exon.niaid.nih.gov/transcriptome/O_fasciatus/Sup_tab1/links/NR\of-new-contig_256-NR.txt","ribosomal protein L5")</f>
        <v>ribosomal protein L5</v>
      </c>
      <c r="N49" s="2" t="str">
        <f>HYPERLINK("http://www.ncbi.nlm.nih.gov/sutils/blink.cgi?pid=54609197","8E-033")</f>
        <v>8E-033</v>
      </c>
      <c r="O49" t="s">
        <v>423</v>
      </c>
      <c r="P49">
        <v>108</v>
      </c>
      <c r="Q49">
        <v>299</v>
      </c>
      <c r="R49">
        <v>61</v>
      </c>
      <c r="S49">
        <v>36</v>
      </c>
      <c r="T49">
        <v>188</v>
      </c>
      <c r="U49">
        <v>9</v>
      </c>
      <c r="V49">
        <v>1</v>
      </c>
      <c r="W49" t="s">
        <v>1412</v>
      </c>
      <c r="X49" t="s">
        <v>1579</v>
      </c>
      <c r="Y49" t="s">
        <v>424</v>
      </c>
      <c r="Z49" s="4" t="s">
        <v>1116</v>
      </c>
      <c r="AA49" t="s">
        <v>1009</v>
      </c>
      <c r="AB49" s="3" t="s">
        <v>425</v>
      </c>
      <c r="AC49" s="2">
        <f>HYPERLINK("http://exon.niaid.nih.gov/transcriptome/O_fasciatus/Sup_tab1/links/GO\of-new-contig_256-GO.txt",1E-30)</f>
        <v>0</v>
      </c>
      <c r="AD49" s="4" t="s">
        <v>757</v>
      </c>
      <c r="AE49" t="s">
        <v>758</v>
      </c>
      <c r="AF49" s="1">
        <v>1E-30</v>
      </c>
      <c r="AG49" s="4" t="s">
        <v>633</v>
      </c>
      <c r="AH49" t="s">
        <v>634</v>
      </c>
      <c r="AI49" s="1">
        <v>1E-30</v>
      </c>
      <c r="AJ49" s="4" t="s">
        <v>527</v>
      </c>
      <c r="AK49" t="s">
        <v>528</v>
      </c>
      <c r="AL49" s="1">
        <v>1E-30</v>
      </c>
      <c r="AM49" s="3" t="str">
        <f>HYPERLINK("http://exon.niaid.nih.gov/transcriptome/O_fasciatus/Sup_tab1/links/KOG\of-new-contig_256-KOG.txt","60S ribosomal protein L5")</f>
        <v>60S ribosomal protein L5</v>
      </c>
      <c r="AN49" s="2" t="str">
        <f>HYPERLINK("http://www.ncbi.nlm.nih.gov/COG/new/shokog.cgi?KOG0875","1E-020")</f>
        <v>1E-020</v>
      </c>
      <c r="AO49" t="s">
        <v>529</v>
      </c>
      <c r="AP49" s="3" t="str">
        <f>HYPERLINK("http://exon.niaid.nih.gov/transcriptome/O_fasciatus/Sup_tab1/links/CDD\of-new-contig_256-CDD.txt","PAP2_like_6")</f>
        <v>PAP2_like_6</v>
      </c>
      <c r="AQ49" s="2" t="str">
        <f>HYPERLINK("http://www.ncbi.nlm.nih.gov/Structure/cdd/cddsrv.cgi?uid=cd03396&amp;version=v4.0","0.024")</f>
        <v>0.024</v>
      </c>
      <c r="AR49" t="s">
        <v>426</v>
      </c>
      <c r="AS49" s="3" t="str">
        <f>HYPERLINK("http://exon.niaid.nih.gov/transcriptome/O_fasciatus/Sup_tab1/links/PFAM\of-new-contig_256-PFAM.txt","Nucleoside_tran")</f>
        <v>Nucleoside_tran</v>
      </c>
      <c r="AT49" s="2" t="str">
        <f>HYPERLINK("http://pfam.wustl.edu/cgi-bin/getdesc?acc=PF01733","0.035")</f>
        <v>0.035</v>
      </c>
      <c r="AU49" s="3" t="str">
        <f>HYPERLINK("http://exon.niaid.nih.gov/transcriptome/O_fasciatus/Sup_tab1/links/SMART\of-new-contig_256-SMART.txt","DWA")</f>
        <v>DWA</v>
      </c>
      <c r="AV49" s="2" t="str">
        <f>HYPERLINK("http://smart.embl-heidelberg.de/smart/do_annotation.pl?DOMAIN=DWA&amp;BLAST=DUMMY","0.12")</f>
        <v>0.12</v>
      </c>
      <c r="AW49" s="3" t="s">
        <v>547</v>
      </c>
      <c r="AX49" s="2" t="s">
        <v>547</v>
      </c>
      <c r="AY49" s="3" t="s">
        <v>547</v>
      </c>
      <c r="AZ49" s="2" t="s">
        <v>547</v>
      </c>
    </row>
    <row r="50" spans="1:52" ht="11.25">
      <c r="A50" t="str">
        <f>HYPERLINK("http://exon.niaid.nih.gov/transcriptome/O_fasciatus/Sup_tab1/links/of-new\of-new-contig_55.txt","of-new-contig_55")</f>
        <v>of-new-contig_55</v>
      </c>
      <c r="B50" t="str">
        <f>HYPERLINK("http://exon.niaid.nih.gov/transcriptome/O_fasciatus/Sup_tab1/links/of-new\of-new-5-64-64-asb-55.txt","Contig-55")</f>
        <v>Contig-55</v>
      </c>
      <c r="C50" t="str">
        <f>HYPERLINK("http://exon.niaid.nih.gov/transcriptome/O_fasciatus/Sup_tab1/links/of-new\of-new-5-64-64-55-CLU.txt","Contig55")</f>
        <v>Contig55</v>
      </c>
      <c r="D50">
        <v>3</v>
      </c>
      <c r="E50">
        <v>669</v>
      </c>
      <c r="F50" t="str">
        <f>HYPERLINK("http://exon.niaid.nih.gov/transcriptome/O_fasciatus/Sup_tab1/links/of-new\of-new-5-64-64-55-qual.txt","64.6")</f>
        <v>64.6</v>
      </c>
      <c r="G50">
        <v>0.4</v>
      </c>
      <c r="H50">
        <v>61.4</v>
      </c>
      <c r="I50" t="s">
        <v>547</v>
      </c>
      <c r="J50">
        <v>55</v>
      </c>
      <c r="K50" t="s">
        <v>596</v>
      </c>
      <c r="L50">
        <v>321</v>
      </c>
      <c r="M50" s="3" t="str">
        <f>HYPERLINK("http://exon.niaid.nih.gov/transcriptome/O_fasciatus/Sup_tab1/links/NR\of-new-contig_55-NR.txt","ribosomal protein L35Ae")</f>
        <v>ribosomal protein L35Ae</v>
      </c>
      <c r="N50" s="2" t="str">
        <f>HYPERLINK("http://www.ncbi.nlm.nih.gov/sutils/blink.cgi?pid=70909867","1E-042")</f>
        <v>1E-042</v>
      </c>
      <c r="O50" t="s">
        <v>161</v>
      </c>
      <c r="P50">
        <v>156</v>
      </c>
      <c r="Q50">
        <v>152</v>
      </c>
      <c r="R50">
        <v>57</v>
      </c>
      <c r="S50">
        <v>103</v>
      </c>
      <c r="T50">
        <v>1</v>
      </c>
      <c r="U50">
        <v>43</v>
      </c>
      <c r="V50">
        <v>1</v>
      </c>
      <c r="W50" t="s">
        <v>1412</v>
      </c>
      <c r="X50" t="s">
        <v>162</v>
      </c>
      <c r="Y50" t="s">
        <v>631</v>
      </c>
      <c r="Z50" s="4" t="s">
        <v>1049</v>
      </c>
      <c r="AA50" t="s">
        <v>1009</v>
      </c>
      <c r="AB50" s="3" t="s">
        <v>632</v>
      </c>
      <c r="AC50" s="2">
        <f>HYPERLINK("http://exon.niaid.nih.gov/transcriptome/O_fasciatus/Sup_tab1/links/GO\of-new-contig_55-GO.txt",3E-36)</f>
        <v>0</v>
      </c>
      <c r="AD50" s="4" t="s">
        <v>150</v>
      </c>
      <c r="AE50" t="s">
        <v>151</v>
      </c>
      <c r="AF50" s="1">
        <v>3E-36</v>
      </c>
      <c r="AG50" s="4" t="s">
        <v>633</v>
      </c>
      <c r="AH50" t="s">
        <v>634</v>
      </c>
      <c r="AI50" s="1">
        <v>3E-36</v>
      </c>
      <c r="AJ50" s="4" t="s">
        <v>527</v>
      </c>
      <c r="AK50" t="s">
        <v>528</v>
      </c>
      <c r="AL50" s="1">
        <v>3E-36</v>
      </c>
      <c r="AM50" s="3" t="str">
        <f>HYPERLINK("http://exon.niaid.nih.gov/transcriptome/O_fasciatus/Sup_tab1/links/KOG\of-new-contig_55-KOG.txt","60S ribosomal protein L35A/L37")</f>
        <v>60S ribosomal protein L35A/L37</v>
      </c>
      <c r="AN50" s="2" t="str">
        <f>HYPERLINK("http://www.ncbi.nlm.nih.gov/COG/new/shokog.cgi?KOG0887","7E-036")</f>
        <v>7E-036</v>
      </c>
      <c r="AO50" t="s">
        <v>529</v>
      </c>
      <c r="AP50" s="3" t="str">
        <f>HYPERLINK("http://exon.niaid.nih.gov/transcriptome/O_fasciatus/Sup_tab1/links/CDD\of-new-contig_55-CDD.txt","Ribosomal_L35Ae")</f>
        <v>Ribosomal_L35Ae</v>
      </c>
      <c r="AQ50" s="2" t="str">
        <f>HYPERLINK("http://www.ncbi.nlm.nih.gov/Structure/cdd/cddsrv.cgi?uid=pfam01247&amp;version=v4.0","5E-028")</f>
        <v>5E-028</v>
      </c>
      <c r="AR50" t="s">
        <v>635</v>
      </c>
      <c r="AS50" s="3" t="str">
        <f>HYPERLINK("http://exon.niaid.nih.gov/transcriptome/O_fasciatus/Sup_tab1/links/PFAM\of-new-contig_55-PFAM.txt","Ribosomal_L35Ae")</f>
        <v>Ribosomal_L35Ae</v>
      </c>
      <c r="AT50" s="2" t="str">
        <f>HYPERLINK("http://pfam.wustl.edu/cgi-bin/getdesc?acc=PF01247","3E-028")</f>
        <v>3E-028</v>
      </c>
      <c r="AU50" s="3" t="str">
        <f>HYPERLINK("http://exon.niaid.nih.gov/transcriptome/O_fasciatus/Sup_tab1/links/SMART\of-new-contig_55-SMART.txt","PSN")</f>
        <v>PSN</v>
      </c>
      <c r="AV50" s="2" t="str">
        <f>HYPERLINK("http://smart.embl-heidelberg.de/smart/do_annotation.pl?DOMAIN=PSN&amp;BLAST=DUMMY","0.010")</f>
        <v>0.010</v>
      </c>
      <c r="AW50" s="3" t="s">
        <v>547</v>
      </c>
      <c r="AX50" s="2" t="s">
        <v>547</v>
      </c>
      <c r="AY50" s="3" t="s">
        <v>547</v>
      </c>
      <c r="AZ50" s="2" t="s">
        <v>547</v>
      </c>
    </row>
    <row r="51" spans="1:52" ht="11.25">
      <c r="A51" t="str">
        <f>HYPERLINK("http://exon.niaid.nih.gov/transcriptome/O_fasciatus/Sup_tab1/links/of-new\of-new-contig_288.txt","of-new-contig_288")</f>
        <v>of-new-contig_288</v>
      </c>
      <c r="B51" t="str">
        <f>HYPERLINK("http://exon.niaid.nih.gov/transcriptome/O_fasciatus/Sup_tab1/links/of-new\of-new-5-64-64-asb-288.txt","Contig-288")</f>
        <v>Contig-288</v>
      </c>
      <c r="C51" t="str">
        <f>HYPERLINK("http://exon.niaid.nih.gov/transcriptome/O_fasciatus/Sup_tab1/links/of-new\of-new-5-64-64-288-CLU.txt","Contig288")</f>
        <v>Contig288</v>
      </c>
      <c r="D51">
        <v>1</v>
      </c>
      <c r="E51">
        <v>167</v>
      </c>
      <c r="F51" t="str">
        <f>HYPERLINK("http://exon.niaid.nih.gov/transcriptome/O_fasciatus/Sup_tab1/links/of-new\of-new-5-64-64-288-qual.txt","44.5")</f>
        <v>44.5</v>
      </c>
      <c r="G51" t="s">
        <v>541</v>
      </c>
      <c r="H51">
        <v>76</v>
      </c>
      <c r="I51">
        <v>128</v>
      </c>
      <c r="J51">
        <v>288</v>
      </c>
      <c r="K51" t="s">
        <v>1366</v>
      </c>
      <c r="L51">
        <v>148</v>
      </c>
      <c r="M51" s="3" t="str">
        <f>HYPERLINK("http://exon.niaid.nih.gov/transcriptome/O_fasciatus/Sup_tab1/links/NR\of-new-contig_288-NR.txt","ribosomal protein L31")</f>
        <v>ribosomal protein L31</v>
      </c>
      <c r="N51" s="2" t="str">
        <f>HYPERLINK("http://www.ncbi.nlm.nih.gov/sutils/blink.cgi?pid=115382941","2E-004")</f>
        <v>2E-004</v>
      </c>
      <c r="O51" t="s">
        <v>131</v>
      </c>
      <c r="P51">
        <v>27</v>
      </c>
      <c r="Q51">
        <v>74</v>
      </c>
      <c r="R51">
        <v>81</v>
      </c>
      <c r="S51">
        <v>36</v>
      </c>
      <c r="T51">
        <v>48</v>
      </c>
      <c r="U51">
        <v>3</v>
      </c>
      <c r="V51">
        <v>1</v>
      </c>
      <c r="W51" t="s">
        <v>1412</v>
      </c>
      <c r="X51" t="s">
        <v>132</v>
      </c>
      <c r="Y51" t="s">
        <v>133</v>
      </c>
      <c r="Z51" s="4" t="s">
        <v>1124</v>
      </c>
      <c r="AA51" t="s">
        <v>1009</v>
      </c>
      <c r="AB51" s="3" t="s">
        <v>134</v>
      </c>
      <c r="AC51" s="2">
        <f>HYPERLINK("http://exon.niaid.nih.gov/transcriptome/O_fasciatus/Sup_tab1/links/GO\of-new-contig_288-GO.txt",0.00004)</f>
        <v>0</v>
      </c>
      <c r="AD51" s="4" t="s">
        <v>1631</v>
      </c>
      <c r="AE51" t="s">
        <v>1632</v>
      </c>
      <c r="AF51">
        <v>4E-05</v>
      </c>
      <c r="AG51" s="4" t="s">
        <v>1638</v>
      </c>
      <c r="AH51" t="s">
        <v>1639</v>
      </c>
      <c r="AI51">
        <v>4E-05</v>
      </c>
      <c r="AJ51" s="4" t="s">
        <v>1537</v>
      </c>
      <c r="AK51" t="s">
        <v>1538</v>
      </c>
      <c r="AL51">
        <v>4E-05</v>
      </c>
      <c r="AM51" s="3" t="str">
        <f>HYPERLINK("http://exon.niaid.nih.gov/transcriptome/O_fasciatus/Sup_tab1/links/KOG\of-new-contig_288-KOG.txt","60S ribosomal protein L31")</f>
        <v>60S ribosomal protein L31</v>
      </c>
      <c r="AN51" s="2" t="str">
        <f>HYPERLINK("http://www.ncbi.nlm.nih.gov/COG/new/shokog.cgi?KOG0893","0.010")</f>
        <v>0.010</v>
      </c>
      <c r="AO51" t="s">
        <v>529</v>
      </c>
      <c r="AP51" s="3" t="s">
        <v>547</v>
      </c>
      <c r="AQ51" s="2" t="s">
        <v>547</v>
      </c>
      <c r="AR51" t="s">
        <v>547</v>
      </c>
      <c r="AS51" s="3" t="s">
        <v>547</v>
      </c>
      <c r="AT51" s="2" t="s">
        <v>547</v>
      </c>
      <c r="AU51" s="3" t="s">
        <v>547</v>
      </c>
      <c r="AV51" s="2" t="s">
        <v>547</v>
      </c>
      <c r="AW51" s="3" t="s">
        <v>547</v>
      </c>
      <c r="AX51" s="2" t="s">
        <v>547</v>
      </c>
      <c r="AY51" s="3" t="s">
        <v>547</v>
      </c>
      <c r="AZ51" s="2" t="s">
        <v>547</v>
      </c>
    </row>
    <row r="52" spans="1:52" ht="11.25">
      <c r="A52" t="str">
        <f>HYPERLINK("http://exon.niaid.nih.gov/transcriptome/O_fasciatus/Sup_tab1/links/of-new\of-new-contig_168.txt","of-new-contig_168")</f>
        <v>of-new-contig_168</v>
      </c>
      <c r="B52" t="str">
        <f>HYPERLINK("http://exon.niaid.nih.gov/transcriptome/O_fasciatus/Sup_tab1/links/of-new\of-new-5-64-64-asb-168.txt","Contig-168")</f>
        <v>Contig-168</v>
      </c>
      <c r="C52" t="str">
        <f>HYPERLINK("http://exon.niaid.nih.gov/transcriptome/O_fasciatus/Sup_tab1/links/of-new\of-new-5-64-64-168-CLU.txt","Contig168")</f>
        <v>Contig168</v>
      </c>
      <c r="D52">
        <v>1</v>
      </c>
      <c r="E52">
        <v>528</v>
      </c>
      <c r="F52" t="str">
        <f>HYPERLINK("http://exon.niaid.nih.gov/transcriptome/O_fasciatus/Sup_tab1/links/of-new\of-new-5-64-64-168-qual.txt","39.3")</f>
        <v>39.3</v>
      </c>
      <c r="G52" t="s">
        <v>541</v>
      </c>
      <c r="H52">
        <v>59.8</v>
      </c>
      <c r="I52" t="s">
        <v>547</v>
      </c>
      <c r="J52">
        <v>168</v>
      </c>
      <c r="K52" t="s">
        <v>1246</v>
      </c>
      <c r="L52" t="s">
        <v>547</v>
      </c>
      <c r="M52" s="3" t="str">
        <f>HYPERLINK("http://exon.niaid.nih.gov/transcriptome/O_fasciatus/Sup_tab1/links/NR\of-new-contig_168-NR.txt","PREDICTED: similar to CG10652-PA, isoform A")</f>
        <v>PREDICTED: similar to CG10652-PA, isoform A</v>
      </c>
      <c r="N52" s="2" t="str">
        <f>HYPERLINK("http://www.ncbi.nlm.nih.gov/sutils/blink.cgi?pid=91093256","1E-051")</f>
        <v>1E-051</v>
      </c>
      <c r="O52" t="s">
        <v>506</v>
      </c>
      <c r="P52">
        <v>114</v>
      </c>
      <c r="Q52">
        <v>116</v>
      </c>
      <c r="R52">
        <v>86</v>
      </c>
      <c r="S52">
        <v>98</v>
      </c>
      <c r="T52">
        <v>1</v>
      </c>
      <c r="U52">
        <v>103</v>
      </c>
      <c r="V52">
        <v>1</v>
      </c>
      <c r="W52" t="s">
        <v>1412</v>
      </c>
      <c r="X52" t="s">
        <v>676</v>
      </c>
      <c r="Y52" t="s">
        <v>136</v>
      </c>
      <c r="Z52" s="4" t="s">
        <v>1092</v>
      </c>
      <c r="AA52" t="s">
        <v>1009</v>
      </c>
      <c r="AB52" s="3" t="s">
        <v>137</v>
      </c>
      <c r="AC52" s="2">
        <f>HYPERLINK("http://exon.niaid.nih.gov/transcriptome/O_fasciatus/Sup_tab1/links/GO\of-new-contig_168-GO.txt",5E-47)</f>
        <v>0</v>
      </c>
      <c r="AD52" s="4" t="s">
        <v>150</v>
      </c>
      <c r="AE52" t="s">
        <v>151</v>
      </c>
      <c r="AF52" s="1">
        <v>5E-47</v>
      </c>
      <c r="AG52" s="4" t="s">
        <v>633</v>
      </c>
      <c r="AH52" t="s">
        <v>634</v>
      </c>
      <c r="AI52" s="1">
        <v>5E-47</v>
      </c>
      <c r="AJ52" s="4" t="s">
        <v>527</v>
      </c>
      <c r="AK52" t="s">
        <v>528</v>
      </c>
      <c r="AL52" s="1">
        <v>5E-47</v>
      </c>
      <c r="AM52" s="3" t="str">
        <f>HYPERLINK("http://exon.niaid.nih.gov/transcriptome/O_fasciatus/Sup_tab1/links/KOG\of-new-contig_168-KOG.txt","60S ribosomal protein L30")</f>
        <v>60S ribosomal protein L30</v>
      </c>
      <c r="AN52" s="2" t="str">
        <f>HYPERLINK("http://www.ncbi.nlm.nih.gov/COG/new/shokog.cgi?KOG2988","3E-047")</f>
        <v>3E-047</v>
      </c>
      <c r="AO52" t="s">
        <v>529</v>
      </c>
      <c r="AP52" s="3" t="str">
        <f>HYPERLINK("http://exon.niaid.nih.gov/transcriptome/O_fasciatus/Sup_tab1/links/CDD\of-new-contig_168-CDD.txt","RPL30")</f>
        <v>RPL30</v>
      </c>
      <c r="AQ52" s="2" t="str">
        <f>HYPERLINK("http://www.ncbi.nlm.nih.gov/Structure/cdd/cddsrv.cgi?uid=COG1911&amp;version=v4.0","2E-035")</f>
        <v>2E-035</v>
      </c>
      <c r="AR52" t="s">
        <v>138</v>
      </c>
      <c r="AS52" s="3" t="str">
        <f>HYPERLINK("http://exon.niaid.nih.gov/transcriptome/O_fasciatus/Sup_tab1/links/PFAM\of-new-contig_168-PFAM.txt","Ribosomal_L7Ae")</f>
        <v>Ribosomal_L7Ae</v>
      </c>
      <c r="AT52" s="2" t="str">
        <f>HYPERLINK("http://pfam.wustl.edu/cgi-bin/getdesc?acc=PF01248","3E-021")</f>
        <v>3E-021</v>
      </c>
      <c r="AU52" s="3" t="str">
        <f>HYPERLINK("http://exon.niaid.nih.gov/transcriptome/O_fasciatus/Sup_tab1/links/SMART\of-new-contig_168-SMART.txt","STE")</f>
        <v>STE</v>
      </c>
      <c r="AV52" s="2" t="str">
        <f>HYPERLINK("http://smart.embl-heidelberg.de/smart/do_annotation.pl?DOMAIN=STE&amp;BLAST=DUMMY","0.071")</f>
        <v>0.071</v>
      </c>
      <c r="AW52" s="3" t="s">
        <v>547</v>
      </c>
      <c r="AX52" s="2" t="s">
        <v>547</v>
      </c>
      <c r="AY52" s="3" t="s">
        <v>547</v>
      </c>
      <c r="AZ52" s="2" t="s">
        <v>547</v>
      </c>
    </row>
    <row r="53" spans="1:52" ht="11.25">
      <c r="A53" t="str">
        <f>HYPERLINK("http://exon.niaid.nih.gov/transcriptome/O_fasciatus/Sup_tab1/links/of-new\of-new-contig_161.txt","of-new-contig_161")</f>
        <v>of-new-contig_161</v>
      </c>
      <c r="B53" t="str">
        <f>HYPERLINK("http://exon.niaid.nih.gov/transcriptome/O_fasciatus/Sup_tab1/links/of-new\of-new-5-64-64-asb-161.txt","Contig-161")</f>
        <v>Contig-161</v>
      </c>
      <c r="C53" t="str">
        <f>HYPERLINK("http://exon.niaid.nih.gov/transcriptome/O_fasciatus/Sup_tab1/links/of-new\of-new-5-64-64-161-CLU.txt","Contig161")</f>
        <v>Contig161</v>
      </c>
      <c r="D53">
        <v>1</v>
      </c>
      <c r="E53">
        <v>371</v>
      </c>
      <c r="F53" t="str">
        <f>HYPERLINK("http://exon.niaid.nih.gov/transcriptome/O_fasciatus/Sup_tab1/links/of-new\of-new-5-64-64-161-qual.txt","42.2")</f>
        <v>42.2</v>
      </c>
      <c r="G53" t="s">
        <v>541</v>
      </c>
      <c r="H53">
        <v>62</v>
      </c>
      <c r="I53">
        <v>352</v>
      </c>
      <c r="J53">
        <v>161</v>
      </c>
      <c r="K53" t="s">
        <v>1239</v>
      </c>
      <c r="L53">
        <v>352</v>
      </c>
      <c r="M53" s="3" t="str">
        <f>HYPERLINK("http://exon.niaid.nih.gov/transcriptome/O_fasciatus/Sup_tab1/links/NR\of-new-contig_161-NR.txt","ribosomal protein L28")</f>
        <v>ribosomal protein L28</v>
      </c>
      <c r="N53" s="2" t="str">
        <f>HYPERLINK("http://www.ncbi.nlm.nih.gov/sutils/blink.cgi?pid=111379895","1E-030")</f>
        <v>1E-030</v>
      </c>
      <c r="O53" t="s">
        <v>474</v>
      </c>
      <c r="P53">
        <v>92</v>
      </c>
      <c r="Q53">
        <v>138</v>
      </c>
      <c r="R53">
        <v>71</v>
      </c>
      <c r="S53">
        <v>67</v>
      </c>
      <c r="T53">
        <v>47</v>
      </c>
      <c r="U53">
        <v>16</v>
      </c>
      <c r="V53">
        <v>1</v>
      </c>
      <c r="W53" t="s">
        <v>1412</v>
      </c>
      <c r="X53" t="s">
        <v>475</v>
      </c>
      <c r="Y53" t="s">
        <v>476</v>
      </c>
      <c r="Z53" s="4" t="s">
        <v>1088</v>
      </c>
      <c r="AA53" t="s">
        <v>1009</v>
      </c>
      <c r="AB53" s="3" t="s">
        <v>477</v>
      </c>
      <c r="AC53" s="2">
        <f>HYPERLINK("http://exon.niaid.nih.gov/transcriptome/O_fasciatus/Sup_tab1/links/GO\of-new-contig_161-GO.txt",0.00000000000004)</f>
        <v>0</v>
      </c>
      <c r="AD53" s="4" t="s">
        <v>1671</v>
      </c>
      <c r="AE53" t="s">
        <v>1672</v>
      </c>
      <c r="AF53">
        <v>4E-14</v>
      </c>
      <c r="AG53" s="4" t="s">
        <v>633</v>
      </c>
      <c r="AH53" t="s">
        <v>634</v>
      </c>
      <c r="AI53">
        <v>4E-14</v>
      </c>
      <c r="AJ53" s="4" t="s">
        <v>527</v>
      </c>
      <c r="AK53" t="s">
        <v>528</v>
      </c>
      <c r="AL53">
        <v>4E-14</v>
      </c>
      <c r="AM53" s="3" t="str">
        <f>HYPERLINK("http://exon.niaid.nih.gov/transcriptome/O_fasciatus/Sup_tab1/links/KOG\of-new-contig_161-KOG.txt","60S ribosomal protein L28")</f>
        <v>60S ribosomal protein L28</v>
      </c>
      <c r="AN53" s="2" t="str">
        <f>HYPERLINK("http://www.ncbi.nlm.nih.gov/COG/new/shokog.cgi?KOG3412","7E-015")</f>
        <v>7E-015</v>
      </c>
      <c r="AO53" t="s">
        <v>529</v>
      </c>
      <c r="AP53" s="3" t="str">
        <f>HYPERLINK("http://exon.niaid.nih.gov/transcriptome/O_fasciatus/Sup_tab1/links/CDD\of-new-contig_161-CDD.txt","Ribosomal_L28e")</f>
        <v>Ribosomal_L28e</v>
      </c>
      <c r="AQ53" s="2" t="str">
        <f>HYPERLINK("http://www.ncbi.nlm.nih.gov/Structure/cdd/cddsrv.cgi?uid=pfam01778&amp;version=v4.0","2E-013")</f>
        <v>2E-013</v>
      </c>
      <c r="AR53" t="s">
        <v>478</v>
      </c>
      <c r="AS53" s="3" t="str">
        <f>HYPERLINK("http://exon.niaid.nih.gov/transcriptome/O_fasciatus/Sup_tab1/links/PFAM\of-new-contig_161-PFAM.txt","Ribosomal_L28e")</f>
        <v>Ribosomal_L28e</v>
      </c>
      <c r="AT53" s="2" t="str">
        <f>HYPERLINK("http://pfam.wustl.edu/cgi-bin/getdesc?acc=PF01778","1E-013")</f>
        <v>1E-013</v>
      </c>
      <c r="AU53" s="3" t="str">
        <f>HYPERLINK("http://exon.niaid.nih.gov/transcriptome/O_fasciatus/Sup_tab1/links/SMART\of-new-contig_161-SMART.txt","PP2Ac")</f>
        <v>PP2Ac</v>
      </c>
      <c r="AV53" s="2" t="str">
        <f>HYPERLINK("http://smart.embl-heidelberg.de/smart/do_annotation.pl?DOMAIN=PP2Ac&amp;BLAST=DUMMY","0.092")</f>
        <v>0.092</v>
      </c>
      <c r="AW53" s="3" t="s">
        <v>547</v>
      </c>
      <c r="AX53" s="2" t="s">
        <v>547</v>
      </c>
      <c r="AY53" s="3" t="s">
        <v>547</v>
      </c>
      <c r="AZ53" s="2" t="s">
        <v>547</v>
      </c>
    </row>
    <row r="54" spans="1:52" ht="11.25">
      <c r="A54" t="str">
        <f>HYPERLINK("http://exon.niaid.nih.gov/transcriptome/O_fasciatus/Sup_tab1/links/of-new\of-new-contig_117.txt","of-new-contig_117")</f>
        <v>of-new-contig_117</v>
      </c>
      <c r="B54" t="str">
        <f>HYPERLINK("http://exon.niaid.nih.gov/transcriptome/O_fasciatus/Sup_tab1/links/of-new\of-new-5-64-64-asb-117.txt","Contig-117")</f>
        <v>Contig-117</v>
      </c>
      <c r="C54" t="str">
        <f>HYPERLINK("http://exon.niaid.nih.gov/transcriptome/O_fasciatus/Sup_tab1/links/of-new\of-new-5-64-64-117-CLU.txt","Contig117")</f>
        <v>Contig117</v>
      </c>
      <c r="D54">
        <v>2</v>
      </c>
      <c r="E54">
        <v>594</v>
      </c>
      <c r="F54" t="str">
        <f>HYPERLINK("http://exon.niaid.nih.gov/transcriptome/O_fasciatus/Sup_tab1/links/of-new\of-new-5-64-64-117-qual.txt","89.6")</f>
        <v>89.6</v>
      </c>
      <c r="G54" t="s">
        <v>541</v>
      </c>
      <c r="H54">
        <v>59.9</v>
      </c>
      <c r="I54">
        <v>572</v>
      </c>
      <c r="J54">
        <v>117</v>
      </c>
      <c r="K54" t="s">
        <v>1196</v>
      </c>
      <c r="L54">
        <v>577</v>
      </c>
      <c r="M54" s="3" t="str">
        <f>HYPERLINK("http://exon.niaid.nih.gov/transcriptome/O_fasciatus/Sup_tab1/links/NR\of-new-contig_117-NR.txt","putative ribosomal protein L17")</f>
        <v>putative ribosomal protein L17</v>
      </c>
      <c r="N54" s="2" t="str">
        <f>HYPERLINK("http://www.ncbi.nlm.nih.gov/sutils/blink.cgi?pid=110671498","3E-083")</f>
        <v>3E-083</v>
      </c>
      <c r="O54" t="s">
        <v>20</v>
      </c>
      <c r="P54">
        <v>178</v>
      </c>
      <c r="Q54">
        <v>185</v>
      </c>
      <c r="R54">
        <v>82</v>
      </c>
      <c r="S54">
        <v>96</v>
      </c>
      <c r="T54">
        <v>8</v>
      </c>
      <c r="U54">
        <v>8</v>
      </c>
      <c r="V54">
        <v>1</v>
      </c>
      <c r="W54" t="s">
        <v>1412</v>
      </c>
      <c r="X54" t="s">
        <v>667</v>
      </c>
      <c r="Y54" t="s">
        <v>21</v>
      </c>
      <c r="Z54" s="4" t="s">
        <v>1075</v>
      </c>
      <c r="AA54" t="s">
        <v>1009</v>
      </c>
      <c r="AB54" s="3" t="s">
        <v>22</v>
      </c>
      <c r="AC54" s="2">
        <f>HYPERLINK("http://exon.niaid.nih.gov/transcriptome/O_fasciatus/Sup_tab1/links/GO\of-new-contig_117-GO.txt",8E-82)</f>
        <v>0</v>
      </c>
      <c r="AD54" s="4" t="s">
        <v>150</v>
      </c>
      <c r="AE54" t="s">
        <v>151</v>
      </c>
      <c r="AF54" s="1">
        <v>8E-82</v>
      </c>
      <c r="AG54" s="4" t="s">
        <v>633</v>
      </c>
      <c r="AH54" t="s">
        <v>634</v>
      </c>
      <c r="AI54" s="1">
        <v>8E-82</v>
      </c>
      <c r="AJ54" s="4" t="s">
        <v>527</v>
      </c>
      <c r="AK54" t="s">
        <v>528</v>
      </c>
      <c r="AL54" s="1">
        <v>8E-82</v>
      </c>
      <c r="AM54" s="3" t="str">
        <f>HYPERLINK("http://exon.niaid.nih.gov/transcriptome/O_fasciatus/Sup_tab1/links/KOG\of-new-contig_117-KOG.txt","60S ribosomal protein L22")</f>
        <v>60S ribosomal protein L22</v>
      </c>
      <c r="AN54" s="2" t="str">
        <f>HYPERLINK("http://www.ncbi.nlm.nih.gov/COG/new/shokog.cgi?KOG3353","2E-074")</f>
        <v>2E-074</v>
      </c>
      <c r="AO54" t="s">
        <v>529</v>
      </c>
      <c r="AP54" s="3" t="str">
        <f>HYPERLINK("http://exon.niaid.nih.gov/transcriptome/O_fasciatus/Sup_tab1/links/CDD\of-new-contig_117-CDD.txt","Ribosomal_L22")</f>
        <v>Ribosomal_L22</v>
      </c>
      <c r="AQ54" s="2" t="str">
        <f>HYPERLINK("http://www.ncbi.nlm.nih.gov/Structure/cdd/cddsrv.cgi?uid=cd00336&amp;version=v4.0","3E-033")</f>
        <v>3E-033</v>
      </c>
      <c r="AR54" t="s">
        <v>23</v>
      </c>
      <c r="AS54" s="3" t="str">
        <f>HYPERLINK("http://exon.niaid.nih.gov/transcriptome/O_fasciatus/Sup_tab1/links/PFAM\of-new-contig_117-PFAM.txt","Ribosomal_L22")</f>
        <v>Ribosomal_L22</v>
      </c>
      <c r="AT54" s="2" t="str">
        <f>HYPERLINK("http://pfam.wustl.edu/cgi-bin/getdesc?acc=PF00237","7E-029")</f>
        <v>7E-029</v>
      </c>
      <c r="AU54" s="3" t="str">
        <f>HYPERLINK("http://exon.niaid.nih.gov/transcriptome/O_fasciatus/Sup_tab1/links/SMART\of-new-contig_117-SMART.txt","CysPc")</f>
        <v>CysPc</v>
      </c>
      <c r="AV54" s="2" t="str">
        <f>HYPERLINK("http://smart.embl-heidelberg.de/smart/do_annotation.pl?DOMAIN=CysPc&amp;BLAST=DUMMY","0.016")</f>
        <v>0.016</v>
      </c>
      <c r="AW54" s="3" t="s">
        <v>547</v>
      </c>
      <c r="AX54" s="2" t="s">
        <v>547</v>
      </c>
      <c r="AY54" s="3" t="s">
        <v>547</v>
      </c>
      <c r="AZ54" s="2" t="s">
        <v>547</v>
      </c>
    </row>
    <row r="55" spans="1:52" ht="11.25">
      <c r="A55" t="str">
        <f>HYPERLINK("http://exon.niaid.nih.gov/transcriptome/O_fasciatus/Sup_tab1/links/of-new\of-new-contig_157.txt","of-new-contig_157")</f>
        <v>of-new-contig_157</v>
      </c>
      <c r="B55" t="str">
        <f>HYPERLINK("http://exon.niaid.nih.gov/transcriptome/O_fasciatus/Sup_tab1/links/of-new\of-new-5-64-64-asb-157.txt","Contig-157")</f>
        <v>Contig-157</v>
      </c>
      <c r="C55" t="str">
        <f>HYPERLINK("http://exon.niaid.nih.gov/transcriptome/O_fasciatus/Sup_tab1/links/of-new\of-new-5-64-64-157-CLU.txt","Contig157")</f>
        <v>Contig157</v>
      </c>
      <c r="D55">
        <v>1</v>
      </c>
      <c r="E55">
        <v>252</v>
      </c>
      <c r="F55" t="str">
        <f>HYPERLINK("http://exon.niaid.nih.gov/transcriptome/O_fasciatus/Sup_tab1/links/of-new\of-new-5-64-64-157-qual.txt","40.4")</f>
        <v>40.4</v>
      </c>
      <c r="G55">
        <v>0.8</v>
      </c>
      <c r="H55">
        <v>58.3</v>
      </c>
      <c r="I55">
        <v>230</v>
      </c>
      <c r="J55">
        <v>157</v>
      </c>
      <c r="K55" t="s">
        <v>1235</v>
      </c>
      <c r="L55">
        <v>230</v>
      </c>
      <c r="M55" s="3" t="str">
        <f>HYPERLINK("http://exon.niaid.nih.gov/transcriptome/O_fasciatus/Sup_tab1/links/NR\of-new-contig_157-NR.txt","PREDICTED: similar to Ribosomal protein L21 CG12775-PA")</f>
        <v>PREDICTED: similar to Ribosomal protein L21 CG12775-PA</v>
      </c>
      <c r="N55" s="2" t="str">
        <f>HYPERLINK("http://www.ncbi.nlm.nih.gov/sutils/blink.cgi?pid=110767298","9E-016")</f>
        <v>9E-016</v>
      </c>
      <c r="O55" t="s">
        <v>460</v>
      </c>
      <c r="P55">
        <v>55</v>
      </c>
      <c r="Q55">
        <v>159</v>
      </c>
      <c r="R55">
        <v>69</v>
      </c>
      <c r="S55">
        <v>35</v>
      </c>
      <c r="T55">
        <v>101</v>
      </c>
      <c r="U55">
        <v>20</v>
      </c>
      <c r="V55">
        <v>1</v>
      </c>
      <c r="W55" t="s">
        <v>1412</v>
      </c>
      <c r="X55" t="s">
        <v>520</v>
      </c>
      <c r="Y55" t="s">
        <v>461</v>
      </c>
      <c r="Z55" s="4" t="s">
        <v>1087</v>
      </c>
      <c r="AA55" t="s">
        <v>1009</v>
      </c>
      <c r="AB55" s="3" t="s">
        <v>462</v>
      </c>
      <c r="AC55" s="2">
        <f>HYPERLINK("http://exon.niaid.nih.gov/transcriptome/O_fasciatus/Sup_tab1/links/GO\of-new-contig_157-GO.txt",0.000000000000001)</f>
        <v>0</v>
      </c>
      <c r="AD55" s="4" t="s">
        <v>1671</v>
      </c>
      <c r="AE55" t="s">
        <v>1672</v>
      </c>
      <c r="AF55">
        <v>3E-12</v>
      </c>
      <c r="AG55" s="4" t="s">
        <v>633</v>
      </c>
      <c r="AH55" t="s">
        <v>634</v>
      </c>
      <c r="AI55">
        <v>3E-12</v>
      </c>
      <c r="AJ55" s="4" t="s">
        <v>527</v>
      </c>
      <c r="AK55" t="s">
        <v>528</v>
      </c>
      <c r="AL55">
        <v>3E-12</v>
      </c>
      <c r="AM55" s="3" t="str">
        <f>HYPERLINK("http://exon.niaid.nih.gov/transcriptome/O_fasciatus/Sup_tab1/links/KOG\of-new-contig_157-KOG.txt","60S ribosomal protein L21")</f>
        <v>60S ribosomal protein L21</v>
      </c>
      <c r="AN55" s="2" t="str">
        <f>HYPERLINK("http://www.ncbi.nlm.nih.gov/COG/new/shokog.cgi?KOG1732","1E-013")</f>
        <v>1E-013</v>
      </c>
      <c r="AO55" t="s">
        <v>529</v>
      </c>
      <c r="AP55" s="3" t="str">
        <f>HYPERLINK("http://exon.niaid.nih.gov/transcriptome/O_fasciatus/Sup_tab1/links/CDD\of-new-contig_157-CDD.txt","Spy")</f>
        <v>Spy</v>
      </c>
      <c r="AQ55" s="2" t="str">
        <f>HYPERLINK("http://www.ncbi.nlm.nih.gov/Structure/cdd/cddsrv.cgi?uid=COG3914&amp;version=v4.0","0.72")</f>
        <v>0.72</v>
      </c>
      <c r="AR55" t="s">
        <v>463</v>
      </c>
      <c r="AS55" s="3" t="str">
        <f>HYPERLINK("http://exon.niaid.nih.gov/transcriptome/O_fasciatus/Sup_tab1/links/PFAM\of-new-contig_157-PFAM.txt","Nepo_coat_C")</f>
        <v>Nepo_coat_C</v>
      </c>
      <c r="AT55" s="2" t="str">
        <f>HYPERLINK("http://pfam.wustl.edu/cgi-bin/getdesc?acc=PF03688","0.65")</f>
        <v>0.65</v>
      </c>
      <c r="AU55" s="3" t="str">
        <f>HYPERLINK("http://exon.niaid.nih.gov/transcriptome/O_fasciatus/Sup_tab1/links/SMART\of-new-contig_157-SMART.txt","B561")</f>
        <v>B561</v>
      </c>
      <c r="AV55" s="2" t="str">
        <f>HYPERLINK("http://smart.embl-heidelberg.de/smart/do_annotation.pl?DOMAIN=B561&amp;BLAST=DUMMY","0.039")</f>
        <v>0.039</v>
      </c>
      <c r="AW55" s="3" t="s">
        <v>547</v>
      </c>
      <c r="AX55" s="2" t="s">
        <v>547</v>
      </c>
      <c r="AY55" s="3" t="s">
        <v>547</v>
      </c>
      <c r="AZ55" s="2" t="s">
        <v>547</v>
      </c>
    </row>
    <row r="56" spans="1:52" ht="11.25">
      <c r="A56" t="str">
        <f>HYPERLINK("http://exon.niaid.nih.gov/transcriptome/O_fasciatus/Sup_tab1/links/of-new\of-new-contig_150.txt","of-new-contig_150")</f>
        <v>of-new-contig_150</v>
      </c>
      <c r="B56" t="str">
        <f>HYPERLINK("http://exon.niaid.nih.gov/transcriptome/O_fasciatus/Sup_tab1/links/of-new\of-new-5-64-64-asb-150.txt","Contig-150")</f>
        <v>Contig-150</v>
      </c>
      <c r="C56" t="str">
        <f>HYPERLINK("http://exon.niaid.nih.gov/transcriptome/O_fasciatus/Sup_tab1/links/of-new\of-new-5-64-64-150-CLU.txt","Contig150")</f>
        <v>Contig150</v>
      </c>
      <c r="D56">
        <v>1</v>
      </c>
      <c r="E56">
        <v>420</v>
      </c>
      <c r="F56" t="str">
        <f>HYPERLINK("http://exon.niaid.nih.gov/transcriptome/O_fasciatus/Sup_tab1/links/of-new\of-new-5-64-64-150-qual.txt","45.3")</f>
        <v>45.3</v>
      </c>
      <c r="G56" t="s">
        <v>541</v>
      </c>
      <c r="H56">
        <v>58.8</v>
      </c>
      <c r="I56">
        <v>401</v>
      </c>
      <c r="J56">
        <v>150</v>
      </c>
      <c r="K56" t="s">
        <v>1228</v>
      </c>
      <c r="L56">
        <v>401</v>
      </c>
      <c r="M56" s="3" t="str">
        <f>HYPERLINK("http://exon.niaid.nih.gov/transcriptome/O_fasciatus/Sup_tab1/links/NR\of-new-contig_150-NR.txt","ribosomal protein L18a [Lysiphlebus testaceipes]")</f>
        <v>ribosomal protein L18a [Lysiphlebus testaceipes]</v>
      </c>
      <c r="N56" s="2" t="str">
        <f>HYPERLINK("http://www.ncbi.nlm.nih.gov/sutils/blink.cgi?pid=62083377","5E-052")</f>
        <v>5E-052</v>
      </c>
      <c r="O56" t="s">
        <v>984</v>
      </c>
      <c r="P56">
        <v>106</v>
      </c>
      <c r="Q56">
        <v>177</v>
      </c>
      <c r="R56">
        <v>89</v>
      </c>
      <c r="S56">
        <v>60</v>
      </c>
      <c r="T56">
        <v>71</v>
      </c>
      <c r="U56">
        <v>22</v>
      </c>
      <c r="V56">
        <v>1</v>
      </c>
      <c r="W56" t="s">
        <v>1412</v>
      </c>
      <c r="X56" t="s">
        <v>985</v>
      </c>
      <c r="Y56" t="s">
        <v>986</v>
      </c>
      <c r="Z56" s="4" t="s">
        <v>1085</v>
      </c>
      <c r="AA56" t="s">
        <v>1009</v>
      </c>
      <c r="AB56" s="3" t="s">
        <v>987</v>
      </c>
      <c r="AC56" s="2">
        <f>HYPERLINK("http://exon.niaid.nih.gov/transcriptome/O_fasciatus/Sup_tab1/links/GO\of-new-contig_150-GO.txt",3E-45)</f>
        <v>0</v>
      </c>
      <c r="AD56" s="4" t="s">
        <v>150</v>
      </c>
      <c r="AE56" t="s">
        <v>151</v>
      </c>
      <c r="AF56" s="1">
        <v>3E-45</v>
      </c>
      <c r="AG56" s="4" t="s">
        <v>633</v>
      </c>
      <c r="AH56" t="s">
        <v>634</v>
      </c>
      <c r="AI56" s="1">
        <v>3E-45</v>
      </c>
      <c r="AJ56" s="4" t="s">
        <v>527</v>
      </c>
      <c r="AK56" t="s">
        <v>528</v>
      </c>
      <c r="AL56" s="1">
        <v>3E-45</v>
      </c>
      <c r="AM56" s="3" t="str">
        <f>HYPERLINK("http://exon.niaid.nih.gov/transcriptome/O_fasciatus/Sup_tab1/links/KOG\of-new-contig_150-KOG.txt","60S ribosomal protein L18A")</f>
        <v>60S ribosomal protein L18A</v>
      </c>
      <c r="AN56" s="2" t="str">
        <f>HYPERLINK("http://www.ncbi.nlm.nih.gov/COG/new/shokog.cgi?KOG0829","3E-051")</f>
        <v>3E-051</v>
      </c>
      <c r="AO56" t="s">
        <v>529</v>
      </c>
      <c r="AP56" s="3" t="str">
        <f>HYPERLINK("http://exon.niaid.nih.gov/transcriptome/O_fasciatus/Sup_tab1/links/CDD\of-new-contig_150-CDD.txt","Ribosomal_L18ae")</f>
        <v>Ribosomal_L18ae</v>
      </c>
      <c r="AQ56" s="2" t="str">
        <f>HYPERLINK("http://www.ncbi.nlm.nih.gov/Structure/cdd/cddsrv.cgi?uid=pfam01775&amp;version=v4.0","1E-050")</f>
        <v>1E-050</v>
      </c>
      <c r="AR56" t="s">
        <v>988</v>
      </c>
      <c r="AS56" s="3" t="str">
        <f>HYPERLINK("http://exon.niaid.nih.gov/transcriptome/O_fasciatus/Sup_tab1/links/PFAM\of-new-contig_150-PFAM.txt","Ribosomal_L18ae")</f>
        <v>Ribosomal_L18ae</v>
      </c>
      <c r="AT56" s="2" t="str">
        <f>HYPERLINK("http://pfam.wustl.edu/cgi-bin/getdesc?acc=PF01775","6E-051")</f>
        <v>6E-051</v>
      </c>
      <c r="AU56" s="3" t="str">
        <f>HYPERLINK("http://exon.niaid.nih.gov/transcriptome/O_fasciatus/Sup_tab1/links/SMART\of-new-contig_150-SMART.txt","DISIN")</f>
        <v>DISIN</v>
      </c>
      <c r="AV56" s="2" t="str">
        <f>HYPERLINK("http://smart.embl-heidelberg.de/smart/do_annotation.pl?DOMAIN=DISIN&amp;BLAST=DUMMY","0.12")</f>
        <v>0.12</v>
      </c>
      <c r="AW56" s="3" t="s">
        <v>547</v>
      </c>
      <c r="AX56" s="2" t="s">
        <v>547</v>
      </c>
      <c r="AY56" s="3" t="s">
        <v>547</v>
      </c>
      <c r="AZ56" s="2" t="s">
        <v>547</v>
      </c>
    </row>
    <row r="57" spans="1:52" ht="11.25">
      <c r="A57" t="str">
        <f>HYPERLINK("http://exon.niaid.nih.gov/transcriptome/O_fasciatus/Sup_tab1/links/of-new\of-new-contig_165.txt","of-new-contig_165")</f>
        <v>of-new-contig_165</v>
      </c>
      <c r="B57" t="str">
        <f>HYPERLINK("http://exon.niaid.nih.gov/transcriptome/O_fasciatus/Sup_tab1/links/of-new\of-new-5-64-64-asb-165.txt","Contig-165")</f>
        <v>Contig-165</v>
      </c>
      <c r="C57" t="str">
        <f>HYPERLINK("http://exon.niaid.nih.gov/transcriptome/O_fasciatus/Sup_tab1/links/of-new\of-new-5-64-64-165-CLU.txt","Contig165")</f>
        <v>Contig165</v>
      </c>
      <c r="D57">
        <v>1</v>
      </c>
      <c r="E57">
        <v>620</v>
      </c>
      <c r="F57" t="str">
        <f>HYPERLINK("http://exon.niaid.nih.gov/transcriptome/O_fasciatus/Sup_tab1/links/of-new\of-new-5-64-64-165-qual.txt","30.3")</f>
        <v>30.3</v>
      </c>
      <c r="G57" t="s">
        <v>541</v>
      </c>
      <c r="H57">
        <v>61.5</v>
      </c>
      <c r="I57" t="s">
        <v>547</v>
      </c>
      <c r="J57">
        <v>165</v>
      </c>
      <c r="K57" t="s">
        <v>1243</v>
      </c>
      <c r="L57" t="s">
        <v>547</v>
      </c>
      <c r="M57" s="3" t="str">
        <f>HYPERLINK("http://exon.niaid.nih.gov/transcriptome/O_fasciatus/Sup_tab1/links/NR\of-new-contig_165-NR.txt","ribosomal protein L18e")</f>
        <v>ribosomal protein L18e</v>
      </c>
      <c r="N57" s="2" t="str">
        <f>HYPERLINK("http://www.ncbi.nlm.nih.gov/sutils/blink.cgi?pid=70909733","1E-034")</f>
        <v>1E-034</v>
      </c>
      <c r="O57" t="s">
        <v>496</v>
      </c>
      <c r="P57">
        <v>94</v>
      </c>
      <c r="Q57">
        <v>118</v>
      </c>
      <c r="R57">
        <v>78</v>
      </c>
      <c r="S57">
        <v>80</v>
      </c>
      <c r="T57">
        <v>25</v>
      </c>
      <c r="U57">
        <v>24</v>
      </c>
      <c r="V57">
        <v>1</v>
      </c>
      <c r="W57" t="s">
        <v>1412</v>
      </c>
      <c r="X57" t="s">
        <v>497</v>
      </c>
      <c r="Y57" t="s">
        <v>498</v>
      </c>
      <c r="Z57" s="4" t="s">
        <v>1091</v>
      </c>
      <c r="AA57" t="s">
        <v>1009</v>
      </c>
      <c r="AB57" s="3" t="s">
        <v>499</v>
      </c>
      <c r="AC57" s="2">
        <f>HYPERLINK("http://exon.niaid.nih.gov/transcriptome/O_fasciatus/Sup_tab1/links/GO\of-new-contig_165-GO.txt",8E-32)</f>
        <v>0</v>
      </c>
      <c r="AD57" s="4" t="s">
        <v>150</v>
      </c>
      <c r="AE57" t="s">
        <v>151</v>
      </c>
      <c r="AF57" s="1">
        <v>8E-32</v>
      </c>
      <c r="AG57" s="4" t="s">
        <v>633</v>
      </c>
      <c r="AH57" t="s">
        <v>634</v>
      </c>
      <c r="AI57" s="1">
        <v>8E-32</v>
      </c>
      <c r="AJ57" s="4" t="s">
        <v>527</v>
      </c>
      <c r="AK57" t="s">
        <v>528</v>
      </c>
      <c r="AL57" s="1">
        <v>8E-32</v>
      </c>
      <c r="AM57" s="3" t="str">
        <f>HYPERLINK("http://exon.niaid.nih.gov/transcriptome/O_fasciatus/Sup_tab1/links/KOG\of-new-contig_165-KOG.txt","60s ribosomal protein L18")</f>
        <v>60s ribosomal protein L18</v>
      </c>
      <c r="AN57" s="2" t="str">
        <f>HYPERLINK("http://www.ncbi.nlm.nih.gov/COG/new/shokog.cgi?KOG1714","4E-036")</f>
        <v>4E-036</v>
      </c>
      <c r="AO57" t="s">
        <v>529</v>
      </c>
      <c r="AP57" s="3" t="str">
        <f>HYPERLINK("http://exon.niaid.nih.gov/transcriptome/O_fasciatus/Sup_tab1/links/CDD\of-new-contig_165-CDD.txt","Ribosomal_L18e")</f>
        <v>Ribosomal_L18e</v>
      </c>
      <c r="AQ57" s="2" t="str">
        <f>HYPERLINK("http://www.ncbi.nlm.nih.gov/Structure/cdd/cddsrv.cgi?uid=pfam00828&amp;version=v4.0","2E-033")</f>
        <v>2E-033</v>
      </c>
      <c r="AR57" t="s">
        <v>500</v>
      </c>
      <c r="AS57" s="3" t="str">
        <f>HYPERLINK("http://exon.niaid.nih.gov/transcriptome/O_fasciatus/Sup_tab1/links/PFAM\of-new-contig_165-PFAM.txt","Ribosomal_L18e")</f>
        <v>Ribosomal_L18e</v>
      </c>
      <c r="AT57" s="2" t="str">
        <f>HYPERLINK("http://pfam.wustl.edu/cgi-bin/getdesc?acc=PF00828","8E-034")</f>
        <v>8E-034</v>
      </c>
      <c r="AU57" s="3" t="str">
        <f>HYPERLINK("http://exon.niaid.nih.gov/transcriptome/O_fasciatus/Sup_tab1/links/SMART\of-new-contig_165-SMART.txt","RHO")</f>
        <v>RHO</v>
      </c>
      <c r="AV57" s="2" t="str">
        <f>HYPERLINK("http://smart.embl-heidelberg.de/smart/do_annotation.pl?DOMAIN=RHO&amp;BLAST=DUMMY","0.037")</f>
        <v>0.037</v>
      </c>
      <c r="AW57" s="3" t="s">
        <v>547</v>
      </c>
      <c r="AX57" s="2" t="s">
        <v>547</v>
      </c>
      <c r="AY57" s="3" t="s">
        <v>547</v>
      </c>
      <c r="AZ57" s="2" t="s">
        <v>547</v>
      </c>
    </row>
    <row r="58" spans="1:52" ht="11.25">
      <c r="A58" t="str">
        <f>HYPERLINK("http://exon.niaid.nih.gov/transcriptome/O_fasciatus/Sup_tab1/links/of-new\of-new-contig_230.txt","of-new-contig_230")</f>
        <v>of-new-contig_230</v>
      </c>
      <c r="B58" t="str">
        <f>HYPERLINK("http://exon.niaid.nih.gov/transcriptome/O_fasciatus/Sup_tab1/links/of-new\of-new-5-64-64-asb-230.txt","Contig-230")</f>
        <v>Contig-230</v>
      </c>
      <c r="C58" t="str">
        <f>HYPERLINK("http://exon.niaid.nih.gov/transcriptome/O_fasciatus/Sup_tab1/links/of-new\of-new-5-64-64-230-CLU.txt","Contig230")</f>
        <v>Contig230</v>
      </c>
      <c r="D58">
        <v>1</v>
      </c>
      <c r="E58">
        <v>282</v>
      </c>
      <c r="F58" t="str">
        <f>HYPERLINK("http://exon.niaid.nih.gov/transcriptome/O_fasciatus/Sup_tab1/links/of-new\of-new-5-64-64-230-qual.txt","61.1")</f>
        <v>61.1</v>
      </c>
      <c r="G58" t="s">
        <v>541</v>
      </c>
      <c r="H58">
        <v>64.9</v>
      </c>
      <c r="I58">
        <v>263</v>
      </c>
      <c r="J58">
        <v>230</v>
      </c>
      <c r="K58" t="s">
        <v>1308</v>
      </c>
      <c r="L58">
        <v>263</v>
      </c>
      <c r="M58" s="3" t="str">
        <f>HYPERLINK("http://exon.niaid.nih.gov/transcriptome/O_fasciatus/Sup_tab1/links/NR\of-new-contig_230-NR.txt","PREDICTED: similar to CG3661-PA")</f>
        <v>PREDICTED: similar to CG3661-PA</v>
      </c>
      <c r="N58" s="2" t="str">
        <f>HYPERLINK("http://www.ncbi.nlm.nih.gov/sutils/blink.cgi?pid=91085777","2E-031")</f>
        <v>2E-031</v>
      </c>
      <c r="O58" t="s">
        <v>249</v>
      </c>
      <c r="P58">
        <v>68</v>
      </c>
      <c r="Q58">
        <v>140</v>
      </c>
      <c r="R58">
        <v>98</v>
      </c>
      <c r="S58">
        <v>49</v>
      </c>
      <c r="T58">
        <v>73</v>
      </c>
      <c r="U58">
        <v>22</v>
      </c>
      <c r="V58">
        <v>1</v>
      </c>
      <c r="W58" t="s">
        <v>1412</v>
      </c>
      <c r="X58" t="s">
        <v>676</v>
      </c>
      <c r="Y58" t="s">
        <v>250</v>
      </c>
      <c r="Z58" s="4" t="s">
        <v>1109</v>
      </c>
      <c r="AA58" t="s">
        <v>1009</v>
      </c>
      <c r="AB58" s="3" t="s">
        <v>251</v>
      </c>
      <c r="AC58" s="2">
        <f>HYPERLINK("http://exon.niaid.nih.gov/transcriptome/O_fasciatus/Sup_tab1/links/GO\of-new-contig_230-GO.txt",1E-32)</f>
        <v>0</v>
      </c>
      <c r="AD58" s="4" t="s">
        <v>150</v>
      </c>
      <c r="AE58" t="s">
        <v>151</v>
      </c>
      <c r="AF58" s="1">
        <v>1E-32</v>
      </c>
      <c r="AG58" s="4" t="s">
        <v>633</v>
      </c>
      <c r="AH58" t="s">
        <v>634</v>
      </c>
      <c r="AI58" s="1">
        <v>1E-32</v>
      </c>
      <c r="AJ58" s="4" t="s">
        <v>527</v>
      </c>
      <c r="AK58" t="s">
        <v>528</v>
      </c>
      <c r="AL58" s="1">
        <v>1E-32</v>
      </c>
      <c r="AM58" s="3" t="str">
        <f>HYPERLINK("http://exon.niaid.nih.gov/transcriptome/O_fasciatus/Sup_tab1/links/KOG\of-new-contig_230-KOG.txt","60S ribosomal protein L14/L17/L23")</f>
        <v>60S ribosomal protein L14/L17/L23</v>
      </c>
      <c r="AN58" s="2" t="str">
        <f>HYPERLINK("http://www.ncbi.nlm.nih.gov/COG/new/shokog.cgi?KOG0901","2E-025")</f>
        <v>2E-025</v>
      </c>
      <c r="AO58" t="s">
        <v>529</v>
      </c>
      <c r="AP58" s="3" t="str">
        <f>HYPERLINK("http://exon.niaid.nih.gov/transcriptome/O_fasciatus/Sup_tab1/links/CDD\of-new-contig_230-CDD.txt","Ribosomal_L14")</f>
        <v>Ribosomal_L14</v>
      </c>
      <c r="AQ58" s="2" t="str">
        <f>HYPERLINK("http://www.ncbi.nlm.nih.gov/Structure/cdd/cddsrv.cgi?uid=pfam00238&amp;version=v4.0","8E-022")</f>
        <v>8E-022</v>
      </c>
      <c r="AR58" t="s">
        <v>252</v>
      </c>
      <c r="AS58" s="3" t="str">
        <f>HYPERLINK("http://exon.niaid.nih.gov/transcriptome/O_fasciatus/Sup_tab1/links/PFAM\of-new-contig_230-PFAM.txt","Ribosomal_L14")</f>
        <v>Ribosomal_L14</v>
      </c>
      <c r="AT58" s="2" t="str">
        <f>HYPERLINK("http://pfam.wustl.edu/cgi-bin/getdesc?acc=PF00238","4E-022")</f>
        <v>4E-022</v>
      </c>
      <c r="AU58" s="3" t="str">
        <f>HYPERLINK("http://exon.niaid.nih.gov/transcriptome/O_fasciatus/Sup_tab1/links/SMART\of-new-contig_230-SMART.txt","PUA")</f>
        <v>PUA</v>
      </c>
      <c r="AV58" s="2" t="str">
        <f>HYPERLINK("http://smart.embl-heidelberg.de/smart/do_annotation.pl?DOMAIN=PUA&amp;BLAST=DUMMY","0.020")</f>
        <v>0.020</v>
      </c>
      <c r="AW58" s="3" t="s">
        <v>547</v>
      </c>
      <c r="AX58" s="2" t="s">
        <v>547</v>
      </c>
      <c r="AY58" s="3" t="s">
        <v>547</v>
      </c>
      <c r="AZ58" s="2" t="s">
        <v>547</v>
      </c>
    </row>
    <row r="59" spans="1:52" ht="11.25">
      <c r="A59" t="str">
        <f>HYPERLINK("http://exon.niaid.nih.gov/transcriptome/O_fasciatus/Sup_tab1/links/of-new\of-new-contig_103.txt","of-new-contig_103")</f>
        <v>of-new-contig_103</v>
      </c>
      <c r="B59" t="str">
        <f>HYPERLINK("http://exon.niaid.nih.gov/transcriptome/O_fasciatus/Sup_tab1/links/of-new\of-new-5-64-64-asb-103.txt","Contig-103")</f>
        <v>Contig-103</v>
      </c>
      <c r="C59" t="str">
        <f>HYPERLINK("http://exon.niaid.nih.gov/transcriptome/O_fasciatus/Sup_tab1/links/of-new\of-new-5-64-64-103-CLU.txt","Contig103")</f>
        <v>Contig103</v>
      </c>
      <c r="D59">
        <v>2</v>
      </c>
      <c r="E59">
        <v>199</v>
      </c>
      <c r="F59" t="str">
        <f>HYPERLINK("http://exon.niaid.nih.gov/transcriptome/O_fasciatus/Sup_tab1/links/of-new\of-new-5-64-64-103-qual.txt","85.7")</f>
        <v>85.7</v>
      </c>
      <c r="G59" t="s">
        <v>541</v>
      </c>
      <c r="H59">
        <v>68.3</v>
      </c>
      <c r="I59">
        <v>180</v>
      </c>
      <c r="J59">
        <v>103</v>
      </c>
      <c r="K59" t="s">
        <v>1182</v>
      </c>
      <c r="L59">
        <v>182</v>
      </c>
      <c r="M59" s="3" t="str">
        <f>HYPERLINK("http://exon.niaid.nih.gov/transcriptome/O_fasciatus/Sup_tab1/links/NR\of-new-contig_103-NR.txt","Ribosomal protein P1 [Danio rerio]")</f>
        <v>Ribosomal protein P1 [Danio rerio]</v>
      </c>
      <c r="N59" s="2" t="str">
        <f>HYPERLINK("http://www.ncbi.nlm.nih.gov/sutils/blink.cgi?pid=57526755","3E-005")</f>
        <v>3E-005</v>
      </c>
      <c r="O59" t="s">
        <v>827</v>
      </c>
      <c r="P59">
        <v>33</v>
      </c>
      <c r="Q59">
        <v>115</v>
      </c>
      <c r="R59">
        <v>75</v>
      </c>
      <c r="S59">
        <v>29</v>
      </c>
      <c r="T59">
        <v>84</v>
      </c>
      <c r="U59">
        <v>8</v>
      </c>
      <c r="V59">
        <v>1</v>
      </c>
      <c r="W59" t="s">
        <v>1412</v>
      </c>
      <c r="X59" t="s">
        <v>828</v>
      </c>
      <c r="Y59" t="s">
        <v>829</v>
      </c>
      <c r="Z59" s="4" t="s">
        <v>1070</v>
      </c>
      <c r="AA59" t="s">
        <v>1009</v>
      </c>
      <c r="AB59" s="3" t="s">
        <v>830</v>
      </c>
      <c r="AC59" s="2">
        <f>HYPERLINK("http://exon.niaid.nih.gov/transcriptome/O_fasciatus/Sup_tab1/links/GO\of-new-contig_103-GO.txt",0.00002)</f>
        <v>0</v>
      </c>
      <c r="AD59" s="4" t="s">
        <v>1671</v>
      </c>
      <c r="AE59" t="s">
        <v>1672</v>
      </c>
      <c r="AF59">
        <v>3E-05</v>
      </c>
      <c r="AG59" s="4" t="s">
        <v>633</v>
      </c>
      <c r="AH59" t="s">
        <v>634</v>
      </c>
      <c r="AI59">
        <v>3E-05</v>
      </c>
      <c r="AJ59" s="4" t="s">
        <v>527</v>
      </c>
      <c r="AK59" t="s">
        <v>528</v>
      </c>
      <c r="AL59">
        <v>3E-05</v>
      </c>
      <c r="AM59" s="3" t="str">
        <f>HYPERLINK("http://exon.niaid.nih.gov/transcriptome/O_fasciatus/Sup_tab1/links/KOG\of-new-contig_103-KOG.txt","60s acidic ribosomal protein P1")</f>
        <v>60s acidic ribosomal protein P1</v>
      </c>
      <c r="AN59" s="2" t="str">
        <f>HYPERLINK("http://www.ncbi.nlm.nih.gov/COG/new/shokog.cgi?KOG1762","2E-007")</f>
        <v>2E-007</v>
      </c>
      <c r="AO59" t="s">
        <v>529</v>
      </c>
      <c r="AP59" s="3" t="str">
        <f>HYPERLINK("http://exon.niaid.nih.gov/transcriptome/O_fasciatus/Sup_tab1/links/CDD\of-new-contig_103-CDD.txt","Ribosomal_60s")</f>
        <v>Ribosomal_60s</v>
      </c>
      <c r="AQ59" s="2" t="str">
        <f>HYPERLINK("http://www.ncbi.nlm.nih.gov/Structure/cdd/cddsrv.cgi?uid=pfam00428&amp;version=v4.0","9E-008")</f>
        <v>9E-008</v>
      </c>
      <c r="AR59" t="s">
        <v>281</v>
      </c>
      <c r="AS59" s="3" t="str">
        <f>HYPERLINK("http://exon.niaid.nih.gov/transcriptome/O_fasciatus/Sup_tab1/links/PFAM\of-new-contig_103-PFAM.txt","Ribosomal_60s")</f>
        <v>Ribosomal_60s</v>
      </c>
      <c r="AT59" s="2" t="str">
        <f>HYPERLINK("http://pfam.wustl.edu/cgi-bin/getdesc?acc=PF00428","5E-008")</f>
        <v>5E-008</v>
      </c>
      <c r="AU59" s="3" t="str">
        <f>HYPERLINK("http://exon.niaid.nih.gov/transcriptome/O_fasciatus/Sup_tab1/links/SMART\of-new-contig_103-SMART.txt","Glyco_25")</f>
        <v>Glyco_25</v>
      </c>
      <c r="AV59" s="2" t="str">
        <f>HYPERLINK("http://smart.embl-heidelberg.de/smart/do_annotation.pl?DOMAIN=Glyco_25&amp;BLAST=DUMMY","0.37")</f>
        <v>0.37</v>
      </c>
      <c r="AW59" s="3" t="s">
        <v>547</v>
      </c>
      <c r="AX59" s="2" t="s">
        <v>547</v>
      </c>
      <c r="AY59" s="3" t="s">
        <v>547</v>
      </c>
      <c r="AZ59" s="2" t="s">
        <v>547</v>
      </c>
    </row>
    <row r="60" spans="1:52" ht="11.25">
      <c r="A60" t="str">
        <f>HYPERLINK("http://exon.niaid.nih.gov/transcriptome/O_fasciatus/Sup_tab1/links/of-new\of-new-contig_271.txt","of-new-contig_271")</f>
        <v>of-new-contig_271</v>
      </c>
      <c r="B60" t="str">
        <f>HYPERLINK("http://exon.niaid.nih.gov/transcriptome/O_fasciatus/Sup_tab1/links/of-new\of-new-5-64-64-asb-271.txt","Contig-271")</f>
        <v>Contig-271</v>
      </c>
      <c r="C60" t="str">
        <f>HYPERLINK("http://exon.niaid.nih.gov/transcriptome/O_fasciatus/Sup_tab1/links/of-new\of-new-5-64-64-271-CLU.txt","Contig271")</f>
        <v>Contig271</v>
      </c>
      <c r="D60">
        <v>1</v>
      </c>
      <c r="E60">
        <v>290</v>
      </c>
      <c r="F60" t="str">
        <f>HYPERLINK("http://exon.niaid.nih.gov/transcriptome/O_fasciatus/Sup_tab1/links/of-new\of-new-5-64-64-271-qual.txt","61.1")</f>
        <v>61.1</v>
      </c>
      <c r="G60" t="s">
        <v>541</v>
      </c>
      <c r="H60">
        <v>61.4</v>
      </c>
      <c r="I60">
        <v>271</v>
      </c>
      <c r="J60">
        <v>271</v>
      </c>
      <c r="K60" t="s">
        <v>1349</v>
      </c>
      <c r="L60">
        <v>271</v>
      </c>
      <c r="M60" s="3" t="str">
        <f>HYPERLINK("http://exon.niaid.nih.gov/transcriptome/O_fasciatus/Sup_tab1/links/NR\of-new-contig_271-NR.txt","ribosomal protein S6e")</f>
        <v>ribosomal protein S6e</v>
      </c>
      <c r="N60" s="2" t="str">
        <f>HYPERLINK("http://www.ncbi.nlm.nih.gov/sutils/blink.cgi?pid=70909493","1E-022")</f>
        <v>1E-022</v>
      </c>
      <c r="O60" t="s">
        <v>98</v>
      </c>
      <c r="P60">
        <v>69</v>
      </c>
      <c r="Q60">
        <v>233</v>
      </c>
      <c r="R60">
        <v>79</v>
      </c>
      <c r="S60">
        <v>30</v>
      </c>
      <c r="T60">
        <v>159</v>
      </c>
      <c r="U60">
        <v>8</v>
      </c>
      <c r="V60">
        <v>1</v>
      </c>
      <c r="W60" t="s">
        <v>1412</v>
      </c>
      <c r="X60" t="s">
        <v>162</v>
      </c>
      <c r="Y60" t="s">
        <v>99</v>
      </c>
      <c r="Z60" s="4" t="s">
        <v>1118</v>
      </c>
      <c r="AA60" t="s">
        <v>1009</v>
      </c>
      <c r="AB60" s="3" t="s">
        <v>100</v>
      </c>
      <c r="AC60" s="2">
        <f>HYPERLINK("http://exon.niaid.nih.gov/transcriptome/O_fasciatus/Sup_tab1/links/GO\of-new-contig_271-GO.txt",0.00000000000000002)</f>
        <v>0</v>
      </c>
      <c r="AD60" s="4" t="s">
        <v>150</v>
      </c>
      <c r="AE60" t="s">
        <v>151</v>
      </c>
      <c r="AF60" s="1">
        <v>2E-17</v>
      </c>
      <c r="AG60" s="4" t="s">
        <v>152</v>
      </c>
      <c r="AH60" t="s">
        <v>153</v>
      </c>
      <c r="AI60" s="1">
        <v>2E-17</v>
      </c>
      <c r="AJ60" s="4" t="s">
        <v>527</v>
      </c>
      <c r="AK60" t="s">
        <v>528</v>
      </c>
      <c r="AL60" s="1">
        <v>2E-17</v>
      </c>
      <c r="AM60" s="3" t="str">
        <f>HYPERLINK("http://exon.niaid.nih.gov/transcriptome/O_fasciatus/Sup_tab1/links/KOG\of-new-contig_271-KOG.txt","40S ribosomal protein S6")</f>
        <v>40S ribosomal protein S6</v>
      </c>
      <c r="AN60" s="2" t="str">
        <f>HYPERLINK("http://www.ncbi.nlm.nih.gov/COG/new/shokog.cgi?KOG1646","2E-018")</f>
        <v>2E-018</v>
      </c>
      <c r="AO60" t="s">
        <v>529</v>
      </c>
      <c r="AP60" s="3" t="str">
        <f>HYPERLINK("http://exon.niaid.nih.gov/transcriptome/O_fasciatus/Sup_tab1/links/CDD\of-new-contig_271-CDD.txt","E-MAP-115")</f>
        <v>E-MAP-115</v>
      </c>
      <c r="AQ60" s="2" t="str">
        <f>HYPERLINK("http://www.ncbi.nlm.nih.gov/Structure/cdd/cddsrv.cgi?uid=pfam05672&amp;version=v4.0","0.006")</f>
        <v>0.006</v>
      </c>
      <c r="AR60" t="s">
        <v>101</v>
      </c>
      <c r="AS60" s="3" t="str">
        <f>HYPERLINK("http://exon.niaid.nih.gov/transcriptome/O_fasciatus/Sup_tab1/links/PFAM\of-new-contig_271-PFAM.txt","E-MAP-115")</f>
        <v>E-MAP-115</v>
      </c>
      <c r="AT60" s="2" t="str">
        <f>HYPERLINK("http://pfam.wustl.edu/cgi-bin/getdesc?acc=PF05672","0.003")</f>
        <v>0.003</v>
      </c>
      <c r="AU60" s="3" t="str">
        <f>HYPERLINK("http://exon.niaid.nih.gov/transcriptome/O_fasciatus/Sup_tab1/links/SMART\of-new-contig_271-SMART.txt","CBF")</f>
        <v>CBF</v>
      </c>
      <c r="AV60" s="2" t="str">
        <f>HYPERLINK("http://smart.embl-heidelberg.de/smart/do_annotation.pl?DOMAIN=CBF&amp;BLAST=DUMMY","0.006")</f>
        <v>0.006</v>
      </c>
      <c r="AW60" s="3" t="s">
        <v>547</v>
      </c>
      <c r="AX60" s="2" t="s">
        <v>547</v>
      </c>
      <c r="AY60" s="3" t="s">
        <v>547</v>
      </c>
      <c r="AZ60" s="2" t="s">
        <v>547</v>
      </c>
    </row>
    <row r="61" spans="1:52" ht="11.25">
      <c r="A61" t="str">
        <f>HYPERLINK("http://exon.niaid.nih.gov/transcriptome/O_fasciatus/Sup_tab1/links/of-new\of-new-contig_261.txt","of-new-contig_261")</f>
        <v>of-new-contig_261</v>
      </c>
      <c r="B61" t="str">
        <f>HYPERLINK("http://exon.niaid.nih.gov/transcriptome/O_fasciatus/Sup_tab1/links/of-new\of-new-5-64-64-asb-261.txt","Contig-261")</f>
        <v>Contig-261</v>
      </c>
      <c r="C61" t="str">
        <f>HYPERLINK("http://exon.niaid.nih.gov/transcriptome/O_fasciatus/Sup_tab1/links/of-new\of-new-5-64-64-261-CLU.txt","Contig261")</f>
        <v>Contig261</v>
      </c>
      <c r="D61">
        <v>1</v>
      </c>
      <c r="E61">
        <v>348</v>
      </c>
      <c r="F61" t="str">
        <f>HYPERLINK("http://exon.niaid.nih.gov/transcriptome/O_fasciatus/Sup_tab1/links/of-new\of-new-5-64-64-261-qual.txt","61.3")</f>
        <v>61.3</v>
      </c>
      <c r="G61" t="s">
        <v>541</v>
      </c>
      <c r="H61">
        <v>63.8</v>
      </c>
      <c r="I61">
        <v>329</v>
      </c>
      <c r="J61">
        <v>261</v>
      </c>
      <c r="K61" t="s">
        <v>1339</v>
      </c>
      <c r="L61">
        <v>329</v>
      </c>
      <c r="M61" s="3" t="str">
        <f>HYPERLINK("http://exon.niaid.nih.gov/transcriptome/O_fasciatus/Sup_tab1/links/NR\of-new-contig_261-NR.txt","40S ribosomal protein S29 ribosomal protein S29")</f>
        <v>40S ribosomal protein S29 ribosomal protein S29</v>
      </c>
      <c r="N61" s="2" t="str">
        <f>HYPERLINK("http://www.ncbi.nlm.nih.gov/sutils/blink.cgi?pid=54039495","3E-026")</f>
        <v>3E-026</v>
      </c>
      <c r="O61" t="s">
        <v>436</v>
      </c>
      <c r="P61">
        <v>56</v>
      </c>
      <c r="Q61">
        <v>56</v>
      </c>
      <c r="R61">
        <v>89</v>
      </c>
      <c r="S61">
        <v>100</v>
      </c>
      <c r="T61">
        <v>1</v>
      </c>
      <c r="U61">
        <v>84</v>
      </c>
      <c r="V61">
        <v>1</v>
      </c>
      <c r="W61" t="s">
        <v>1412</v>
      </c>
      <c r="X61" t="s">
        <v>213</v>
      </c>
      <c r="Y61" t="s">
        <v>437</v>
      </c>
      <c r="Z61" s="4" t="s">
        <v>1117</v>
      </c>
      <c r="AA61" t="s">
        <v>1009</v>
      </c>
      <c r="AB61" s="3" t="s">
        <v>438</v>
      </c>
      <c r="AC61" s="2">
        <f>HYPERLINK("http://exon.niaid.nih.gov/transcriptome/O_fasciatus/Sup_tab1/links/GO\of-new-contig_261-GO.txt",6E-22)</f>
        <v>0</v>
      </c>
      <c r="AD61" s="4" t="s">
        <v>150</v>
      </c>
      <c r="AE61" t="s">
        <v>151</v>
      </c>
      <c r="AF61" s="1">
        <v>6E-22</v>
      </c>
      <c r="AG61" s="4" t="s">
        <v>525</v>
      </c>
      <c r="AH61" t="s">
        <v>526</v>
      </c>
      <c r="AI61" s="1">
        <v>6E-22</v>
      </c>
      <c r="AJ61" s="4" t="s">
        <v>527</v>
      </c>
      <c r="AK61" t="s">
        <v>528</v>
      </c>
      <c r="AL61" s="1">
        <v>6E-22</v>
      </c>
      <c r="AM61" s="3" t="str">
        <f>HYPERLINK("http://exon.niaid.nih.gov/transcriptome/O_fasciatus/Sup_tab1/links/KOG\of-new-contig_261-KOG.txt","40S ribosomal protein S29")</f>
        <v>40S ribosomal protein S29</v>
      </c>
      <c r="AN61" s="2" t="str">
        <f>HYPERLINK("http://www.ncbi.nlm.nih.gov/COG/new/shokog.cgi?KOG3506","3E-027")</f>
        <v>3E-027</v>
      </c>
      <c r="AO61" t="s">
        <v>529</v>
      </c>
      <c r="AP61" s="3" t="str">
        <f>HYPERLINK("http://exon.niaid.nih.gov/transcriptome/O_fasciatus/Sup_tab1/links/CDD\of-new-contig_261-CDD.txt","RpsN")</f>
        <v>RpsN</v>
      </c>
      <c r="AQ61" s="2" t="str">
        <f>HYPERLINK("http://www.ncbi.nlm.nih.gov/Structure/cdd/cddsrv.cgi?uid=COG0199&amp;version=v4.0","2E-012")</f>
        <v>2E-012</v>
      </c>
      <c r="AR61" t="s">
        <v>439</v>
      </c>
      <c r="AS61" s="3" t="str">
        <f>HYPERLINK("http://exon.niaid.nih.gov/transcriptome/O_fasciatus/Sup_tab1/links/PFAM\of-new-contig_261-PFAM.txt","Ribosomal_S14")</f>
        <v>Ribosomal_S14</v>
      </c>
      <c r="AT61" s="2" t="str">
        <f>HYPERLINK("http://pfam.wustl.edu/cgi-bin/getdesc?acc=PF00253","8E-006")</f>
        <v>8E-006</v>
      </c>
      <c r="AU61" s="3" t="str">
        <f>HYPERLINK("http://exon.niaid.nih.gov/transcriptome/O_fasciatus/Sup_tab1/links/SMART\of-new-contig_261-SMART.txt","ZnF_C4")</f>
        <v>ZnF_C4</v>
      </c>
      <c r="AV61" s="2" t="str">
        <f>HYPERLINK("http://smart.embl-heidelberg.de/smart/do_annotation.pl?DOMAIN=ZnF_C4&amp;BLAST=DUMMY","0.034")</f>
        <v>0.034</v>
      </c>
      <c r="AW61" s="3" t="s">
        <v>547</v>
      </c>
      <c r="AX61" s="2" t="s">
        <v>547</v>
      </c>
      <c r="AY61" s="3" t="s">
        <v>547</v>
      </c>
      <c r="AZ61" s="2" t="s">
        <v>547</v>
      </c>
    </row>
    <row r="62" spans="1:52" ht="11.25">
      <c r="A62" t="str">
        <f>HYPERLINK("http://exon.niaid.nih.gov/transcriptome/O_fasciatus/Sup_tab1/links/of-new\of-new-contig_52.txt","of-new-contig_52")</f>
        <v>of-new-contig_52</v>
      </c>
      <c r="B62" t="str">
        <f>HYPERLINK("http://exon.niaid.nih.gov/transcriptome/O_fasciatus/Sup_tab1/links/of-new\of-new-5-64-64-asb-52.txt","Contig-52")</f>
        <v>Contig-52</v>
      </c>
      <c r="C62" t="str">
        <f>HYPERLINK("http://exon.niaid.nih.gov/transcriptome/O_fasciatus/Sup_tab1/links/of-new\of-new-5-64-64-52-CLU.txt","Contig52")</f>
        <v>Contig52</v>
      </c>
      <c r="D62">
        <v>3</v>
      </c>
      <c r="E62">
        <v>488</v>
      </c>
      <c r="F62" t="str">
        <f>HYPERLINK("http://exon.niaid.nih.gov/transcriptome/O_fasciatus/Sup_tab1/links/of-new\of-new-5-64-64-52-qual.txt","90.9")</f>
        <v>90.9</v>
      </c>
      <c r="G62" t="s">
        <v>541</v>
      </c>
      <c r="H62">
        <v>63.7</v>
      </c>
      <c r="I62">
        <v>466</v>
      </c>
      <c r="J62">
        <v>52</v>
      </c>
      <c r="K62" t="s">
        <v>593</v>
      </c>
      <c r="L62">
        <v>474</v>
      </c>
      <c r="M62" s="3" t="str">
        <f>HYPERLINK("http://exon.niaid.nih.gov/transcriptome/O_fasciatus/Sup_tab1/links/NR\of-new-contig_52-NR.txt","putative ribosomal protein S26")</f>
        <v>putative ribosomal protein S26</v>
      </c>
      <c r="N62" s="2" t="str">
        <f>HYPERLINK("http://www.ncbi.nlm.nih.gov/sutils/blink.cgi?pid=89473700","7E-055")</f>
        <v>7E-055</v>
      </c>
      <c r="O62" t="s">
        <v>146</v>
      </c>
      <c r="P62">
        <v>117</v>
      </c>
      <c r="Q62">
        <v>118</v>
      </c>
      <c r="R62">
        <v>89</v>
      </c>
      <c r="S62">
        <v>99</v>
      </c>
      <c r="T62">
        <v>1</v>
      </c>
      <c r="U62">
        <v>57</v>
      </c>
      <c r="V62">
        <v>1</v>
      </c>
      <c r="W62" t="s">
        <v>1412</v>
      </c>
      <c r="X62" t="s">
        <v>147</v>
      </c>
      <c r="Y62" t="s">
        <v>148</v>
      </c>
      <c r="Z62" s="4" t="s">
        <v>1048</v>
      </c>
      <c r="AA62" t="s">
        <v>1009</v>
      </c>
      <c r="AB62" s="3" t="s">
        <v>149</v>
      </c>
      <c r="AC62" s="2">
        <f>HYPERLINK("http://exon.niaid.nih.gov/transcriptome/O_fasciatus/Sup_tab1/links/GO\of-new-contig_52-GO.txt",4E-50)</f>
        <v>0</v>
      </c>
      <c r="AD62" s="4" t="s">
        <v>150</v>
      </c>
      <c r="AE62" t="s">
        <v>151</v>
      </c>
      <c r="AF62" s="1">
        <v>4E-50</v>
      </c>
      <c r="AG62" s="4" t="s">
        <v>152</v>
      </c>
      <c r="AH62" t="s">
        <v>153</v>
      </c>
      <c r="AI62" s="1">
        <v>4E-50</v>
      </c>
      <c r="AJ62" s="4" t="s">
        <v>527</v>
      </c>
      <c r="AK62" t="s">
        <v>528</v>
      </c>
      <c r="AL62" s="1">
        <v>4E-50</v>
      </c>
      <c r="AM62" s="3" t="str">
        <f>HYPERLINK("http://exon.niaid.nih.gov/transcriptome/O_fasciatus/Sup_tab1/links/KOG\of-new-contig_52-KOG.txt","40s ribosomal protein S26")</f>
        <v>40s ribosomal protein S26</v>
      </c>
      <c r="AN62" s="2" t="str">
        <f>HYPERLINK("http://www.ncbi.nlm.nih.gov/COG/new/shokog.cgi?KOG1768","2E-045")</f>
        <v>2E-045</v>
      </c>
      <c r="AO62" t="s">
        <v>529</v>
      </c>
      <c r="AP62" s="3" t="str">
        <f>HYPERLINK("http://exon.niaid.nih.gov/transcriptome/O_fasciatus/Sup_tab1/links/CDD\of-new-contig_52-CDD.txt","Ribosomal_S26e")</f>
        <v>Ribosomal_S26e</v>
      </c>
      <c r="AQ62" s="2" t="str">
        <f>HYPERLINK("http://www.ncbi.nlm.nih.gov/Structure/cdd/cddsrv.cgi?uid=pfam01283&amp;version=v4.0","1E-055")</f>
        <v>1E-055</v>
      </c>
      <c r="AR62" t="s">
        <v>154</v>
      </c>
      <c r="AS62" s="3" t="str">
        <f>HYPERLINK("http://exon.niaid.nih.gov/transcriptome/O_fasciatus/Sup_tab1/links/PFAM\of-new-contig_52-PFAM.txt","Ribosomal_S26e")</f>
        <v>Ribosomal_S26e</v>
      </c>
      <c r="AT62" s="2" t="str">
        <f>HYPERLINK("http://pfam.wustl.edu/cgi-bin/getdesc?acc=PF01283","5E-056")</f>
        <v>5E-056</v>
      </c>
      <c r="AU62" s="3" t="str">
        <f>HYPERLINK("http://exon.niaid.nih.gov/transcriptome/O_fasciatus/Sup_tab1/links/SMART\of-new-contig_52-SMART.txt","PSN")</f>
        <v>PSN</v>
      </c>
      <c r="AV62" s="2" t="str">
        <f>HYPERLINK("http://smart.embl-heidelberg.de/smart/do_annotation.pl?DOMAIN=PSN&amp;BLAST=DUMMY","0.55")</f>
        <v>0.55</v>
      </c>
      <c r="AW62" s="3" t="s">
        <v>547</v>
      </c>
      <c r="AX62" s="2" t="s">
        <v>547</v>
      </c>
      <c r="AY62" s="3" t="s">
        <v>547</v>
      </c>
      <c r="AZ62" s="2" t="s">
        <v>547</v>
      </c>
    </row>
    <row r="63" spans="1:52" ht="11.25">
      <c r="A63" t="str">
        <f>HYPERLINK("http://exon.niaid.nih.gov/transcriptome/O_fasciatus/Sup_tab1/links/of-new\of-new-contig_63.txt","of-new-contig_63")</f>
        <v>of-new-contig_63</v>
      </c>
      <c r="B63" t="str">
        <f>HYPERLINK("http://exon.niaid.nih.gov/transcriptome/O_fasciatus/Sup_tab1/links/of-new\of-new-5-64-64-asb-63.txt","Contig-63")</f>
        <v>Contig-63</v>
      </c>
      <c r="C63" t="str">
        <f>HYPERLINK("http://exon.niaid.nih.gov/transcriptome/O_fasciatus/Sup_tab1/links/of-new\of-new-5-64-64-63-CLU.txt","Contig63")</f>
        <v>Contig63</v>
      </c>
      <c r="D63">
        <v>3</v>
      </c>
      <c r="E63">
        <v>355</v>
      </c>
      <c r="F63" t="str">
        <f>HYPERLINK("http://exon.niaid.nih.gov/transcriptome/O_fasciatus/Sup_tab1/links/of-new\of-new-5-64-64-63-qual.txt","86.4")</f>
        <v>86.4</v>
      </c>
      <c r="G63" t="s">
        <v>541</v>
      </c>
      <c r="H63">
        <v>67.3</v>
      </c>
      <c r="I63">
        <v>313</v>
      </c>
      <c r="J63">
        <v>63</v>
      </c>
      <c r="K63" t="s">
        <v>604</v>
      </c>
      <c r="L63">
        <v>313</v>
      </c>
      <c r="M63" s="3" t="str">
        <f>HYPERLINK("http://exon.niaid.nih.gov/transcriptome/O_fasciatus/Sup_tab1/links/NR\of-new-contig_63-NR.txt","putative ribosomal protein S25")</f>
        <v>putative ribosomal protein S25</v>
      </c>
      <c r="N63" s="2" t="str">
        <f>HYPERLINK("http://www.ncbi.nlm.nih.gov/sutils/blink.cgi?pid=110671462","7E-038")</f>
        <v>7E-038</v>
      </c>
      <c r="O63" t="s">
        <v>666</v>
      </c>
      <c r="P63">
        <v>90</v>
      </c>
      <c r="Q63">
        <v>120</v>
      </c>
      <c r="R63">
        <v>85</v>
      </c>
      <c r="S63">
        <v>75</v>
      </c>
      <c r="T63">
        <v>30</v>
      </c>
      <c r="U63">
        <v>9</v>
      </c>
      <c r="V63">
        <v>1</v>
      </c>
      <c r="W63" t="s">
        <v>1412</v>
      </c>
      <c r="X63" t="s">
        <v>667</v>
      </c>
      <c r="Y63" t="s">
        <v>668</v>
      </c>
      <c r="Z63" s="4" t="s">
        <v>1056</v>
      </c>
      <c r="AA63" t="s">
        <v>1009</v>
      </c>
      <c r="AB63" s="3" t="s">
        <v>669</v>
      </c>
      <c r="AC63" s="2">
        <f>HYPERLINK("http://exon.niaid.nih.gov/transcriptome/O_fasciatus/Sup_tab1/links/GO\of-new-contig_63-GO.txt",2E-35)</f>
        <v>0</v>
      </c>
      <c r="AD63" s="4" t="s">
        <v>150</v>
      </c>
      <c r="AE63" t="s">
        <v>151</v>
      </c>
      <c r="AF63" s="1">
        <v>2E-35</v>
      </c>
      <c r="AG63" s="4" t="s">
        <v>152</v>
      </c>
      <c r="AH63" t="s">
        <v>153</v>
      </c>
      <c r="AI63" s="1">
        <v>2E-35</v>
      </c>
      <c r="AJ63" s="4" t="s">
        <v>527</v>
      </c>
      <c r="AK63" t="s">
        <v>528</v>
      </c>
      <c r="AL63" s="1">
        <v>2E-35</v>
      </c>
      <c r="AM63" s="3" t="str">
        <f>HYPERLINK("http://exon.niaid.nih.gov/transcriptome/O_fasciatus/Sup_tab1/links/KOG\of-new-contig_63-KOG.txt","40S ribosomal protein S25")</f>
        <v>40S ribosomal protein S25</v>
      </c>
      <c r="AN63" s="2" t="str">
        <f>HYPERLINK("http://www.ncbi.nlm.nih.gov/COG/new/shokog.cgi?KOG1767","2E-037")</f>
        <v>2E-037</v>
      </c>
      <c r="AO63" t="s">
        <v>529</v>
      </c>
      <c r="AP63" s="3" t="str">
        <f>HYPERLINK("http://exon.niaid.nih.gov/transcriptome/O_fasciatus/Sup_tab1/links/CDD\of-new-contig_63-CDD.txt","Ribosomal_S25")</f>
        <v>Ribosomal_S25</v>
      </c>
      <c r="AQ63" s="2" t="str">
        <f>HYPERLINK("http://www.ncbi.nlm.nih.gov/Structure/cdd/cddsrv.cgi?uid=pfam03297&amp;version=v4.0","6E-037")</f>
        <v>6E-037</v>
      </c>
      <c r="AR63" t="s">
        <v>670</v>
      </c>
      <c r="AS63" s="3" t="str">
        <f>HYPERLINK("http://exon.niaid.nih.gov/transcriptome/O_fasciatus/Sup_tab1/links/PFAM\of-new-contig_63-PFAM.txt","Ribosomal_S25")</f>
        <v>Ribosomal_S25</v>
      </c>
      <c r="AT63" s="2" t="str">
        <f>HYPERLINK("http://pfam.wustl.edu/cgi-bin/getdesc?acc=PF03297","3E-037")</f>
        <v>3E-037</v>
      </c>
      <c r="AU63" s="3" t="str">
        <f>HYPERLINK("http://exon.niaid.nih.gov/transcriptome/O_fasciatus/Sup_tab1/links/SMART\of-new-contig_63-SMART.txt","HTH_DEOR")</f>
        <v>HTH_DEOR</v>
      </c>
      <c r="AV63" s="2" t="str">
        <f>HYPERLINK("http://smart.embl-heidelberg.de/smart/do_annotation.pl?DOMAIN=HTH_DEOR&amp;BLAST=DUMMY","0.008")</f>
        <v>0.008</v>
      </c>
      <c r="AW63" s="3" t="s">
        <v>547</v>
      </c>
      <c r="AX63" s="2" t="s">
        <v>547</v>
      </c>
      <c r="AY63" s="3" t="s">
        <v>547</v>
      </c>
      <c r="AZ63" s="2" t="s">
        <v>547</v>
      </c>
    </row>
    <row r="64" spans="1:52" ht="11.25">
      <c r="A64" t="str">
        <f>HYPERLINK("http://exon.niaid.nih.gov/transcriptome/O_fasciatus/Sup_tab1/links/of-new\of-new-contig_182.txt","of-new-contig_182")</f>
        <v>of-new-contig_182</v>
      </c>
      <c r="B64" t="str">
        <f>HYPERLINK("http://exon.niaid.nih.gov/transcriptome/O_fasciatus/Sup_tab1/links/of-new\of-new-5-64-64-asb-182.txt","Contig-182")</f>
        <v>Contig-182</v>
      </c>
      <c r="C64" t="str">
        <f>HYPERLINK("http://exon.niaid.nih.gov/transcriptome/O_fasciatus/Sup_tab1/links/of-new\of-new-5-64-64-182-CLU.txt","Contig182")</f>
        <v>Contig182</v>
      </c>
      <c r="D64">
        <v>1</v>
      </c>
      <c r="E64">
        <v>377</v>
      </c>
      <c r="F64" t="str">
        <f>HYPERLINK("http://exon.niaid.nih.gov/transcriptome/O_fasciatus/Sup_tab1/links/of-new\of-new-5-64-64-182-qual.txt","61.1")</f>
        <v>61.1</v>
      </c>
      <c r="G64" t="s">
        <v>541</v>
      </c>
      <c r="H64">
        <v>65.3</v>
      </c>
      <c r="I64">
        <v>358</v>
      </c>
      <c r="J64">
        <v>182</v>
      </c>
      <c r="K64" t="s">
        <v>1260</v>
      </c>
      <c r="L64">
        <v>358</v>
      </c>
      <c r="M64" s="3" t="str">
        <f>HYPERLINK("http://exon.niaid.nih.gov/transcriptome/O_fasciatus/Sup_tab1/links/NR\of-new-contig_182-NR.txt","ribosomal protein S20")</f>
        <v>ribosomal protein S20</v>
      </c>
      <c r="N64" s="2" t="str">
        <f>HYPERLINK("http://www.ncbi.nlm.nih.gov/sutils/blink.cgi?pid=15213828","2E-037")</f>
        <v>2E-037</v>
      </c>
      <c r="O64" t="s">
        <v>212</v>
      </c>
      <c r="P64">
        <v>75</v>
      </c>
      <c r="Q64">
        <v>123</v>
      </c>
      <c r="R64">
        <v>88</v>
      </c>
      <c r="S64">
        <v>61</v>
      </c>
      <c r="T64">
        <v>35</v>
      </c>
      <c r="U64">
        <v>2</v>
      </c>
      <c r="V64">
        <v>2</v>
      </c>
      <c r="W64" t="s">
        <v>1412</v>
      </c>
      <c r="X64" t="s">
        <v>213</v>
      </c>
      <c r="Y64" t="s">
        <v>214</v>
      </c>
      <c r="Z64" s="4" t="s">
        <v>1097</v>
      </c>
      <c r="AA64" t="s">
        <v>1009</v>
      </c>
      <c r="AB64" s="3" t="s">
        <v>215</v>
      </c>
      <c r="AC64" s="2">
        <f>HYPERLINK("http://exon.niaid.nih.gov/transcriptome/O_fasciatus/Sup_tab1/links/GO\of-new-contig_182-GO.txt",4E-38)</f>
        <v>0</v>
      </c>
      <c r="AD64" s="4" t="s">
        <v>150</v>
      </c>
      <c r="AE64" t="s">
        <v>151</v>
      </c>
      <c r="AF64" s="1">
        <v>4E-38</v>
      </c>
      <c r="AG64" s="4" t="s">
        <v>525</v>
      </c>
      <c r="AH64" t="s">
        <v>526</v>
      </c>
      <c r="AI64" s="1">
        <v>4E-38</v>
      </c>
      <c r="AJ64" s="4" t="s">
        <v>527</v>
      </c>
      <c r="AK64" t="s">
        <v>528</v>
      </c>
      <c r="AL64" s="1">
        <v>4E-38</v>
      </c>
      <c r="AM64" s="3" t="str">
        <f>HYPERLINK("http://exon.niaid.nih.gov/transcriptome/O_fasciatus/Sup_tab1/links/KOG\of-new-contig_182-KOG.txt","40S ribosomal protein S20")</f>
        <v>40S ribosomal protein S20</v>
      </c>
      <c r="AN64" s="2" t="str">
        <f>HYPERLINK("http://www.ncbi.nlm.nih.gov/COG/new/shokog.cgi?KOG0900","5E-033")</f>
        <v>5E-033</v>
      </c>
      <c r="AO64" t="s">
        <v>529</v>
      </c>
      <c r="AP64" s="3" t="str">
        <f>HYPERLINK("http://exon.niaid.nih.gov/transcriptome/O_fasciatus/Sup_tab1/links/CDD\of-new-contig_182-CDD.txt","Ribosomal_S10")</f>
        <v>Ribosomal_S10</v>
      </c>
      <c r="AQ64" s="2" t="str">
        <f>HYPERLINK("http://www.ncbi.nlm.nih.gov/Structure/cdd/cddsrv.cgi?uid=pfam00338&amp;version=v4.0","4E-024")</f>
        <v>4E-024</v>
      </c>
      <c r="AR64" t="s">
        <v>216</v>
      </c>
      <c r="AS64" s="3" t="str">
        <f>HYPERLINK("http://exon.niaid.nih.gov/transcriptome/O_fasciatus/Sup_tab1/links/PFAM\of-new-contig_182-PFAM.txt","Ribosomal_S10")</f>
        <v>Ribosomal_S10</v>
      </c>
      <c r="AT64" s="2" t="str">
        <f>HYPERLINK("http://pfam.wustl.edu/cgi-bin/getdesc?acc=PF00338","2E-024")</f>
        <v>2E-024</v>
      </c>
      <c r="AU64" s="3" t="str">
        <f>HYPERLINK("http://exon.niaid.nih.gov/transcriptome/O_fasciatus/Sup_tab1/links/SMART\of-new-contig_182-SMART.txt","AXH")</f>
        <v>AXH</v>
      </c>
      <c r="AV64" s="2" t="str">
        <f>HYPERLINK("http://smart.embl-heidelberg.de/smart/do_annotation.pl?DOMAIN=AXH&amp;BLAST=DUMMY","0.41")</f>
        <v>0.41</v>
      </c>
      <c r="AW64" s="3" t="s">
        <v>547</v>
      </c>
      <c r="AX64" s="2" t="s">
        <v>547</v>
      </c>
      <c r="AY64" s="3" t="s">
        <v>547</v>
      </c>
      <c r="AZ64" s="2" t="s">
        <v>547</v>
      </c>
    </row>
    <row r="65" spans="1:52" ht="11.25">
      <c r="A65" t="str">
        <f>HYPERLINK("http://exon.niaid.nih.gov/transcriptome/O_fasciatus/Sup_tab1/links/of-new\of-new-contig_61.txt","of-new-contig_61")</f>
        <v>of-new-contig_61</v>
      </c>
      <c r="B65" t="str">
        <f>HYPERLINK("http://exon.niaid.nih.gov/transcriptome/O_fasciatus/Sup_tab1/links/of-new\of-new-5-64-64-asb-61.txt","Contig-61")</f>
        <v>Contig-61</v>
      </c>
      <c r="C65" t="str">
        <f>HYPERLINK("http://exon.niaid.nih.gov/transcriptome/O_fasciatus/Sup_tab1/links/of-new\of-new-5-64-64-61-CLU.txt","Contig61")</f>
        <v>Contig61</v>
      </c>
      <c r="D65">
        <v>3</v>
      </c>
      <c r="E65">
        <v>382</v>
      </c>
      <c r="F65" t="str">
        <f>HYPERLINK("http://exon.niaid.nih.gov/transcriptome/O_fasciatus/Sup_tab1/links/of-new\of-new-5-64-64-61-qual.txt","91.7")</f>
        <v>91.7</v>
      </c>
      <c r="G65" t="s">
        <v>541</v>
      </c>
      <c r="H65">
        <v>55.2</v>
      </c>
      <c r="I65">
        <v>363</v>
      </c>
      <c r="J65">
        <v>61</v>
      </c>
      <c r="K65" t="s">
        <v>602</v>
      </c>
      <c r="L65">
        <v>363</v>
      </c>
      <c r="M65" s="3" t="str">
        <f>HYPERLINK("http://exon.niaid.nih.gov/transcriptome/O_fasciatus/Sup_tab1/links/NR\of-new-contig_61-NR.txt","PREDICTED: similar to Ribosomal protein S19a CG4464-PA, isoform A [Apis")</f>
        <v>PREDICTED: similar to Ribosomal protein S19a CG4464-PA, isoform A [Apis</v>
      </c>
      <c r="N65" s="2" t="str">
        <f>HYPERLINK("http://www.ncbi.nlm.nih.gov/sutils/blink.cgi?pid=48140499","5E-033")</f>
        <v>5E-033</v>
      </c>
      <c r="O65" t="s">
        <v>658</v>
      </c>
      <c r="P65">
        <v>85</v>
      </c>
      <c r="Q65">
        <v>154</v>
      </c>
      <c r="R65">
        <v>82</v>
      </c>
      <c r="S65">
        <v>55</v>
      </c>
      <c r="T65">
        <v>59</v>
      </c>
      <c r="U65">
        <v>3</v>
      </c>
      <c r="V65">
        <v>1</v>
      </c>
      <c r="W65" t="s">
        <v>1412</v>
      </c>
      <c r="X65" t="s">
        <v>520</v>
      </c>
      <c r="Y65" t="s">
        <v>659</v>
      </c>
      <c r="Z65" s="4" t="s">
        <v>1053</v>
      </c>
      <c r="AA65" t="s">
        <v>1009</v>
      </c>
      <c r="AB65" s="3" t="s">
        <v>660</v>
      </c>
      <c r="AC65" s="2">
        <f>HYPERLINK("http://exon.niaid.nih.gov/transcriptome/O_fasciatus/Sup_tab1/links/GO\of-new-contig_61-GO.txt",7E-28)</f>
        <v>0</v>
      </c>
      <c r="AD65" s="4" t="s">
        <v>150</v>
      </c>
      <c r="AE65" t="s">
        <v>151</v>
      </c>
      <c r="AF65" s="1">
        <v>7E-28</v>
      </c>
      <c r="AG65" s="4" t="s">
        <v>152</v>
      </c>
      <c r="AH65" t="s">
        <v>153</v>
      </c>
      <c r="AI65" s="1">
        <v>7E-28</v>
      </c>
      <c r="AJ65" s="4" t="s">
        <v>527</v>
      </c>
      <c r="AK65" t="s">
        <v>528</v>
      </c>
      <c r="AL65" s="1">
        <v>7E-28</v>
      </c>
      <c r="AM65" s="3" t="str">
        <f>HYPERLINK("http://exon.niaid.nih.gov/transcriptome/O_fasciatus/Sup_tab1/links/KOG\of-new-contig_61-KOG.txt","40S ribosomal protein S19")</f>
        <v>40S ribosomal protein S19</v>
      </c>
      <c r="AN65" s="2" t="str">
        <f>HYPERLINK("http://www.ncbi.nlm.nih.gov/COG/new/shokog.cgi?KOG3411","2E-032")</f>
        <v>2E-032</v>
      </c>
      <c r="AO65" t="s">
        <v>529</v>
      </c>
      <c r="AP65" s="3" t="str">
        <f>HYPERLINK("http://exon.niaid.nih.gov/transcriptome/O_fasciatus/Sup_tab1/links/CDD\of-new-contig_61-CDD.txt","Ribosomal_S19e")</f>
        <v>Ribosomal_S19e</v>
      </c>
      <c r="AQ65" s="2" t="str">
        <f>HYPERLINK("http://www.ncbi.nlm.nih.gov/Structure/cdd/cddsrv.cgi?uid=pfam01090&amp;version=v4.0","4E-034")</f>
        <v>4E-034</v>
      </c>
      <c r="AR65" t="s">
        <v>661</v>
      </c>
      <c r="AS65" s="3" t="str">
        <f>HYPERLINK("http://exon.niaid.nih.gov/transcriptome/O_fasciatus/Sup_tab1/links/PFAM\of-new-contig_61-PFAM.txt","Ribosomal_S19e")</f>
        <v>Ribosomal_S19e</v>
      </c>
      <c r="AT65" s="2" t="str">
        <f>HYPERLINK("http://pfam.wustl.edu/cgi-bin/getdesc?acc=PF01090","2E-034")</f>
        <v>2E-034</v>
      </c>
      <c r="AU65" s="3" t="str">
        <f>HYPERLINK("http://exon.niaid.nih.gov/transcriptome/O_fasciatus/Sup_tab1/links/SMART\of-new-contig_61-SMART.txt","HTH_DTXR")</f>
        <v>HTH_DTXR</v>
      </c>
      <c r="AV65" s="2" t="str">
        <f>HYPERLINK("http://smart.embl-heidelberg.de/smart/do_annotation.pl?DOMAIN=HTH_DTXR&amp;BLAST=DUMMY","4E-004")</f>
        <v>4E-004</v>
      </c>
      <c r="AW65" s="3" t="s">
        <v>547</v>
      </c>
      <c r="AX65" s="2" t="s">
        <v>547</v>
      </c>
      <c r="AY65" s="3" t="s">
        <v>547</v>
      </c>
      <c r="AZ65" s="2" t="s">
        <v>547</v>
      </c>
    </row>
    <row r="66" spans="1:52" ht="11.25">
      <c r="A66" t="str">
        <f>HYPERLINK("http://exon.niaid.nih.gov/transcriptome/O_fasciatus/Sup_tab1/links/of-new\of-new-contig_223.txt","of-new-contig_223")</f>
        <v>of-new-contig_223</v>
      </c>
      <c r="B66" t="str">
        <f>HYPERLINK("http://exon.niaid.nih.gov/transcriptome/O_fasciatus/Sup_tab1/links/of-new\of-new-5-64-64-asb-223.txt","Contig-223")</f>
        <v>Contig-223</v>
      </c>
      <c r="C66" t="str">
        <f>HYPERLINK("http://exon.niaid.nih.gov/transcriptome/O_fasciatus/Sup_tab1/links/of-new\of-new-5-64-64-223-CLU.txt","Contig223")</f>
        <v>Contig223</v>
      </c>
      <c r="D66">
        <v>1</v>
      </c>
      <c r="E66">
        <v>342</v>
      </c>
      <c r="F66" t="str">
        <f>HYPERLINK("http://exon.niaid.nih.gov/transcriptome/O_fasciatus/Sup_tab1/links/of-new\of-new-5-64-64-223-qual.txt","64.1")</f>
        <v>64.1</v>
      </c>
      <c r="G66" t="s">
        <v>541</v>
      </c>
      <c r="H66">
        <v>61.7</v>
      </c>
      <c r="I66">
        <v>323</v>
      </c>
      <c r="J66">
        <v>223</v>
      </c>
      <c r="K66" t="s">
        <v>1301</v>
      </c>
      <c r="L66">
        <v>323</v>
      </c>
      <c r="M66" s="3" t="str">
        <f>HYPERLINK("http://exon.niaid.nih.gov/transcriptome/O_fasciatus/Sup_tab1/links/NR\of-new-contig_223-NR.txt","PREDICTED: similar to ribosomal protein S13 [Tribolium castaneum]")</f>
        <v>PREDICTED: similar to ribosomal protein S13 [Tribolium castaneum]</v>
      </c>
      <c r="N66" s="2" t="str">
        <f>HYPERLINK("http://www.ncbi.nlm.nih.gov/sutils/blink.cgi?pid=91091708","2E-044")</f>
        <v>2E-044</v>
      </c>
      <c r="O66" t="s">
        <v>229</v>
      </c>
      <c r="P66">
        <v>95</v>
      </c>
      <c r="Q66">
        <v>151</v>
      </c>
      <c r="R66">
        <v>95</v>
      </c>
      <c r="S66">
        <v>63</v>
      </c>
      <c r="T66">
        <v>57</v>
      </c>
      <c r="U66">
        <v>3</v>
      </c>
      <c r="V66">
        <v>1</v>
      </c>
      <c r="W66" t="s">
        <v>1412</v>
      </c>
      <c r="X66" t="s">
        <v>676</v>
      </c>
      <c r="Y66" t="s">
        <v>230</v>
      </c>
      <c r="Z66" s="4" t="s">
        <v>1108</v>
      </c>
      <c r="AA66" t="s">
        <v>1009</v>
      </c>
      <c r="AB66" s="3" t="s">
        <v>231</v>
      </c>
      <c r="AC66" s="2">
        <f>HYPERLINK("http://exon.niaid.nih.gov/transcriptome/O_fasciatus/Sup_tab1/links/GO\of-new-contig_223-GO.txt",3E-44)</f>
        <v>0</v>
      </c>
      <c r="AD66" s="4" t="s">
        <v>1671</v>
      </c>
      <c r="AE66" t="s">
        <v>1672</v>
      </c>
      <c r="AF66" s="1">
        <v>3E-44</v>
      </c>
      <c r="AG66" s="4" t="s">
        <v>525</v>
      </c>
      <c r="AH66" t="s">
        <v>526</v>
      </c>
      <c r="AI66" s="1">
        <v>3E-44</v>
      </c>
      <c r="AJ66" s="4" t="s">
        <v>527</v>
      </c>
      <c r="AK66" t="s">
        <v>528</v>
      </c>
      <c r="AL66" s="1">
        <v>3E-44</v>
      </c>
      <c r="AM66" s="3" t="str">
        <f>HYPERLINK("http://exon.niaid.nih.gov/transcriptome/O_fasciatus/Sup_tab1/links/KOG\of-new-contig_223-KOG.txt","40S ribosomal protein S13")</f>
        <v>40S ribosomal protein S13</v>
      </c>
      <c r="AN66" s="2" t="str">
        <f>HYPERLINK("http://www.ncbi.nlm.nih.gov/COG/new/shokog.cgi?KOG0400","3E-048")</f>
        <v>3E-048</v>
      </c>
      <c r="AO66" t="s">
        <v>529</v>
      </c>
      <c r="AP66" s="3" t="str">
        <f>HYPERLINK("http://exon.niaid.nih.gov/transcriptome/O_fasciatus/Sup_tab1/links/CDD\of-new-contig_223-CDD.txt","Ribosomal_S15p_")</f>
        <v>Ribosomal_S15p_</v>
      </c>
      <c r="AQ66" s="2" t="str">
        <f>HYPERLINK("http://www.ncbi.nlm.nih.gov/Structure/cdd/cddsrv.cgi?uid=cd00353&amp;version=v4.0","9E-023")</f>
        <v>9E-023</v>
      </c>
      <c r="AR66" t="s">
        <v>232</v>
      </c>
      <c r="AS66" s="3" t="str">
        <f>HYPERLINK("http://exon.niaid.nih.gov/transcriptome/O_fasciatus/Sup_tab1/links/PFAM\of-new-contig_223-PFAM.txt","Ribosomal_S15")</f>
        <v>Ribosomal_S15</v>
      </c>
      <c r="AT66" s="2" t="str">
        <f>HYPERLINK("http://pfam.wustl.edu/cgi-bin/getdesc?acc=PF00312","1E-018")</f>
        <v>1E-018</v>
      </c>
      <c r="AU66" s="3" t="str">
        <f>HYPERLINK("http://exon.niaid.nih.gov/transcriptome/O_fasciatus/Sup_tab1/links/SMART\of-new-contig_223-SMART.txt","EPEND")</f>
        <v>EPEND</v>
      </c>
      <c r="AV66" s="2" t="str">
        <f>HYPERLINK("http://smart.embl-heidelberg.de/smart/do_annotation.pl?DOMAIN=EPEND&amp;BLAST=DUMMY","0.15")</f>
        <v>0.15</v>
      </c>
      <c r="AW66" s="3" t="s">
        <v>547</v>
      </c>
      <c r="AX66" s="2" t="s">
        <v>547</v>
      </c>
      <c r="AY66" s="3" t="s">
        <v>547</v>
      </c>
      <c r="AZ66" s="2" t="s">
        <v>547</v>
      </c>
    </row>
    <row r="67" spans="1:52" ht="11.25">
      <c r="A67" t="str">
        <f>HYPERLINK("http://exon.niaid.nih.gov/transcriptome/O_fasciatus/Sup_tab1/links/of-new\of-new-contig_51.txt","of-new-contig_51")</f>
        <v>of-new-contig_51</v>
      </c>
      <c r="B67" t="str">
        <f>HYPERLINK("http://exon.niaid.nih.gov/transcriptome/O_fasciatus/Sup_tab1/links/of-new\of-new-5-64-64-asb-51.txt","Contig-51")</f>
        <v>Contig-51</v>
      </c>
      <c r="C67" t="str">
        <f>HYPERLINK("http://exon.niaid.nih.gov/transcriptome/O_fasciatus/Sup_tab1/links/of-new\of-new-5-64-64-51-CLU.txt","Contig51")</f>
        <v>Contig51</v>
      </c>
      <c r="D67">
        <v>3</v>
      </c>
      <c r="E67">
        <v>756</v>
      </c>
      <c r="F67" t="str">
        <f>HYPERLINK("http://exon.niaid.nih.gov/transcriptome/O_fasciatus/Sup_tab1/links/of-new\of-new-5-64-64-51-qual.txt","79.8")</f>
        <v>79.8</v>
      </c>
      <c r="G67">
        <v>3</v>
      </c>
      <c r="H67">
        <v>63.1</v>
      </c>
      <c r="I67" t="s">
        <v>547</v>
      </c>
      <c r="J67">
        <v>51</v>
      </c>
      <c r="K67" t="s">
        <v>592</v>
      </c>
      <c r="L67">
        <v>183</v>
      </c>
      <c r="M67" s="3" t="str">
        <f>HYPERLINK("http://exon.niaid.nih.gov/transcriptome/O_fasciatus/Sup_tab1/links/NR\of-new-contig_51-NR.txt","PREDICTED: similar to ribosomal protein S11")</f>
        <v>PREDICTED: similar to ribosomal protein S11</v>
      </c>
      <c r="N67" s="2" t="str">
        <f>HYPERLINK("http://www.ncbi.nlm.nih.gov/sutils/blink.cgi?pid=110756499","6E-066")</f>
        <v>6E-066</v>
      </c>
      <c r="O67" t="s">
        <v>519</v>
      </c>
      <c r="P67">
        <v>155</v>
      </c>
      <c r="Q67">
        <v>155</v>
      </c>
      <c r="R67">
        <v>79</v>
      </c>
      <c r="S67">
        <v>100</v>
      </c>
      <c r="T67">
        <v>1</v>
      </c>
      <c r="U67">
        <v>18</v>
      </c>
      <c r="V67">
        <v>1</v>
      </c>
      <c r="W67" t="s">
        <v>1412</v>
      </c>
      <c r="X67" t="s">
        <v>520</v>
      </c>
      <c r="Y67" t="s">
        <v>521</v>
      </c>
      <c r="Z67" s="4" t="s">
        <v>1047</v>
      </c>
      <c r="AA67" t="s">
        <v>1009</v>
      </c>
      <c r="AB67" s="3" t="s">
        <v>522</v>
      </c>
      <c r="AC67" s="2">
        <f>HYPERLINK("http://exon.niaid.nih.gov/transcriptome/O_fasciatus/Sup_tab1/links/GO\of-new-contig_51-GO.txt",3E-63)</f>
        <v>0</v>
      </c>
      <c r="AD67" s="4" t="s">
        <v>523</v>
      </c>
      <c r="AE67" t="s">
        <v>524</v>
      </c>
      <c r="AF67" s="1">
        <v>3E-63</v>
      </c>
      <c r="AG67" s="4" t="s">
        <v>525</v>
      </c>
      <c r="AH67" t="s">
        <v>526</v>
      </c>
      <c r="AI67" s="1">
        <v>3E-63</v>
      </c>
      <c r="AJ67" s="4" t="s">
        <v>527</v>
      </c>
      <c r="AK67" t="s">
        <v>528</v>
      </c>
      <c r="AL67" s="1">
        <v>3E-63</v>
      </c>
      <c r="AM67" s="3" t="str">
        <f>HYPERLINK("http://exon.niaid.nih.gov/transcriptome/O_fasciatus/Sup_tab1/links/KOG\of-new-contig_51-KOG.txt","40S ribosomal protein S11")</f>
        <v>40S ribosomal protein S11</v>
      </c>
      <c r="AN67" s="2" t="str">
        <f>HYPERLINK("http://www.ncbi.nlm.nih.gov/COG/new/shokog.cgi?KOG1728","8E-075")</f>
        <v>8E-075</v>
      </c>
      <c r="AO67" t="s">
        <v>529</v>
      </c>
      <c r="AP67" s="3" t="str">
        <f>HYPERLINK("http://exon.niaid.nih.gov/transcriptome/O_fasciatus/Sup_tab1/links/CDD\of-new-contig_51-CDD.txt","Ribosomal_S17")</f>
        <v>Ribosomal_S17</v>
      </c>
      <c r="AQ67" s="2" t="str">
        <f>HYPERLINK("http://www.ncbi.nlm.nih.gov/Structure/cdd/cddsrv.cgi?uid=pfam00366&amp;version=v4.0","4E-026")</f>
        <v>4E-026</v>
      </c>
      <c r="AR67" t="s">
        <v>145</v>
      </c>
      <c r="AS67" s="3" t="str">
        <f>HYPERLINK("http://exon.niaid.nih.gov/transcriptome/O_fasciatus/Sup_tab1/links/PFAM\of-new-contig_51-PFAM.txt","Ribosomal_S17")</f>
        <v>Ribosomal_S17</v>
      </c>
      <c r="AT67" s="2" t="str">
        <f>HYPERLINK("http://pfam.wustl.edu/cgi-bin/getdesc?acc=PF00366","2E-026")</f>
        <v>2E-026</v>
      </c>
      <c r="AU67" s="3" t="str">
        <f>HYPERLINK("http://exon.niaid.nih.gov/transcriptome/O_fasciatus/Sup_tab1/links/SMART\of-new-contig_51-SMART.txt","VPS10")</f>
        <v>VPS10</v>
      </c>
      <c r="AV67" s="2" t="str">
        <f>HYPERLINK("http://smart.embl-heidelberg.de/smart/do_annotation.pl?DOMAIN=VPS10&amp;BLAST=DUMMY","0.15")</f>
        <v>0.15</v>
      </c>
      <c r="AW67" s="3" t="s">
        <v>547</v>
      </c>
      <c r="AX67" s="2" t="s">
        <v>547</v>
      </c>
      <c r="AY67" s="3" t="s">
        <v>547</v>
      </c>
      <c r="AZ67" s="2" t="s">
        <v>547</v>
      </c>
    </row>
    <row r="68" spans="1:52" ht="11.25">
      <c r="A68" t="str">
        <f>HYPERLINK("http://exon.niaid.nih.gov/transcriptome/O_fasciatus/Sup_tab1/links/of-new\of-new-contig_5.txt","of-new-contig_5")</f>
        <v>of-new-contig_5</v>
      </c>
      <c r="B68" t="str">
        <f>HYPERLINK("http://exon.niaid.nih.gov/transcriptome/O_fasciatus/Sup_tab1/links/of-new\of-new-5-64-64-asb-5.txt","Contig-5")</f>
        <v>Contig-5</v>
      </c>
      <c r="C68" t="str">
        <f>HYPERLINK("http://exon.niaid.nih.gov/transcriptome/O_fasciatus/Sup_tab1/links/of-new\of-new-5-64-64-5-CLU.txt","Contig5")</f>
        <v>Contig5</v>
      </c>
      <c r="D68">
        <v>67</v>
      </c>
      <c r="E68">
        <v>1094</v>
      </c>
      <c r="F68" t="str">
        <f>HYPERLINK("http://exon.niaid.nih.gov/transcriptome/O_fasciatus/Sup_tab1/links/of-new\of-new-5-64-64-5-qual.txt","88.8")</f>
        <v>88.8</v>
      </c>
      <c r="G68" t="s">
        <v>541</v>
      </c>
      <c r="H68">
        <v>79</v>
      </c>
      <c r="I68">
        <v>1059</v>
      </c>
      <c r="J68">
        <v>5</v>
      </c>
      <c r="K68" t="s">
        <v>546</v>
      </c>
      <c r="L68">
        <v>596</v>
      </c>
      <c r="M68" s="3" t="str">
        <f>HYPERLINK("http://exon.niaid.nih.gov/transcriptome/O_fasciatus/Sup_tab1/links/NR\of-new-contig_5-NR.txt","hypothetical 18K protein - goldfish mitochondrion")</f>
        <v>hypothetical 18K protein - goldfish mitochondrion</v>
      </c>
      <c r="N68" s="2" t="str">
        <f>HYPERLINK("http://www.ncbi.nlm.nih.gov/sutils/blink.cgi?pid=345543","0.088")</f>
        <v>0.088</v>
      </c>
      <c r="O68" t="s">
        <v>1523</v>
      </c>
      <c r="P68">
        <v>73</v>
      </c>
      <c r="Q68">
        <v>166</v>
      </c>
      <c r="R68">
        <v>42</v>
      </c>
      <c r="S68">
        <v>44</v>
      </c>
      <c r="T68">
        <v>30</v>
      </c>
      <c r="U68">
        <v>385</v>
      </c>
      <c r="V68">
        <v>1</v>
      </c>
      <c r="W68" t="s">
        <v>1412</v>
      </c>
      <c r="X68" t="s">
        <v>547</v>
      </c>
      <c r="Y68" t="s">
        <v>1524</v>
      </c>
      <c r="Z68" s="4" t="s">
        <v>1008</v>
      </c>
      <c r="AA68" t="s">
        <v>1009</v>
      </c>
      <c r="AB68" s="3" t="s">
        <v>547</v>
      </c>
      <c r="AC68" s="2" t="s">
        <v>547</v>
      </c>
      <c r="AD68" s="4" t="s">
        <v>547</v>
      </c>
      <c r="AE68" t="s">
        <v>547</v>
      </c>
      <c r="AF68" t="s">
        <v>547</v>
      </c>
      <c r="AG68" s="4" t="s">
        <v>547</v>
      </c>
      <c r="AH68" t="s">
        <v>547</v>
      </c>
      <c r="AI68" t="s">
        <v>547</v>
      </c>
      <c r="AJ68" s="4" t="s">
        <v>547</v>
      </c>
      <c r="AK68" t="s">
        <v>547</v>
      </c>
      <c r="AL68" t="s">
        <v>547</v>
      </c>
      <c r="AM68" s="3" t="s">
        <v>547</v>
      </c>
      <c r="AN68" s="2" t="s">
        <v>547</v>
      </c>
      <c r="AO68" t="s">
        <v>547</v>
      </c>
      <c r="AP68" s="3" t="str">
        <f>HYPERLINK("http://exon.niaid.nih.gov/transcriptome/O_fasciatus/Sup_tab1/links/CDD\of-new-contig_5-CDD.txt","Herpes_LMP1")</f>
        <v>Herpes_LMP1</v>
      </c>
      <c r="AQ68" s="2" t="str">
        <f>HYPERLINK("http://www.ncbi.nlm.nih.gov/Structure/cdd/cddsrv.cgi?uid=pfam05297&amp;version=v4.0","0.16")</f>
        <v>0.16</v>
      </c>
      <c r="AR68" t="s">
        <v>1525</v>
      </c>
      <c r="AS68" s="3" t="str">
        <f>HYPERLINK("http://exon.niaid.nih.gov/transcriptome/O_fasciatus/Sup_tab1/links/PFAM\of-new-contig_5-PFAM.txt","Herpes_LMP1")</f>
        <v>Herpes_LMP1</v>
      </c>
      <c r="AT68" s="2" t="str">
        <f>HYPERLINK("http://pfam.wustl.edu/cgi-bin/getdesc?acc=PF05297","0.077")</f>
        <v>0.077</v>
      </c>
      <c r="AU68" s="3" t="str">
        <f>HYPERLINK("http://exon.niaid.nih.gov/transcriptome/O_fasciatus/Sup_tab1/links/SMART\of-new-contig_5-SMART.txt","PSN")</f>
        <v>PSN</v>
      </c>
      <c r="AV68" s="2" t="str">
        <f>HYPERLINK("http://smart.embl-heidelberg.de/smart/do_annotation.pl?DOMAIN=PSN&amp;BLAST=DUMMY","0.13")</f>
        <v>0.13</v>
      </c>
      <c r="AW68" s="3" t="str">
        <f>HYPERLINK("http://exon.niaid.nih.gov/transcriptome/O_fasciatus/Sup_tab1/links/RRNA\of-new-contig_5-RRNA.txt","Glossina morsitans morsitans 16S ribosomal RNA gene, mitochondrial gene for")</f>
        <v>Glossina morsitans morsitans 16S ribosomal RNA gene, mitochondrial gene for</v>
      </c>
      <c r="AX68" s="2" t="str">
        <f>HYPERLINK("http://www.ncbi.nlm.nih.gov/sutils/blink.cgi?pid=3265161","6E-029")</f>
        <v>6E-029</v>
      </c>
      <c r="AY68" s="3" t="str">
        <f>HYPERLINK("http://exon.niaid.nih.gov/transcriptome/O_fasciatus/Sup_tab1/links/MIT-PLA\of-new-contig_5-MIT-PLA.txt","Triatoma dimidiata mitochondrial DNA, complete genome")</f>
        <v>Triatoma dimidiata mitochondrial DNA, complete genome</v>
      </c>
      <c r="AZ68" s="2" t="str">
        <f>HYPERLINK("http://www.ncbi.nlm.nih.gov/sutils/blink.cgi?pid=11139100","1E-062")</f>
        <v>1E-062</v>
      </c>
    </row>
    <row r="69" spans="1:52" ht="11.25">
      <c r="A69" t="str">
        <f>HYPERLINK("http://exon.niaid.nih.gov/transcriptome/O_fasciatus/Sup_tab1/links/of-new\of-new-contig_6.txt","of-new-contig_6")</f>
        <v>of-new-contig_6</v>
      </c>
      <c r="B69" t="str">
        <f>HYPERLINK("http://exon.niaid.nih.gov/transcriptome/O_fasciatus/Sup_tab1/links/of-new\of-new-5-64-64-asb-6.txt","Contig-6")</f>
        <v>Contig-6</v>
      </c>
      <c r="C69" t="str">
        <f>HYPERLINK("http://exon.niaid.nih.gov/transcriptome/O_fasciatus/Sup_tab1/links/of-new\of-new-5-64-64-6-CLU.txt","Contig6")</f>
        <v>Contig6</v>
      </c>
      <c r="D69">
        <v>1</v>
      </c>
      <c r="E69">
        <v>675</v>
      </c>
      <c r="F69" t="str">
        <f>HYPERLINK("http://exon.niaid.nih.gov/transcriptome/O_fasciatus/Sup_tab1/links/of-new\of-new-5-64-64-6-qual.txt","26.9")</f>
        <v>26.9</v>
      </c>
      <c r="G69" t="s">
        <v>541</v>
      </c>
      <c r="H69">
        <v>69.5</v>
      </c>
      <c r="I69" t="s">
        <v>547</v>
      </c>
      <c r="J69">
        <v>6</v>
      </c>
      <c r="K69" t="s">
        <v>548</v>
      </c>
      <c r="L69" t="s">
        <v>547</v>
      </c>
      <c r="M69" s="3" t="str">
        <f>HYPERLINK("http://exon.niaid.nih.gov/transcriptome/O_fasciatus/Sup_tab1/links/NR\of-new-contig_6-NR.txt","COG2807: Cyanate permease")</f>
        <v>COG2807: Cyanate permease</v>
      </c>
      <c r="N69" s="2" t="str">
        <f>HYPERLINK("http://www.ncbi.nlm.nih.gov/sutils/blink.cgi?pid=53689386","2.7")</f>
        <v>2.7</v>
      </c>
      <c r="O69" t="s">
        <v>1526</v>
      </c>
      <c r="P69">
        <v>83</v>
      </c>
      <c r="Q69">
        <v>377</v>
      </c>
      <c r="R69">
        <v>28</v>
      </c>
      <c r="S69">
        <v>22</v>
      </c>
      <c r="T69">
        <v>143</v>
      </c>
      <c r="U69">
        <v>240</v>
      </c>
      <c r="V69">
        <v>1</v>
      </c>
      <c r="W69" t="s">
        <v>1412</v>
      </c>
      <c r="X69" t="s">
        <v>1527</v>
      </c>
      <c r="Y69" t="s">
        <v>1528</v>
      </c>
      <c r="Z69" s="4" t="s">
        <v>1008</v>
      </c>
      <c r="AA69" t="s">
        <v>1009</v>
      </c>
      <c r="AB69" s="3" t="s">
        <v>547</v>
      </c>
      <c r="AC69" s="2" t="s">
        <v>547</v>
      </c>
      <c r="AD69" s="4" t="s">
        <v>547</v>
      </c>
      <c r="AE69" t="s">
        <v>547</v>
      </c>
      <c r="AF69" t="s">
        <v>547</v>
      </c>
      <c r="AG69" s="4" t="s">
        <v>547</v>
      </c>
      <c r="AH69" t="s">
        <v>547</v>
      </c>
      <c r="AI69" t="s">
        <v>547</v>
      </c>
      <c r="AJ69" s="4" t="s">
        <v>547</v>
      </c>
      <c r="AK69" t="s">
        <v>547</v>
      </c>
      <c r="AL69" t="s">
        <v>547</v>
      </c>
      <c r="AM69" s="3" t="str">
        <f>HYPERLINK("http://exon.niaid.nih.gov/transcriptome/O_fasciatus/Sup_tab1/links/KOG\of-new-contig_6-KOG.txt","Ca2+-modulated nonselective cation channel polycystin")</f>
        <v>Ca2+-modulated nonselective cation channel polycystin</v>
      </c>
      <c r="AN69" s="2" t="str">
        <f>HYPERLINK("http://www.ncbi.nlm.nih.gov/COG/new/shokog.cgi?KOG3599","0.48")</f>
        <v>0.48</v>
      </c>
      <c r="AO69" t="s">
        <v>1529</v>
      </c>
      <c r="AP69" s="3" t="str">
        <f>HYPERLINK("http://exon.niaid.nih.gov/transcriptome/O_fasciatus/Sup_tab1/links/CDD\of-new-contig_6-CDD.txt","LAG1")</f>
        <v>LAG1</v>
      </c>
      <c r="AQ69" s="2" t="str">
        <f>HYPERLINK("http://www.ncbi.nlm.nih.gov/Structure/cdd/cddsrv.cgi?uid=COG5058&amp;version=v4.0","0.83")</f>
        <v>0.83</v>
      </c>
      <c r="AR69" t="s">
        <v>1530</v>
      </c>
      <c r="AS69" s="3" t="str">
        <f>HYPERLINK("http://exon.niaid.nih.gov/transcriptome/O_fasciatus/Sup_tab1/links/PFAM\of-new-contig_6-PFAM.txt","AgrB")</f>
        <v>AgrB</v>
      </c>
      <c r="AT69" s="2" t="str">
        <f>HYPERLINK("http://pfam.wustl.edu/cgi-bin/getdesc?acc=PF04647","0.51")</f>
        <v>0.51</v>
      </c>
      <c r="AU69" s="3" t="str">
        <f>HYPERLINK("http://exon.niaid.nih.gov/transcriptome/O_fasciatus/Sup_tab1/links/SMART\of-new-contig_6-SMART.txt","Elp3")</f>
        <v>Elp3</v>
      </c>
      <c r="AV69" s="2" t="str">
        <f>HYPERLINK("http://smart.embl-heidelberg.de/smart/do_annotation.pl?DOMAIN=Elp3&amp;BLAST=DUMMY","0.47")</f>
        <v>0.47</v>
      </c>
      <c r="AW69" s="3" t="str">
        <f>HYPERLINK("http://exon.niaid.nih.gov/transcriptome/O_fasciatus/Sup_tab1/links/RRNA\of-new-contig_6-RRNA.txt","Glossina morsitans morsitans 16S ribosomal RNA gene, mitochondrial gene for")</f>
        <v>Glossina morsitans morsitans 16S ribosomal RNA gene, mitochondrial gene for</v>
      </c>
      <c r="AX69" s="2" t="str">
        <f>HYPERLINK("http://www.ncbi.nlm.nih.gov/sutils/blink.cgi?pid=3265161","6E-028")</f>
        <v>6E-028</v>
      </c>
      <c r="AY69" s="3" t="str">
        <f>HYPERLINK("http://exon.niaid.nih.gov/transcriptome/O_fasciatus/Sup_tab1/links/MIT-PLA\of-new-contig_6-MIT-PLA.txt","Triatoma dimidiata mitochondrial DNA, complete genome")</f>
        <v>Triatoma dimidiata mitochondrial DNA, complete genome</v>
      </c>
      <c r="AZ69" s="2" t="str">
        <f>HYPERLINK("http://www.ncbi.nlm.nih.gov/sutils/blink.cgi?pid=11139100","2E-063")</f>
        <v>2E-063</v>
      </c>
    </row>
    <row r="70" spans="1:52" ht="11.25">
      <c r="A70" t="str">
        <f>HYPERLINK("http://exon.niaid.nih.gov/transcriptome/O_fasciatus/Sup_tab1/links/of-new\of-new-contig_138.txt","of-new-contig_138")</f>
        <v>of-new-contig_138</v>
      </c>
      <c r="B70" t="str">
        <f>HYPERLINK("http://exon.niaid.nih.gov/transcriptome/O_fasciatus/Sup_tab1/links/of-new\of-new-5-64-64-asb-138.txt","Contig-138")</f>
        <v>Contig-138</v>
      </c>
      <c r="C70" t="str">
        <f>HYPERLINK("http://exon.niaid.nih.gov/transcriptome/O_fasciatus/Sup_tab1/links/of-new\of-new-5-64-64-138-CLU.txt","Contig138")</f>
        <v>Contig138</v>
      </c>
      <c r="D70">
        <v>2</v>
      </c>
      <c r="E70">
        <v>255</v>
      </c>
      <c r="F70" t="str">
        <f>HYPERLINK("http://exon.niaid.nih.gov/transcriptome/O_fasciatus/Sup_tab1/links/of-new\of-new-5-64-64-138-qual.txt","85.4")</f>
        <v>85.4</v>
      </c>
      <c r="G70" t="s">
        <v>541</v>
      </c>
      <c r="H70">
        <v>49</v>
      </c>
      <c r="I70">
        <v>235</v>
      </c>
      <c r="J70">
        <v>138</v>
      </c>
      <c r="K70" t="s">
        <v>1216</v>
      </c>
      <c r="L70">
        <v>235</v>
      </c>
      <c r="M70" s="3" t="str">
        <f>HYPERLINK("http://exon.niaid.nih.gov/transcriptome/O_fasciatus/Sup_tab1/links/NR\of-new-contig_138-NR.txt","CHK1 checkpoint homolog (S. pombe)")</f>
        <v>CHK1 checkpoint homolog (S. pombe)</v>
      </c>
      <c r="N70" s="2" t="str">
        <f>HYPERLINK("http://www.ncbi.nlm.nih.gov/sutils/blink.cgi?pid=89271365","3E-006")</f>
        <v>3E-006</v>
      </c>
      <c r="O70" t="s">
        <v>928</v>
      </c>
      <c r="P70">
        <v>26</v>
      </c>
      <c r="Q70">
        <v>231</v>
      </c>
      <c r="R70">
        <v>92</v>
      </c>
      <c r="S70">
        <v>11</v>
      </c>
      <c r="T70">
        <v>187</v>
      </c>
      <c r="U70">
        <v>158</v>
      </c>
      <c r="V70">
        <v>1</v>
      </c>
      <c r="W70" t="s">
        <v>1412</v>
      </c>
      <c r="X70" t="s">
        <v>891</v>
      </c>
      <c r="Y70" t="s">
        <v>929</v>
      </c>
      <c r="Z70" s="4" t="s">
        <v>1008</v>
      </c>
      <c r="AA70" t="s">
        <v>1009</v>
      </c>
      <c r="AB70" s="3" t="s">
        <v>547</v>
      </c>
      <c r="AC70" s="2" t="s">
        <v>547</v>
      </c>
      <c r="AD70" s="4" t="s">
        <v>547</v>
      </c>
      <c r="AE70" t="s">
        <v>547</v>
      </c>
      <c r="AF70" t="s">
        <v>547</v>
      </c>
      <c r="AG70" s="4" t="s">
        <v>547</v>
      </c>
      <c r="AH70" t="s">
        <v>547</v>
      </c>
      <c r="AI70" t="s">
        <v>547</v>
      </c>
      <c r="AJ70" s="4" t="s">
        <v>547</v>
      </c>
      <c r="AK70" t="s">
        <v>547</v>
      </c>
      <c r="AL70" t="s">
        <v>547</v>
      </c>
      <c r="AM70" s="3" t="str">
        <f>HYPERLINK("http://exon.niaid.nih.gov/transcriptome/O_fasciatus/Sup_tab1/links/KOG\of-new-contig_138-KOG.txt","Transcription factor, Myb superfamily")</f>
        <v>Transcription factor, Myb superfamily</v>
      </c>
      <c r="AN70" s="2" t="str">
        <f>HYPERLINK("http://www.ncbi.nlm.nih.gov/COG/new/shokog.cgi?KOG0049","0.18")</f>
        <v>0.18</v>
      </c>
      <c r="AO70" t="s">
        <v>1640</v>
      </c>
      <c r="AP70" s="3" t="str">
        <f>HYPERLINK("http://exon.niaid.nih.gov/transcriptome/O_fasciatus/Sup_tab1/links/CDD\of-new-contig_138-CDD.txt","KR")</f>
        <v>KR</v>
      </c>
      <c r="AQ70" s="2" t="str">
        <f>HYPERLINK("http://www.ncbi.nlm.nih.gov/Structure/cdd/cddsrv.cgi?uid=cd00108&amp;version=v4.0","0.91")</f>
        <v>0.91</v>
      </c>
      <c r="AR70" t="s">
        <v>930</v>
      </c>
      <c r="AS70" s="3" t="str">
        <f>HYPERLINK("http://exon.niaid.nih.gov/transcriptome/O_fasciatus/Sup_tab1/links/PFAM\of-new-contig_138-PFAM.txt","Virus_HS")</f>
        <v>Virus_HS</v>
      </c>
      <c r="AT70" s="2" t="str">
        <f>HYPERLINK("http://pfam.wustl.edu/cgi-bin/getdesc?acc=PF01550","0.64")</f>
        <v>0.64</v>
      </c>
      <c r="AU70" s="3" t="str">
        <f>HYPERLINK("http://exon.niaid.nih.gov/transcriptome/O_fasciatus/Sup_tab1/links/SMART\of-new-contig_138-SMART.txt","KR")</f>
        <v>KR</v>
      </c>
      <c r="AV70" s="2" t="str">
        <f>HYPERLINK("http://smart.embl-heidelberg.de/smart/do_annotation.pl?DOMAIN=KR&amp;BLAST=DUMMY","0.008")</f>
        <v>0.008</v>
      </c>
      <c r="AW70" s="3" t="str">
        <f>HYPERLINK("http://exon.niaid.nih.gov/transcriptome/O_fasciatus/Sup_tab1/links/RRNA\of-new-contig_138-RRNA.txt","Myrmeleon sp. 18S ribosomal RNA")</f>
        <v>Myrmeleon sp. 18S ribosomal RNA</v>
      </c>
      <c r="AX70" s="2" t="str">
        <f>HYPERLINK("http://www.ncbi.nlm.nih.gov/sutils/blink.cgi?pid=293880","6E-069")</f>
        <v>6E-069</v>
      </c>
      <c r="AY70" s="3" t="s">
        <v>547</v>
      </c>
      <c r="AZ70" s="2" t="s">
        <v>547</v>
      </c>
    </row>
    <row r="71" spans="1:52" ht="11.25">
      <c r="A71" t="str">
        <f>HYPERLINK("http://exon.niaid.nih.gov/transcriptome/O_fasciatus/Sup_tab1/links/of-new\of-new-contig_303.txt","of-new-contig_303")</f>
        <v>of-new-contig_303</v>
      </c>
      <c r="B71" t="str">
        <f>HYPERLINK("http://exon.niaid.nih.gov/transcriptome/O_fasciatus/Sup_tab1/links/of-new\of-new-5-64-64-asb-303.txt","Contig-303")</f>
        <v>Contig-303</v>
      </c>
      <c r="C71" t="str">
        <f>HYPERLINK("http://exon.niaid.nih.gov/transcriptome/O_fasciatus/Sup_tab1/links/of-new\of-new-5-64-64-303-CLU.txt","Contig303")</f>
        <v>Contig303</v>
      </c>
      <c r="D71">
        <v>1</v>
      </c>
      <c r="E71">
        <v>123</v>
      </c>
      <c r="F71" t="str">
        <f>HYPERLINK("http://exon.niaid.nih.gov/transcriptome/O_fasciatus/Sup_tab1/links/of-new\of-new-5-64-64-303-qual.txt","35.")</f>
        <v>35.</v>
      </c>
      <c r="G71" t="s">
        <v>541</v>
      </c>
      <c r="H71">
        <v>78</v>
      </c>
      <c r="I71">
        <v>104</v>
      </c>
      <c r="J71">
        <v>303</v>
      </c>
      <c r="K71" t="s">
        <v>1381</v>
      </c>
      <c r="L71">
        <v>104</v>
      </c>
      <c r="N71" s="2" t="s">
        <v>547</v>
      </c>
      <c r="O71" t="s">
        <v>547</v>
      </c>
      <c r="P71" t="s">
        <v>547</v>
      </c>
      <c r="Q71" t="s">
        <v>547</v>
      </c>
      <c r="R71" t="s">
        <v>547</v>
      </c>
      <c r="S71" t="s">
        <v>547</v>
      </c>
      <c r="T71" t="s">
        <v>547</v>
      </c>
      <c r="U71" t="s">
        <v>547</v>
      </c>
      <c r="V71" t="s">
        <v>547</v>
      </c>
      <c r="W71" t="s">
        <v>547</v>
      </c>
      <c r="X71" t="s">
        <v>547</v>
      </c>
      <c r="Y71" t="s">
        <v>547</v>
      </c>
      <c r="Z71" s="4" t="s">
        <v>1008</v>
      </c>
      <c r="AA71" t="s">
        <v>1009</v>
      </c>
      <c r="AB71" s="3" t="s">
        <v>547</v>
      </c>
      <c r="AC71" s="2" t="s">
        <v>547</v>
      </c>
      <c r="AD71" s="4" t="s">
        <v>547</v>
      </c>
      <c r="AE71" t="s">
        <v>547</v>
      </c>
      <c r="AF71" t="s">
        <v>547</v>
      </c>
      <c r="AG71" s="4" t="s">
        <v>547</v>
      </c>
      <c r="AH71" t="s">
        <v>547</v>
      </c>
      <c r="AI71" t="s">
        <v>547</v>
      </c>
      <c r="AJ71" s="4" t="s">
        <v>547</v>
      </c>
      <c r="AK71" t="s">
        <v>547</v>
      </c>
      <c r="AL71" t="s">
        <v>547</v>
      </c>
      <c r="AM71" s="3" t="s">
        <v>547</v>
      </c>
      <c r="AN71" s="2" t="s">
        <v>547</v>
      </c>
      <c r="AO71" t="s">
        <v>547</v>
      </c>
      <c r="AP71" s="3" t="s">
        <v>547</v>
      </c>
      <c r="AQ71" s="2" t="s">
        <v>547</v>
      </c>
      <c r="AR71" t="s">
        <v>547</v>
      </c>
      <c r="AS71" s="3" t="s">
        <v>547</v>
      </c>
      <c r="AT71" s="2" t="s">
        <v>547</v>
      </c>
      <c r="AU71" s="3" t="str">
        <f>HYPERLINK("http://exon.niaid.nih.gov/transcriptome/O_fasciatus/Sup_tab1/links/SMART\of-new-contig_303-SMART.txt","RanBD")</f>
        <v>RanBD</v>
      </c>
      <c r="AV71" s="2" t="str">
        <f>HYPERLINK("http://smart.embl-heidelberg.de/smart/do_annotation.pl?DOMAIN=RanBD&amp;BLAST=DUMMY","0.33")</f>
        <v>0.33</v>
      </c>
      <c r="AW71" s="3" t="str">
        <f>HYPERLINK("http://exon.niaid.nih.gov/transcriptome/O_fasciatus/Sup_tab1/links/RRNA\of-new-contig_303-RRNA.txt","Glossina morsitans morsitans 16S ribosomal RNA gene, mitochondrial gene for")</f>
        <v>Glossina morsitans morsitans 16S ribosomal RNA gene, mitochondrial gene for</v>
      </c>
      <c r="AX71" s="2" t="str">
        <f>HYPERLINK("http://www.ncbi.nlm.nih.gov/sutils/blink.cgi?pid=3265161","5E-012")</f>
        <v>5E-012</v>
      </c>
      <c r="AY71" s="3" t="str">
        <f>HYPERLINK("http://exon.niaid.nih.gov/transcriptome/O_fasciatus/Sup_tab1/links/MIT-PLA\of-new-contig_303-MIT-PLA.txt","Drosophila sechellia type line mitochondrion, complete genome")</f>
        <v>Drosophila sechellia type line mitochondrion, complete genome</v>
      </c>
      <c r="AZ71" s="2" t="str">
        <f>HYPERLINK("http://www.ncbi.nlm.nih.gov/sutils/blink.cgi?pid=8573429","7E-013")</f>
        <v>7E-013</v>
      </c>
    </row>
    <row r="72" s="12" customFormat="1" ht="11.25">
      <c r="A72" s="11" t="s">
        <v>81</v>
      </c>
    </row>
    <row r="73" spans="1:52" ht="11.25">
      <c r="A73" t="str">
        <f>HYPERLINK("http://exon.niaid.nih.gov/transcriptome/O_fasciatus/Sup_tab1/links/of-new\of-new-contig_38.txt","of-new-contig_38")</f>
        <v>of-new-contig_38</v>
      </c>
      <c r="B73" t="str">
        <f>HYPERLINK("http://exon.niaid.nih.gov/transcriptome/O_fasciatus/Sup_tab1/links/of-new\of-new-5-64-64-asb-38.txt","Contig-38")</f>
        <v>Contig-38</v>
      </c>
      <c r="C73" t="str">
        <f>HYPERLINK("http://exon.niaid.nih.gov/transcriptome/O_fasciatus/Sup_tab1/links/of-new\of-new-5-64-64-38-CLU.txt","Contig38")</f>
        <v>Contig38</v>
      </c>
      <c r="D73">
        <v>6</v>
      </c>
      <c r="E73">
        <v>797</v>
      </c>
      <c r="F73" t="str">
        <f>HYPERLINK("http://exon.niaid.nih.gov/transcriptome/O_fasciatus/Sup_tab1/links/of-new\of-new-5-64-64-38-qual.txt","96.3")</f>
        <v>96.3</v>
      </c>
      <c r="G73" t="s">
        <v>541</v>
      </c>
      <c r="H73">
        <v>70.6</v>
      </c>
      <c r="I73">
        <v>778</v>
      </c>
      <c r="J73">
        <v>38</v>
      </c>
      <c r="K73" t="s">
        <v>579</v>
      </c>
      <c r="L73">
        <v>811</v>
      </c>
      <c r="M73" s="3" t="str">
        <f>HYPERLINK("http://exon.niaid.nih.gov/transcriptome/O_fasciatus/Sup_tab1/links/NR\of-new-contig_38-NR.txt","cytochrome c oxidase subunit III [Chrysomya putoria]")</f>
        <v>cytochrome c oxidase subunit III [Chrysomya putoria]</v>
      </c>
      <c r="N73" s="2" t="str">
        <f>HYPERLINK("http://www.ncbi.nlm.nih.gov/sutils/blink.cgi?pid=13435206","1E-093")</f>
        <v>1E-093</v>
      </c>
      <c r="O73" t="s">
        <v>1131</v>
      </c>
      <c r="P73">
        <v>254</v>
      </c>
      <c r="Q73">
        <v>262</v>
      </c>
      <c r="R73">
        <v>65</v>
      </c>
      <c r="S73">
        <v>97</v>
      </c>
      <c r="T73">
        <v>5</v>
      </c>
      <c r="U73">
        <v>3</v>
      </c>
      <c r="V73">
        <v>1</v>
      </c>
      <c r="W73" t="s">
        <v>1412</v>
      </c>
      <c r="X73" t="s">
        <v>1132</v>
      </c>
      <c r="Y73" t="s">
        <v>1133</v>
      </c>
      <c r="Z73" s="4" t="s">
        <v>1038</v>
      </c>
      <c r="AA73" t="s">
        <v>1039</v>
      </c>
      <c r="AB73" s="3" t="s">
        <v>1134</v>
      </c>
      <c r="AC73" s="2">
        <f>HYPERLINK("http://exon.niaid.nih.gov/transcriptome/O_fasciatus/Sup_tab1/links/GO\of-new-contig_38-GO.txt",2E-92)</f>
        <v>0</v>
      </c>
      <c r="AD73" s="4" t="s">
        <v>1135</v>
      </c>
      <c r="AE73" t="s">
        <v>1136</v>
      </c>
      <c r="AF73" s="1">
        <v>3E-68</v>
      </c>
      <c r="AG73" s="4" t="s">
        <v>1137</v>
      </c>
      <c r="AH73" t="s">
        <v>1138</v>
      </c>
      <c r="AI73" s="1">
        <v>3E-68</v>
      </c>
      <c r="AJ73" s="4" t="s">
        <v>1139</v>
      </c>
      <c r="AK73" t="s">
        <v>1140</v>
      </c>
      <c r="AL73" s="1">
        <v>3E-68</v>
      </c>
      <c r="AM73" s="3" t="str">
        <f>HYPERLINK("http://exon.niaid.nih.gov/transcriptome/O_fasciatus/Sup_tab1/links/KOG\of-new-contig_38-KOG.txt","Cytochrome oxidase subunit III and related proteins")</f>
        <v>Cytochrome oxidase subunit III and related proteins</v>
      </c>
      <c r="AN73" s="2" t="str">
        <f>HYPERLINK("http://www.ncbi.nlm.nih.gov/COG/new/shokog.cgi?KOG4664","1E-094")</f>
        <v>1E-094</v>
      </c>
      <c r="AO73" t="s">
        <v>1430</v>
      </c>
      <c r="AP73" s="3" t="str">
        <f>HYPERLINK("http://exon.niaid.nih.gov/transcriptome/O_fasciatus/Sup_tab1/links/CDD\of-new-contig_38-CDD.txt","COX3")</f>
        <v>COX3</v>
      </c>
      <c r="AQ73" s="2" t="str">
        <f>HYPERLINK("http://www.ncbi.nlm.nih.gov/Structure/cdd/cddsrv.cgi?uid=pfam00510&amp;version=v4.0","1E-110")</f>
        <v>1E-110</v>
      </c>
      <c r="AR73" t="s">
        <v>1141</v>
      </c>
      <c r="AS73" s="3" t="str">
        <f>HYPERLINK("http://exon.niaid.nih.gov/transcriptome/O_fasciatus/Sup_tab1/links/PFAM\of-new-contig_38-PFAM.txt","COX3")</f>
        <v>COX3</v>
      </c>
      <c r="AT73" s="2" t="str">
        <f>HYPERLINK("http://pfam.wustl.edu/cgi-bin/getdesc?acc=PF00510","1E-110")</f>
        <v>1E-110</v>
      </c>
      <c r="AU73" s="3" t="str">
        <f>HYPERLINK("http://exon.niaid.nih.gov/transcriptome/O_fasciatus/Sup_tab1/links/SMART\of-new-contig_38-SMART.txt","CHK")</f>
        <v>CHK</v>
      </c>
      <c r="AV73" s="2" t="str">
        <f>HYPERLINK("http://smart.embl-heidelberg.de/smart/do_annotation.pl?DOMAIN=CHK&amp;BLAST=DUMMY","0.79")</f>
        <v>0.79</v>
      </c>
      <c r="AW73" s="3" t="s">
        <v>547</v>
      </c>
      <c r="AX73" s="2" t="s">
        <v>547</v>
      </c>
      <c r="AY73" s="3" t="str">
        <f>HYPERLINK("http://exon.niaid.nih.gov/transcriptome/O_fasciatus/Sup_tab1/links/MIT-PLA\of-new-contig_38-MIT-PLA.txt","Drosophila melanogaster mitochondrion, complete genome")</f>
        <v>Drosophila melanogaster mitochondrion, complete genome</v>
      </c>
      <c r="AZ73" s="2" t="str">
        <f>HYPERLINK("http://www.ncbi.nlm.nih.gov/sutils/blink.cgi?pid=5835233","1E-028")</f>
        <v>1E-028</v>
      </c>
    </row>
    <row r="74" spans="1:52" ht="11.25">
      <c r="A74" t="str">
        <f>HYPERLINK("http://exon.niaid.nih.gov/transcriptome/O_fasciatus/Sup_tab1/links/of-new\of-new-contig_39.txt","of-new-contig_39")</f>
        <v>of-new-contig_39</v>
      </c>
      <c r="B74" t="str">
        <f>HYPERLINK("http://exon.niaid.nih.gov/transcriptome/O_fasciatus/Sup_tab1/links/of-new\of-new-5-64-64-asb-39.txt","Contig-39")</f>
        <v>Contig-39</v>
      </c>
      <c r="C74" t="str">
        <f>HYPERLINK("http://exon.niaid.nih.gov/transcriptome/O_fasciatus/Sup_tab1/links/of-new\of-new-5-64-64-39-CLU.txt","Contig39")</f>
        <v>Contig39</v>
      </c>
      <c r="D74">
        <v>1</v>
      </c>
      <c r="E74">
        <v>233</v>
      </c>
      <c r="F74" t="str">
        <f>HYPERLINK("http://exon.niaid.nih.gov/transcriptome/O_fasciatus/Sup_tab1/links/of-new\of-new-5-64-64-39-qual.txt","63.1")</f>
        <v>63.1</v>
      </c>
      <c r="G74" t="s">
        <v>541</v>
      </c>
      <c r="H74">
        <v>70.8</v>
      </c>
      <c r="I74">
        <v>214</v>
      </c>
      <c r="J74">
        <v>39</v>
      </c>
      <c r="K74" t="s">
        <v>580</v>
      </c>
      <c r="L74">
        <v>214</v>
      </c>
      <c r="M74" s="3" t="str">
        <f>HYPERLINK("http://exon.niaid.nih.gov/transcriptome/O_fasciatus/Sup_tab1/links/NR\of-new-contig_39-NR.txt","cytochrome oxidase subunit III [Bactrocera papayae]")</f>
        <v>cytochrome oxidase subunit III [Bactrocera papayae]</v>
      </c>
      <c r="N74" s="2" t="str">
        <f>HYPERLINK("http://www.ncbi.nlm.nih.gov/sutils/blink.cgi?pid=92112062","1E-025")</f>
        <v>1E-025</v>
      </c>
      <c r="O74" t="s">
        <v>1142</v>
      </c>
      <c r="P74">
        <v>67</v>
      </c>
      <c r="Q74">
        <v>262</v>
      </c>
      <c r="R74">
        <v>80</v>
      </c>
      <c r="S74">
        <v>26</v>
      </c>
      <c r="T74">
        <v>192</v>
      </c>
      <c r="U74">
        <v>1</v>
      </c>
      <c r="V74">
        <v>1</v>
      </c>
      <c r="W74" t="s">
        <v>1412</v>
      </c>
      <c r="X74" t="s">
        <v>1143</v>
      </c>
      <c r="Y74" t="s">
        <v>1144</v>
      </c>
      <c r="Z74" s="4" t="s">
        <v>1038</v>
      </c>
      <c r="AA74" t="s">
        <v>1039</v>
      </c>
      <c r="AB74" s="3" t="s">
        <v>1134</v>
      </c>
      <c r="AC74" s="2">
        <f>HYPERLINK("http://exon.niaid.nih.gov/transcriptome/O_fasciatus/Sup_tab1/links/GO\of-new-contig_39-GO.txt",4E-27)</f>
        <v>0</v>
      </c>
      <c r="AD74" s="4" t="s">
        <v>1135</v>
      </c>
      <c r="AE74" t="s">
        <v>1136</v>
      </c>
      <c r="AF74" s="1">
        <v>2E-20</v>
      </c>
      <c r="AG74" s="4" t="s">
        <v>1137</v>
      </c>
      <c r="AH74" t="s">
        <v>1138</v>
      </c>
      <c r="AI74" s="1">
        <v>2E-20</v>
      </c>
      <c r="AJ74" s="4" t="s">
        <v>1139</v>
      </c>
      <c r="AK74" t="s">
        <v>1140</v>
      </c>
      <c r="AL74" s="1">
        <v>2E-20</v>
      </c>
      <c r="AM74" s="3" t="str">
        <f>HYPERLINK("http://exon.niaid.nih.gov/transcriptome/O_fasciatus/Sup_tab1/links/KOG\of-new-contig_39-KOG.txt","Cytochrome oxidase subunit III and related proteins")</f>
        <v>Cytochrome oxidase subunit III and related proteins</v>
      </c>
      <c r="AN74" s="2" t="str">
        <f>HYPERLINK("http://www.ncbi.nlm.nih.gov/COG/new/shokog.cgi?KOG4664","1E-028")</f>
        <v>1E-028</v>
      </c>
      <c r="AO74" t="s">
        <v>1430</v>
      </c>
      <c r="AP74" s="3" t="str">
        <f>HYPERLINK("http://exon.niaid.nih.gov/transcriptome/O_fasciatus/Sup_tab1/links/CDD\of-new-contig_39-CDD.txt","Cyt_c_Oxidase_I")</f>
        <v>Cyt_c_Oxidase_I</v>
      </c>
      <c r="AQ74" s="2" t="str">
        <f>HYPERLINK("http://www.ncbi.nlm.nih.gov/Structure/cdd/cddsrv.cgi?uid=cd01665&amp;version=v4.0","9E-034")</f>
        <v>9E-034</v>
      </c>
      <c r="AR74" t="s">
        <v>1145</v>
      </c>
      <c r="AS74" s="3" t="str">
        <f>HYPERLINK("http://exon.niaid.nih.gov/transcriptome/O_fasciatus/Sup_tab1/links/PFAM\of-new-contig_39-PFAM.txt","COX3")</f>
        <v>COX3</v>
      </c>
      <c r="AT74" s="2" t="str">
        <f>HYPERLINK("http://pfam.wustl.edu/cgi-bin/getdesc?acc=PF00510","2E-032")</f>
        <v>2E-032</v>
      </c>
      <c r="AU74" s="3" t="str">
        <f>HYPERLINK("http://exon.niaid.nih.gov/transcriptome/O_fasciatus/Sup_tab1/links/SMART\of-new-contig_39-SMART.txt","TLC")</f>
        <v>TLC</v>
      </c>
      <c r="AV74" s="2" t="str">
        <f>HYPERLINK("http://smart.embl-heidelberg.de/smart/do_annotation.pl?DOMAIN=TLC&amp;BLAST=DUMMY","0.13")</f>
        <v>0.13</v>
      </c>
      <c r="AW74" s="3" t="s">
        <v>547</v>
      </c>
      <c r="AX74" s="2" t="s">
        <v>547</v>
      </c>
      <c r="AY74" s="3" t="str">
        <f>HYPERLINK("http://exon.niaid.nih.gov/transcriptome/O_fasciatus/Sup_tab1/links/MIT-PLA\of-new-contig_39-MIT-PLA.txt","Drosophila melanogaster mitochondrion, complete genome")</f>
        <v>Drosophila melanogaster mitochondrion, complete genome</v>
      </c>
      <c r="AZ74" s="2" t="str">
        <f>HYPERLINK("http://www.ncbi.nlm.nih.gov/sutils/blink.cgi?pid=5835233","3E-023")</f>
        <v>3E-023</v>
      </c>
    </row>
    <row r="75" spans="1:52" ht="11.25">
      <c r="A75" t="str">
        <f>HYPERLINK("http://exon.niaid.nih.gov/transcriptome/O_fasciatus/Sup_tab1/links/of-new\of-new-contig_41.txt","of-new-contig_41")</f>
        <v>of-new-contig_41</v>
      </c>
      <c r="B75" t="str">
        <f>HYPERLINK("http://exon.niaid.nih.gov/transcriptome/O_fasciatus/Sup_tab1/links/of-new\of-new-5-64-64-asb-41.txt","Contig-41")</f>
        <v>Contig-41</v>
      </c>
      <c r="C75" t="str">
        <f>HYPERLINK("http://exon.niaid.nih.gov/transcriptome/O_fasciatus/Sup_tab1/links/of-new\of-new-5-64-64-41-CLU.txt","Contig41")</f>
        <v>Contig41</v>
      </c>
      <c r="D75">
        <v>5</v>
      </c>
      <c r="E75">
        <v>815</v>
      </c>
      <c r="F75" t="str">
        <f>HYPERLINK("http://exon.niaid.nih.gov/transcriptome/O_fasciatus/Sup_tab1/links/of-new\of-new-5-64-64-41-qual.txt","84.")</f>
        <v>84.</v>
      </c>
      <c r="G75" t="s">
        <v>541</v>
      </c>
      <c r="H75">
        <v>69.2</v>
      </c>
      <c r="I75">
        <v>688</v>
      </c>
      <c r="J75">
        <v>41</v>
      </c>
      <c r="K75" t="s">
        <v>582</v>
      </c>
      <c r="L75">
        <v>672</v>
      </c>
      <c r="M75" s="3" t="str">
        <f>HYPERLINK("http://exon.niaid.nih.gov/transcriptome/O_fasciatus/Sup_tab1/links/NR\of-new-contig_41-NR.txt","Cytochrome c oxidase subunit 2 (Cytochrome c oxidase polypeptide II) cytochrome")</f>
        <v>Cytochrome c oxidase subunit 2 (Cytochrome c oxidase polypeptide II) cytochrome</v>
      </c>
      <c r="N75" s="2" t="str">
        <f>HYPERLINK("http://www.ncbi.nlm.nih.gov/sutils/blink.cgi?pid=231875","1E-109")</f>
        <v>1E-109</v>
      </c>
      <c r="O75" t="s">
        <v>1154</v>
      </c>
      <c r="P75">
        <v>224</v>
      </c>
      <c r="Q75">
        <v>229</v>
      </c>
      <c r="R75">
        <v>90</v>
      </c>
      <c r="S75">
        <v>98</v>
      </c>
      <c r="T75">
        <v>1</v>
      </c>
      <c r="U75">
        <v>16</v>
      </c>
      <c r="V75">
        <v>1</v>
      </c>
      <c r="W75" t="s">
        <v>1412</v>
      </c>
      <c r="X75" t="s">
        <v>1155</v>
      </c>
      <c r="Y75" t="s">
        <v>1156</v>
      </c>
      <c r="Z75" s="4" t="s">
        <v>1040</v>
      </c>
      <c r="AA75" t="s">
        <v>1039</v>
      </c>
      <c r="AB75" s="3" t="s">
        <v>1157</v>
      </c>
      <c r="AC75" s="2">
        <f>HYPERLINK("http://exon.niaid.nih.gov/transcriptome/O_fasciatus/Sup_tab1/links/GO\of-new-contig_41-GO.txt",2E-78)</f>
        <v>0</v>
      </c>
      <c r="AD75" s="4" t="s">
        <v>1135</v>
      </c>
      <c r="AE75" t="s">
        <v>1136</v>
      </c>
      <c r="AF75" s="1">
        <v>7E-49</v>
      </c>
      <c r="AG75" s="4" t="s">
        <v>1158</v>
      </c>
      <c r="AH75" t="s">
        <v>1159</v>
      </c>
      <c r="AI75" s="1">
        <v>7E-49</v>
      </c>
      <c r="AJ75" s="4" t="s">
        <v>1160</v>
      </c>
      <c r="AK75" t="s">
        <v>1161</v>
      </c>
      <c r="AL75" s="1">
        <v>7E-49</v>
      </c>
      <c r="AM75" s="3" t="str">
        <f>HYPERLINK("http://exon.niaid.nih.gov/transcriptome/O_fasciatus/Sup_tab1/links/KOG\of-new-contig_41-KOG.txt","Cytochrome c oxidase, subunit II, and related proteins")</f>
        <v>Cytochrome c oxidase, subunit II, and related proteins</v>
      </c>
      <c r="AN75" s="2" t="str">
        <f>HYPERLINK("http://www.ncbi.nlm.nih.gov/COG/new/shokog.cgi?KOG4767","2E-082")</f>
        <v>2E-082</v>
      </c>
      <c r="AO75" t="s">
        <v>1430</v>
      </c>
      <c r="AP75" s="3" t="str">
        <f>HYPERLINK("http://exon.niaid.nih.gov/transcriptome/O_fasciatus/Sup_tab1/links/CDD\of-new-contig_41-CDD.txt","COX2")</f>
        <v>COX2</v>
      </c>
      <c r="AQ75" s="2" t="str">
        <f>HYPERLINK("http://www.ncbi.nlm.nih.gov/Structure/cdd/cddsrv.cgi?uid=pfam00116&amp;version=v4.0","3E-059")</f>
        <v>3E-059</v>
      </c>
      <c r="AR75" t="s">
        <v>1162</v>
      </c>
      <c r="AS75" s="3" t="str">
        <f>HYPERLINK("http://exon.niaid.nih.gov/transcriptome/O_fasciatus/Sup_tab1/links/PFAM\of-new-contig_41-PFAM.txt","COX2")</f>
        <v>COX2</v>
      </c>
      <c r="AT75" s="2" t="str">
        <f>HYPERLINK("http://pfam.wustl.edu/cgi-bin/getdesc?acc=PF00116","1E-059")</f>
        <v>1E-059</v>
      </c>
      <c r="AU75" s="3" t="str">
        <f>HYPERLINK("http://exon.niaid.nih.gov/transcriptome/O_fasciatus/Sup_tab1/links/SMART\of-new-contig_41-SMART.txt","PI3K_C2")</f>
        <v>PI3K_C2</v>
      </c>
      <c r="AV75" s="2" t="str">
        <f>HYPERLINK("http://smart.embl-heidelberg.de/smart/do_annotation.pl?DOMAIN=PI3K_C2&amp;BLAST=DUMMY","0.10")</f>
        <v>0.10</v>
      </c>
      <c r="AW75" s="3" t="s">
        <v>547</v>
      </c>
      <c r="AX75" s="2" t="s">
        <v>547</v>
      </c>
      <c r="AY75" s="3" t="str">
        <f>HYPERLINK("http://exon.niaid.nih.gov/transcriptome/O_fasciatus/Sup_tab1/links/MIT-PLA\of-new-contig_41-MIT-PLA.txt","Triatoma dimidiata mitochondrial DNA, complete genome")</f>
        <v>Triatoma dimidiata mitochondrial DNA, complete genome</v>
      </c>
      <c r="AZ75" s="2" t="str">
        <f>HYPERLINK("http://www.ncbi.nlm.nih.gov/sutils/blink.cgi?pid=11139100","5E-043")</f>
        <v>5E-043</v>
      </c>
    </row>
    <row r="76" spans="1:52" ht="11.25">
      <c r="A76" t="str">
        <f>HYPERLINK("http://exon.niaid.nih.gov/transcriptome/O_fasciatus/Sup_tab1/links/of-new\of-new-contig_66.txt","of-new-contig_66")</f>
        <v>of-new-contig_66</v>
      </c>
      <c r="B76" t="str">
        <f>HYPERLINK("http://exon.niaid.nih.gov/transcriptome/O_fasciatus/Sup_tab1/links/of-new\of-new-5-64-64-asb-66.txt","Contig-66")</f>
        <v>Contig-66</v>
      </c>
      <c r="C76" t="str">
        <f>HYPERLINK("http://exon.niaid.nih.gov/transcriptome/O_fasciatus/Sup_tab1/links/of-new\of-new-5-64-64-66-CLU.txt","Contig66")</f>
        <v>Contig66</v>
      </c>
      <c r="D76">
        <v>3</v>
      </c>
      <c r="E76">
        <v>734</v>
      </c>
      <c r="F76" t="str">
        <f>HYPERLINK("http://exon.niaid.nih.gov/transcriptome/O_fasciatus/Sup_tab1/links/of-new\of-new-5-64-64-66-qual.txt","78.8")</f>
        <v>78.8</v>
      </c>
      <c r="G76" t="s">
        <v>541</v>
      </c>
      <c r="H76">
        <v>72.6</v>
      </c>
      <c r="I76">
        <v>715</v>
      </c>
      <c r="J76">
        <v>66</v>
      </c>
      <c r="K76" t="s">
        <v>607</v>
      </c>
      <c r="L76">
        <v>332</v>
      </c>
      <c r="M76" s="3" t="str">
        <f>HYPERLINK("http://exon.niaid.nih.gov/transcriptome/O_fasciatus/Sup_tab1/links/NR\of-new-contig_66-NR.txt","cytochrome oxidase subunit I")</f>
        <v>cytochrome oxidase subunit I</v>
      </c>
      <c r="N76" s="2" t="str">
        <f>HYPERLINK("http://www.ncbi.nlm.nih.gov/sutils/blink.cgi?pid=55495433","1E-102")</f>
        <v>1E-102</v>
      </c>
      <c r="O76" t="s">
        <v>1437</v>
      </c>
      <c r="P76">
        <v>231</v>
      </c>
      <c r="Q76">
        <v>261</v>
      </c>
      <c r="R76">
        <v>82</v>
      </c>
      <c r="S76">
        <v>89</v>
      </c>
      <c r="T76">
        <v>31</v>
      </c>
      <c r="U76">
        <v>3</v>
      </c>
      <c r="V76">
        <v>1</v>
      </c>
      <c r="W76" t="s">
        <v>1412</v>
      </c>
      <c r="X76" t="s">
        <v>1438</v>
      </c>
      <c r="Y76" t="s">
        <v>1439</v>
      </c>
      <c r="Z76" s="4" t="s">
        <v>1058</v>
      </c>
      <c r="AA76" t="s">
        <v>1039</v>
      </c>
      <c r="AB76" s="3" t="s">
        <v>1440</v>
      </c>
      <c r="AC76" s="2">
        <f>HYPERLINK("http://exon.niaid.nih.gov/transcriptome/O_fasciatus/Sup_tab1/links/GO\of-new-contig_66-GO.txt",1E-94)</f>
        <v>0</v>
      </c>
      <c r="AD76" s="4" t="s">
        <v>1135</v>
      </c>
      <c r="AE76" t="s">
        <v>1136</v>
      </c>
      <c r="AF76" s="1">
        <v>1E-94</v>
      </c>
      <c r="AG76" s="4" t="s">
        <v>1657</v>
      </c>
      <c r="AH76" t="s">
        <v>1658</v>
      </c>
      <c r="AI76" s="1">
        <v>1E-94</v>
      </c>
      <c r="AJ76" s="4" t="s">
        <v>1441</v>
      </c>
      <c r="AK76" t="s">
        <v>1442</v>
      </c>
      <c r="AL76" s="1">
        <v>1E-94</v>
      </c>
      <c r="AM76" s="3" t="str">
        <f>HYPERLINK("http://exon.niaid.nih.gov/transcriptome/O_fasciatus/Sup_tab1/links/KOG\of-new-contig_66-KOG.txt","Fibroblast growth factor")</f>
        <v>Fibroblast growth factor</v>
      </c>
      <c r="AN76" s="2" t="str">
        <f>HYPERLINK("http://www.ncbi.nlm.nih.gov/COG/new/shokog.cgi?KOG3885","0.052")</f>
        <v>0.052</v>
      </c>
      <c r="AO76" t="s">
        <v>1521</v>
      </c>
      <c r="AP76" s="3" t="str">
        <f>HYPERLINK("http://exon.niaid.nih.gov/transcriptome/O_fasciatus/Sup_tab1/links/CDD\of-new-contig_66-CDD.txt","Cyt_c_Oxidase_I")</f>
        <v>Cyt_c_Oxidase_I</v>
      </c>
      <c r="AQ76" s="2" t="str">
        <f>HYPERLINK("http://www.ncbi.nlm.nih.gov/Structure/cdd/cddsrv.cgi?uid=cd01663&amp;version=v4.0","1E-102")</f>
        <v>1E-102</v>
      </c>
      <c r="AR76" t="s">
        <v>1443</v>
      </c>
      <c r="AS76" s="3" t="str">
        <f>HYPERLINK("http://exon.niaid.nih.gov/transcriptome/O_fasciatus/Sup_tab1/links/PFAM\of-new-contig_66-PFAM.txt","COX1")</f>
        <v>COX1</v>
      </c>
      <c r="AT76" s="2" t="str">
        <f>HYPERLINK("http://pfam.wustl.edu/cgi-bin/getdesc?acc=PF00115","6E-072")</f>
        <v>6E-072</v>
      </c>
      <c r="AU76" s="3" t="str">
        <f>HYPERLINK("http://exon.niaid.nih.gov/transcriptome/O_fasciatus/Sup_tab1/links/SMART\of-new-contig_66-SMART.txt","FGF")</f>
        <v>FGF</v>
      </c>
      <c r="AV76" s="2" t="str">
        <f>HYPERLINK("http://smart.embl-heidelberg.de/smart/do_annotation.pl?DOMAIN=FGF&amp;BLAST=DUMMY","0.013")</f>
        <v>0.013</v>
      </c>
      <c r="AW76" s="3" t="s">
        <v>547</v>
      </c>
      <c r="AX76" s="2" t="s">
        <v>547</v>
      </c>
      <c r="AY76" s="3" t="str">
        <f>HYPERLINK("http://exon.niaid.nih.gov/transcriptome/O_fasciatus/Sup_tab1/links/MIT-PLA\of-new-contig_66-MIT-PLA.txt","Anopheles quadrimaculatus A strain Orlando mitochondrion, complete genome")</f>
        <v>Anopheles quadrimaculatus A strain Orlando mitochondrion, complete genome</v>
      </c>
      <c r="AZ76" s="2" t="str">
        <f>HYPERLINK("http://www.ncbi.nlm.nih.gov/sutils/blink.cgi?pid=342501","5E-080")</f>
        <v>5E-080</v>
      </c>
    </row>
    <row r="77" spans="1:52" ht="11.25">
      <c r="A77" t="str">
        <f>HYPERLINK("http://exon.niaid.nih.gov/transcriptome/O_fasciatus/Sup_tab1/links/of-new\of-new-contig_100.txt","of-new-contig_100")</f>
        <v>of-new-contig_100</v>
      </c>
      <c r="B77" t="str">
        <f>HYPERLINK("http://exon.niaid.nih.gov/transcriptome/O_fasciatus/Sup_tab1/links/of-new\of-new-5-64-64-asb-100.txt","Contig-100")</f>
        <v>Contig-100</v>
      </c>
      <c r="C77" t="str">
        <f>HYPERLINK("http://exon.niaid.nih.gov/transcriptome/O_fasciatus/Sup_tab1/links/of-new\of-new-5-64-64-100-CLU.txt","Contig100")</f>
        <v>Contig100</v>
      </c>
      <c r="D77">
        <v>2</v>
      </c>
      <c r="E77">
        <v>445</v>
      </c>
      <c r="F77" t="str">
        <f>HYPERLINK("http://exon.niaid.nih.gov/transcriptome/O_fasciatus/Sup_tab1/links/of-new\of-new-5-64-64-100-qual.txt","71.8")</f>
        <v>71.8</v>
      </c>
      <c r="G77" t="s">
        <v>541</v>
      </c>
      <c r="H77">
        <v>77.5</v>
      </c>
      <c r="I77">
        <v>426</v>
      </c>
      <c r="J77">
        <v>100</v>
      </c>
      <c r="K77" t="s">
        <v>1179</v>
      </c>
      <c r="L77">
        <v>426</v>
      </c>
      <c r="M77" s="3" t="str">
        <f>HYPERLINK("http://exon.niaid.nih.gov/transcriptome/O_fasciatus/Sup_tab1/links/NR\of-new-contig_100-NR.txt","NADH dehydrogenase subunit 1 [Triatoma dimidiata]")</f>
        <v>NADH dehydrogenase subunit 1 [Triatoma dimidiata]</v>
      </c>
      <c r="N77" s="2" t="str">
        <f>HYPERLINK("http://www.ncbi.nlm.nih.gov/sutils/blink.cgi?pid=11182473","2E-047")</f>
        <v>2E-047</v>
      </c>
      <c r="O77" t="s">
        <v>814</v>
      </c>
      <c r="P77">
        <v>138</v>
      </c>
      <c r="Q77">
        <v>307</v>
      </c>
      <c r="R77">
        <v>66</v>
      </c>
      <c r="S77">
        <v>45</v>
      </c>
      <c r="T77">
        <v>170</v>
      </c>
      <c r="U77">
        <v>2</v>
      </c>
      <c r="V77">
        <v>1</v>
      </c>
      <c r="W77" t="s">
        <v>1412</v>
      </c>
      <c r="X77" t="s">
        <v>815</v>
      </c>
      <c r="Y77" t="s">
        <v>816</v>
      </c>
      <c r="Z77" s="4" t="s">
        <v>1068</v>
      </c>
      <c r="AA77" t="s">
        <v>1039</v>
      </c>
      <c r="AB77" s="3" t="s">
        <v>817</v>
      </c>
      <c r="AC77" s="2">
        <f>HYPERLINK("http://exon.niaid.nih.gov/transcriptome/O_fasciatus/Sup_tab1/links/GO\of-new-contig_100-GO.txt",4E-35)</f>
        <v>0</v>
      </c>
      <c r="AD77" s="4" t="s">
        <v>818</v>
      </c>
      <c r="AE77" t="s">
        <v>819</v>
      </c>
      <c r="AF77">
        <v>1E-11</v>
      </c>
      <c r="AG77" s="4" t="s">
        <v>1428</v>
      </c>
      <c r="AH77" t="s">
        <v>1429</v>
      </c>
      <c r="AI77">
        <v>1E-11</v>
      </c>
      <c r="AJ77" s="4" t="s">
        <v>1139</v>
      </c>
      <c r="AK77" t="s">
        <v>1140</v>
      </c>
      <c r="AL77">
        <v>1E-11</v>
      </c>
      <c r="AM77" s="3" t="str">
        <f>HYPERLINK("http://exon.niaid.nih.gov/transcriptome/O_fasciatus/Sup_tab1/links/KOG\of-new-contig_100-KOG.txt","NADH dehydrogenase subunit 1")</f>
        <v>NADH dehydrogenase subunit 1</v>
      </c>
      <c r="AN77" s="2" t="str">
        <f>HYPERLINK("http://www.ncbi.nlm.nih.gov/COG/new/shokog.cgi?KOG4770","2E-041")</f>
        <v>2E-041</v>
      </c>
      <c r="AO77" t="s">
        <v>1430</v>
      </c>
      <c r="AP77" s="3" t="str">
        <f>HYPERLINK("http://exon.niaid.nih.gov/transcriptome/O_fasciatus/Sup_tab1/links/CDD\of-new-contig_100-CDD.txt","NADHdh")</f>
        <v>NADHdh</v>
      </c>
      <c r="AQ77" s="2" t="str">
        <f>HYPERLINK("http://www.ncbi.nlm.nih.gov/Structure/cdd/cddsrv.cgi?uid=pfam00146&amp;version=v4.0","1E-042")</f>
        <v>1E-042</v>
      </c>
      <c r="AR77" t="s">
        <v>820</v>
      </c>
      <c r="AS77" s="3" t="str">
        <f>HYPERLINK("http://exon.niaid.nih.gov/transcriptome/O_fasciatus/Sup_tab1/links/PFAM\of-new-contig_100-PFAM.txt","NADHdh")</f>
        <v>NADHdh</v>
      </c>
      <c r="AT77" s="2" t="str">
        <f>HYPERLINK("http://pfam.wustl.edu/cgi-bin/getdesc?acc=PF00146","7E-043")</f>
        <v>7E-043</v>
      </c>
      <c r="AU77" s="3" t="str">
        <f>HYPERLINK("http://exon.niaid.nih.gov/transcriptome/O_fasciatus/Sup_tab1/links/SMART\of-new-contig_100-SMART.txt","PSN")</f>
        <v>PSN</v>
      </c>
      <c r="AV77" s="2" t="str">
        <f>HYPERLINK("http://smart.embl-heidelberg.de/smart/do_annotation.pl?DOMAIN=PSN&amp;BLAST=DUMMY","0.33")</f>
        <v>0.33</v>
      </c>
      <c r="AW77" s="3" t="s">
        <v>547</v>
      </c>
      <c r="AX77" s="2" t="s">
        <v>547</v>
      </c>
      <c r="AY77" s="3" t="str">
        <f>HYPERLINK("http://exon.niaid.nih.gov/transcriptome/O_fasciatus/Sup_tab1/links/MIT-PLA\of-new-contig_100-MIT-PLA.txt","Triatoma dimidiata mitochondrial DNA, complete genome")</f>
        <v>Triatoma dimidiata mitochondrial DNA, complete genome</v>
      </c>
      <c r="AZ77" s="2" t="str">
        <f>HYPERLINK("http://www.ncbi.nlm.nih.gov/sutils/blink.cgi?pid=11139100","5E-020")</f>
        <v>5E-020</v>
      </c>
    </row>
    <row r="78" spans="1:52" ht="11.25">
      <c r="A78" t="str">
        <f>HYPERLINK("http://exon.niaid.nih.gov/transcriptome/O_fasciatus/Sup_tab1/links/of-new\of-new-contig_143.txt","of-new-contig_143")</f>
        <v>of-new-contig_143</v>
      </c>
      <c r="B78" t="str">
        <f>HYPERLINK("http://exon.niaid.nih.gov/transcriptome/O_fasciatus/Sup_tab1/links/of-new\of-new-5-64-64-asb-143.txt","Contig-143")</f>
        <v>Contig-143</v>
      </c>
      <c r="C78" t="str">
        <f>HYPERLINK("http://exon.niaid.nih.gov/transcriptome/O_fasciatus/Sup_tab1/links/of-new\of-new-5-64-64-143-CLU.txt","Contig143")</f>
        <v>Contig143</v>
      </c>
      <c r="D78">
        <v>2</v>
      </c>
      <c r="E78">
        <v>159</v>
      </c>
      <c r="F78" t="str">
        <f>HYPERLINK("http://exon.niaid.nih.gov/transcriptome/O_fasciatus/Sup_tab1/links/of-new\of-new-5-64-64-143-qual.txt","86.4")</f>
        <v>86.4</v>
      </c>
      <c r="G78" t="s">
        <v>541</v>
      </c>
      <c r="H78">
        <v>80.5</v>
      </c>
      <c r="I78">
        <v>140</v>
      </c>
      <c r="J78">
        <v>143</v>
      </c>
      <c r="K78" t="s">
        <v>1221</v>
      </c>
      <c r="L78">
        <v>140</v>
      </c>
      <c r="M78" s="3" t="str">
        <f>HYPERLINK("http://exon.niaid.nih.gov/transcriptome/O_fasciatus/Sup_tab1/links/NR\of-new-contig_143-NR.txt","NADH dehydrogenase subunit 3 [Locusta migratoria]")</f>
        <v>NADH dehydrogenase subunit 3 [Locusta migratoria]</v>
      </c>
      <c r="N78" s="2" t="str">
        <f>HYPERLINK("http://www.ncbi.nlm.nih.gov/sutils/blink.cgi?pid=5835249","3E-004")</f>
        <v>3E-004</v>
      </c>
      <c r="O78" t="s">
        <v>953</v>
      </c>
      <c r="P78">
        <v>36</v>
      </c>
      <c r="Q78">
        <v>115</v>
      </c>
      <c r="R78">
        <v>52</v>
      </c>
      <c r="S78">
        <v>31</v>
      </c>
      <c r="T78">
        <v>70</v>
      </c>
      <c r="U78">
        <v>1</v>
      </c>
      <c r="V78">
        <v>1</v>
      </c>
      <c r="W78" t="s">
        <v>1412</v>
      </c>
      <c r="X78" t="s">
        <v>954</v>
      </c>
      <c r="Y78" t="s">
        <v>955</v>
      </c>
      <c r="Z78" s="4" t="s">
        <v>1083</v>
      </c>
      <c r="AA78" t="s">
        <v>1039</v>
      </c>
      <c r="AB78" s="3" t="s">
        <v>956</v>
      </c>
      <c r="AC78" s="2">
        <f>HYPERLINK("http://exon.niaid.nih.gov/transcriptome/O_fasciatus/Sup_tab1/links/GO\of-new-contig_143-GO.txt",0.00008)</f>
        <v>0</v>
      </c>
      <c r="AD78" s="4" t="s">
        <v>818</v>
      </c>
      <c r="AE78" t="s">
        <v>819</v>
      </c>
      <c r="AF78">
        <v>8E-05</v>
      </c>
      <c r="AG78" s="4" t="s">
        <v>1657</v>
      </c>
      <c r="AH78" t="s">
        <v>1658</v>
      </c>
      <c r="AI78">
        <v>8E-05</v>
      </c>
      <c r="AJ78" s="4" t="s">
        <v>547</v>
      </c>
      <c r="AK78" t="s">
        <v>547</v>
      </c>
      <c r="AL78" t="s">
        <v>547</v>
      </c>
      <c r="AM78" s="3" t="str">
        <f>HYPERLINK("http://exon.niaid.nih.gov/transcriptome/O_fasciatus/Sup_tab1/links/KOG\of-new-contig_143-KOG.txt","NADH dehydrogenase subunit 3 and related proteins")</f>
        <v>NADH dehydrogenase subunit 3 and related proteins</v>
      </c>
      <c r="AN78" s="2" t="str">
        <f>HYPERLINK("http://www.ncbi.nlm.nih.gov/COG/new/shokog.cgi?KOG4662","0.001")</f>
        <v>0.001</v>
      </c>
      <c r="AO78" t="s">
        <v>1430</v>
      </c>
      <c r="AP78" s="3" t="str">
        <f>HYPERLINK("http://exon.niaid.nih.gov/transcriptome/O_fasciatus/Sup_tab1/links/CDD\of-new-contig_143-CDD.txt","Oxidored_q4")</f>
        <v>Oxidored_q4</v>
      </c>
      <c r="AQ78" s="2" t="str">
        <f>HYPERLINK("http://www.ncbi.nlm.nih.gov/Structure/cdd/cddsrv.cgi?uid=pfam00507&amp;version=v4.0","0.012")</f>
        <v>0.012</v>
      </c>
      <c r="AR78" t="s">
        <v>957</v>
      </c>
      <c r="AS78" s="3" t="str">
        <f>HYPERLINK("http://exon.niaid.nih.gov/transcriptome/O_fasciatus/Sup_tab1/links/PFAM\of-new-contig_143-PFAM.txt","Oxidored_q4")</f>
        <v>Oxidored_q4</v>
      </c>
      <c r="AT78" s="2" t="str">
        <f>HYPERLINK("http://pfam.wustl.edu/cgi-bin/getdesc?acc=PF00507","0.006")</f>
        <v>0.006</v>
      </c>
      <c r="AU78" s="3" t="str">
        <f>HYPERLINK("http://exon.niaid.nih.gov/transcriptome/O_fasciatus/Sup_tab1/links/SMART\of-new-contig_143-SMART.txt","TOP4c")</f>
        <v>TOP4c</v>
      </c>
      <c r="AV78" s="2" t="str">
        <f>HYPERLINK("http://smart.embl-heidelberg.de/smart/do_annotation.pl?DOMAIN=TOP4c&amp;BLAST=DUMMY","0.64")</f>
        <v>0.64</v>
      </c>
      <c r="AW78" s="3" t="s">
        <v>547</v>
      </c>
      <c r="AX78" s="2" t="s">
        <v>547</v>
      </c>
      <c r="AY78" s="3" t="s">
        <v>547</v>
      </c>
      <c r="AZ78" s="2" t="s">
        <v>547</v>
      </c>
    </row>
    <row r="79" spans="1:52" ht="11.25">
      <c r="A79" t="str">
        <f>HYPERLINK("http://exon.niaid.nih.gov/transcriptome/O_fasciatus/Sup_tab1/links/of-new\of-new-contig_187.txt","of-new-contig_187")</f>
        <v>of-new-contig_187</v>
      </c>
      <c r="B79" t="str">
        <f>HYPERLINK("http://exon.niaid.nih.gov/transcriptome/O_fasciatus/Sup_tab1/links/of-new\of-new-5-64-64-asb-187.txt","Contig-187")</f>
        <v>Contig-187</v>
      </c>
      <c r="C79" t="str">
        <f>HYPERLINK("http://exon.niaid.nih.gov/transcriptome/O_fasciatus/Sup_tab1/links/of-new\of-new-5-64-64-187-CLU.txt","Contig187")</f>
        <v>Contig187</v>
      </c>
      <c r="D79">
        <v>1</v>
      </c>
      <c r="E79">
        <v>1181</v>
      </c>
      <c r="F79" t="str">
        <f>HYPERLINK("http://exon.niaid.nih.gov/transcriptome/O_fasciatus/Sup_tab1/links/of-new\of-new-5-64-64-187-qual.txt","33.")</f>
        <v>33.</v>
      </c>
      <c r="G79" t="s">
        <v>541</v>
      </c>
      <c r="H79">
        <v>71.8</v>
      </c>
      <c r="I79" t="s">
        <v>547</v>
      </c>
      <c r="J79">
        <v>187</v>
      </c>
      <c r="K79" t="s">
        <v>1265</v>
      </c>
      <c r="L79" t="s">
        <v>547</v>
      </c>
      <c r="M79" s="3" t="str">
        <f>HYPERLINK("http://exon.niaid.nih.gov/transcriptome/O_fasciatus/Sup_tab1/links/NR\of-new-contig_187-NR.txt","NADH dehydrogenase subunit 4 [Pedinomonas minor]")</f>
        <v>NADH dehydrogenase subunit 4 [Pedinomonas minor]</v>
      </c>
      <c r="N79" s="2" t="str">
        <f>HYPERLINK("http://www.ncbi.nlm.nih.gov/sutils/blink.cgi?pid=11465928","0.012")</f>
        <v>0.012</v>
      </c>
      <c r="O79" t="s">
        <v>317</v>
      </c>
      <c r="P79">
        <v>121</v>
      </c>
      <c r="Q79">
        <v>478</v>
      </c>
      <c r="R79">
        <v>31</v>
      </c>
      <c r="S79">
        <v>25</v>
      </c>
      <c r="T79">
        <v>10</v>
      </c>
      <c r="U79">
        <v>286</v>
      </c>
      <c r="V79">
        <v>1</v>
      </c>
      <c r="W79" t="s">
        <v>1412</v>
      </c>
      <c r="X79" t="s">
        <v>318</v>
      </c>
      <c r="Y79" t="s">
        <v>319</v>
      </c>
      <c r="Z79" s="4" t="s">
        <v>1099</v>
      </c>
      <c r="AA79" t="s">
        <v>1039</v>
      </c>
      <c r="AB79" s="3" t="s">
        <v>547</v>
      </c>
      <c r="AC79" s="2" t="s">
        <v>547</v>
      </c>
      <c r="AD79" s="4" t="s">
        <v>547</v>
      </c>
      <c r="AE79" t="s">
        <v>547</v>
      </c>
      <c r="AF79" t="s">
        <v>547</v>
      </c>
      <c r="AG79" s="4" t="s">
        <v>547</v>
      </c>
      <c r="AH79" t="s">
        <v>547</v>
      </c>
      <c r="AI79" t="s">
        <v>547</v>
      </c>
      <c r="AJ79" s="4" t="s">
        <v>547</v>
      </c>
      <c r="AK79" t="s">
        <v>547</v>
      </c>
      <c r="AL79" t="s">
        <v>547</v>
      </c>
      <c r="AM79" s="3" t="str">
        <f>HYPERLINK("http://exon.niaid.nih.gov/transcriptome/O_fasciatus/Sup_tab1/links/KOG\of-new-contig_187-KOG.txt","Predicted patched transmembrane receptor")</f>
        <v>Predicted patched transmembrane receptor</v>
      </c>
      <c r="AN79" s="2" t="str">
        <f>HYPERLINK("http://www.ncbi.nlm.nih.gov/COG/new/shokog.cgi?KOG3664","0.79")</f>
        <v>0.79</v>
      </c>
      <c r="AO79" t="s">
        <v>1521</v>
      </c>
      <c r="AP79" s="3" t="str">
        <f>HYPERLINK("http://exon.niaid.nih.gov/transcriptome/O_fasciatus/Sup_tab1/links/CDD\of-new-contig_187-CDD.txt","TatC")</f>
        <v>TatC</v>
      </c>
      <c r="AQ79" s="2" t="str">
        <f>HYPERLINK("http://www.ncbi.nlm.nih.gov/Structure/cdd/cddsrv.cgi?uid=pfam00902&amp;version=v4.0","0.030")</f>
        <v>0.030</v>
      </c>
      <c r="AR79" t="s">
        <v>320</v>
      </c>
      <c r="AS79" s="3" t="str">
        <f>HYPERLINK("http://exon.niaid.nih.gov/transcriptome/O_fasciatus/Sup_tab1/links/PFAM\of-new-contig_187-PFAM.txt","TatC")</f>
        <v>TatC</v>
      </c>
      <c r="AT79" s="2" t="str">
        <f>HYPERLINK("http://pfam.wustl.edu/cgi-bin/getdesc?acc=PF00902","0.014")</f>
        <v>0.014</v>
      </c>
      <c r="AU79" s="3" t="str">
        <f>HYPERLINK("http://exon.niaid.nih.gov/transcriptome/O_fasciatus/Sup_tab1/links/SMART\of-new-contig_187-SMART.txt","RIO")</f>
        <v>RIO</v>
      </c>
      <c r="AV79" s="2" t="str">
        <f>HYPERLINK("http://smart.embl-heidelberg.de/smart/do_annotation.pl?DOMAIN=RIO&amp;BLAST=DUMMY","0.59")</f>
        <v>0.59</v>
      </c>
      <c r="AW79" s="3" t="s">
        <v>547</v>
      </c>
      <c r="AX79" s="2" t="s">
        <v>547</v>
      </c>
      <c r="AY79" s="3" t="s">
        <v>547</v>
      </c>
      <c r="AZ79" s="2" t="s">
        <v>547</v>
      </c>
    </row>
    <row r="80" spans="1:52" ht="11.25">
      <c r="A80" t="str">
        <f>HYPERLINK("http://exon.niaid.nih.gov/transcriptome/O_fasciatus/Sup_tab1/links/of-new\of-new-contig_237.txt","of-new-contig_237")</f>
        <v>of-new-contig_237</v>
      </c>
      <c r="B80" t="str">
        <f>HYPERLINK("http://exon.niaid.nih.gov/transcriptome/O_fasciatus/Sup_tab1/links/of-new\of-new-5-64-64-asb-237.txt","Contig-237")</f>
        <v>Contig-237</v>
      </c>
      <c r="C80" t="str">
        <f>HYPERLINK("http://exon.niaid.nih.gov/transcriptome/O_fasciatus/Sup_tab1/links/of-new\of-new-5-64-64-237-CLU.txt","Contig237")</f>
        <v>Contig237</v>
      </c>
      <c r="D80">
        <v>1</v>
      </c>
      <c r="E80">
        <v>201</v>
      </c>
      <c r="F80" t="str">
        <f>HYPERLINK("http://exon.niaid.nih.gov/transcriptome/O_fasciatus/Sup_tab1/links/of-new\of-new-5-64-64-237-qual.txt","60.2")</f>
        <v>60.2</v>
      </c>
      <c r="G80" t="s">
        <v>541</v>
      </c>
      <c r="H80">
        <v>82.6</v>
      </c>
      <c r="I80">
        <v>182</v>
      </c>
      <c r="J80">
        <v>237</v>
      </c>
      <c r="K80" t="s">
        <v>1315</v>
      </c>
      <c r="L80">
        <v>182</v>
      </c>
      <c r="M80" s="3" t="str">
        <f>HYPERLINK("http://exon.niaid.nih.gov/transcriptome/O_fasciatus/Sup_tab1/links/NR\of-new-contig_237-NR.txt","NADH dehydrogenase subunit 6 [Gryllotalpa orientalis]")</f>
        <v>NADH dehydrogenase subunit 6 [Gryllotalpa orientalis]</v>
      </c>
      <c r="N80" s="2" t="str">
        <f>HYPERLINK("http://www.ncbi.nlm.nih.gov/sutils/blink.cgi?pid=58045513","1E-006")</f>
        <v>1E-006</v>
      </c>
      <c r="O80" t="s">
        <v>264</v>
      </c>
      <c r="P80">
        <v>43</v>
      </c>
      <c r="Q80">
        <v>170</v>
      </c>
      <c r="R80">
        <v>55</v>
      </c>
      <c r="S80">
        <v>25</v>
      </c>
      <c r="T80">
        <v>125</v>
      </c>
      <c r="U80">
        <v>50</v>
      </c>
      <c r="V80">
        <v>1</v>
      </c>
      <c r="W80" t="s">
        <v>1412</v>
      </c>
      <c r="X80" t="s">
        <v>265</v>
      </c>
      <c r="Y80" t="s">
        <v>266</v>
      </c>
      <c r="Z80" s="4" t="s">
        <v>1110</v>
      </c>
      <c r="AA80" t="s">
        <v>1039</v>
      </c>
      <c r="AB80" s="3" t="s">
        <v>267</v>
      </c>
      <c r="AC80" s="2">
        <f>HYPERLINK("http://exon.niaid.nih.gov/transcriptome/O_fasciatus/Sup_tab1/links/GO\of-new-contig_237-GO.txt",0.00002)</f>
        <v>0</v>
      </c>
      <c r="AD80" s="4" t="s">
        <v>818</v>
      </c>
      <c r="AE80" t="s">
        <v>819</v>
      </c>
      <c r="AF80">
        <v>2E-05</v>
      </c>
      <c r="AG80" s="4" t="s">
        <v>1657</v>
      </c>
      <c r="AH80" t="s">
        <v>1658</v>
      </c>
      <c r="AI80">
        <v>2E-05</v>
      </c>
      <c r="AJ80" s="4" t="s">
        <v>547</v>
      </c>
      <c r="AK80" t="s">
        <v>547</v>
      </c>
      <c r="AL80" t="s">
        <v>547</v>
      </c>
      <c r="AM80" s="3" t="str">
        <f>HYPERLINK("http://exon.niaid.nih.gov/transcriptome/O_fasciatus/Sup_tab1/links/KOG\of-new-contig_237-KOG.txt","Alanine aminotransferase")</f>
        <v>Alanine aminotransferase</v>
      </c>
      <c r="AN80" s="2" t="str">
        <f>HYPERLINK("http://www.ncbi.nlm.nih.gov/COG/new/shokog.cgi?KOG0258","0.45")</f>
        <v>0.45</v>
      </c>
      <c r="AO80" t="s">
        <v>1688</v>
      </c>
      <c r="AP80" s="3" t="str">
        <f>HYPERLINK("http://exon.niaid.nih.gov/transcriptome/O_fasciatus/Sup_tab1/links/CDD\of-new-contig_237-CDD.txt","PulO")</f>
        <v>PulO</v>
      </c>
      <c r="AQ80" s="2" t="str">
        <f>HYPERLINK("http://www.ncbi.nlm.nih.gov/Structure/cdd/cddsrv.cgi?uid=COG1989&amp;version=v4.0","0.36")</f>
        <v>0.36</v>
      </c>
      <c r="AR80" t="s">
        <v>268</v>
      </c>
      <c r="AS80" s="3" t="str">
        <f>HYPERLINK("http://exon.niaid.nih.gov/transcriptome/O_fasciatus/Sup_tab1/links/PFAM\of-new-contig_237-PFAM.txt","DUF1368")</f>
        <v>DUF1368</v>
      </c>
      <c r="AT80" s="2" t="str">
        <f>HYPERLINK("http://pfam.wustl.edu/cgi-bin/getdesc?acc=PF07112","0.43")</f>
        <v>0.43</v>
      </c>
      <c r="AU80" s="3" t="s">
        <v>547</v>
      </c>
      <c r="AV80" s="2" t="s">
        <v>547</v>
      </c>
      <c r="AW80" s="3" t="s">
        <v>547</v>
      </c>
      <c r="AX80" s="2" t="s">
        <v>547</v>
      </c>
      <c r="AY80" s="3" t="s">
        <v>547</v>
      </c>
      <c r="AZ80" s="2" t="s">
        <v>547</v>
      </c>
    </row>
    <row r="81" spans="1:52" ht="11.25">
      <c r="A81" t="str">
        <f>HYPERLINK("http://exon.niaid.nih.gov/transcriptome/O_fasciatus/Sup_tab1/links/of-new\of-new-contig_188.txt","of-new-contig_188")</f>
        <v>of-new-contig_188</v>
      </c>
      <c r="B81" t="str">
        <f>HYPERLINK("http://exon.niaid.nih.gov/transcriptome/O_fasciatus/Sup_tab1/links/of-new\of-new-5-64-64-asb-188.txt","Contig-188")</f>
        <v>Contig-188</v>
      </c>
      <c r="C81" t="str">
        <f>HYPERLINK("http://exon.niaid.nih.gov/transcriptome/O_fasciatus/Sup_tab1/links/of-new\of-new-5-64-64-188-CLU.txt","Contig188")</f>
        <v>Contig188</v>
      </c>
      <c r="D81">
        <v>1</v>
      </c>
      <c r="E81">
        <v>513</v>
      </c>
      <c r="F81" t="str">
        <f>HYPERLINK("http://exon.niaid.nih.gov/transcriptome/O_fasciatus/Sup_tab1/links/of-new\of-new-5-64-64-188-qual.txt","59.8")</f>
        <v>59.8</v>
      </c>
      <c r="G81" t="s">
        <v>541</v>
      </c>
      <c r="H81">
        <v>66.7</v>
      </c>
      <c r="I81">
        <v>494</v>
      </c>
      <c r="J81">
        <v>188</v>
      </c>
      <c r="K81" t="s">
        <v>1266</v>
      </c>
      <c r="L81">
        <v>494</v>
      </c>
      <c r="M81" s="3" t="str">
        <f>HYPERLINK("http://exon.niaid.nih.gov/transcriptome/O_fasciatus/Sup_tab1/links/NR\of-new-contig_188-NR.txt","PREDICTED: similar to CG10320-PA")</f>
        <v>PREDICTED: similar to CG10320-PA</v>
      </c>
      <c r="N81" s="2" t="str">
        <f>HYPERLINK("http://www.ncbi.nlm.nih.gov/sutils/blink.cgi?pid=91087125","2E-026")</f>
        <v>2E-026</v>
      </c>
      <c r="O81" t="s">
        <v>321</v>
      </c>
      <c r="P81">
        <v>102</v>
      </c>
      <c r="Q81">
        <v>104</v>
      </c>
      <c r="R81">
        <v>58</v>
      </c>
      <c r="S81">
        <v>98</v>
      </c>
      <c r="T81">
        <v>1</v>
      </c>
      <c r="U81">
        <v>97</v>
      </c>
      <c r="V81">
        <v>1</v>
      </c>
      <c r="W81" t="s">
        <v>1412</v>
      </c>
      <c r="X81" t="s">
        <v>676</v>
      </c>
      <c r="Y81" t="s">
        <v>322</v>
      </c>
      <c r="Z81" s="4" t="s">
        <v>1100</v>
      </c>
      <c r="AA81" t="s">
        <v>1039</v>
      </c>
      <c r="AB81" s="3" t="s">
        <v>323</v>
      </c>
      <c r="AC81" s="2">
        <f>HYPERLINK("http://exon.niaid.nih.gov/transcriptome/O_fasciatus/Sup_tab1/links/GO\of-new-contig_188-GO.txt",1E-22)</f>
        <v>0</v>
      </c>
      <c r="AD81" s="4" t="s">
        <v>324</v>
      </c>
      <c r="AE81" t="s">
        <v>325</v>
      </c>
      <c r="AF81" s="1">
        <v>1E-22</v>
      </c>
      <c r="AG81" s="4" t="s">
        <v>326</v>
      </c>
      <c r="AH81" t="s">
        <v>327</v>
      </c>
      <c r="AI81" s="1">
        <v>1E-22</v>
      </c>
      <c r="AJ81" s="4" t="s">
        <v>328</v>
      </c>
      <c r="AK81" t="s">
        <v>329</v>
      </c>
      <c r="AL81" s="1">
        <v>1E-22</v>
      </c>
      <c r="AM81" s="3" t="str">
        <f>HYPERLINK("http://exon.niaid.nih.gov/transcriptome/O_fasciatus/Sup_tab1/links/KOG\of-new-contig_188-KOG.txt","NADH:ubiquinone oxidoreductase, NDUFB3/B12 subunit")</f>
        <v>NADH:ubiquinone oxidoreductase, NDUFB3/B12 subunit</v>
      </c>
      <c r="AN81" s="2" t="str">
        <f>HYPERLINK("http://www.ncbi.nlm.nih.gov/COG/new/shokog.cgi?KOG4631","1E-028")</f>
        <v>1E-028</v>
      </c>
      <c r="AO81" t="s">
        <v>1430</v>
      </c>
      <c r="AP81" s="3" t="str">
        <f>HYPERLINK("http://exon.niaid.nih.gov/transcriptome/O_fasciatus/Sup_tab1/links/CDD\of-new-contig_188-CDD.txt","NolL")</f>
        <v>NolL</v>
      </c>
      <c r="AQ81" s="2" t="str">
        <f>HYPERLINK("http://www.ncbi.nlm.nih.gov/Structure/cdd/cddsrv.cgi?uid=COG3594&amp;version=v4.0","0.90")</f>
        <v>0.90</v>
      </c>
      <c r="AR81" t="s">
        <v>330</v>
      </c>
      <c r="AS81" s="3" t="str">
        <f>HYPERLINK("http://exon.niaid.nih.gov/transcriptome/O_fasciatus/Sup_tab1/links/PFAM\of-new-contig_188-PFAM.txt","C1q")</f>
        <v>C1q</v>
      </c>
      <c r="AT81" s="2" t="str">
        <f>HYPERLINK("http://pfam.wustl.edu/cgi-bin/getdesc?acc=PF00386","0.61")</f>
        <v>0.61</v>
      </c>
      <c r="AU81" s="3" t="str">
        <f>HYPERLINK("http://exon.niaid.nih.gov/transcriptome/O_fasciatus/Sup_tab1/links/SMART\of-new-contig_188-SMART.txt","C1Q")</f>
        <v>C1Q</v>
      </c>
      <c r="AV81" s="2" t="str">
        <f>HYPERLINK("http://smart.embl-heidelberg.de/smart/do_annotation.pl?DOMAIN=C1Q&amp;BLAST=DUMMY","0.058")</f>
        <v>0.058</v>
      </c>
      <c r="AW81" s="3" t="s">
        <v>547</v>
      </c>
      <c r="AX81" s="2" t="s">
        <v>547</v>
      </c>
      <c r="AY81" s="3" t="s">
        <v>547</v>
      </c>
      <c r="AZ81" s="2" t="s">
        <v>547</v>
      </c>
    </row>
    <row r="82" spans="1:52" ht="11.25">
      <c r="A82" t="str">
        <f>HYPERLINK("http://exon.niaid.nih.gov/transcriptome/O_fasciatus/Sup_tab1/links/of-new\of-new-contig_184.txt","of-new-contig_184")</f>
        <v>of-new-contig_184</v>
      </c>
      <c r="B82" t="str">
        <f>HYPERLINK("http://exon.niaid.nih.gov/transcriptome/O_fasciatus/Sup_tab1/links/of-new\of-new-5-64-64-asb-184.txt","Contig-184")</f>
        <v>Contig-184</v>
      </c>
      <c r="C82" t="str">
        <f>HYPERLINK("http://exon.niaid.nih.gov/transcriptome/O_fasciatus/Sup_tab1/links/of-new\of-new-5-64-64-184-CLU.txt","Contig184")</f>
        <v>Contig184</v>
      </c>
      <c r="D82">
        <v>1</v>
      </c>
      <c r="E82">
        <v>455</v>
      </c>
      <c r="F82" t="str">
        <f>HYPERLINK("http://exon.niaid.nih.gov/transcriptome/O_fasciatus/Sup_tab1/links/of-new\of-new-5-64-64-184-qual.txt","47.3")</f>
        <v>47.3</v>
      </c>
      <c r="G82" t="s">
        <v>541</v>
      </c>
      <c r="H82">
        <v>83.5</v>
      </c>
      <c r="I82">
        <v>436</v>
      </c>
      <c r="J82">
        <v>184</v>
      </c>
      <c r="K82" t="s">
        <v>1262</v>
      </c>
      <c r="L82">
        <v>436</v>
      </c>
      <c r="M82" s="3" t="str">
        <f>HYPERLINK("http://exon.niaid.nih.gov/transcriptome/O_fasciatus/Sup_tab1/links/NR\of-new-contig_184-NR.txt","hypothetical protein PC401056.00.0 [Plasmodium chabaudi chabaudi]")</f>
        <v>hypothetical protein PC401056.00.0 [Plasmodium chabaudi chabaudi]</v>
      </c>
      <c r="N82" s="2" t="str">
        <f>HYPERLINK("http://www.ncbi.nlm.nih.gov/sutils/blink.cgi?pid=70937366","2E-004")</f>
        <v>2E-004</v>
      </c>
      <c r="O82" t="s">
        <v>308</v>
      </c>
      <c r="P82">
        <v>106</v>
      </c>
      <c r="Q82">
        <v>143</v>
      </c>
      <c r="R82">
        <v>33</v>
      </c>
      <c r="S82">
        <v>74</v>
      </c>
      <c r="T82">
        <v>36</v>
      </c>
      <c r="U82">
        <v>52</v>
      </c>
      <c r="V82">
        <v>1</v>
      </c>
      <c r="W82" t="s">
        <v>1412</v>
      </c>
      <c r="X82" t="s">
        <v>1600</v>
      </c>
      <c r="Y82" t="s">
        <v>309</v>
      </c>
      <c r="Z82" s="4" t="s">
        <v>1098</v>
      </c>
      <c r="AA82" t="s">
        <v>1039</v>
      </c>
      <c r="AB82" s="3" t="s">
        <v>547</v>
      </c>
      <c r="AC82" s="2" t="s">
        <v>547</v>
      </c>
      <c r="AD82" s="4" t="s">
        <v>547</v>
      </c>
      <c r="AE82" t="s">
        <v>547</v>
      </c>
      <c r="AF82" t="s">
        <v>547</v>
      </c>
      <c r="AG82" s="4" t="s">
        <v>547</v>
      </c>
      <c r="AH82" t="s">
        <v>547</v>
      </c>
      <c r="AI82" t="s">
        <v>547</v>
      </c>
      <c r="AJ82" s="4" t="s">
        <v>547</v>
      </c>
      <c r="AK82" t="s">
        <v>547</v>
      </c>
      <c r="AL82" t="s">
        <v>547</v>
      </c>
      <c r="AM82" s="3" t="str">
        <f>HYPERLINK("http://exon.niaid.nih.gov/transcriptome/O_fasciatus/Sup_tab1/links/KOG\of-new-contig_184-KOG.txt","Presenilin")</f>
        <v>Presenilin</v>
      </c>
      <c r="AN82" s="2" t="str">
        <f>HYPERLINK("http://www.ncbi.nlm.nih.gov/COG/new/shokog.cgi?KOG2736","0.093")</f>
        <v>0.093</v>
      </c>
      <c r="AO82" t="s">
        <v>1521</v>
      </c>
      <c r="AP82" s="3" t="str">
        <f>HYPERLINK("http://exon.niaid.nih.gov/transcriptome/O_fasciatus/Sup_tab1/links/CDD\of-new-contig_184-CDD.txt","TatC")</f>
        <v>TatC</v>
      </c>
      <c r="AQ82" s="2" t="str">
        <f>HYPERLINK("http://www.ncbi.nlm.nih.gov/Structure/cdd/cddsrv.cgi?uid=pfam00902&amp;version=v4.0","0.006")</f>
        <v>0.006</v>
      </c>
      <c r="AR82" t="s">
        <v>310</v>
      </c>
      <c r="AS82" s="3" t="str">
        <f>HYPERLINK("http://exon.niaid.nih.gov/transcriptome/O_fasciatus/Sup_tab1/links/PFAM\of-new-contig_184-PFAM.txt","TatC")</f>
        <v>TatC</v>
      </c>
      <c r="AT82" s="2" t="str">
        <f>HYPERLINK("http://pfam.wustl.edu/cgi-bin/getdesc?acc=PF00902","0.003")</f>
        <v>0.003</v>
      </c>
      <c r="AU82" s="3" t="str">
        <f>HYPERLINK("http://exon.niaid.nih.gov/transcriptome/O_fasciatus/Sup_tab1/links/SMART\of-new-contig_184-SMART.txt","PSN")</f>
        <v>PSN</v>
      </c>
      <c r="AV82" s="2" t="str">
        <f>HYPERLINK("http://smart.embl-heidelberg.de/smart/do_annotation.pl?DOMAIN=PSN&amp;BLAST=DUMMY","0.022")</f>
        <v>0.022</v>
      </c>
      <c r="AW82" s="3" t="s">
        <v>547</v>
      </c>
      <c r="AX82" s="2" t="s">
        <v>547</v>
      </c>
      <c r="AY82" s="3" t="s">
        <v>547</v>
      </c>
      <c r="AZ82" s="2" t="s">
        <v>547</v>
      </c>
    </row>
    <row r="83" spans="1:52" ht="11.25">
      <c r="A83" t="str">
        <f>HYPERLINK("http://exon.niaid.nih.gov/transcriptome/O_fasciatus/Sup_tab1/links/of-new\of-new-contig_147.txt","of-new-contig_147")</f>
        <v>of-new-contig_147</v>
      </c>
      <c r="B83" t="str">
        <f>HYPERLINK("http://exon.niaid.nih.gov/transcriptome/O_fasciatus/Sup_tab1/links/of-new\of-new-5-64-64-asb-147.txt","Contig-147")</f>
        <v>Contig-147</v>
      </c>
      <c r="C83" t="str">
        <f>HYPERLINK("http://exon.niaid.nih.gov/transcriptome/O_fasciatus/Sup_tab1/links/of-new\of-new-5-64-64-147-CLU.txt","Contig147")</f>
        <v>Contig147</v>
      </c>
      <c r="D83">
        <v>1</v>
      </c>
      <c r="E83">
        <v>498</v>
      </c>
      <c r="F83" t="str">
        <f>HYPERLINK("http://exon.niaid.nih.gov/transcriptome/O_fasciatus/Sup_tab1/links/of-new\of-new-5-64-64-147-qual.txt","36.2")</f>
        <v>36.2</v>
      </c>
      <c r="G83" t="s">
        <v>541</v>
      </c>
      <c r="H83">
        <v>83.9</v>
      </c>
      <c r="I83">
        <v>479</v>
      </c>
      <c r="J83">
        <v>147</v>
      </c>
      <c r="K83" t="s">
        <v>1225</v>
      </c>
      <c r="L83">
        <v>479</v>
      </c>
      <c r="M83" s="3" t="str">
        <f>HYPERLINK("http://exon.niaid.nih.gov/transcriptome/O_fasciatus/Sup_tab1/links/NR\of-new-contig_147-NR.txt","NADH dehydrogenase subunit 5")</f>
        <v>NADH dehydrogenase subunit 5</v>
      </c>
      <c r="N83" s="2" t="str">
        <f>HYPERLINK("http://www.ncbi.nlm.nih.gov/sutils/blink.cgi?pid=7211169","8E-009")</f>
        <v>8E-009</v>
      </c>
      <c r="O83" t="s">
        <v>964</v>
      </c>
      <c r="P83">
        <v>102</v>
      </c>
      <c r="Q83">
        <v>214</v>
      </c>
      <c r="R83">
        <v>37</v>
      </c>
      <c r="S83">
        <v>48</v>
      </c>
      <c r="T83">
        <v>109</v>
      </c>
      <c r="U83">
        <v>5</v>
      </c>
      <c r="V83">
        <v>1</v>
      </c>
      <c r="W83" t="s">
        <v>1412</v>
      </c>
      <c r="X83" t="s">
        <v>965</v>
      </c>
      <c r="Y83" t="s">
        <v>966</v>
      </c>
      <c r="Z83" s="4" t="s">
        <v>1084</v>
      </c>
      <c r="AA83" t="s">
        <v>1039</v>
      </c>
      <c r="AB83" s="3" t="s">
        <v>967</v>
      </c>
      <c r="AC83" s="2">
        <f>HYPERLINK("http://exon.niaid.nih.gov/transcriptome/O_fasciatus/Sup_tab1/links/GO\of-new-contig_147-GO.txt",0.000009)</f>
        <v>0</v>
      </c>
      <c r="AD83" s="4" t="s">
        <v>968</v>
      </c>
      <c r="AE83" t="s">
        <v>969</v>
      </c>
      <c r="AF83">
        <v>9E-06</v>
      </c>
      <c r="AG83" s="4" t="s">
        <v>970</v>
      </c>
      <c r="AH83" t="s">
        <v>971</v>
      </c>
      <c r="AI83">
        <v>9E-06</v>
      </c>
      <c r="AJ83" s="4" t="s">
        <v>972</v>
      </c>
      <c r="AK83" t="s">
        <v>973</v>
      </c>
      <c r="AL83">
        <v>9E-06</v>
      </c>
      <c r="AM83" s="3" t="str">
        <f>HYPERLINK("http://exon.niaid.nih.gov/transcriptome/O_fasciatus/Sup_tab1/links/KOG\of-new-contig_147-KOG.txt","Lipid exporter ABCA1 and related proteins, ABC superfamily")</f>
        <v>Lipid exporter ABCA1 and related proteins, ABC superfamily</v>
      </c>
      <c r="AN83" s="2" t="str">
        <f>HYPERLINK("http://www.ncbi.nlm.nih.gov/COG/new/shokog.cgi?KOG0059","4E-004")</f>
        <v>4E-004</v>
      </c>
      <c r="AO83" t="s">
        <v>974</v>
      </c>
      <c r="AP83" s="3" t="str">
        <f>HYPERLINK("http://exon.niaid.nih.gov/transcriptome/O_fasciatus/Sup_tab1/links/CDD\of-new-contig_147-CDD.txt","NADH5_C")</f>
        <v>NADH5_C</v>
      </c>
      <c r="AQ83" s="2" t="str">
        <f>HYPERLINK("http://www.ncbi.nlm.nih.gov/Structure/cdd/cddsrv.cgi?uid=pfam06455&amp;version=v4.0","5E-012")</f>
        <v>5E-012</v>
      </c>
      <c r="AR83" t="s">
        <v>975</v>
      </c>
      <c r="AS83" s="3" t="str">
        <f>HYPERLINK("http://exon.niaid.nih.gov/transcriptome/O_fasciatus/Sup_tab1/links/PFAM\of-new-contig_147-PFAM.txt","NADH5_C")</f>
        <v>NADH5_C</v>
      </c>
      <c r="AT83" s="2" t="str">
        <f>HYPERLINK("http://pfam.wustl.edu/cgi-bin/getdesc?acc=PF06455","2E-012")</f>
        <v>2E-012</v>
      </c>
      <c r="AU83" s="3" t="str">
        <f>HYPERLINK("http://exon.niaid.nih.gov/transcriptome/O_fasciatus/Sup_tab1/links/SMART\of-new-contig_147-SMART.txt","PSN")</f>
        <v>PSN</v>
      </c>
      <c r="AV83" s="2" t="str">
        <f>HYPERLINK("http://smart.embl-heidelberg.de/smart/do_annotation.pl?DOMAIN=PSN&amp;BLAST=DUMMY","0.001")</f>
        <v>0.001</v>
      </c>
      <c r="AW83" s="3" t="s">
        <v>547</v>
      </c>
      <c r="AX83" s="2" t="s">
        <v>547</v>
      </c>
      <c r="AY83" s="3" t="s">
        <v>547</v>
      </c>
      <c r="AZ83" s="2" t="s">
        <v>547</v>
      </c>
    </row>
    <row r="84" spans="1:52" ht="11.25">
      <c r="A84" t="str">
        <f>HYPERLINK("http://exon.niaid.nih.gov/transcriptome/O_fasciatus/Sup_tab1/links/of-new\of-new-contig_179.txt","of-new-contig_179")</f>
        <v>of-new-contig_179</v>
      </c>
      <c r="B84" t="str">
        <f>HYPERLINK("http://exon.niaid.nih.gov/transcriptome/O_fasciatus/Sup_tab1/links/of-new\of-new-5-64-64-asb-179.txt","Contig-179")</f>
        <v>Contig-179</v>
      </c>
      <c r="C84" t="str">
        <f>HYPERLINK("http://exon.niaid.nih.gov/transcriptome/O_fasciatus/Sup_tab1/links/of-new\of-new-5-64-64-179-CLU.txt","Contig179")</f>
        <v>Contig179</v>
      </c>
      <c r="D84">
        <v>1</v>
      </c>
      <c r="E84">
        <v>409</v>
      </c>
      <c r="F84" t="str">
        <f>HYPERLINK("http://exon.niaid.nih.gov/transcriptome/O_fasciatus/Sup_tab1/links/of-new\of-new-5-64-64-179-qual.txt","58.3")</f>
        <v>58.3</v>
      </c>
      <c r="G84" t="s">
        <v>541</v>
      </c>
      <c r="H84">
        <v>66.5</v>
      </c>
      <c r="I84">
        <v>390</v>
      </c>
      <c r="J84">
        <v>179</v>
      </c>
      <c r="K84" t="s">
        <v>1257</v>
      </c>
      <c r="L84">
        <v>390</v>
      </c>
      <c r="M84" s="3" t="str">
        <f>HYPERLINK("http://exon.niaid.nih.gov/transcriptome/O_fasciatus/Sup_tab1/links/NR\of-new-contig_179-NR.txt","ENSANGP00000021142")</f>
        <v>ENSANGP00000021142</v>
      </c>
      <c r="N84" s="2" t="str">
        <f>HYPERLINK("http://www.ncbi.nlm.nih.gov/sutils/blink.cgi?pid=58382960","3E-019")</f>
        <v>3E-019</v>
      </c>
      <c r="O84" t="s">
        <v>196</v>
      </c>
      <c r="P84">
        <v>78</v>
      </c>
      <c r="Q84">
        <v>102</v>
      </c>
      <c r="R84">
        <v>56</v>
      </c>
      <c r="S84">
        <v>76</v>
      </c>
      <c r="T84">
        <v>26</v>
      </c>
      <c r="U84">
        <v>37</v>
      </c>
      <c r="V84">
        <v>1</v>
      </c>
      <c r="W84" t="s">
        <v>1412</v>
      </c>
      <c r="X84" t="s">
        <v>1628</v>
      </c>
      <c r="Y84" t="s">
        <v>197</v>
      </c>
      <c r="Z84" s="4" t="s">
        <v>1096</v>
      </c>
      <c r="AA84" t="s">
        <v>1039</v>
      </c>
      <c r="AB84" s="3" t="s">
        <v>198</v>
      </c>
      <c r="AC84" s="2">
        <f>HYPERLINK("http://exon.niaid.nih.gov/transcriptome/O_fasciatus/Sup_tab1/links/GO\of-new-contig_179-GO.txt",0.000000000000000002)</f>
        <v>0</v>
      </c>
      <c r="AD84" s="4" t="s">
        <v>1631</v>
      </c>
      <c r="AE84" t="s">
        <v>1632</v>
      </c>
      <c r="AF84" s="1">
        <v>2E-18</v>
      </c>
      <c r="AG84" s="4" t="s">
        <v>1638</v>
      </c>
      <c r="AH84" t="s">
        <v>1639</v>
      </c>
      <c r="AI84" s="1">
        <v>2E-18</v>
      </c>
      <c r="AJ84" s="4" t="s">
        <v>1537</v>
      </c>
      <c r="AK84" t="s">
        <v>1538</v>
      </c>
      <c r="AL84" s="1">
        <v>2E-18</v>
      </c>
      <c r="AM84" s="3" t="s">
        <v>547</v>
      </c>
      <c r="AN84" s="2" t="s">
        <v>547</v>
      </c>
      <c r="AO84" t="s">
        <v>547</v>
      </c>
      <c r="AP84" s="3" t="str">
        <f>HYPERLINK("http://exon.niaid.nih.gov/transcriptome/O_fasciatus/Sup_tab1/links/CDD\of-new-contig_179-CDD.txt","Thermopsin")</f>
        <v>Thermopsin</v>
      </c>
      <c r="AQ84" s="2" t="str">
        <f>HYPERLINK("http://www.ncbi.nlm.nih.gov/Structure/cdd/cddsrv.cgi?uid=pfam05317&amp;version=v4.0","0.17")</f>
        <v>0.17</v>
      </c>
      <c r="AR84" t="s">
        <v>199</v>
      </c>
      <c r="AS84" s="3" t="str">
        <f>HYPERLINK("http://exon.niaid.nih.gov/transcriptome/O_fasciatus/Sup_tab1/links/PFAM\of-new-contig_179-PFAM.txt","Thermopsin")</f>
        <v>Thermopsin</v>
      </c>
      <c r="AT84" s="2" t="str">
        <f>HYPERLINK("http://pfam.wustl.edu/cgi-bin/getdesc?acc=PF05317","0.091")</f>
        <v>0.091</v>
      </c>
      <c r="AU84" s="3" t="str">
        <f>HYPERLINK("http://exon.niaid.nih.gov/transcriptome/O_fasciatus/Sup_tab1/links/SMART\of-new-contig_179-SMART.txt","S_TKc")</f>
        <v>S_TKc</v>
      </c>
      <c r="AV84" s="2" t="str">
        <f>HYPERLINK("http://smart.embl-heidelberg.de/smart/do_annotation.pl?DOMAIN=S_TKc&amp;BLAST=DUMMY","0.082")</f>
        <v>0.082</v>
      </c>
      <c r="AW84" s="3" t="s">
        <v>547</v>
      </c>
      <c r="AX84" s="2" t="s">
        <v>547</v>
      </c>
      <c r="AY84" s="3" t="s">
        <v>547</v>
      </c>
      <c r="AZ84" s="2" t="s">
        <v>547</v>
      </c>
    </row>
    <row r="85" s="12" customFormat="1" ht="11.25">
      <c r="A85" s="11" t="s">
        <v>68</v>
      </c>
    </row>
    <row r="86" spans="1:52" ht="11.25">
      <c r="A86" t="str">
        <f>HYPERLINK("http://exon.niaid.nih.gov/transcriptome/O_fasciatus/Sup_tab1/links/of-new\of-new-contig_31.txt","of-new-contig_31")</f>
        <v>of-new-contig_31</v>
      </c>
      <c r="B86" t="str">
        <f>HYPERLINK("http://exon.niaid.nih.gov/transcriptome/O_fasciatus/Sup_tab1/links/of-new\of-new-5-64-64-asb-31.txt","Contig-31")</f>
        <v>Contig-31</v>
      </c>
      <c r="C86" t="str">
        <f>HYPERLINK("http://exon.niaid.nih.gov/transcriptome/O_fasciatus/Sup_tab1/links/of-new\of-new-5-64-64-31-CLU.txt","Contig31")</f>
        <v>Contig31</v>
      </c>
      <c r="D86">
        <v>10</v>
      </c>
      <c r="E86">
        <v>528</v>
      </c>
      <c r="F86" t="str">
        <f>HYPERLINK("http://exon.niaid.nih.gov/transcriptome/O_fasciatus/Sup_tab1/links/of-new\of-new-5-64-64-31-qual.txt","89.9")</f>
        <v>89.9</v>
      </c>
      <c r="G86" t="s">
        <v>541</v>
      </c>
      <c r="H86">
        <v>66.1</v>
      </c>
      <c r="I86">
        <v>484</v>
      </c>
      <c r="J86">
        <v>31</v>
      </c>
      <c r="K86" t="s">
        <v>572</v>
      </c>
      <c r="L86">
        <v>430</v>
      </c>
      <c r="M86" s="3" t="str">
        <f>HYPERLINK("http://exon.niaid.nih.gov/transcriptome/O_fasciatus/Sup_tab1/links/NR\of-new-contig_31-NR.txt","synaptopodin [Rattus norvegicus]")</f>
        <v>synaptopodin [Rattus norvegicus]</v>
      </c>
      <c r="N86" s="2" t="str">
        <f>HYPERLINK("http://www.ncbi.nlm.nih.gov/sutils/blink.cgi?pid=11067429","0.24")</f>
        <v>0.24</v>
      </c>
      <c r="O86" t="s">
        <v>874</v>
      </c>
      <c r="P86">
        <v>59</v>
      </c>
      <c r="Q86">
        <v>692</v>
      </c>
      <c r="R86">
        <v>42</v>
      </c>
      <c r="S86">
        <v>9</v>
      </c>
      <c r="T86">
        <v>567</v>
      </c>
      <c r="U86">
        <v>34</v>
      </c>
      <c r="V86">
        <v>1</v>
      </c>
      <c r="W86" t="s">
        <v>1412</v>
      </c>
      <c r="X86" t="s">
        <v>1413</v>
      </c>
      <c r="Y86" t="s">
        <v>875</v>
      </c>
      <c r="Z86" s="4" t="s">
        <v>1031</v>
      </c>
      <c r="AA86" t="s">
        <v>1032</v>
      </c>
      <c r="AB86" s="3" t="s">
        <v>876</v>
      </c>
      <c r="AC86" s="2">
        <f>HYPERLINK("http://exon.niaid.nih.gov/transcriptome/O_fasciatus/Sup_tab1/links/GO\of-new-contig_31-GO.txt",0.023)</f>
        <v>0</v>
      </c>
      <c r="AD86" s="4" t="s">
        <v>877</v>
      </c>
      <c r="AE86" t="s">
        <v>878</v>
      </c>
      <c r="AF86">
        <v>0.023</v>
      </c>
      <c r="AG86" s="4" t="s">
        <v>879</v>
      </c>
      <c r="AH86" t="s">
        <v>880</v>
      </c>
      <c r="AI86">
        <v>0.023</v>
      </c>
      <c r="AJ86" s="4" t="s">
        <v>547</v>
      </c>
      <c r="AK86" t="s">
        <v>547</v>
      </c>
      <c r="AL86" t="s">
        <v>547</v>
      </c>
      <c r="AM86" s="3" t="str">
        <f>HYPERLINK("http://exon.niaid.nih.gov/transcriptome/O_fasciatus/Sup_tab1/links/KOG\of-new-contig_31-KOG.txt","Uncharacterized conserved protein")</f>
        <v>Uncharacterized conserved protein</v>
      </c>
      <c r="AN86" s="2" t="str">
        <f>HYPERLINK("http://www.ncbi.nlm.nih.gov/COG/new/shokog.cgi?KOG4592","0.015")</f>
        <v>0.015</v>
      </c>
      <c r="AO86" t="s">
        <v>881</v>
      </c>
      <c r="AP86" s="3" t="s">
        <v>547</v>
      </c>
      <c r="AQ86" s="2" t="s">
        <v>547</v>
      </c>
      <c r="AR86" t="s">
        <v>547</v>
      </c>
      <c r="AS86" s="3" t="str">
        <f>HYPERLINK("http://exon.niaid.nih.gov/transcriptome/O_fasciatus/Sup_tab1/links/PFAM\of-new-contig_31-PFAM.txt","Paramyx_RNA_pol")</f>
        <v>Paramyx_RNA_pol</v>
      </c>
      <c r="AT86" s="2" t="str">
        <f>HYPERLINK("http://pfam.wustl.edu/cgi-bin/getdesc?acc=PF00946","0.83")</f>
        <v>0.83</v>
      </c>
      <c r="AU86" s="3" t="s">
        <v>547</v>
      </c>
      <c r="AV86" s="2" t="s">
        <v>547</v>
      </c>
      <c r="AW86" s="3" t="s">
        <v>547</v>
      </c>
      <c r="AX86" s="2" t="s">
        <v>547</v>
      </c>
      <c r="AY86" s="3" t="s">
        <v>547</v>
      </c>
      <c r="AZ86" s="2" t="s">
        <v>547</v>
      </c>
    </row>
    <row r="87" spans="1:52" ht="11.25">
      <c r="A87" t="str">
        <f>HYPERLINK("http://exon.niaid.nih.gov/transcriptome/O_fasciatus/Sup_tab1/links/of-new\of-new-contig_43.txt","of-new-contig_43")</f>
        <v>of-new-contig_43</v>
      </c>
      <c r="B87" t="str">
        <f>HYPERLINK("http://exon.niaid.nih.gov/transcriptome/O_fasciatus/Sup_tab1/links/of-new\of-new-5-64-64-asb-43.txt","Contig-43")</f>
        <v>Contig-43</v>
      </c>
      <c r="C87" t="str">
        <f>HYPERLINK("http://exon.niaid.nih.gov/transcriptome/O_fasciatus/Sup_tab1/links/of-new\of-new-5-64-64-43-CLU.txt","Contig43")</f>
        <v>Contig43</v>
      </c>
      <c r="D87">
        <v>5</v>
      </c>
      <c r="E87">
        <v>495</v>
      </c>
      <c r="F87" t="str">
        <f>HYPERLINK("http://exon.niaid.nih.gov/transcriptome/O_fasciatus/Sup_tab1/links/of-new\of-new-5-64-64-43-qual.txt","85.6")</f>
        <v>85.6</v>
      </c>
      <c r="G87" t="s">
        <v>541</v>
      </c>
      <c r="H87">
        <v>52.1</v>
      </c>
      <c r="I87">
        <v>476</v>
      </c>
      <c r="J87">
        <v>43</v>
      </c>
      <c r="K87" t="s">
        <v>584</v>
      </c>
      <c r="L87">
        <v>482</v>
      </c>
      <c r="M87" s="3" t="str">
        <f>HYPERLINK("http://exon.niaid.nih.gov/transcriptome/O_fasciatus/Sup_tab1/links/NR\of-new-contig_43-NR.txt","Late embryogenesis abundant protein [Deinococcus geothermalis DSM 11300]")</f>
        <v>Late embryogenesis abundant protein [Deinococcus geothermalis DSM 11300]</v>
      </c>
      <c r="N87" s="2" t="str">
        <f>HYPERLINK("http://www.ncbi.nlm.nih.gov/sutils/blink.cgi?pid=94985573","5E-008")</f>
        <v>5E-008</v>
      </c>
      <c r="O87" t="s">
        <v>1471</v>
      </c>
      <c r="P87">
        <v>91</v>
      </c>
      <c r="Q87">
        <v>236</v>
      </c>
      <c r="R87">
        <v>31</v>
      </c>
      <c r="S87">
        <v>39</v>
      </c>
      <c r="T87">
        <v>55</v>
      </c>
      <c r="U87">
        <v>28</v>
      </c>
      <c r="V87">
        <v>3</v>
      </c>
      <c r="W87" t="s">
        <v>1412</v>
      </c>
      <c r="X87" t="s">
        <v>1472</v>
      </c>
      <c r="Y87" t="s">
        <v>1473</v>
      </c>
      <c r="Z87" s="4" t="s">
        <v>1043</v>
      </c>
      <c r="AA87" t="s">
        <v>1032</v>
      </c>
      <c r="AB87" s="3" t="s">
        <v>1474</v>
      </c>
      <c r="AC87" s="2">
        <f>HYPERLINK("http://exon.niaid.nih.gov/transcriptome/O_fasciatus/Sup_tab1/links/GO\of-new-contig_43-GO.txt",0.000007)</f>
        <v>0</v>
      </c>
      <c r="AD87" s="4" t="s">
        <v>832</v>
      </c>
      <c r="AE87" t="s">
        <v>833</v>
      </c>
      <c r="AF87">
        <v>3E-05</v>
      </c>
      <c r="AG87" s="4" t="s">
        <v>1475</v>
      </c>
      <c r="AH87" t="s">
        <v>1476</v>
      </c>
      <c r="AI87">
        <v>3E-05</v>
      </c>
      <c r="AJ87" s="4" t="s">
        <v>1477</v>
      </c>
      <c r="AK87" t="s">
        <v>1478</v>
      </c>
      <c r="AL87">
        <v>3E-05</v>
      </c>
      <c r="AM87" s="3" t="str">
        <f>HYPERLINK("http://exon.niaid.nih.gov/transcriptome/O_fasciatus/Sup_tab1/links/KOG\of-new-contig_43-KOG.txt","Uncharacterized conserved protein")</f>
        <v>Uncharacterized conserved protein</v>
      </c>
      <c r="AN87" s="2" t="str">
        <f>HYPERLINK("http://www.ncbi.nlm.nih.gov/COG/new/shokog.cgi?KOG4744","2E-006")</f>
        <v>2E-006</v>
      </c>
      <c r="AO87" t="s">
        <v>881</v>
      </c>
      <c r="AP87" s="3" t="str">
        <f>HYPERLINK("http://exon.niaid.nih.gov/transcriptome/O_fasciatus/Sup_tab1/links/CDD\of-new-contig_43-CDD.txt","TolA")</f>
        <v>TolA</v>
      </c>
      <c r="AQ87" s="2" t="str">
        <f>HYPERLINK("http://www.ncbi.nlm.nih.gov/Structure/cdd/cddsrv.cgi?uid=COG3064&amp;version=v4.0","3E-010")</f>
        <v>3E-010</v>
      </c>
      <c r="AR87" t="s">
        <v>1479</v>
      </c>
      <c r="AS87" s="3" t="str">
        <f>HYPERLINK("http://exon.niaid.nih.gov/transcriptome/O_fasciatus/Sup_tab1/links/PFAM\of-new-contig_43-PFAM.txt","DUF745")</f>
        <v>DUF745</v>
      </c>
      <c r="AT87" s="2" t="str">
        <f>HYPERLINK("http://pfam.wustl.edu/cgi-bin/getdesc?acc=PF05335","6E-009")</f>
        <v>6E-009</v>
      </c>
      <c r="AU87" s="3" t="str">
        <f>HYPERLINK("http://exon.niaid.nih.gov/transcriptome/O_fasciatus/Sup_tab1/links/SMART\of-new-contig_43-SMART.txt","BBC")</f>
        <v>BBC</v>
      </c>
      <c r="AV87" s="2" t="str">
        <f>HYPERLINK("http://smart.embl-heidelberg.de/smart/do_annotation.pl?DOMAIN=BBC&amp;BLAST=DUMMY","1E-005")</f>
        <v>1E-005</v>
      </c>
      <c r="AW87" s="3" t="s">
        <v>547</v>
      </c>
      <c r="AX87" s="2" t="s">
        <v>547</v>
      </c>
      <c r="AY87" s="3" t="s">
        <v>547</v>
      </c>
      <c r="AZ87" s="2" t="s">
        <v>547</v>
      </c>
    </row>
    <row r="88" spans="1:52" ht="11.25">
      <c r="A88" t="str">
        <f>HYPERLINK("http://exon.niaid.nih.gov/transcriptome/O_fasciatus/Sup_tab1/links/of-new\of-new-contig_44.txt","of-new-contig_44")</f>
        <v>of-new-contig_44</v>
      </c>
      <c r="B88" t="str">
        <f>HYPERLINK("http://exon.niaid.nih.gov/transcriptome/O_fasciatus/Sup_tab1/links/of-new\of-new-5-64-64-asb-44.txt","Contig-44")</f>
        <v>Contig-44</v>
      </c>
      <c r="C88" t="str">
        <f>HYPERLINK("http://exon.niaid.nih.gov/transcriptome/O_fasciatus/Sup_tab1/links/of-new\of-new-5-64-64-44-CLU.txt","Contig44")</f>
        <v>Contig44</v>
      </c>
      <c r="D88">
        <v>4</v>
      </c>
      <c r="E88">
        <v>656</v>
      </c>
      <c r="F88" t="str">
        <f>HYPERLINK("http://exon.niaid.nih.gov/transcriptome/O_fasciatus/Sup_tab1/links/of-new\of-new-5-64-64-44-qual.txt","87.6")</f>
        <v>87.6</v>
      </c>
      <c r="G88" t="s">
        <v>541</v>
      </c>
      <c r="H88">
        <v>67.5</v>
      </c>
      <c r="I88">
        <v>637</v>
      </c>
      <c r="J88">
        <v>44</v>
      </c>
      <c r="K88" t="s">
        <v>585</v>
      </c>
      <c r="L88">
        <v>615</v>
      </c>
      <c r="M88" s="3" t="str">
        <f>HYPERLINK("http://exon.niaid.nih.gov/transcriptome/O_fasciatus/Sup_tab1/links/NR\of-new-contig_44-NR.txt","unnamed protein product [Candida glabrata]")</f>
        <v>unnamed protein product [Candida glabrata]</v>
      </c>
      <c r="N88" s="2" t="str">
        <f>HYPERLINK("http://www.ncbi.nlm.nih.gov/sutils/blink.cgi?pid=50288371","0.001")</f>
        <v>0.001</v>
      </c>
      <c r="O88" t="s">
        <v>1480</v>
      </c>
      <c r="P88">
        <v>200</v>
      </c>
      <c r="Q88">
        <v>530</v>
      </c>
      <c r="R88">
        <v>26</v>
      </c>
      <c r="S88">
        <v>38</v>
      </c>
      <c r="T88">
        <v>49</v>
      </c>
      <c r="U88">
        <v>39</v>
      </c>
      <c r="V88">
        <v>1</v>
      </c>
      <c r="W88" t="s">
        <v>1412</v>
      </c>
      <c r="X88" t="s">
        <v>1481</v>
      </c>
      <c r="Y88" t="s">
        <v>1482</v>
      </c>
      <c r="Z88" s="4" t="s">
        <v>1017</v>
      </c>
      <c r="AA88" t="s">
        <v>1032</v>
      </c>
      <c r="AB88" s="3" t="s">
        <v>1483</v>
      </c>
      <c r="AC88" s="2">
        <f>HYPERLINK("http://exon.niaid.nih.gov/transcriptome/O_fasciatus/Sup_tab1/links/GO\of-new-contig_44-GO.txt",0.001)</f>
        <v>0</v>
      </c>
      <c r="AD88" s="4" t="s">
        <v>1484</v>
      </c>
      <c r="AE88" t="s">
        <v>1485</v>
      </c>
      <c r="AF88">
        <v>0.001</v>
      </c>
      <c r="AG88" s="4" t="s">
        <v>1486</v>
      </c>
      <c r="AH88" t="s">
        <v>1487</v>
      </c>
      <c r="AI88">
        <v>0.001</v>
      </c>
      <c r="AJ88" s="4" t="s">
        <v>1488</v>
      </c>
      <c r="AK88" t="s">
        <v>1489</v>
      </c>
      <c r="AL88">
        <v>0.001</v>
      </c>
      <c r="AM88" s="3" t="str">
        <f>HYPERLINK("http://exon.niaid.nih.gov/transcriptome/O_fasciatus/Sup_tab1/links/KOG\of-new-contig_44-KOG.txt","Chitinase")</f>
        <v>Chitinase</v>
      </c>
      <c r="AN88" s="2" t="str">
        <f>HYPERLINK("http://www.ncbi.nlm.nih.gov/COG/new/shokog.cgi?KOG4701","0.019")</f>
        <v>0.019</v>
      </c>
      <c r="AO88" t="s">
        <v>1422</v>
      </c>
      <c r="AP88" s="3" t="str">
        <f>HYPERLINK("http://exon.niaid.nih.gov/transcriptome/O_fasciatus/Sup_tab1/links/CDD\of-new-contig_44-CDD.txt","DUF755")</f>
        <v>DUF755</v>
      </c>
      <c r="AQ88" s="2" t="str">
        <f>HYPERLINK("http://www.ncbi.nlm.nih.gov/Structure/cdd/cddsrv.cgi?uid=pfam05501&amp;version=v4.0","0.057")</f>
        <v>0.057</v>
      </c>
      <c r="AR88" t="s">
        <v>1490</v>
      </c>
      <c r="AS88" s="3" t="str">
        <f>HYPERLINK("http://exon.niaid.nih.gov/transcriptome/O_fasciatus/Sup_tab1/links/PFAM\of-new-contig_44-PFAM.txt","DUF755")</f>
        <v>DUF755</v>
      </c>
      <c r="AT88" s="2" t="str">
        <f>HYPERLINK("http://pfam.wustl.edu/cgi-bin/getdesc?acc=PF05501","0.029")</f>
        <v>0.029</v>
      </c>
      <c r="AU88" s="3" t="str">
        <f>HYPERLINK("http://exon.niaid.nih.gov/transcriptome/O_fasciatus/Sup_tab1/links/SMART\of-new-contig_44-SMART.txt","RA")</f>
        <v>RA</v>
      </c>
      <c r="AV88" s="2" t="str">
        <f>HYPERLINK("http://smart.embl-heidelberg.de/smart/do_annotation.pl?DOMAIN=RA&amp;BLAST=DUMMY","0.54")</f>
        <v>0.54</v>
      </c>
      <c r="AW88" s="3" t="s">
        <v>547</v>
      </c>
      <c r="AX88" s="2" t="s">
        <v>547</v>
      </c>
      <c r="AY88" s="3" t="s">
        <v>547</v>
      </c>
      <c r="AZ88" s="2" t="s">
        <v>547</v>
      </c>
    </row>
    <row r="89" spans="1:52" ht="11.25">
      <c r="A89" t="str">
        <f>HYPERLINK("http://exon.niaid.nih.gov/transcriptome/O_fasciatus/Sup_tab1/links/of-new\of-new-contig_80.txt","of-new-contig_80")</f>
        <v>of-new-contig_80</v>
      </c>
      <c r="B89" t="str">
        <f>HYPERLINK("http://exon.niaid.nih.gov/transcriptome/O_fasciatus/Sup_tab1/links/of-new\of-new-5-64-64-asb-80.txt","Contig-80")</f>
        <v>Contig-80</v>
      </c>
      <c r="C89" t="str">
        <f>HYPERLINK("http://exon.niaid.nih.gov/transcriptome/O_fasciatus/Sup_tab1/links/of-new\of-new-5-64-64-80-CLU.txt","Contig80")</f>
        <v>Contig80</v>
      </c>
      <c r="D89">
        <v>2</v>
      </c>
      <c r="E89">
        <v>517</v>
      </c>
      <c r="F89" t="str">
        <f>HYPERLINK("http://exon.niaid.nih.gov/transcriptome/O_fasciatus/Sup_tab1/links/of-new\of-new-5-64-64-80-qual.txt","79.3")</f>
        <v>79.3</v>
      </c>
      <c r="G89" t="s">
        <v>541</v>
      </c>
      <c r="H89">
        <v>71.6</v>
      </c>
      <c r="I89">
        <v>498</v>
      </c>
      <c r="J89">
        <v>80</v>
      </c>
      <c r="K89" t="s">
        <v>621</v>
      </c>
      <c r="L89">
        <v>502</v>
      </c>
      <c r="M89" s="3" t="str">
        <f>HYPERLINK("http://exon.niaid.nih.gov/transcriptome/O_fasciatus/Sup_tab1/links/NR\of-new-contig_80-NR.txt","PREDICTED: similar to CG11737-PA")</f>
        <v>PREDICTED: similar to CG11737-PA</v>
      </c>
      <c r="N89" s="2" t="str">
        <f>HYPERLINK("http://www.ncbi.nlm.nih.gov/sutils/blink.cgi?pid=91079126","1E-010")</f>
        <v>1E-010</v>
      </c>
      <c r="O89" t="s">
        <v>1570</v>
      </c>
      <c r="P89">
        <v>102</v>
      </c>
      <c r="Q89">
        <v>507</v>
      </c>
      <c r="R89">
        <v>39</v>
      </c>
      <c r="S89">
        <v>20</v>
      </c>
      <c r="T89">
        <v>92</v>
      </c>
      <c r="U89">
        <v>7</v>
      </c>
      <c r="V89">
        <v>1</v>
      </c>
      <c r="W89" t="s">
        <v>1412</v>
      </c>
      <c r="X89" t="s">
        <v>676</v>
      </c>
      <c r="Y89" t="s">
        <v>1571</v>
      </c>
      <c r="Z89" s="4" t="s">
        <v>1060</v>
      </c>
      <c r="AA89" t="s">
        <v>1032</v>
      </c>
      <c r="AB89" s="3" t="s">
        <v>547</v>
      </c>
      <c r="AC89" s="2" t="s">
        <v>547</v>
      </c>
      <c r="AD89" s="4" t="s">
        <v>547</v>
      </c>
      <c r="AE89" t="s">
        <v>547</v>
      </c>
      <c r="AF89" t="s">
        <v>547</v>
      </c>
      <c r="AG89" s="4" t="s">
        <v>547</v>
      </c>
      <c r="AH89" t="s">
        <v>547</v>
      </c>
      <c r="AI89" t="s">
        <v>547</v>
      </c>
      <c r="AJ89" s="4" t="s">
        <v>547</v>
      </c>
      <c r="AK89" t="s">
        <v>547</v>
      </c>
      <c r="AL89" t="s">
        <v>547</v>
      </c>
      <c r="AM89" s="3" t="str">
        <f>HYPERLINK("http://exon.niaid.nih.gov/transcriptome/O_fasciatus/Sup_tab1/links/KOG\of-new-contig_80-KOG.txt","Uncharacterized conserved protein")</f>
        <v>Uncharacterized conserved protein</v>
      </c>
      <c r="AN89" s="2" t="str">
        <f>HYPERLINK("http://www.ncbi.nlm.nih.gov/COG/new/shokog.cgi?KOG1398","4E-010")</f>
        <v>4E-010</v>
      </c>
      <c r="AO89" t="s">
        <v>881</v>
      </c>
      <c r="AP89" s="3" t="str">
        <f>HYPERLINK("http://exon.niaid.nih.gov/transcriptome/O_fasciatus/Sup_tab1/links/CDD\of-new-contig_80-CDD.txt","UbiA")</f>
        <v>UbiA</v>
      </c>
      <c r="AQ89" s="2" t="str">
        <f>HYPERLINK("http://www.ncbi.nlm.nih.gov/Structure/cdd/cddsrv.cgi?uid=COG0382&amp;version=v4.0","0.032")</f>
        <v>0.032</v>
      </c>
      <c r="AR89" t="s">
        <v>1572</v>
      </c>
      <c r="AS89" s="3" t="str">
        <f>HYPERLINK("http://exon.niaid.nih.gov/transcriptome/O_fasciatus/Sup_tab1/links/PFAM\of-new-contig_80-PFAM.txt","7tm_3")</f>
        <v>7tm_3</v>
      </c>
      <c r="AT89" s="2" t="str">
        <f>HYPERLINK("http://pfam.wustl.edu/cgi-bin/getdesc?acc=PF00003","0.045")</f>
        <v>0.045</v>
      </c>
      <c r="AU89" s="3" t="str">
        <f>HYPERLINK("http://exon.niaid.nih.gov/transcriptome/O_fasciatus/Sup_tab1/links/SMART\of-new-contig_80-SMART.txt","PSN")</f>
        <v>PSN</v>
      </c>
      <c r="AV89" s="2" t="str">
        <f>HYPERLINK("http://smart.embl-heidelberg.de/smart/do_annotation.pl?DOMAIN=PSN&amp;BLAST=DUMMY","0.12")</f>
        <v>0.12</v>
      </c>
      <c r="AW89" s="3" t="s">
        <v>547</v>
      </c>
      <c r="AX89" s="2" t="s">
        <v>547</v>
      </c>
      <c r="AY89" s="3" t="s">
        <v>547</v>
      </c>
      <c r="AZ89" s="2" t="s">
        <v>547</v>
      </c>
    </row>
    <row r="90" spans="1:52" ht="11.25">
      <c r="A90" t="str">
        <f>HYPERLINK("http://exon.niaid.nih.gov/transcriptome/O_fasciatus/Sup_tab1/links/of-new\of-new-contig_88.txt","of-new-contig_88")</f>
        <v>of-new-contig_88</v>
      </c>
      <c r="B90" t="str">
        <f>HYPERLINK("http://exon.niaid.nih.gov/transcriptome/O_fasciatus/Sup_tab1/links/of-new\of-new-5-64-64-asb-88.txt","Contig-88")</f>
        <v>Contig-88</v>
      </c>
      <c r="C90" t="str">
        <f>HYPERLINK("http://exon.niaid.nih.gov/transcriptome/O_fasciatus/Sup_tab1/links/of-new\of-new-5-64-64-88-CLU.txt","Contig88")</f>
        <v>Contig88</v>
      </c>
      <c r="D90">
        <v>2</v>
      </c>
      <c r="E90">
        <v>299</v>
      </c>
      <c r="F90" t="str">
        <f>HYPERLINK("http://exon.niaid.nih.gov/transcriptome/O_fasciatus/Sup_tab1/links/of-new\of-new-5-64-64-88-qual.txt","91.1")</f>
        <v>91.1</v>
      </c>
      <c r="G90" t="s">
        <v>541</v>
      </c>
      <c r="H90">
        <v>68.6</v>
      </c>
      <c r="I90">
        <v>280</v>
      </c>
      <c r="J90">
        <v>88</v>
      </c>
      <c r="K90" t="s">
        <v>629</v>
      </c>
      <c r="L90">
        <v>281</v>
      </c>
      <c r="M90" s="3" t="str">
        <f>HYPERLINK("http://exon.niaid.nih.gov/transcriptome/O_fasciatus/Sup_tab1/links/NR\of-new-contig_88-NR.txt","kelch domain containing 4 [Mus musculus]")</f>
        <v>kelch domain containing 4 [Mus musculus]</v>
      </c>
      <c r="N90" s="2" t="str">
        <f>HYPERLINK("http://www.ncbi.nlm.nih.gov/sutils/blink.cgi?pid=21704210","4E-010")</f>
        <v>4E-010</v>
      </c>
      <c r="O90" t="s">
        <v>1608</v>
      </c>
      <c r="P90">
        <v>54</v>
      </c>
      <c r="Q90">
        <v>584</v>
      </c>
      <c r="R90">
        <v>53</v>
      </c>
      <c r="S90">
        <v>9</v>
      </c>
      <c r="T90">
        <v>459</v>
      </c>
      <c r="U90">
        <v>13</v>
      </c>
      <c r="V90">
        <v>1</v>
      </c>
      <c r="W90" t="s">
        <v>1412</v>
      </c>
      <c r="X90" t="s">
        <v>663</v>
      </c>
      <c r="Y90" t="s">
        <v>1609</v>
      </c>
      <c r="Z90" s="4" t="s">
        <v>1062</v>
      </c>
      <c r="AA90" t="s">
        <v>1032</v>
      </c>
      <c r="AB90" s="3" t="s">
        <v>1610</v>
      </c>
      <c r="AC90" s="2">
        <f>HYPERLINK("http://exon.niaid.nih.gov/transcriptome/O_fasciatus/Sup_tab1/links/GO\of-new-contig_88-GO.txt",0.0000002)</f>
        <v>0</v>
      </c>
      <c r="AD90" s="4" t="s">
        <v>1631</v>
      </c>
      <c r="AE90" t="s">
        <v>1632</v>
      </c>
      <c r="AF90">
        <v>2E-07</v>
      </c>
      <c r="AG90" s="4" t="s">
        <v>1638</v>
      </c>
      <c r="AH90" t="s">
        <v>1639</v>
      </c>
      <c r="AI90">
        <v>2E-07</v>
      </c>
      <c r="AJ90" s="4" t="s">
        <v>1537</v>
      </c>
      <c r="AK90" t="s">
        <v>1538</v>
      </c>
      <c r="AL90">
        <v>2E-07</v>
      </c>
      <c r="AM90" s="3" t="str">
        <f>HYPERLINK("http://exon.niaid.nih.gov/transcriptome/O_fasciatus/Sup_tab1/links/KOG\of-new-contig_88-KOG.txt","Protein containing repeated kelch motifs")</f>
        <v>Protein containing repeated kelch motifs</v>
      </c>
      <c r="AN90" s="2" t="str">
        <f>HYPERLINK("http://www.ncbi.nlm.nih.gov/COG/new/shokog.cgi?KOG1230","5E-010")</f>
        <v>5E-010</v>
      </c>
      <c r="AO90" t="s">
        <v>1503</v>
      </c>
      <c r="AP90" s="3" t="str">
        <f>HYPERLINK("http://exon.niaid.nih.gov/transcriptome/O_fasciatus/Sup_tab1/links/CDD\of-new-contig_88-CDD.txt","DNA_pol_V")</f>
        <v>DNA_pol_V</v>
      </c>
      <c r="AQ90" s="2" t="str">
        <f>HYPERLINK("http://www.ncbi.nlm.nih.gov/Structure/cdd/cddsrv.cgi?uid=pfam04931&amp;version=v4.0","0.002")</f>
        <v>0.002</v>
      </c>
      <c r="AR90" t="s">
        <v>1611</v>
      </c>
      <c r="AS90" s="3" t="str">
        <f>HYPERLINK("http://exon.niaid.nih.gov/transcriptome/O_fasciatus/Sup_tab1/links/PFAM\of-new-contig_88-PFAM.txt","DNA_pol_V")</f>
        <v>DNA_pol_V</v>
      </c>
      <c r="AT90" s="2" t="str">
        <f>HYPERLINK("http://pfam.wustl.edu/cgi-bin/getdesc?acc=PF04931","0.001")</f>
        <v>0.001</v>
      </c>
      <c r="AU90" s="3" t="str">
        <f>HYPERLINK("http://exon.niaid.nih.gov/transcriptome/O_fasciatus/Sup_tab1/links/SMART\of-new-contig_88-SMART.txt","LITAF")</f>
        <v>LITAF</v>
      </c>
      <c r="AV90" s="2" t="str">
        <f>HYPERLINK("http://smart.embl-heidelberg.de/smart/do_annotation.pl?DOMAIN=LITAF&amp;BLAST=DUMMY","0.14")</f>
        <v>0.14</v>
      </c>
      <c r="AW90" s="3" t="s">
        <v>547</v>
      </c>
      <c r="AX90" s="2" t="s">
        <v>547</v>
      </c>
      <c r="AY90" s="3" t="s">
        <v>547</v>
      </c>
      <c r="AZ90" s="2" t="s">
        <v>547</v>
      </c>
    </row>
    <row r="91" spans="1:52" ht="11.25">
      <c r="A91" t="str">
        <f>HYPERLINK("http://exon.niaid.nih.gov/transcriptome/O_fasciatus/Sup_tab1/links/of-new\of-new-contig_94.txt","of-new-contig_94")</f>
        <v>of-new-contig_94</v>
      </c>
      <c r="B91" t="str">
        <f>HYPERLINK("http://exon.niaid.nih.gov/transcriptome/O_fasciatus/Sup_tab1/links/of-new\of-new-5-64-64-asb-94.txt","Contig-94")</f>
        <v>Contig-94</v>
      </c>
      <c r="C91" t="str">
        <f>HYPERLINK("http://exon.niaid.nih.gov/transcriptome/O_fasciatus/Sup_tab1/links/of-new\of-new-5-64-64-94-CLU.txt","Contig94")</f>
        <v>Contig94</v>
      </c>
      <c r="D91">
        <v>2</v>
      </c>
      <c r="E91">
        <v>407</v>
      </c>
      <c r="F91" t="str">
        <f>HYPERLINK("http://exon.niaid.nih.gov/transcriptome/O_fasciatus/Sup_tab1/links/of-new\of-new-5-64-64-94-qual.txt","90.5")</f>
        <v>90.5</v>
      </c>
      <c r="G91" t="s">
        <v>541</v>
      </c>
      <c r="H91">
        <v>65.8</v>
      </c>
      <c r="I91">
        <v>388</v>
      </c>
      <c r="J91">
        <v>94</v>
      </c>
      <c r="K91" t="s">
        <v>1173</v>
      </c>
      <c r="L91">
        <v>387</v>
      </c>
      <c r="M91" s="3" t="str">
        <f>HYPERLINK("http://exon.niaid.nih.gov/transcriptome/O_fasciatus/Sup_tab1/links/NR\of-new-contig_94-NR.txt","PREDICTED: similar to CG30492-PB, isoform B")</f>
        <v>PREDICTED: similar to CG30492-PB, isoform B</v>
      </c>
      <c r="N91" s="2" t="str">
        <f>HYPERLINK("http://www.ncbi.nlm.nih.gov/sutils/blink.cgi?pid=110756538","1E-008")</f>
        <v>1E-008</v>
      </c>
      <c r="O91" t="s">
        <v>792</v>
      </c>
      <c r="P91">
        <v>129</v>
      </c>
      <c r="Q91">
        <v>1888</v>
      </c>
      <c r="R91">
        <v>35</v>
      </c>
      <c r="S91">
        <v>7</v>
      </c>
      <c r="T91">
        <v>366</v>
      </c>
      <c r="U91">
        <v>29</v>
      </c>
      <c r="V91">
        <v>1</v>
      </c>
      <c r="W91" t="s">
        <v>1412</v>
      </c>
      <c r="X91" t="s">
        <v>520</v>
      </c>
      <c r="Y91" t="s">
        <v>793</v>
      </c>
      <c r="Z91" s="4" t="s">
        <v>1017</v>
      </c>
      <c r="AA91" t="s">
        <v>1032</v>
      </c>
      <c r="AB91" s="3" t="s">
        <v>794</v>
      </c>
      <c r="AC91" s="2">
        <f>HYPERLINK("http://exon.niaid.nih.gov/transcriptome/O_fasciatus/Sup_tab1/links/GO\of-new-contig_94-GO.txt",0.034)</f>
        <v>0</v>
      </c>
      <c r="AD91" s="4" t="s">
        <v>547</v>
      </c>
      <c r="AE91" t="s">
        <v>547</v>
      </c>
      <c r="AF91" t="s">
        <v>547</v>
      </c>
      <c r="AG91" s="4" t="s">
        <v>547</v>
      </c>
      <c r="AH91" t="s">
        <v>547</v>
      </c>
      <c r="AI91" t="s">
        <v>547</v>
      </c>
      <c r="AJ91" s="4" t="s">
        <v>795</v>
      </c>
      <c r="AK91" t="s">
        <v>796</v>
      </c>
      <c r="AL91">
        <v>0.034</v>
      </c>
      <c r="AM91" s="3" t="str">
        <f>HYPERLINK("http://exon.niaid.nih.gov/transcriptome/O_fasciatus/Sup_tab1/links/KOG\of-new-contig_94-KOG.txt","WD40 repeat protein")</f>
        <v>WD40 repeat protein</v>
      </c>
      <c r="AN91" s="2" t="str">
        <f>HYPERLINK("http://www.ncbi.nlm.nih.gov/COG/new/shokog.cgi?KOG1274","0.40")</f>
        <v>0.40</v>
      </c>
      <c r="AO91" t="s">
        <v>1503</v>
      </c>
      <c r="AP91" s="3" t="str">
        <f>HYPERLINK("http://exon.niaid.nih.gov/transcriptome/O_fasciatus/Sup_tab1/links/CDD\of-new-contig_94-CDD.txt","UPF0118")</f>
        <v>UPF0118</v>
      </c>
      <c r="AQ91" s="2" t="str">
        <f>HYPERLINK("http://www.ncbi.nlm.nih.gov/Structure/cdd/cddsrv.cgi?uid=pfam01594&amp;version=v4.0","0.25")</f>
        <v>0.25</v>
      </c>
      <c r="AR91" t="s">
        <v>797</v>
      </c>
      <c r="AS91" s="3" t="str">
        <f>HYPERLINK("http://exon.niaid.nih.gov/transcriptome/O_fasciatus/Sup_tab1/links/PFAM\of-new-contig_94-PFAM.txt","Baculo_E66")</f>
        <v>Baculo_E66</v>
      </c>
      <c r="AT91" s="2" t="str">
        <f>HYPERLINK("http://pfam.wustl.edu/cgi-bin/getdesc?acc=PF04850","0.12")</f>
        <v>0.12</v>
      </c>
      <c r="AU91" s="3" t="str">
        <f>HYPERLINK("http://exon.niaid.nih.gov/transcriptome/O_fasciatus/Sup_tab1/links/SMART\of-new-contig_94-SMART.txt","BAR")</f>
        <v>BAR</v>
      </c>
      <c r="AV91" s="2" t="str">
        <f>HYPERLINK("http://smart.embl-heidelberg.de/smart/do_annotation.pl?DOMAIN=BAR&amp;BLAST=DUMMY","0.33")</f>
        <v>0.33</v>
      </c>
      <c r="AW91" s="3" t="s">
        <v>547</v>
      </c>
      <c r="AX91" s="2" t="s">
        <v>547</v>
      </c>
      <c r="AY91" s="3" t="s">
        <v>547</v>
      </c>
      <c r="AZ91" s="2" t="s">
        <v>547</v>
      </c>
    </row>
    <row r="92" spans="1:52" ht="11.25">
      <c r="A92" t="str">
        <f>HYPERLINK("http://exon.niaid.nih.gov/transcriptome/O_fasciatus/Sup_tab1/links/of-new\of-new-contig_135.txt","of-new-contig_135")</f>
        <v>of-new-contig_135</v>
      </c>
      <c r="B92" t="str">
        <f>HYPERLINK("http://exon.niaid.nih.gov/transcriptome/O_fasciatus/Sup_tab1/links/of-new\of-new-5-64-64-asb-135.txt","Contig-135")</f>
        <v>Contig-135</v>
      </c>
      <c r="C92" t="str">
        <f>HYPERLINK("http://exon.niaid.nih.gov/transcriptome/O_fasciatus/Sup_tab1/links/of-new\of-new-5-64-64-135-CLU.txt","Contig135")</f>
        <v>Contig135</v>
      </c>
      <c r="D92">
        <v>2</v>
      </c>
      <c r="E92">
        <v>801</v>
      </c>
      <c r="F92" t="str">
        <f>HYPERLINK("http://exon.niaid.nih.gov/transcriptome/O_fasciatus/Sup_tab1/links/of-new\of-new-5-64-64-135-qual.txt","80.")</f>
        <v>80.</v>
      </c>
      <c r="G92" t="s">
        <v>541</v>
      </c>
      <c r="H92">
        <v>60.7</v>
      </c>
      <c r="I92" t="s">
        <v>547</v>
      </c>
      <c r="J92">
        <v>135</v>
      </c>
      <c r="K92" t="s">
        <v>1214</v>
      </c>
      <c r="L92" t="s">
        <v>547</v>
      </c>
      <c r="M92" s="3" t="str">
        <f>HYPERLINK("http://exon.niaid.nih.gov/transcriptome/O_fasciatus/Sup_tab1/links/NR\of-new-contig_135-NR.txt","PREDICTED: similar to CG1451-PA")</f>
        <v>PREDICTED: similar to CG1451-PA</v>
      </c>
      <c r="N92" s="2" t="str">
        <f>HYPERLINK("http://www.ncbi.nlm.nih.gov/sutils/blink.cgi?pid=91094539","2E-004")</f>
        <v>2E-004</v>
      </c>
      <c r="O92" t="s">
        <v>913</v>
      </c>
      <c r="P92">
        <v>120</v>
      </c>
      <c r="Q92">
        <v>1407</v>
      </c>
      <c r="R92">
        <v>30</v>
      </c>
      <c r="S92">
        <v>9</v>
      </c>
      <c r="T92">
        <v>1274</v>
      </c>
      <c r="U92">
        <v>1</v>
      </c>
      <c r="V92">
        <v>1</v>
      </c>
      <c r="W92" t="s">
        <v>1412</v>
      </c>
      <c r="X92" t="s">
        <v>676</v>
      </c>
      <c r="Y92" t="s">
        <v>914</v>
      </c>
      <c r="Z92" s="4" t="s">
        <v>1017</v>
      </c>
      <c r="AA92" t="s">
        <v>1032</v>
      </c>
      <c r="AB92" s="3" t="s">
        <v>915</v>
      </c>
      <c r="AC92" s="2">
        <f>HYPERLINK("http://exon.niaid.nih.gov/transcriptome/O_fasciatus/Sup_tab1/links/GO\of-new-contig_135-GO.txt",0.00008)</f>
        <v>0</v>
      </c>
      <c r="AD92" s="4" t="s">
        <v>916</v>
      </c>
      <c r="AE92" t="s">
        <v>917</v>
      </c>
      <c r="AF92">
        <v>8E-05</v>
      </c>
      <c r="AG92" s="4" t="s">
        <v>918</v>
      </c>
      <c r="AH92" t="s">
        <v>919</v>
      </c>
      <c r="AI92">
        <v>8E-05</v>
      </c>
      <c r="AJ92" s="4" t="s">
        <v>920</v>
      </c>
      <c r="AK92" t="s">
        <v>921</v>
      </c>
      <c r="AL92">
        <v>8E-05</v>
      </c>
      <c r="AM92" s="3" t="str">
        <f>HYPERLINK("http://exon.niaid.nih.gov/transcriptome/O_fasciatus/Sup_tab1/links/KOG\of-new-contig_135-KOG.txt","Dynein light intermediate chain")</f>
        <v>Dynein light intermediate chain</v>
      </c>
      <c r="AN92" s="2" t="str">
        <f>HYPERLINK("http://www.ncbi.nlm.nih.gov/COG/new/shokog.cgi?KOG3905","7E-004")</f>
        <v>7E-004</v>
      </c>
      <c r="AO92" t="s">
        <v>922</v>
      </c>
      <c r="AP92" s="3" t="str">
        <f>HYPERLINK("http://exon.niaid.nih.gov/transcriptome/O_fasciatus/Sup_tab1/links/CDD\of-new-contig_135-CDD.txt","eIF-3c_C")</f>
        <v>eIF-3c_C</v>
      </c>
      <c r="AQ92" s="2" t="str">
        <f>HYPERLINK("http://www.ncbi.nlm.nih.gov/Structure/cdd/cddsrv.cgi?uid=pfam05469&amp;version=v4.0","0.18")</f>
        <v>0.18</v>
      </c>
      <c r="AR92" t="s">
        <v>923</v>
      </c>
      <c r="AS92" s="3" t="str">
        <f>HYPERLINK("http://exon.niaid.nih.gov/transcriptome/O_fasciatus/Sup_tab1/links/PFAM\of-new-contig_135-PFAM.txt","eIF-3c_C")</f>
        <v>eIF-3c_C</v>
      </c>
      <c r="AT92" s="2" t="str">
        <f>HYPERLINK("http://pfam.wustl.edu/cgi-bin/getdesc?acc=PF05469","0.088")</f>
        <v>0.088</v>
      </c>
      <c r="AU92" s="3" t="str">
        <f>HYPERLINK("http://exon.niaid.nih.gov/transcriptome/O_fasciatus/Sup_tab1/links/SMART\of-new-contig_135-SMART.txt","TBOX")</f>
        <v>TBOX</v>
      </c>
      <c r="AV92" s="2" t="str">
        <f>HYPERLINK("http://smart.embl-heidelberg.de/smart/do_annotation.pl?DOMAIN=TBOX&amp;BLAST=DUMMY","0.28")</f>
        <v>0.28</v>
      </c>
      <c r="AW92" s="3" t="s">
        <v>547</v>
      </c>
      <c r="AX92" s="2" t="s">
        <v>547</v>
      </c>
      <c r="AY92" s="3" t="s">
        <v>547</v>
      </c>
      <c r="AZ92" s="2" t="s">
        <v>547</v>
      </c>
    </row>
    <row r="93" spans="1:52" ht="11.25">
      <c r="A93" t="str">
        <f>HYPERLINK("http://exon.niaid.nih.gov/transcriptome/O_fasciatus/Sup_tab1/links/of-new\of-new-contig_218.txt","of-new-contig_218")</f>
        <v>of-new-contig_218</v>
      </c>
      <c r="B93" t="str">
        <f>HYPERLINK("http://exon.niaid.nih.gov/transcriptome/O_fasciatus/Sup_tab1/links/of-new\of-new-5-64-64-asb-218.txt","Contig-218")</f>
        <v>Contig-218</v>
      </c>
      <c r="C93" t="str">
        <f>HYPERLINK("http://exon.niaid.nih.gov/transcriptome/O_fasciatus/Sup_tab1/links/of-new\of-new-5-64-64-218-CLU.txt","Contig218")</f>
        <v>Contig218</v>
      </c>
      <c r="D93">
        <v>1</v>
      </c>
      <c r="E93">
        <v>1031</v>
      </c>
      <c r="F93" t="str">
        <f>HYPERLINK("http://exon.niaid.nih.gov/transcriptome/O_fasciatus/Sup_tab1/links/of-new\of-new-5-64-64-218-qual.txt","32.8")</f>
        <v>32.8</v>
      </c>
      <c r="G93" t="s">
        <v>541</v>
      </c>
      <c r="H93">
        <v>71.6</v>
      </c>
      <c r="I93" t="s">
        <v>547</v>
      </c>
      <c r="J93">
        <v>218</v>
      </c>
      <c r="K93" t="s">
        <v>1296</v>
      </c>
      <c r="L93" t="s">
        <v>547</v>
      </c>
      <c r="M93" s="3" t="str">
        <f>HYPERLINK("http://exon.niaid.nih.gov/transcriptome/O_fasciatus/Sup_tab1/links/NR\of-new-contig_218-NR.txt","Helicase, C-terminal")</f>
        <v>Helicase, C-terminal</v>
      </c>
      <c r="N93" s="2" t="str">
        <f>HYPERLINK("http://www.ncbi.nlm.nih.gov/sutils/blink.cgi?pid=92869878","0.18")</f>
        <v>0.18</v>
      </c>
      <c r="O93" t="s">
        <v>777</v>
      </c>
      <c r="P93">
        <v>32</v>
      </c>
      <c r="Q93">
        <v>641</v>
      </c>
      <c r="R93">
        <v>62</v>
      </c>
      <c r="S93">
        <v>5</v>
      </c>
      <c r="T93">
        <v>610</v>
      </c>
      <c r="U93">
        <v>15</v>
      </c>
      <c r="V93">
        <v>1</v>
      </c>
      <c r="W93" t="s">
        <v>1412</v>
      </c>
      <c r="X93" t="s">
        <v>778</v>
      </c>
      <c r="Y93" t="s">
        <v>218</v>
      </c>
      <c r="Z93" s="4" t="s">
        <v>1106</v>
      </c>
      <c r="AA93" t="s">
        <v>1032</v>
      </c>
      <c r="AB93" s="3" t="s">
        <v>547</v>
      </c>
      <c r="AC93" s="2" t="s">
        <v>547</v>
      </c>
      <c r="AD93" s="4" t="s">
        <v>547</v>
      </c>
      <c r="AE93" t="s">
        <v>547</v>
      </c>
      <c r="AF93" t="s">
        <v>547</v>
      </c>
      <c r="AG93" s="4" t="s">
        <v>547</v>
      </c>
      <c r="AH93" t="s">
        <v>547</v>
      </c>
      <c r="AI93" t="s">
        <v>547</v>
      </c>
      <c r="AJ93" s="4" t="s">
        <v>547</v>
      </c>
      <c r="AK93" t="s">
        <v>547</v>
      </c>
      <c r="AL93" t="s">
        <v>547</v>
      </c>
      <c r="AM93" s="3" t="str">
        <f>HYPERLINK("http://exon.niaid.nih.gov/transcriptome/O_fasciatus/Sup_tab1/links/KOG\of-new-contig_218-KOG.txt","Uncharacterized conserved glycine-rich protein")</f>
        <v>Uncharacterized conserved glycine-rich protein</v>
      </c>
      <c r="AN93" s="2" t="str">
        <f>HYPERLINK("http://www.ncbi.nlm.nih.gov/COG/new/shokog.cgi?KOG3973","0.33")</f>
        <v>0.33</v>
      </c>
      <c r="AO93" t="s">
        <v>881</v>
      </c>
      <c r="AP93" s="3" t="str">
        <f>HYPERLINK("http://exon.niaid.nih.gov/transcriptome/O_fasciatus/Sup_tab1/links/CDD\of-new-contig_218-CDD.txt","DUF216")</f>
        <v>DUF216</v>
      </c>
      <c r="AQ93" s="2" t="str">
        <f>HYPERLINK("http://www.ncbi.nlm.nih.gov/Structure/cdd/cddsrv.cgi?uid=pfam02695&amp;version=v4.0","0.091")</f>
        <v>0.091</v>
      </c>
      <c r="AR93" t="s">
        <v>219</v>
      </c>
      <c r="AS93" s="3" t="str">
        <f>HYPERLINK("http://exon.niaid.nih.gov/transcriptome/O_fasciatus/Sup_tab1/links/PFAM\of-new-contig_218-PFAM.txt","DUF216")</f>
        <v>DUF216</v>
      </c>
      <c r="AT93" s="2" t="str">
        <f>HYPERLINK("http://pfam.wustl.edu/cgi-bin/getdesc?acc=PF02695","0.045")</f>
        <v>0.045</v>
      </c>
      <c r="AU93" s="3" t="str">
        <f>HYPERLINK("http://exon.niaid.nih.gov/transcriptome/O_fasciatus/Sup_tab1/links/SMART\of-new-contig_218-SMART.txt","PRP")</f>
        <v>PRP</v>
      </c>
      <c r="AV93" s="2" t="str">
        <f>HYPERLINK("http://smart.embl-heidelberg.de/smart/do_annotation.pl?DOMAIN=PRP&amp;BLAST=DUMMY","0.77")</f>
        <v>0.77</v>
      </c>
      <c r="AW93" s="3" t="s">
        <v>547</v>
      </c>
      <c r="AX93" s="2" t="s">
        <v>547</v>
      </c>
      <c r="AY93" s="3" t="s">
        <v>547</v>
      </c>
      <c r="AZ93" s="2" t="s">
        <v>547</v>
      </c>
    </row>
    <row r="94" spans="1:52" ht="11.25">
      <c r="A94" t="str">
        <f>HYPERLINK("http://exon.niaid.nih.gov/transcriptome/O_fasciatus/Sup_tab1/links/of-new\of-new-contig_177.txt","of-new-contig_177")</f>
        <v>of-new-contig_177</v>
      </c>
      <c r="B94" t="str">
        <f>HYPERLINK("http://exon.niaid.nih.gov/transcriptome/O_fasciatus/Sup_tab1/links/of-new\of-new-5-64-64-asb-177.txt","Contig-177")</f>
        <v>Contig-177</v>
      </c>
      <c r="C94" t="str">
        <f>HYPERLINK("http://exon.niaid.nih.gov/transcriptome/O_fasciatus/Sup_tab1/links/of-new\of-new-5-64-64-177-CLU.txt","Contig177")</f>
        <v>Contig177</v>
      </c>
      <c r="D94">
        <v>1</v>
      </c>
      <c r="E94">
        <v>990</v>
      </c>
      <c r="F94" t="str">
        <f>HYPERLINK("http://exon.niaid.nih.gov/transcriptome/O_fasciatus/Sup_tab1/links/of-new\of-new-5-64-64-177-qual.txt","43.8")</f>
        <v>43.8</v>
      </c>
      <c r="G94">
        <v>2.2</v>
      </c>
      <c r="H94">
        <v>64.1</v>
      </c>
      <c r="I94" t="s">
        <v>547</v>
      </c>
      <c r="J94">
        <v>177</v>
      </c>
      <c r="K94" t="s">
        <v>1255</v>
      </c>
      <c r="L94" t="s">
        <v>547</v>
      </c>
      <c r="M94" s="3" t="str">
        <f>HYPERLINK("http://exon.niaid.nih.gov/transcriptome/O_fasciatus/Sup_tab1/links/NR\of-new-contig_177-NR.txt","PREDICTED: similar to protein kinase N2")</f>
        <v>PREDICTED: similar to protein kinase N2</v>
      </c>
      <c r="N94" s="2" t="str">
        <f>HYPERLINK("http://www.ncbi.nlm.nih.gov/sutils/blink.cgi?pid=91079240","6E-005")</f>
        <v>6E-005</v>
      </c>
      <c r="O94" t="s">
        <v>187</v>
      </c>
      <c r="P94">
        <v>85</v>
      </c>
      <c r="Q94">
        <v>7359</v>
      </c>
      <c r="R94">
        <v>35</v>
      </c>
      <c r="S94">
        <v>1</v>
      </c>
      <c r="T94">
        <v>5231</v>
      </c>
      <c r="U94">
        <v>2</v>
      </c>
      <c r="V94">
        <v>1</v>
      </c>
      <c r="W94" t="s">
        <v>1412</v>
      </c>
      <c r="X94" t="s">
        <v>676</v>
      </c>
      <c r="Y94" t="s">
        <v>188</v>
      </c>
      <c r="Z94" s="4" t="s">
        <v>1017</v>
      </c>
      <c r="AA94" t="s">
        <v>1032</v>
      </c>
      <c r="AB94" s="3" t="s">
        <v>189</v>
      </c>
      <c r="AC94" s="2">
        <f>HYPERLINK("http://exon.niaid.nih.gov/transcriptome/O_fasciatus/Sup_tab1/links/GO\of-new-contig_177-GO.txt",0.013)</f>
        <v>0</v>
      </c>
      <c r="AD94" s="4" t="s">
        <v>190</v>
      </c>
      <c r="AE94" t="s">
        <v>191</v>
      </c>
      <c r="AF94">
        <v>0.013</v>
      </c>
      <c r="AG94" s="4" t="s">
        <v>1657</v>
      </c>
      <c r="AH94" t="s">
        <v>1658</v>
      </c>
      <c r="AI94">
        <v>0.013</v>
      </c>
      <c r="AJ94" s="4" t="s">
        <v>808</v>
      </c>
      <c r="AK94" t="s">
        <v>809</v>
      </c>
      <c r="AL94">
        <v>0.013</v>
      </c>
      <c r="AM94" s="3" t="str">
        <f>HYPERLINK("http://exon.niaid.nih.gov/transcriptome/O_fasciatus/Sup_tab1/links/KOG\of-new-contig_177-KOG.txt","AAA+-type ATPase containing the peptidase M41 domain")</f>
        <v>AAA+-type ATPase containing the peptidase M41 domain</v>
      </c>
      <c r="AN94" s="2" t="str">
        <f>HYPERLINK("http://www.ncbi.nlm.nih.gov/COG/new/shokog.cgi?KOG0731","0.073")</f>
        <v>0.073</v>
      </c>
      <c r="AO94" t="s">
        <v>653</v>
      </c>
      <c r="AP94" s="3" t="str">
        <f>HYPERLINK("http://exon.niaid.nih.gov/transcriptome/O_fasciatus/Sup_tab1/links/CDD\of-new-contig_177-CDD.txt","RplO")</f>
        <v>RplO</v>
      </c>
      <c r="AQ94" s="2" t="str">
        <f>HYPERLINK("http://www.ncbi.nlm.nih.gov/Structure/cdd/cddsrv.cgi?uid=COG0200&amp;version=v4.0","0.059")</f>
        <v>0.059</v>
      </c>
      <c r="AR94" t="s">
        <v>192</v>
      </c>
      <c r="AS94" s="3" t="str">
        <f>HYPERLINK("http://exon.niaid.nih.gov/transcriptome/O_fasciatus/Sup_tab1/links/PFAM\of-new-contig_177-PFAM.txt","Nop14")</f>
        <v>Nop14</v>
      </c>
      <c r="AT94" s="2" t="str">
        <f>HYPERLINK("http://pfam.wustl.edu/cgi-bin/getdesc?acc=PF04147","0.060")</f>
        <v>0.060</v>
      </c>
      <c r="AU94" s="3" t="s">
        <v>547</v>
      </c>
      <c r="AV94" s="2" t="s">
        <v>547</v>
      </c>
      <c r="AW94" s="3" t="s">
        <v>547</v>
      </c>
      <c r="AX94" s="2" t="s">
        <v>547</v>
      </c>
      <c r="AY94" s="3" t="s">
        <v>547</v>
      </c>
      <c r="AZ94" s="2" t="s">
        <v>547</v>
      </c>
    </row>
    <row r="95" spans="1:52" ht="11.25">
      <c r="A95" t="str">
        <f>HYPERLINK("http://exon.niaid.nih.gov/transcriptome/O_fasciatus/Sup_tab1/links/of-new\of-new-contig_167.txt","of-new-contig_167")</f>
        <v>of-new-contig_167</v>
      </c>
      <c r="B95" t="str">
        <f>HYPERLINK("http://exon.niaid.nih.gov/transcriptome/O_fasciatus/Sup_tab1/links/of-new\of-new-5-64-64-asb-167.txt","Contig-167")</f>
        <v>Contig-167</v>
      </c>
      <c r="C95" t="str">
        <f>HYPERLINK("http://exon.niaid.nih.gov/transcriptome/O_fasciatus/Sup_tab1/links/of-new\of-new-5-64-64-167-CLU.txt","Contig167")</f>
        <v>Contig167</v>
      </c>
      <c r="D95">
        <v>1</v>
      </c>
      <c r="E95">
        <v>545</v>
      </c>
      <c r="F95" t="str">
        <f>HYPERLINK("http://exon.niaid.nih.gov/transcriptome/O_fasciatus/Sup_tab1/links/of-new\of-new-5-64-64-167-qual.txt","39.5")</f>
        <v>39.5</v>
      </c>
      <c r="G95" t="s">
        <v>541</v>
      </c>
      <c r="H95">
        <v>48.8</v>
      </c>
      <c r="I95" t="s">
        <v>547</v>
      </c>
      <c r="J95">
        <v>167</v>
      </c>
      <c r="K95" t="s">
        <v>1245</v>
      </c>
      <c r="L95" t="s">
        <v>547</v>
      </c>
      <c r="M95" s="3" t="str">
        <f>HYPERLINK("http://exon.niaid.nih.gov/transcriptome/O_fasciatus/Sup_tab1/links/NR\of-new-contig_167-NR.txt","CG33998-PA [Drosophila melanogaster]")</f>
        <v>CG33998-PA [Drosophila melanogaster]</v>
      </c>
      <c r="N95" s="2" t="str">
        <f>HYPERLINK("http://www.ncbi.nlm.nih.gov/sutils/blink.cgi?pid=85725046","3E-009")</f>
        <v>3E-009</v>
      </c>
      <c r="O95" t="s">
        <v>502</v>
      </c>
      <c r="P95">
        <v>114</v>
      </c>
      <c r="Q95">
        <v>119</v>
      </c>
      <c r="R95">
        <v>35</v>
      </c>
      <c r="S95">
        <v>96</v>
      </c>
      <c r="T95">
        <v>2</v>
      </c>
      <c r="U95">
        <v>22</v>
      </c>
      <c r="V95">
        <v>1</v>
      </c>
      <c r="W95" t="s">
        <v>1412</v>
      </c>
      <c r="X95" t="s">
        <v>940</v>
      </c>
      <c r="Y95" t="s">
        <v>503</v>
      </c>
      <c r="Z95" s="4" t="s">
        <v>1043</v>
      </c>
      <c r="AA95" t="s">
        <v>1032</v>
      </c>
      <c r="AB95" s="3" t="s">
        <v>547</v>
      </c>
      <c r="AC95" s="2" t="s">
        <v>547</v>
      </c>
      <c r="AD95" s="4" t="s">
        <v>547</v>
      </c>
      <c r="AE95" t="s">
        <v>547</v>
      </c>
      <c r="AF95" t="s">
        <v>547</v>
      </c>
      <c r="AG95" s="4" t="s">
        <v>547</v>
      </c>
      <c r="AH95" t="s">
        <v>547</v>
      </c>
      <c r="AI95" t="s">
        <v>547</v>
      </c>
      <c r="AJ95" s="4" t="s">
        <v>547</v>
      </c>
      <c r="AK95" t="s">
        <v>547</v>
      </c>
      <c r="AL95" t="s">
        <v>547</v>
      </c>
      <c r="AM95" s="3" t="str">
        <f>HYPERLINK("http://exon.niaid.nih.gov/transcriptome/O_fasciatus/Sup_tab1/links/KOG\of-new-contig_167-KOG.txt","HIV-1 Vpr-binding protein")</f>
        <v>HIV-1 Vpr-binding protein</v>
      </c>
      <c r="AN95" s="2" t="str">
        <f>HYPERLINK("http://www.ncbi.nlm.nih.gov/COG/new/shokog.cgi?KOG1832","0.026")</f>
        <v>0.026</v>
      </c>
      <c r="AO95" t="s">
        <v>504</v>
      </c>
      <c r="AP95" s="3" t="str">
        <f>HYPERLINK("http://exon.niaid.nih.gov/transcriptome/O_fasciatus/Sup_tab1/links/CDD\of-new-contig_167-CDD.txt","REJ")</f>
        <v>REJ</v>
      </c>
      <c r="AQ95" s="2" t="str">
        <f>HYPERLINK("http://www.ncbi.nlm.nih.gov/Structure/cdd/cddsrv.cgi?uid=pfam02010&amp;version=v4.0","0.12")</f>
        <v>0.12</v>
      </c>
      <c r="AR95" t="s">
        <v>505</v>
      </c>
      <c r="AS95" s="3" t="str">
        <f>HYPERLINK("http://exon.niaid.nih.gov/transcriptome/O_fasciatus/Sup_tab1/links/PFAM\of-new-contig_167-PFAM.txt","REJ")</f>
        <v>REJ</v>
      </c>
      <c r="AT95" s="2" t="str">
        <f>HYPERLINK("http://pfam.wustl.edu/cgi-bin/getdesc?acc=PF02010","0.060")</f>
        <v>0.060</v>
      </c>
      <c r="AU95" s="3" t="str">
        <f>HYPERLINK("http://exon.niaid.nih.gov/transcriptome/O_fasciatus/Sup_tab1/links/SMART\of-new-contig_167-SMART.txt","DM6")</f>
        <v>DM6</v>
      </c>
      <c r="AV95" s="2" t="str">
        <f>HYPERLINK("http://smart.embl-heidelberg.de/smart/do_annotation.pl?DOMAIN=DM6&amp;BLAST=DUMMY","0.013")</f>
        <v>0.013</v>
      </c>
      <c r="AW95" s="3" t="s">
        <v>547</v>
      </c>
      <c r="AX95" s="2" t="s">
        <v>547</v>
      </c>
      <c r="AY95" s="3" t="s">
        <v>547</v>
      </c>
      <c r="AZ95" s="2" t="s">
        <v>547</v>
      </c>
    </row>
    <row r="96" spans="1:52" ht="11.25">
      <c r="A96" t="str">
        <f>HYPERLINK("http://exon.niaid.nih.gov/transcriptome/O_fasciatus/Sup_tab1/links/of-new\of-new-contig_152.txt","of-new-contig_152")</f>
        <v>of-new-contig_152</v>
      </c>
      <c r="B96" t="str">
        <f>HYPERLINK("http://exon.niaid.nih.gov/transcriptome/O_fasciatus/Sup_tab1/links/of-new\of-new-5-64-64-asb-152.txt","Contig-152")</f>
        <v>Contig-152</v>
      </c>
      <c r="C96" t="str">
        <f>HYPERLINK("http://exon.niaid.nih.gov/transcriptome/O_fasciatus/Sup_tab1/links/of-new\of-new-5-64-64-152-CLU.txt","Contig152")</f>
        <v>Contig152</v>
      </c>
      <c r="D96">
        <v>1</v>
      </c>
      <c r="E96">
        <v>566</v>
      </c>
      <c r="F96" t="str">
        <f>HYPERLINK("http://exon.niaid.nih.gov/transcriptome/O_fasciatus/Sup_tab1/links/of-new\of-new-5-64-64-152-qual.txt","20.7")</f>
        <v>20.7</v>
      </c>
      <c r="G96">
        <v>0.4</v>
      </c>
      <c r="H96">
        <v>68.6</v>
      </c>
      <c r="I96">
        <v>309</v>
      </c>
      <c r="J96">
        <v>152</v>
      </c>
      <c r="K96" t="s">
        <v>1230</v>
      </c>
      <c r="L96" t="s">
        <v>547</v>
      </c>
      <c r="M96" s="3" t="str">
        <f>HYPERLINK("http://exon.niaid.nih.gov/transcriptome/O_fasciatus/Sup_tab1/links/NR\of-new-contig_152-NR.txt","hypothetical protein PC401526.00.0 [Plasmodium chabaudi chabaudi]")</f>
        <v>hypothetical protein PC401526.00.0 [Plasmodium chabaudi chabaudi]</v>
      </c>
      <c r="N96" s="2" t="str">
        <f>HYPERLINK("http://www.ncbi.nlm.nih.gov/sutils/blink.cgi?pid=70935360","0.001")</f>
        <v>0.001</v>
      </c>
      <c r="O96" t="s">
        <v>958</v>
      </c>
      <c r="P96">
        <v>71</v>
      </c>
      <c r="Q96">
        <v>228</v>
      </c>
      <c r="R96">
        <v>43</v>
      </c>
      <c r="S96">
        <v>31</v>
      </c>
      <c r="T96">
        <v>5</v>
      </c>
      <c r="U96">
        <v>327</v>
      </c>
      <c r="V96">
        <v>8</v>
      </c>
      <c r="W96" t="s">
        <v>1412</v>
      </c>
      <c r="X96" t="s">
        <v>1600</v>
      </c>
      <c r="Y96" t="s">
        <v>452</v>
      </c>
      <c r="Z96" s="4" t="s">
        <v>1086</v>
      </c>
      <c r="AA96" t="s">
        <v>1032</v>
      </c>
      <c r="AB96" s="3" t="s">
        <v>547</v>
      </c>
      <c r="AC96" s="2" t="s">
        <v>547</v>
      </c>
      <c r="AD96" s="4" t="s">
        <v>547</v>
      </c>
      <c r="AE96" t="s">
        <v>547</v>
      </c>
      <c r="AF96" t="s">
        <v>547</v>
      </c>
      <c r="AG96" s="4" t="s">
        <v>547</v>
      </c>
      <c r="AH96" t="s">
        <v>547</v>
      </c>
      <c r="AI96" t="s">
        <v>547</v>
      </c>
      <c r="AJ96" s="4" t="s">
        <v>547</v>
      </c>
      <c r="AK96" t="s">
        <v>547</v>
      </c>
      <c r="AL96" t="s">
        <v>547</v>
      </c>
      <c r="AM96" s="3" t="str">
        <f>HYPERLINK("http://exon.niaid.nih.gov/transcriptome/O_fasciatus/Sup_tab1/links/KOG\of-new-contig_152-KOG.txt","Spliceosome subunit")</f>
        <v>Spliceosome subunit</v>
      </c>
      <c r="AN96" s="2" t="str">
        <f>HYPERLINK("http://www.ncbi.nlm.nih.gov/COG/new/shokog.cgi?KOG0796","0.041")</f>
        <v>0.041</v>
      </c>
      <c r="AO96" t="s">
        <v>1677</v>
      </c>
      <c r="AP96" s="3" t="str">
        <f>HYPERLINK("http://exon.niaid.nih.gov/transcriptome/O_fasciatus/Sup_tab1/links/CDD\of-new-contig_152-CDD.txt","7tm_5")</f>
        <v>7tm_5</v>
      </c>
      <c r="AQ96" s="2" t="str">
        <f>HYPERLINK("http://www.ncbi.nlm.nih.gov/Structure/cdd/cddsrv.cgi?uid=pfam01604&amp;version=v4.0","0.062")</f>
        <v>0.062</v>
      </c>
      <c r="AR96" t="s">
        <v>453</v>
      </c>
      <c r="AS96" s="3" t="str">
        <f>HYPERLINK("http://exon.niaid.nih.gov/transcriptome/O_fasciatus/Sup_tab1/links/PFAM\of-new-contig_152-PFAM.txt","7tm_5")</f>
        <v>7tm_5</v>
      </c>
      <c r="AT96" s="2" t="str">
        <f>HYPERLINK("http://pfam.wustl.edu/cgi-bin/getdesc?acc=PF01604","0.031")</f>
        <v>0.031</v>
      </c>
      <c r="AU96" s="3" t="str">
        <f>HYPERLINK("http://exon.niaid.nih.gov/transcriptome/O_fasciatus/Sup_tab1/links/SMART\of-new-contig_152-SMART.txt","FYVE")</f>
        <v>FYVE</v>
      </c>
      <c r="AV96" s="2" t="str">
        <f>HYPERLINK("http://smart.embl-heidelberg.de/smart/do_annotation.pl?DOMAIN=FYVE&amp;BLAST=DUMMY","0.21")</f>
        <v>0.21</v>
      </c>
      <c r="AW96" s="3" t="s">
        <v>547</v>
      </c>
      <c r="AX96" s="2" t="s">
        <v>547</v>
      </c>
      <c r="AY96" s="3" t="s">
        <v>547</v>
      </c>
      <c r="AZ96" s="2" t="s">
        <v>547</v>
      </c>
    </row>
    <row r="97" spans="1:52" ht="11.25">
      <c r="A97" t="str">
        <f>HYPERLINK("http://exon.niaid.nih.gov/transcriptome/O_fasciatus/Sup_tab1/links/of-new\of-new-contig_172.txt","of-new-contig_172")</f>
        <v>of-new-contig_172</v>
      </c>
      <c r="B97" t="str">
        <f>HYPERLINK("http://exon.niaid.nih.gov/transcriptome/O_fasciatus/Sup_tab1/links/of-new\of-new-5-64-64-asb-172.txt","Contig-172")</f>
        <v>Contig-172</v>
      </c>
      <c r="C97" t="str">
        <f>HYPERLINK("http://exon.niaid.nih.gov/transcriptome/O_fasciatus/Sup_tab1/links/of-new\of-new-5-64-64-172-CLU.txt","Contig172")</f>
        <v>Contig172</v>
      </c>
      <c r="D97">
        <v>1</v>
      </c>
      <c r="E97">
        <v>359</v>
      </c>
      <c r="F97" t="str">
        <f>HYPERLINK("http://exon.niaid.nih.gov/transcriptome/O_fasciatus/Sup_tab1/links/of-new\of-new-5-64-64-172-qual.txt","63.1")</f>
        <v>63.1</v>
      </c>
      <c r="G97" t="s">
        <v>541</v>
      </c>
      <c r="H97">
        <v>46</v>
      </c>
      <c r="I97">
        <v>340</v>
      </c>
      <c r="J97">
        <v>172</v>
      </c>
      <c r="K97" t="s">
        <v>1250</v>
      </c>
      <c r="L97">
        <v>340</v>
      </c>
      <c r="M97" s="3" t="str">
        <f>HYPERLINK("http://exon.niaid.nih.gov/transcriptome/O_fasciatus/Sup_tab1/links/NR\of-new-contig_172-NR.txt","PREDICTED: similar to CG31997-PA")</f>
        <v>PREDICTED: similar to CG31997-PA</v>
      </c>
      <c r="N97" s="2" t="str">
        <f>HYPERLINK("http://www.ncbi.nlm.nih.gov/sutils/blink.cgi?pid=91084853","4E-019")</f>
        <v>4E-019</v>
      </c>
      <c r="O97" t="s">
        <v>167</v>
      </c>
      <c r="P97">
        <v>82</v>
      </c>
      <c r="Q97">
        <v>146</v>
      </c>
      <c r="R97">
        <v>59</v>
      </c>
      <c r="S97">
        <v>56</v>
      </c>
      <c r="T97">
        <v>64</v>
      </c>
      <c r="U97">
        <v>1</v>
      </c>
      <c r="V97">
        <v>1</v>
      </c>
      <c r="W97" t="s">
        <v>1412</v>
      </c>
      <c r="X97" t="s">
        <v>676</v>
      </c>
      <c r="Y97" t="s">
        <v>168</v>
      </c>
      <c r="Z97" s="4" t="s">
        <v>1093</v>
      </c>
      <c r="AA97" t="s">
        <v>1032</v>
      </c>
      <c r="AB97" s="3" t="s">
        <v>169</v>
      </c>
      <c r="AC97" s="2">
        <f>HYPERLINK("http://exon.niaid.nih.gov/transcriptome/O_fasciatus/Sup_tab1/links/GO\of-new-contig_172-GO.txt",0.000000000000003)</f>
        <v>0</v>
      </c>
      <c r="AD97" s="4" t="s">
        <v>1631</v>
      </c>
      <c r="AE97" t="s">
        <v>1632</v>
      </c>
      <c r="AF97">
        <v>3E-15</v>
      </c>
      <c r="AG97" s="4" t="s">
        <v>1638</v>
      </c>
      <c r="AH97" t="s">
        <v>1639</v>
      </c>
      <c r="AI97">
        <v>3E-15</v>
      </c>
      <c r="AJ97" s="4" t="s">
        <v>1537</v>
      </c>
      <c r="AK97" t="s">
        <v>1538</v>
      </c>
      <c r="AL97">
        <v>3E-15</v>
      </c>
      <c r="AM97" s="3" t="str">
        <f>HYPERLINK("http://exon.niaid.nih.gov/transcriptome/O_fasciatus/Sup_tab1/links/KOG\of-new-contig_172-KOG.txt","Predicted splicing factor, SR protein superfamily")</f>
        <v>Predicted splicing factor, SR protein superfamily</v>
      </c>
      <c r="AN97" s="2" t="str">
        <f>HYPERLINK("http://www.ncbi.nlm.nih.gov/COG/new/shokog.cgi?KOG4207","0.001")</f>
        <v>0.001</v>
      </c>
      <c r="AO97" t="s">
        <v>1677</v>
      </c>
      <c r="AP97" s="3" t="str">
        <f>HYPERLINK("http://exon.niaid.nih.gov/transcriptome/O_fasciatus/Sup_tab1/links/CDD\of-new-contig_172-CDD.txt","Tymo_45kd_70kd")</f>
        <v>Tymo_45kd_70kd</v>
      </c>
      <c r="AQ97" s="2" t="str">
        <f>HYPERLINK("http://www.ncbi.nlm.nih.gov/Structure/cdd/cddsrv.cgi?uid=pfam03251&amp;version=v4.0","0.009")</f>
        <v>0.009</v>
      </c>
      <c r="AR97" t="s">
        <v>170</v>
      </c>
      <c r="AS97" s="3" t="str">
        <f>HYPERLINK("http://exon.niaid.nih.gov/transcriptome/O_fasciatus/Sup_tab1/links/PFAM\of-new-contig_172-PFAM.txt","Tymo_45kd_70kd")</f>
        <v>Tymo_45kd_70kd</v>
      </c>
      <c r="AT97" s="2" t="str">
        <f>HYPERLINK("http://pfam.wustl.edu/cgi-bin/getdesc?acc=PF03251","0.005")</f>
        <v>0.005</v>
      </c>
      <c r="AU97" s="3" t="str">
        <f>HYPERLINK("http://exon.niaid.nih.gov/transcriptome/O_fasciatus/Sup_tab1/links/SMART\of-new-contig_172-SMART.txt","DM6")</f>
        <v>DM6</v>
      </c>
      <c r="AV97" s="2" t="str">
        <f>HYPERLINK("http://smart.embl-heidelberg.de/smart/do_annotation.pl?DOMAIN=DM6&amp;BLAST=DUMMY","0.055")</f>
        <v>0.055</v>
      </c>
      <c r="AW97" s="3" t="s">
        <v>547</v>
      </c>
      <c r="AX97" s="2" t="s">
        <v>547</v>
      </c>
      <c r="AY97" s="3" t="s">
        <v>547</v>
      </c>
      <c r="AZ97" s="2" t="s">
        <v>547</v>
      </c>
    </row>
    <row r="98" spans="1:52" ht="11.25">
      <c r="A98" t="str">
        <f>HYPERLINK("http://exon.niaid.nih.gov/transcriptome/O_fasciatus/Sup_tab1/links/of-new\of-new-contig_201.txt","of-new-contig_201")</f>
        <v>of-new-contig_201</v>
      </c>
      <c r="B98" t="str">
        <f>HYPERLINK("http://exon.niaid.nih.gov/transcriptome/O_fasciatus/Sup_tab1/links/of-new\of-new-5-64-64-asb-201.txt","Contig-201")</f>
        <v>Contig-201</v>
      </c>
      <c r="C98" t="str">
        <f>HYPERLINK("http://exon.niaid.nih.gov/transcriptome/O_fasciatus/Sup_tab1/links/of-new\of-new-5-64-64-201-CLU.txt","Contig201")</f>
        <v>Contig201</v>
      </c>
      <c r="D98">
        <v>1</v>
      </c>
      <c r="E98">
        <v>658</v>
      </c>
      <c r="F98" t="str">
        <f>HYPERLINK("http://exon.niaid.nih.gov/transcriptome/O_fasciatus/Sup_tab1/links/of-new\of-new-5-64-64-201-qual.txt","51.4")</f>
        <v>51.4</v>
      </c>
      <c r="G98" t="s">
        <v>541</v>
      </c>
      <c r="H98">
        <v>62.6</v>
      </c>
      <c r="I98" t="s">
        <v>547</v>
      </c>
      <c r="J98">
        <v>201</v>
      </c>
      <c r="K98" t="s">
        <v>1279</v>
      </c>
      <c r="L98" t="s">
        <v>547</v>
      </c>
      <c r="M98" s="3" t="str">
        <f>HYPERLINK("http://exon.niaid.nih.gov/transcriptome/O_fasciatus/Sup_tab1/links/NR\of-new-contig_201-NR.txt","nucleic-acid binding protein")</f>
        <v>nucleic-acid binding protein</v>
      </c>
      <c r="N98" s="2" t="str">
        <f>HYPERLINK("http://www.ncbi.nlm.nih.gov/sutils/blink.cgi?pid=7768811","0.001")</f>
        <v>0.001</v>
      </c>
      <c r="O98" t="s">
        <v>723</v>
      </c>
      <c r="P98">
        <v>107</v>
      </c>
      <c r="Q98">
        <v>238</v>
      </c>
      <c r="R98">
        <v>30</v>
      </c>
      <c r="S98">
        <v>45</v>
      </c>
      <c r="T98">
        <v>36</v>
      </c>
      <c r="U98">
        <v>145</v>
      </c>
      <c r="V98">
        <v>1</v>
      </c>
      <c r="W98" t="s">
        <v>1412</v>
      </c>
      <c r="X98" t="s">
        <v>1579</v>
      </c>
      <c r="Y98" t="s">
        <v>724</v>
      </c>
      <c r="Z98" s="4" t="s">
        <v>1103</v>
      </c>
      <c r="AA98" t="s">
        <v>1032</v>
      </c>
      <c r="AB98" s="3" t="s">
        <v>547</v>
      </c>
      <c r="AC98" s="2" t="s">
        <v>547</v>
      </c>
      <c r="AD98" s="4" t="s">
        <v>547</v>
      </c>
      <c r="AE98" t="s">
        <v>547</v>
      </c>
      <c r="AF98" t="s">
        <v>547</v>
      </c>
      <c r="AG98" s="4" t="s">
        <v>547</v>
      </c>
      <c r="AH98" t="s">
        <v>547</v>
      </c>
      <c r="AI98" t="s">
        <v>547</v>
      </c>
      <c r="AJ98" s="4" t="s">
        <v>547</v>
      </c>
      <c r="AK98" t="s">
        <v>547</v>
      </c>
      <c r="AL98" t="s">
        <v>547</v>
      </c>
      <c r="AM98" s="3" t="str">
        <f>HYPERLINK("http://exon.niaid.nih.gov/transcriptome/O_fasciatus/Sup_tab1/links/KOG\of-new-contig_201-KOG.txt","Permease of the major facilitator superfamily")</f>
        <v>Permease of the major facilitator superfamily</v>
      </c>
      <c r="AN98" s="2" t="str">
        <f>HYPERLINK("http://www.ncbi.nlm.nih.gov/COG/new/shokog.cgi?KOG2533","0.24")</f>
        <v>0.24</v>
      </c>
      <c r="AO98" t="s">
        <v>513</v>
      </c>
      <c r="AP98" s="3" t="str">
        <f>HYPERLINK("http://exon.niaid.nih.gov/transcriptome/O_fasciatus/Sup_tab1/links/CDD\of-new-contig_201-CDD.txt","Tmk")</f>
        <v>Tmk</v>
      </c>
      <c r="AQ98" s="2" t="str">
        <f>HYPERLINK("http://www.ncbi.nlm.nih.gov/Structure/cdd/cddsrv.cgi?uid=COG0125&amp;version=v4.0","0.065")</f>
        <v>0.065</v>
      </c>
      <c r="AR98" t="s">
        <v>725</v>
      </c>
      <c r="AS98" s="3" t="str">
        <f>HYPERLINK("http://exon.niaid.nih.gov/transcriptome/O_fasciatus/Sup_tab1/links/PFAM\of-new-contig_201-PFAM.txt","TSA")</f>
        <v>TSA</v>
      </c>
      <c r="AT98" s="2" t="str">
        <f>HYPERLINK("http://pfam.wustl.edu/cgi-bin/getdesc?acc=PF03249","0.014")</f>
        <v>0.014</v>
      </c>
      <c r="AU98" s="3" t="str">
        <f>HYPERLINK("http://exon.niaid.nih.gov/transcriptome/O_fasciatus/Sup_tab1/links/SMART\of-new-contig_201-SMART.txt","SynN")</f>
        <v>SynN</v>
      </c>
      <c r="AV98" s="2" t="str">
        <f>HYPERLINK("http://smart.embl-heidelberg.de/smart/do_annotation.pl?DOMAIN=SynN&amp;BLAST=DUMMY","0.044")</f>
        <v>0.044</v>
      </c>
      <c r="AW98" s="3" t="s">
        <v>547</v>
      </c>
      <c r="AX98" s="2" t="s">
        <v>547</v>
      </c>
      <c r="AY98" s="3" t="s">
        <v>547</v>
      </c>
      <c r="AZ98" s="2" t="s">
        <v>547</v>
      </c>
    </row>
    <row r="99" spans="1:52" ht="11.25">
      <c r="A99" t="str">
        <f>HYPERLINK("http://exon.niaid.nih.gov/transcriptome/O_fasciatus/Sup_tab1/links/of-new\of-new-contig_210.txt","of-new-contig_210")</f>
        <v>of-new-contig_210</v>
      </c>
      <c r="B99" t="str">
        <f>HYPERLINK("http://exon.niaid.nih.gov/transcriptome/O_fasciatus/Sup_tab1/links/of-new\of-new-5-64-64-asb-210.txt","Contig-210")</f>
        <v>Contig-210</v>
      </c>
      <c r="C99" t="str">
        <f>HYPERLINK("http://exon.niaid.nih.gov/transcriptome/O_fasciatus/Sup_tab1/links/of-new\of-new-5-64-64-210-CLU.txt","Contig210")</f>
        <v>Contig210</v>
      </c>
      <c r="D99">
        <v>1</v>
      </c>
      <c r="E99">
        <v>360</v>
      </c>
      <c r="F99" t="str">
        <f>HYPERLINK("http://exon.niaid.nih.gov/transcriptome/O_fasciatus/Sup_tab1/links/of-new\of-new-5-64-64-210-qual.txt","57.7")</f>
        <v>57.7</v>
      </c>
      <c r="G99">
        <v>0.3</v>
      </c>
      <c r="H99">
        <v>69.4</v>
      </c>
      <c r="I99">
        <v>337</v>
      </c>
      <c r="J99">
        <v>210</v>
      </c>
      <c r="K99" t="s">
        <v>1288</v>
      </c>
      <c r="L99">
        <v>337</v>
      </c>
      <c r="M99" s="3" t="str">
        <f>HYPERLINK("http://exon.niaid.nih.gov/transcriptome/O_fasciatus/Sup_tab1/links/NR\of-new-contig_210-NR.txt","HLA-B associated transcript 5 [Xenopus tropicalis]")</f>
        <v>HLA-B associated transcript 5 [Xenopus tropicalis]</v>
      </c>
      <c r="N99" s="2" t="str">
        <f>HYPERLINK("http://www.ncbi.nlm.nih.gov/sutils/blink.cgi?pid=55741950","0.004")</f>
        <v>0.004</v>
      </c>
      <c r="O99" t="s">
        <v>754</v>
      </c>
      <c r="P99">
        <v>49</v>
      </c>
      <c r="Q99">
        <v>553</v>
      </c>
      <c r="R99">
        <v>40</v>
      </c>
      <c r="S99">
        <v>9</v>
      </c>
      <c r="T99">
        <v>428</v>
      </c>
      <c r="U99">
        <v>3</v>
      </c>
      <c r="V99">
        <v>1</v>
      </c>
      <c r="W99" t="s">
        <v>1412</v>
      </c>
      <c r="X99" t="s">
        <v>891</v>
      </c>
      <c r="Y99" t="s">
        <v>755</v>
      </c>
      <c r="Z99" s="4" t="s">
        <v>1017</v>
      </c>
      <c r="AA99" t="s">
        <v>1032</v>
      </c>
      <c r="AB99" s="3" t="s">
        <v>756</v>
      </c>
      <c r="AC99" s="2">
        <f>HYPERLINK("http://exon.niaid.nih.gov/transcriptome/O_fasciatus/Sup_tab1/links/GO\of-new-contig_210-GO.txt",0.003)</f>
        <v>0</v>
      </c>
      <c r="AD99" s="4" t="s">
        <v>757</v>
      </c>
      <c r="AE99" t="s">
        <v>758</v>
      </c>
      <c r="AF99">
        <v>0.003</v>
      </c>
      <c r="AG99" s="4" t="s">
        <v>547</v>
      </c>
      <c r="AH99" t="s">
        <v>547</v>
      </c>
      <c r="AI99" t="s">
        <v>547</v>
      </c>
      <c r="AJ99" s="4" t="s">
        <v>547</v>
      </c>
      <c r="AK99" t="s">
        <v>547</v>
      </c>
      <c r="AL99" t="s">
        <v>547</v>
      </c>
      <c r="AM99" s="3" t="str">
        <f>HYPERLINK("http://exon.niaid.nih.gov/transcriptome/O_fasciatus/Sup_tab1/links/KOG\of-new-contig_210-KOG.txt","Predicted alpha/beta hydrolase BAT5")</f>
        <v>Predicted alpha/beta hydrolase BAT5</v>
      </c>
      <c r="AN99" s="2" t="str">
        <f>HYPERLINK("http://www.ncbi.nlm.nih.gov/COG/new/shokog.cgi?KOG1553","2E-006")</f>
        <v>2E-006</v>
      </c>
      <c r="AO99" t="s">
        <v>1503</v>
      </c>
      <c r="AP99" s="3" t="str">
        <f>HYPERLINK("http://exon.niaid.nih.gov/transcriptome/O_fasciatus/Sup_tab1/links/CDD\of-new-contig_210-CDD.txt","Cobalamin_bind")</f>
        <v>Cobalamin_bind</v>
      </c>
      <c r="AQ99" s="2" t="str">
        <f>HYPERLINK("http://www.ncbi.nlm.nih.gov/Structure/cdd/cddsrv.cgi?uid=pfam01122&amp;version=v4.0","0.21")</f>
        <v>0.21</v>
      </c>
      <c r="AR99" t="s">
        <v>759</v>
      </c>
      <c r="AS99" s="3" t="str">
        <f>HYPERLINK("http://exon.niaid.nih.gov/transcriptome/O_fasciatus/Sup_tab1/links/PFAM\of-new-contig_210-PFAM.txt","Cobalamin_bind")</f>
        <v>Cobalamin_bind</v>
      </c>
      <c r="AT99" s="2" t="str">
        <f>HYPERLINK("http://pfam.wustl.edu/cgi-bin/getdesc?acc=PF01122","0.11")</f>
        <v>0.11</v>
      </c>
      <c r="AU99" s="3" t="str">
        <f>HYPERLINK("http://exon.niaid.nih.gov/transcriptome/O_fasciatus/Sup_tab1/links/SMART\of-new-contig_210-SMART.txt","DEP")</f>
        <v>DEP</v>
      </c>
      <c r="AV99" s="2" t="str">
        <f>HYPERLINK("http://smart.embl-heidelberg.de/smart/do_annotation.pl?DOMAIN=DEP&amp;BLAST=DUMMY","0.30")</f>
        <v>0.30</v>
      </c>
      <c r="AW99" s="3" t="s">
        <v>547</v>
      </c>
      <c r="AX99" s="2" t="s">
        <v>547</v>
      </c>
      <c r="AY99" s="3" t="s">
        <v>547</v>
      </c>
      <c r="AZ99" s="2" t="s">
        <v>547</v>
      </c>
    </row>
    <row r="100" s="12" customFormat="1" ht="11.25">
      <c r="A100" s="11" t="s">
        <v>72</v>
      </c>
    </row>
    <row r="101" spans="1:52" ht="11.25">
      <c r="A101" t="str">
        <f>HYPERLINK("http://exon.niaid.nih.gov/transcriptome/O_fasciatus/Sup_tab1/links/of-new\of-new-contig_62.txt","of-new-contig_62")</f>
        <v>of-new-contig_62</v>
      </c>
      <c r="B101" t="str">
        <f>HYPERLINK("http://exon.niaid.nih.gov/transcriptome/O_fasciatus/Sup_tab1/links/of-new\of-new-5-64-64-asb-62.txt","Contig-62")</f>
        <v>Contig-62</v>
      </c>
      <c r="C101" t="str">
        <f>HYPERLINK("http://exon.niaid.nih.gov/transcriptome/O_fasciatus/Sup_tab1/links/of-new\of-new-5-64-64-62-CLU.txt","Contig62")</f>
        <v>Contig62</v>
      </c>
      <c r="D101">
        <v>3</v>
      </c>
      <c r="E101">
        <v>384</v>
      </c>
      <c r="F101" t="str">
        <f>HYPERLINK("http://exon.niaid.nih.gov/transcriptome/O_fasciatus/Sup_tab1/links/of-new\of-new-5-64-64-62-qual.txt","89.3")</f>
        <v>89.3</v>
      </c>
      <c r="G101" t="s">
        <v>541</v>
      </c>
      <c r="H101">
        <v>63.8</v>
      </c>
      <c r="I101">
        <v>365</v>
      </c>
      <c r="J101">
        <v>62</v>
      </c>
      <c r="K101" t="s">
        <v>603</v>
      </c>
      <c r="L101">
        <v>365</v>
      </c>
      <c r="M101" s="3" t="str">
        <f>HYPERLINK("http://exon.niaid.nih.gov/transcriptome/O_fasciatus/Sup_tab1/links/NR\of-new-contig_62-NR.txt","taste receptor, type 2, member 135 [Mus musculus]")</f>
        <v>taste receptor, type 2, member 135 [Mus musculus]</v>
      </c>
      <c r="N101" s="2" t="str">
        <f>HYPERLINK("http://www.ncbi.nlm.nih.gov/sutils/blink.cgi?pid=40255301","0.17")</f>
        <v>0.17</v>
      </c>
      <c r="O101" t="s">
        <v>662</v>
      </c>
      <c r="P101">
        <v>71</v>
      </c>
      <c r="Q101">
        <v>321</v>
      </c>
      <c r="R101">
        <v>36</v>
      </c>
      <c r="S101">
        <v>22</v>
      </c>
      <c r="T101">
        <v>250</v>
      </c>
      <c r="U101">
        <v>108</v>
      </c>
      <c r="V101">
        <v>1</v>
      </c>
      <c r="W101" t="s">
        <v>1412</v>
      </c>
      <c r="X101" t="s">
        <v>663</v>
      </c>
      <c r="Y101" t="s">
        <v>664</v>
      </c>
      <c r="Z101" s="4" t="s">
        <v>1054</v>
      </c>
      <c r="AA101" t="s">
        <v>1055</v>
      </c>
      <c r="AB101" s="3" t="s">
        <v>547</v>
      </c>
      <c r="AC101" s="2" t="s">
        <v>547</v>
      </c>
      <c r="AD101" s="4" t="s">
        <v>547</v>
      </c>
      <c r="AE101" t="s">
        <v>547</v>
      </c>
      <c r="AF101" t="s">
        <v>547</v>
      </c>
      <c r="AG101" s="4" t="s">
        <v>547</v>
      </c>
      <c r="AH101" t="s">
        <v>547</v>
      </c>
      <c r="AI101" t="s">
        <v>547</v>
      </c>
      <c r="AJ101" s="4" t="s">
        <v>547</v>
      </c>
      <c r="AK101" t="s">
        <v>547</v>
      </c>
      <c r="AL101" t="s">
        <v>547</v>
      </c>
      <c r="AM101" s="3" t="str">
        <f>HYPERLINK("http://exon.niaid.nih.gov/transcriptome/O_fasciatus/Sup_tab1/links/KOG\of-new-contig_62-KOG.txt","Uncharacterized conserved protein")</f>
        <v>Uncharacterized conserved protein</v>
      </c>
      <c r="AN101" s="2" t="str">
        <f>HYPERLINK("http://www.ncbi.nlm.nih.gov/COG/new/shokog.cgi?KOG1248","0.51")</f>
        <v>0.51</v>
      </c>
      <c r="AO101" t="s">
        <v>881</v>
      </c>
      <c r="AP101" s="3" t="str">
        <f>HYPERLINK("http://exon.niaid.nih.gov/transcriptome/O_fasciatus/Sup_tab1/links/CDD\of-new-contig_62-CDD.txt","Pyrophosphatase")</f>
        <v>Pyrophosphatase</v>
      </c>
      <c r="AQ101" s="2" t="str">
        <f>HYPERLINK("http://www.ncbi.nlm.nih.gov/Structure/cdd/cddsrv.cgi?uid=pfam00719&amp;version=v4.0","0.48")</f>
        <v>0.48</v>
      </c>
      <c r="AR101" t="s">
        <v>665</v>
      </c>
      <c r="AS101" s="3" t="str">
        <f>HYPERLINK("http://exon.niaid.nih.gov/transcriptome/O_fasciatus/Sup_tab1/links/PFAM\of-new-contig_62-PFAM.txt","Pyrophosphatase")</f>
        <v>Pyrophosphatase</v>
      </c>
      <c r="AT101" s="2" t="str">
        <f>HYPERLINK("http://pfam.wustl.edu/cgi-bin/getdesc?acc=PF00719","0.26")</f>
        <v>0.26</v>
      </c>
      <c r="AU101" s="3" t="str">
        <f>HYPERLINK("http://exon.niaid.nih.gov/transcriptome/O_fasciatus/Sup_tab1/links/SMART\of-new-contig_62-SMART.txt","RIO")</f>
        <v>RIO</v>
      </c>
      <c r="AV101" s="2" t="str">
        <f>HYPERLINK("http://smart.embl-heidelberg.de/smart/do_annotation.pl?DOMAIN=RIO&amp;BLAST=DUMMY","0.52")</f>
        <v>0.52</v>
      </c>
      <c r="AW101" s="3" t="s">
        <v>547</v>
      </c>
      <c r="AX101" s="2" t="s">
        <v>547</v>
      </c>
      <c r="AY101" s="3" t="s">
        <v>547</v>
      </c>
      <c r="AZ101" s="2" t="s">
        <v>547</v>
      </c>
    </row>
    <row r="102" spans="1:52" ht="11.25">
      <c r="A102" t="str">
        <f>HYPERLINK("http://exon.niaid.nih.gov/transcriptome/O_fasciatus/Sup_tab1/links/of-new\of-new-contig_175.txt","of-new-contig_175")</f>
        <v>of-new-contig_175</v>
      </c>
      <c r="B102" t="str">
        <f>HYPERLINK("http://exon.niaid.nih.gov/transcriptome/O_fasciatus/Sup_tab1/links/of-new\of-new-5-64-64-asb-175.txt","Contig-175")</f>
        <v>Contig-175</v>
      </c>
      <c r="C102" t="str">
        <f>HYPERLINK("http://exon.niaid.nih.gov/transcriptome/O_fasciatus/Sup_tab1/links/of-new\of-new-5-64-64-175-CLU.txt","Contig175")</f>
        <v>Contig175</v>
      </c>
      <c r="D102">
        <v>1</v>
      </c>
      <c r="E102">
        <v>1013</v>
      </c>
      <c r="F102" t="str">
        <f>HYPERLINK("http://exon.niaid.nih.gov/transcriptome/O_fasciatus/Sup_tab1/links/of-new\of-new-5-64-64-175-qual.txt","37.3")</f>
        <v>37.3</v>
      </c>
      <c r="G102" t="s">
        <v>541</v>
      </c>
      <c r="H102">
        <v>55.5</v>
      </c>
      <c r="I102" t="s">
        <v>547</v>
      </c>
      <c r="J102">
        <v>175</v>
      </c>
      <c r="K102" t="s">
        <v>1253</v>
      </c>
      <c r="L102" t="s">
        <v>547</v>
      </c>
      <c r="M102" s="3" t="str">
        <f>HYPERLINK("http://exon.niaid.nih.gov/transcriptome/O_fasciatus/Sup_tab1/links/NR\of-new-contig_175-NR.txt","PREDICTED: similar to CG3884-PB, isoform B")</f>
        <v>PREDICTED: similar to CG3884-PB, isoform B</v>
      </c>
      <c r="N102" s="2" t="str">
        <f>HYPERLINK("http://www.ncbi.nlm.nih.gov/sutils/blink.cgi?pid=91094475","2E-036")</f>
        <v>2E-036</v>
      </c>
      <c r="O102" t="s">
        <v>181</v>
      </c>
      <c r="P102">
        <v>132</v>
      </c>
      <c r="Q102">
        <v>185</v>
      </c>
      <c r="R102">
        <v>53</v>
      </c>
      <c r="S102">
        <v>71</v>
      </c>
      <c r="T102">
        <v>52</v>
      </c>
      <c r="U102">
        <v>87</v>
      </c>
      <c r="V102">
        <v>2</v>
      </c>
      <c r="W102" t="s">
        <v>1412</v>
      </c>
      <c r="X102" t="s">
        <v>676</v>
      </c>
      <c r="Y102" t="s">
        <v>182</v>
      </c>
      <c r="Z102" s="4" t="s">
        <v>1095</v>
      </c>
      <c r="AA102" t="s">
        <v>1055</v>
      </c>
      <c r="AB102" s="3" t="s">
        <v>183</v>
      </c>
      <c r="AC102" s="2">
        <f>HYPERLINK("http://exon.niaid.nih.gov/transcriptome/O_fasciatus/Sup_tab1/links/GO\of-new-contig_175-GO.txt",2E-30)</f>
        <v>0</v>
      </c>
      <c r="AD102" s="4" t="s">
        <v>184</v>
      </c>
      <c r="AE102" t="s">
        <v>185</v>
      </c>
      <c r="AF102" s="1">
        <v>2E-30</v>
      </c>
      <c r="AG102" s="4" t="s">
        <v>547</v>
      </c>
      <c r="AH102" t="s">
        <v>547</v>
      </c>
      <c r="AI102" t="s">
        <v>547</v>
      </c>
      <c r="AJ102" s="4" t="s">
        <v>547</v>
      </c>
      <c r="AK102" t="s">
        <v>547</v>
      </c>
      <c r="AL102" t="s">
        <v>547</v>
      </c>
      <c r="AM102" s="3" t="s">
        <v>547</v>
      </c>
      <c r="AN102" s="2" t="s">
        <v>547</v>
      </c>
      <c r="AO102" t="s">
        <v>547</v>
      </c>
      <c r="AP102" s="3" t="str">
        <f>HYPERLINK("http://exon.niaid.nih.gov/transcriptome/O_fasciatus/Sup_tab1/links/CDD\of-new-contig_175-CDD.txt","DM9")</f>
        <v>DM9</v>
      </c>
      <c r="AQ102" s="2" t="str">
        <f>HYPERLINK("http://www.ncbi.nlm.nih.gov/Structure/cdd/cddsrv.cgi?uid=smart00696&amp;version=v4.0","1E-020")</f>
        <v>1E-020</v>
      </c>
      <c r="AR102" t="s">
        <v>186</v>
      </c>
      <c r="AS102" s="3" t="str">
        <f>HYPERLINK("http://exon.niaid.nih.gov/transcriptome/O_fasciatus/Sup_tab1/links/PFAM\of-new-contig_175-PFAM.txt","Cpn10")</f>
        <v>Cpn10</v>
      </c>
      <c r="AT102" s="2" t="str">
        <f>HYPERLINK("http://pfam.wustl.edu/cgi-bin/getdesc?acc=PF00166","0.98")</f>
        <v>0.98</v>
      </c>
      <c r="AU102" s="3" t="str">
        <f>HYPERLINK("http://exon.niaid.nih.gov/transcriptome/O_fasciatus/Sup_tab1/links/SMART\of-new-contig_175-SMART.txt","DM9")</f>
        <v>DM9</v>
      </c>
      <c r="AV102" s="2" t="str">
        <f>HYPERLINK("http://smart.embl-heidelberg.de/smart/do_annotation.pl?DOMAIN=DM9&amp;BLAST=DUMMY","2E-022")</f>
        <v>2E-022</v>
      </c>
      <c r="AW102" s="3" t="s">
        <v>547</v>
      </c>
      <c r="AX102" s="2" t="s">
        <v>547</v>
      </c>
      <c r="AY102" s="3" t="s">
        <v>547</v>
      </c>
      <c r="AZ102" s="2" t="s">
        <v>547</v>
      </c>
    </row>
    <row r="103" spans="1:52" ht="11.25">
      <c r="A103" t="str">
        <f>HYPERLINK("http://exon.niaid.nih.gov/transcriptome/O_fasciatus/Sup_tab1/links/of-new\of-new-contig_130.txt","of-new-contig_130")</f>
        <v>of-new-contig_130</v>
      </c>
      <c r="B103" t="str">
        <f>HYPERLINK("http://exon.niaid.nih.gov/transcriptome/O_fasciatus/Sup_tab1/links/of-new\of-new-5-64-64-asb-130.txt","Contig-130")</f>
        <v>Contig-130</v>
      </c>
      <c r="C103" t="str">
        <f>HYPERLINK("http://exon.niaid.nih.gov/transcriptome/O_fasciatus/Sup_tab1/links/of-new\of-new-5-64-64-130-CLU.txt","Contig130")</f>
        <v>Contig130</v>
      </c>
      <c r="D103">
        <v>2</v>
      </c>
      <c r="E103">
        <v>529</v>
      </c>
      <c r="F103" t="str">
        <f>HYPERLINK("http://exon.niaid.nih.gov/transcriptome/O_fasciatus/Sup_tab1/links/of-new\of-new-5-64-64-130-qual.txt","90.4")</f>
        <v>90.4</v>
      </c>
      <c r="G103" t="s">
        <v>541</v>
      </c>
      <c r="H103">
        <v>63.7</v>
      </c>
      <c r="I103">
        <v>506</v>
      </c>
      <c r="J103">
        <v>130</v>
      </c>
      <c r="K103" t="s">
        <v>1209</v>
      </c>
      <c r="L103">
        <v>521</v>
      </c>
      <c r="M103" s="3" t="str">
        <f>HYPERLINK("http://exon.niaid.nih.gov/transcriptome/O_fasciatus/Sup_tab1/links/NR\of-new-contig_130-NR.txt","PREDICTED: similar to CG1354-PA, isoform A")</f>
        <v>PREDICTED: similar to CG1354-PA, isoform A</v>
      </c>
      <c r="N103" s="2" t="str">
        <f>HYPERLINK("http://www.ncbi.nlm.nih.gov/sutils/blink.cgi?pid=91091132","2E-051")</f>
        <v>2E-051</v>
      </c>
      <c r="O103" t="s">
        <v>901</v>
      </c>
      <c r="P103">
        <v>106</v>
      </c>
      <c r="Q103">
        <v>416</v>
      </c>
      <c r="R103">
        <v>93</v>
      </c>
      <c r="S103">
        <v>25</v>
      </c>
      <c r="T103">
        <v>307</v>
      </c>
      <c r="U103">
        <v>186</v>
      </c>
      <c r="V103">
        <v>1</v>
      </c>
      <c r="W103" t="s">
        <v>1412</v>
      </c>
      <c r="X103" t="s">
        <v>676</v>
      </c>
      <c r="Y103" t="s">
        <v>902</v>
      </c>
      <c r="Z103" s="4" t="s">
        <v>1080</v>
      </c>
      <c r="AA103" t="s">
        <v>1081</v>
      </c>
      <c r="AB103" s="3" t="s">
        <v>903</v>
      </c>
      <c r="AC103" s="2">
        <f>HYPERLINK("http://exon.niaid.nih.gov/transcriptome/O_fasciatus/Sup_tab1/links/GO\of-new-contig_130-GO.txt",4E-48)</f>
        <v>0</v>
      </c>
      <c r="AD103" s="4" t="s">
        <v>1631</v>
      </c>
      <c r="AE103" t="s">
        <v>1632</v>
      </c>
      <c r="AF103" s="1">
        <v>1E-25</v>
      </c>
      <c r="AG103" s="4" t="s">
        <v>12</v>
      </c>
      <c r="AH103" t="s">
        <v>13</v>
      </c>
      <c r="AI103" s="1">
        <v>1E-25</v>
      </c>
      <c r="AJ103" s="4" t="s">
        <v>1537</v>
      </c>
      <c r="AK103" t="s">
        <v>1538</v>
      </c>
      <c r="AL103" s="1">
        <v>1E-25</v>
      </c>
      <c r="AM103" s="3" t="str">
        <f>HYPERLINK("http://exon.niaid.nih.gov/transcriptome/O_fasciatus/Sup_tab1/links/KOG\of-new-contig_130-KOG.txt","Predicted GTP-binding protein (ODN superfamily)")</f>
        <v>Predicted GTP-binding protein (ODN superfamily)</v>
      </c>
      <c r="AN103" s="2" t="str">
        <f>HYPERLINK("http://www.ncbi.nlm.nih.gov/COG/new/shokog.cgi?KOG1491","1E-043")</f>
        <v>1E-043</v>
      </c>
      <c r="AO103" t="s">
        <v>1503</v>
      </c>
      <c r="AP103" s="3" t="str">
        <f>HYPERLINK("http://exon.niaid.nih.gov/transcriptome/O_fasciatus/Sup_tab1/links/CDD\of-new-contig_130-CDD.txt","YchF")</f>
        <v>YchF</v>
      </c>
      <c r="AQ103" s="2" t="str">
        <f>HYPERLINK("http://www.ncbi.nlm.nih.gov/Structure/cdd/cddsrv.cgi?uid=cd01900&amp;version=v4.0","1E-049")</f>
        <v>1E-049</v>
      </c>
      <c r="AR103" t="s">
        <v>904</v>
      </c>
      <c r="AS103" s="3" t="str">
        <f>HYPERLINK("http://exon.niaid.nih.gov/transcriptome/O_fasciatus/Sup_tab1/links/PFAM\of-new-contig_130-PFAM.txt","DUF933")</f>
        <v>DUF933</v>
      </c>
      <c r="AT103" s="2" t="str">
        <f>HYPERLINK("http://pfam.wustl.edu/cgi-bin/getdesc?acc=PF06071","2E-049")</f>
        <v>2E-049</v>
      </c>
      <c r="AU103" s="3" t="str">
        <f>HYPERLINK("http://exon.niaid.nih.gov/transcriptome/O_fasciatus/Sup_tab1/links/SMART\of-new-contig_130-SMART.txt","ZnF_TTF")</f>
        <v>ZnF_TTF</v>
      </c>
      <c r="AV103" s="2" t="str">
        <f>HYPERLINK("http://smart.embl-heidelberg.de/smart/do_annotation.pl?DOMAIN=ZnF_TTF&amp;BLAST=DUMMY","0.26")</f>
        <v>0.26</v>
      </c>
      <c r="AW103" s="3" t="s">
        <v>547</v>
      </c>
      <c r="AX103" s="2" t="s">
        <v>547</v>
      </c>
      <c r="AY103" s="3" t="s">
        <v>547</v>
      </c>
      <c r="AZ103" s="2" t="s">
        <v>547</v>
      </c>
    </row>
    <row r="104" s="12" customFormat="1" ht="11.25">
      <c r="A104" s="11" t="s">
        <v>75</v>
      </c>
    </row>
    <row r="105" spans="1:52" ht="11.25">
      <c r="A105" t="str">
        <f>HYPERLINK("http://exon.niaid.nih.gov/transcriptome/O_fasciatus/Sup_tab1/links/of-new\of-new-contig_92.txt","of-new-contig_92")</f>
        <v>of-new-contig_92</v>
      </c>
      <c r="B105" t="str">
        <f>HYPERLINK("http://exon.niaid.nih.gov/transcriptome/O_fasciatus/Sup_tab1/links/of-new\of-new-5-64-64-asb-92.txt","Contig-92")</f>
        <v>Contig-92</v>
      </c>
      <c r="C105" t="str">
        <f>HYPERLINK("http://exon.niaid.nih.gov/transcriptome/O_fasciatus/Sup_tab1/links/of-new\of-new-5-64-64-92-CLU.txt","Contig92")</f>
        <v>Contig92</v>
      </c>
      <c r="D105">
        <v>2</v>
      </c>
      <c r="E105">
        <v>724</v>
      </c>
      <c r="F105" t="str">
        <f>HYPERLINK("http://exon.niaid.nih.gov/transcriptome/O_fasciatus/Sup_tab1/links/of-new\of-new-5-64-64-92-qual.txt","82.4")</f>
        <v>82.4</v>
      </c>
      <c r="G105">
        <v>1.1</v>
      </c>
      <c r="H105">
        <v>62.6</v>
      </c>
      <c r="I105" t="s">
        <v>547</v>
      </c>
      <c r="J105">
        <v>92</v>
      </c>
      <c r="K105" t="s">
        <v>1171</v>
      </c>
      <c r="L105" t="s">
        <v>547</v>
      </c>
      <c r="M105" s="3" t="str">
        <f>HYPERLINK("http://exon.niaid.nih.gov/transcriptome/O_fasciatus/Sup_tab1/links/NR\of-new-contig_92-NR.txt","PREDICTED: similar to CG7830-PA")</f>
        <v>PREDICTED: similar to CG7830-PA</v>
      </c>
      <c r="N105" s="2" t="str">
        <f>HYPERLINK("http://www.ncbi.nlm.nih.gov/sutils/blink.cgi?pid=91081359","1E-073")</f>
        <v>1E-073</v>
      </c>
      <c r="O105" t="s">
        <v>781</v>
      </c>
      <c r="P105">
        <v>177</v>
      </c>
      <c r="Q105">
        <v>327</v>
      </c>
      <c r="R105">
        <v>73</v>
      </c>
      <c r="S105">
        <v>54</v>
      </c>
      <c r="T105">
        <v>151</v>
      </c>
      <c r="U105">
        <v>3</v>
      </c>
      <c r="V105">
        <v>1</v>
      </c>
      <c r="W105" t="s">
        <v>1412</v>
      </c>
      <c r="X105" t="s">
        <v>676</v>
      </c>
      <c r="Y105" t="s">
        <v>782</v>
      </c>
      <c r="Z105" s="4" t="s">
        <v>1063</v>
      </c>
      <c r="AA105" t="s">
        <v>1064</v>
      </c>
      <c r="AB105" s="3" t="s">
        <v>783</v>
      </c>
      <c r="AC105" s="2">
        <f>HYPERLINK("http://exon.niaid.nih.gov/transcriptome/O_fasciatus/Sup_tab1/links/GO\of-new-contig_92-GO.txt",4E-63)</f>
        <v>0</v>
      </c>
      <c r="AD105" s="4" t="s">
        <v>784</v>
      </c>
      <c r="AE105" t="s">
        <v>785</v>
      </c>
      <c r="AF105" s="1">
        <v>2E-62</v>
      </c>
      <c r="AG105" s="4" t="s">
        <v>786</v>
      </c>
      <c r="AH105" t="s">
        <v>787</v>
      </c>
      <c r="AI105" s="1">
        <v>2E-62</v>
      </c>
      <c r="AJ105" s="4" t="s">
        <v>788</v>
      </c>
      <c r="AK105" t="s">
        <v>789</v>
      </c>
      <c r="AL105" s="1">
        <v>2E-62</v>
      </c>
      <c r="AM105" s="3" t="str">
        <f>HYPERLINK("http://exon.niaid.nih.gov/transcriptome/O_fasciatus/Sup_tab1/links/KOG\of-new-contig_92-KOG.txt","Oligosaccharyltransferase, gamma subunit")</f>
        <v>Oligosaccharyltransferase, gamma subunit</v>
      </c>
      <c r="AN105" s="2" t="str">
        <f>HYPERLINK("http://www.ncbi.nlm.nih.gov/COG/new/shokog.cgi?KOG2603","3E-051")</f>
        <v>3E-051</v>
      </c>
      <c r="AO105" t="s">
        <v>653</v>
      </c>
      <c r="AP105" s="3" t="str">
        <f>HYPERLINK("http://exon.niaid.nih.gov/transcriptome/O_fasciatus/Sup_tab1/links/CDD\of-new-contig_92-CDD.txt","OST3_OST6")</f>
        <v>OST3_OST6</v>
      </c>
      <c r="AQ105" s="2" t="str">
        <f>HYPERLINK("http://www.ncbi.nlm.nih.gov/Structure/cdd/cddsrv.cgi?uid=pfam04756&amp;version=v4.0","4E-060")</f>
        <v>4E-060</v>
      </c>
      <c r="AR105" t="s">
        <v>790</v>
      </c>
      <c r="AS105" s="3" t="str">
        <f>HYPERLINK("http://exon.niaid.nih.gov/transcriptome/O_fasciatus/Sup_tab1/links/PFAM\of-new-contig_92-PFAM.txt","OST3_OST6")</f>
        <v>OST3_OST6</v>
      </c>
      <c r="AT105" s="2" t="str">
        <f>HYPERLINK("http://pfam.wustl.edu/cgi-bin/getdesc?acc=PF04756","2E-060")</f>
        <v>2E-060</v>
      </c>
      <c r="AU105" s="3" t="str">
        <f>HYPERLINK("http://exon.niaid.nih.gov/transcriptome/O_fasciatus/Sup_tab1/links/SMART\of-new-contig_92-SMART.txt","PSN")</f>
        <v>PSN</v>
      </c>
      <c r="AV105" s="2" t="str">
        <f>HYPERLINK("http://smart.embl-heidelberg.de/smart/do_annotation.pl?DOMAIN=PSN&amp;BLAST=DUMMY","0.027")</f>
        <v>0.027</v>
      </c>
      <c r="AW105" s="3" t="s">
        <v>547</v>
      </c>
      <c r="AX105" s="2" t="s">
        <v>547</v>
      </c>
      <c r="AY105" s="3" t="s">
        <v>547</v>
      </c>
      <c r="AZ105" s="2" t="s">
        <v>547</v>
      </c>
    </row>
    <row r="106" spans="1:52" ht="11.25">
      <c r="A106" t="str">
        <f>HYPERLINK("http://exon.niaid.nih.gov/transcriptome/O_fasciatus/Sup_tab1/links/of-new\of-new-contig_244.txt","of-new-contig_244")</f>
        <v>of-new-contig_244</v>
      </c>
      <c r="B106" t="str">
        <f>HYPERLINK("http://exon.niaid.nih.gov/transcriptome/O_fasciatus/Sup_tab1/links/of-new\of-new-5-64-64-asb-244.txt","Contig-244")</f>
        <v>Contig-244</v>
      </c>
      <c r="C106" t="str">
        <f>HYPERLINK("http://exon.niaid.nih.gov/transcriptome/O_fasciatus/Sup_tab1/links/of-new\of-new-5-64-64-244-CLU.txt","Contig244")</f>
        <v>Contig244</v>
      </c>
      <c r="D106">
        <v>1</v>
      </c>
      <c r="E106">
        <v>168</v>
      </c>
      <c r="F106" t="str">
        <f>HYPERLINK("http://exon.niaid.nih.gov/transcriptome/O_fasciatus/Sup_tab1/links/of-new\of-new-5-64-64-244-qual.txt","55.1")</f>
        <v>55.1</v>
      </c>
      <c r="G106" t="s">
        <v>541</v>
      </c>
      <c r="H106">
        <v>64.9</v>
      </c>
      <c r="I106">
        <v>149</v>
      </c>
      <c r="J106">
        <v>244</v>
      </c>
      <c r="K106" t="s">
        <v>1322</v>
      </c>
      <c r="L106">
        <v>149</v>
      </c>
      <c r="M106" s="3" t="str">
        <f>HYPERLINK("http://exon.niaid.nih.gov/transcriptome/O_fasciatus/Sup_tab1/links/NR\of-new-contig_244-NR.txt","PREDICTED: similar to CG2852-PA, isoform A")</f>
        <v>PREDICTED: similar to CG2852-PA, isoform A</v>
      </c>
      <c r="N106" s="2" t="str">
        <f>HYPERLINK("http://www.ncbi.nlm.nih.gov/sutils/blink.cgi?pid=91083463","9E-008")</f>
        <v>9E-008</v>
      </c>
      <c r="O106" t="s">
        <v>365</v>
      </c>
      <c r="P106">
        <v>40</v>
      </c>
      <c r="Q106">
        <v>209</v>
      </c>
      <c r="R106">
        <v>70</v>
      </c>
      <c r="S106">
        <v>19</v>
      </c>
      <c r="T106">
        <v>170</v>
      </c>
      <c r="U106">
        <v>11</v>
      </c>
      <c r="V106">
        <v>1</v>
      </c>
      <c r="W106" t="s">
        <v>1412</v>
      </c>
      <c r="X106" t="s">
        <v>676</v>
      </c>
      <c r="Y106" t="s">
        <v>366</v>
      </c>
      <c r="Z106" s="4" t="s">
        <v>1114</v>
      </c>
      <c r="AA106" t="s">
        <v>1064</v>
      </c>
      <c r="AB106" s="3" t="s">
        <v>367</v>
      </c>
      <c r="AC106" s="2">
        <f>HYPERLINK("http://exon.niaid.nih.gov/transcriptome/O_fasciatus/Sup_tab1/links/GO\of-new-contig_244-GO.txt",0.000003)</f>
        <v>0</v>
      </c>
      <c r="AD106" s="4" t="s">
        <v>547</v>
      </c>
      <c r="AE106" t="s">
        <v>547</v>
      </c>
      <c r="AF106" t="s">
        <v>547</v>
      </c>
      <c r="AG106" s="4" t="s">
        <v>1638</v>
      </c>
      <c r="AH106" t="s">
        <v>1639</v>
      </c>
      <c r="AI106">
        <v>0.006</v>
      </c>
      <c r="AJ106" s="4" t="s">
        <v>547</v>
      </c>
      <c r="AK106" t="s">
        <v>547</v>
      </c>
      <c r="AL106" t="s">
        <v>547</v>
      </c>
      <c r="AM106" s="3" t="str">
        <f>HYPERLINK("http://exon.niaid.nih.gov/transcriptome/O_fasciatus/Sup_tab1/links/KOG\of-new-contig_244-KOG.txt","Peptidyl-prolyl cis-trans isomerase")</f>
        <v>Peptidyl-prolyl cis-trans isomerase</v>
      </c>
      <c r="AN106" s="2" t="str">
        <f>HYPERLINK("http://www.ncbi.nlm.nih.gov/COG/new/shokog.cgi?KOG0880","5E-006")</f>
        <v>5E-006</v>
      </c>
      <c r="AO106" t="s">
        <v>653</v>
      </c>
      <c r="AP106" s="3" t="str">
        <f>HYPERLINK("http://exon.niaid.nih.gov/transcriptome/O_fasciatus/Sup_tab1/links/CDD\of-new-contig_244-CDD.txt","Pro_isomerase")</f>
        <v>Pro_isomerase</v>
      </c>
      <c r="AQ106" s="2" t="str">
        <f>HYPERLINK("http://www.ncbi.nlm.nih.gov/Structure/cdd/cddsrv.cgi?uid=pfam00160&amp;version=v4.0","0.003")</f>
        <v>0.003</v>
      </c>
      <c r="AR106" t="s">
        <v>368</v>
      </c>
      <c r="AS106" s="3" t="str">
        <f>HYPERLINK("http://exon.niaid.nih.gov/transcriptome/O_fasciatus/Sup_tab1/links/PFAM\of-new-contig_244-PFAM.txt","Pro_isomerase")</f>
        <v>Pro_isomerase</v>
      </c>
      <c r="AT106" s="2" t="str">
        <f>HYPERLINK("http://pfam.wustl.edu/cgi-bin/getdesc?acc=PF00160","0.001")</f>
        <v>0.001</v>
      </c>
      <c r="AU106" s="3" t="str">
        <f>HYPERLINK("http://exon.niaid.nih.gov/transcriptome/O_fasciatus/Sup_tab1/links/SMART\of-new-contig_244-SMART.txt","DM11")</f>
        <v>DM11</v>
      </c>
      <c r="AV106" s="2" t="str">
        <f>HYPERLINK("http://smart.embl-heidelberg.de/smart/do_annotation.pl?DOMAIN=DM11&amp;BLAST=DUMMY","0.36")</f>
        <v>0.36</v>
      </c>
      <c r="AW106" s="3" t="s">
        <v>547</v>
      </c>
      <c r="AX106" s="2" t="s">
        <v>547</v>
      </c>
      <c r="AY106" s="3" t="s">
        <v>547</v>
      </c>
      <c r="AZ106" s="2" t="s">
        <v>547</v>
      </c>
    </row>
    <row r="107" s="12" customFormat="1" ht="11.25">
      <c r="A107" s="11" t="s">
        <v>76</v>
      </c>
    </row>
    <row r="108" spans="1:52" ht="11.25">
      <c r="A108" t="str">
        <f>HYPERLINK("http://exon.niaid.nih.gov/transcriptome/O_fasciatus/Sup_tab1/links/of-new\of-new-contig_119.txt","of-new-contig_119")</f>
        <v>of-new-contig_119</v>
      </c>
      <c r="B108" t="str">
        <f>HYPERLINK("http://exon.niaid.nih.gov/transcriptome/O_fasciatus/Sup_tab1/links/of-new\of-new-5-64-64-asb-119.txt","Contig-119")</f>
        <v>Contig-119</v>
      </c>
      <c r="C108" t="str">
        <f>HYPERLINK("http://exon.niaid.nih.gov/transcriptome/O_fasciatus/Sup_tab1/links/of-new\of-new-5-64-64-119-CLU.txt","Contig119")</f>
        <v>Contig119</v>
      </c>
      <c r="D108">
        <v>2</v>
      </c>
      <c r="E108">
        <v>429</v>
      </c>
      <c r="F108" t="str">
        <f>HYPERLINK("http://exon.niaid.nih.gov/transcriptome/O_fasciatus/Sup_tab1/links/of-new\of-new-5-64-64-119-qual.txt","91.8")</f>
        <v>91.8</v>
      </c>
      <c r="G108" t="s">
        <v>541</v>
      </c>
      <c r="H108">
        <v>60.6</v>
      </c>
      <c r="I108">
        <v>410</v>
      </c>
      <c r="J108">
        <v>119</v>
      </c>
      <c r="K108" t="s">
        <v>1198</v>
      </c>
      <c r="L108">
        <v>411</v>
      </c>
      <c r="M108" s="3" t="str">
        <f>HYPERLINK("http://exon.niaid.nih.gov/transcriptome/O_fasciatus/Sup_tab1/links/NR\of-new-contig_119-NR.txt","signal sequence receptor [Anopheles gambiae]")</f>
        <v>signal sequence receptor [Anopheles gambiae]</v>
      </c>
      <c r="N108" s="2" t="str">
        <f>HYPERLINK("http://www.ncbi.nlm.nih.gov/sutils/blink.cgi?pid=68697265","3E-023")</f>
        <v>3E-023</v>
      </c>
      <c r="O108" t="s">
        <v>27</v>
      </c>
      <c r="P108">
        <v>106</v>
      </c>
      <c r="Q108">
        <v>284</v>
      </c>
      <c r="R108">
        <v>53</v>
      </c>
      <c r="S108">
        <v>37</v>
      </c>
      <c r="T108">
        <v>183</v>
      </c>
      <c r="U108">
        <v>1</v>
      </c>
      <c r="V108">
        <v>1</v>
      </c>
      <c r="W108" t="s">
        <v>1412</v>
      </c>
      <c r="X108" t="s">
        <v>1628</v>
      </c>
      <c r="Y108" t="s">
        <v>28</v>
      </c>
      <c r="Z108" s="4" t="s">
        <v>1076</v>
      </c>
      <c r="AA108" t="s">
        <v>1077</v>
      </c>
      <c r="AB108" s="3" t="s">
        <v>29</v>
      </c>
      <c r="AC108" s="2">
        <f>HYPERLINK("http://exon.niaid.nih.gov/transcriptome/O_fasciatus/Sup_tab1/links/GO\of-new-contig_119-GO.txt",1E-21)</f>
        <v>0</v>
      </c>
      <c r="AD108" s="4" t="s">
        <v>30</v>
      </c>
      <c r="AE108" t="s">
        <v>31</v>
      </c>
      <c r="AF108">
        <v>8E-14</v>
      </c>
      <c r="AG108" s="4" t="s">
        <v>32</v>
      </c>
      <c r="AH108" t="s">
        <v>33</v>
      </c>
      <c r="AI108">
        <v>8E-14</v>
      </c>
      <c r="AJ108" s="4" t="s">
        <v>34</v>
      </c>
      <c r="AK108" t="s">
        <v>35</v>
      </c>
      <c r="AL108">
        <v>8E-14</v>
      </c>
      <c r="AM108" s="3" t="str">
        <f>HYPERLINK("http://exon.niaid.nih.gov/transcriptome/O_fasciatus/Sup_tab1/links/KOG\of-new-contig_119-KOG.txt","Translocon-associated complex TRAP, alpha subunit")</f>
        <v>Translocon-associated complex TRAP, alpha subunit</v>
      </c>
      <c r="AN108" s="2" t="str">
        <f>HYPERLINK("http://www.ncbi.nlm.nih.gov/COG/new/shokog.cgi?KOG1631","2E-019")</f>
        <v>2E-019</v>
      </c>
      <c r="AO108" t="s">
        <v>300</v>
      </c>
      <c r="AP108" s="3" t="str">
        <f>HYPERLINK("http://exon.niaid.nih.gov/transcriptome/O_fasciatus/Sup_tab1/links/CDD\of-new-contig_119-CDD.txt","TRAP_alpha")</f>
        <v>TRAP_alpha</v>
      </c>
      <c r="AQ108" s="2" t="str">
        <f>HYPERLINK("http://www.ncbi.nlm.nih.gov/Structure/cdd/cddsrv.cgi?uid=pfam03896&amp;version=v4.0","5E-024")</f>
        <v>5E-024</v>
      </c>
      <c r="AR108" t="s">
        <v>36</v>
      </c>
      <c r="AS108" s="3" t="str">
        <f>HYPERLINK("http://exon.niaid.nih.gov/transcriptome/O_fasciatus/Sup_tab1/links/PFAM\of-new-contig_119-PFAM.txt","TRAP_alpha")</f>
        <v>TRAP_alpha</v>
      </c>
      <c r="AT108" s="2" t="str">
        <f>HYPERLINK("http://pfam.wustl.edu/cgi-bin/getdesc?acc=PF03896","3E-024")</f>
        <v>3E-024</v>
      </c>
      <c r="AU108" s="3" t="str">
        <f>HYPERLINK("http://exon.niaid.nih.gov/transcriptome/O_fasciatus/Sup_tab1/links/SMART\of-new-contig_119-SMART.txt","SEC63")</f>
        <v>SEC63</v>
      </c>
      <c r="AV108" s="2" t="str">
        <f>HYPERLINK("http://smart.embl-heidelberg.de/smart/do_annotation.pl?DOMAIN=SEC63&amp;BLAST=DUMMY","0.32")</f>
        <v>0.32</v>
      </c>
      <c r="AW108" s="3" t="s">
        <v>547</v>
      </c>
      <c r="AX108" s="2" t="s">
        <v>547</v>
      </c>
      <c r="AY108" s="3" t="s">
        <v>547</v>
      </c>
      <c r="AZ108" s="2" t="s">
        <v>547</v>
      </c>
    </row>
    <row r="109" spans="1:52" ht="11.25">
      <c r="A109" t="str">
        <f>HYPERLINK("http://exon.niaid.nih.gov/transcriptome/O_fasciatus/Sup_tab1/links/of-new\of-new-contig_173.txt","of-new-contig_173")</f>
        <v>of-new-contig_173</v>
      </c>
      <c r="B109" t="str">
        <f>HYPERLINK("http://exon.niaid.nih.gov/transcriptome/O_fasciatus/Sup_tab1/links/of-new\of-new-5-64-64-asb-173.txt","Contig-173")</f>
        <v>Contig-173</v>
      </c>
      <c r="C109" t="str">
        <f>HYPERLINK("http://exon.niaid.nih.gov/transcriptome/O_fasciatus/Sup_tab1/links/of-new\of-new-5-64-64-173-CLU.txt","Contig173")</f>
        <v>Contig173</v>
      </c>
      <c r="D109">
        <v>1</v>
      </c>
      <c r="E109">
        <v>1056</v>
      </c>
      <c r="F109" t="str">
        <f>HYPERLINK("http://exon.niaid.nih.gov/transcriptome/O_fasciatus/Sup_tab1/links/of-new\of-new-5-64-64-173-qual.txt","37.1")</f>
        <v>37.1</v>
      </c>
      <c r="G109">
        <v>2.7</v>
      </c>
      <c r="H109">
        <v>59.1</v>
      </c>
      <c r="I109" t="s">
        <v>547</v>
      </c>
      <c r="J109">
        <v>173</v>
      </c>
      <c r="K109" t="s">
        <v>1251</v>
      </c>
      <c r="L109" t="s">
        <v>547</v>
      </c>
      <c r="M109" s="3" t="str">
        <f>HYPERLINK("http://exon.niaid.nih.gov/transcriptome/O_fasciatus/Sup_tab1/links/NR\of-new-contig_173-NR.txt","PREDICTED: similar to Signal sequence receptor CG5474-PA")</f>
        <v>PREDICTED: similar to Signal sequence receptor CG5474-PA</v>
      </c>
      <c r="N109" s="2" t="str">
        <f>HYPERLINK("http://www.ncbi.nlm.nih.gov/sutils/blink.cgi?pid=66501038","1E-042")</f>
        <v>1E-042</v>
      </c>
      <c r="O109" t="s">
        <v>171</v>
      </c>
      <c r="P109">
        <v>150</v>
      </c>
      <c r="Q109">
        <v>191</v>
      </c>
      <c r="R109">
        <v>58</v>
      </c>
      <c r="S109">
        <v>79</v>
      </c>
      <c r="T109">
        <v>41</v>
      </c>
      <c r="U109">
        <v>1</v>
      </c>
      <c r="V109">
        <v>1</v>
      </c>
      <c r="W109" t="s">
        <v>1412</v>
      </c>
      <c r="X109" t="s">
        <v>520</v>
      </c>
      <c r="Y109" t="s">
        <v>172</v>
      </c>
      <c r="Z109" s="4" t="s">
        <v>1094</v>
      </c>
      <c r="AA109" t="s">
        <v>1077</v>
      </c>
      <c r="AB109" s="3" t="s">
        <v>173</v>
      </c>
      <c r="AC109" s="2">
        <f>HYPERLINK("http://exon.niaid.nih.gov/transcriptome/O_fasciatus/Sup_tab1/links/GO\of-new-contig_173-GO.txt",2E-35)</f>
        <v>0</v>
      </c>
      <c r="AD109" s="4" t="s">
        <v>30</v>
      </c>
      <c r="AE109" t="s">
        <v>31</v>
      </c>
      <c r="AF109" s="1">
        <v>2E-35</v>
      </c>
      <c r="AG109" s="4" t="s">
        <v>174</v>
      </c>
      <c r="AH109" t="s">
        <v>175</v>
      </c>
      <c r="AI109" s="1">
        <v>2E-35</v>
      </c>
      <c r="AJ109" s="4" t="s">
        <v>176</v>
      </c>
      <c r="AK109" t="s">
        <v>177</v>
      </c>
      <c r="AL109" s="1">
        <v>2E-35</v>
      </c>
      <c r="AM109" s="3" t="str">
        <f>HYPERLINK("http://exon.niaid.nih.gov/transcriptome/O_fasciatus/Sup_tab1/links/KOG\of-new-contig_173-KOG.txt","Translocon-associated complex TRAP, beta subunit")</f>
        <v>Translocon-associated complex TRAP, beta subunit</v>
      </c>
      <c r="AN109" s="2" t="str">
        <f>HYPERLINK("http://www.ncbi.nlm.nih.gov/COG/new/shokog.cgi?KOG3317","2E-039")</f>
        <v>2E-039</v>
      </c>
      <c r="AO109" t="s">
        <v>300</v>
      </c>
      <c r="AP109" s="3" t="str">
        <f>HYPERLINK("http://exon.niaid.nih.gov/transcriptome/O_fasciatus/Sup_tab1/links/CDD\of-new-contig_173-CDD.txt","TRAP_beta")</f>
        <v>TRAP_beta</v>
      </c>
      <c r="AQ109" s="2" t="str">
        <f>HYPERLINK("http://www.ncbi.nlm.nih.gov/Structure/cdd/cddsrv.cgi?uid=pfam05753&amp;version=v4.0","7E-042")</f>
        <v>7E-042</v>
      </c>
      <c r="AR109" t="s">
        <v>178</v>
      </c>
      <c r="AS109" s="3" t="str">
        <f>HYPERLINK("http://exon.niaid.nih.gov/transcriptome/O_fasciatus/Sup_tab1/links/PFAM\of-new-contig_173-PFAM.txt","TRAP_beta")</f>
        <v>TRAP_beta</v>
      </c>
      <c r="AT109" s="2" t="str">
        <f>HYPERLINK("http://pfam.wustl.edu/cgi-bin/getdesc?acc=PF05753","3E-042")</f>
        <v>3E-042</v>
      </c>
      <c r="AU109" s="3" t="str">
        <f>HYPERLINK("http://exon.niaid.nih.gov/transcriptome/O_fasciatus/Sup_tab1/links/SMART\of-new-contig_173-SMART.txt","KISc")</f>
        <v>KISc</v>
      </c>
      <c r="AV109" s="2" t="str">
        <f>HYPERLINK("http://smart.embl-heidelberg.de/smart/do_annotation.pl?DOMAIN=KISc&amp;BLAST=DUMMY","0.26")</f>
        <v>0.26</v>
      </c>
      <c r="AW109" s="3" t="s">
        <v>547</v>
      </c>
      <c r="AX109" s="2" t="s">
        <v>547</v>
      </c>
      <c r="AY109" s="3" t="s">
        <v>547</v>
      </c>
      <c r="AZ109" s="2" t="s">
        <v>547</v>
      </c>
    </row>
    <row r="110" s="12" customFormat="1" ht="11.25">
      <c r="A110" s="11" t="s">
        <v>69</v>
      </c>
    </row>
    <row r="111" spans="1:52" ht="11.25">
      <c r="A111" t="str">
        <f>HYPERLINK("http://exon.niaid.nih.gov/transcriptome/O_fasciatus/Sup_tab1/links/of-new\of-new-contig_239.txt","of-new-contig_239")</f>
        <v>of-new-contig_239</v>
      </c>
      <c r="B111" t="str">
        <f>HYPERLINK("http://exon.niaid.nih.gov/transcriptome/O_fasciatus/Sup_tab1/links/of-new\of-new-5-64-64-asb-239.txt","Contig-239")</f>
        <v>Contig-239</v>
      </c>
      <c r="C111" t="str">
        <f>HYPERLINK("http://exon.niaid.nih.gov/transcriptome/O_fasciatus/Sup_tab1/links/of-new\of-new-5-64-64-239-CLU.txt","Contig239")</f>
        <v>Contig239</v>
      </c>
      <c r="D111">
        <v>1</v>
      </c>
      <c r="E111">
        <v>226</v>
      </c>
      <c r="F111" t="str">
        <f>HYPERLINK("http://exon.niaid.nih.gov/transcriptome/O_fasciatus/Sup_tab1/links/of-new\of-new-5-64-64-239-qual.txt","43.4")</f>
        <v>43.4</v>
      </c>
      <c r="G111" t="s">
        <v>541</v>
      </c>
      <c r="H111">
        <v>60.6</v>
      </c>
      <c r="I111">
        <v>207</v>
      </c>
      <c r="J111">
        <v>239</v>
      </c>
      <c r="K111" t="s">
        <v>1317</v>
      </c>
      <c r="L111">
        <v>207</v>
      </c>
      <c r="M111" s="3" t="str">
        <f>HYPERLINK("http://exon.niaid.nih.gov/transcriptome/O_fasciatus/Sup_tab1/links/NR\of-new-contig_239-NR.txt","PREDICTED: similar to CG9281-PB, isoform B")</f>
        <v>PREDICTED: similar to CG9281-PB, isoform B</v>
      </c>
      <c r="N111" s="2" t="str">
        <f>HYPERLINK("http://www.ncbi.nlm.nih.gov/sutils/blink.cgi?pid=110758587","7E-027")</f>
        <v>7E-027</v>
      </c>
      <c r="O111" t="s">
        <v>273</v>
      </c>
      <c r="P111">
        <v>67</v>
      </c>
      <c r="Q111">
        <v>635</v>
      </c>
      <c r="R111">
        <v>83</v>
      </c>
      <c r="S111">
        <v>11</v>
      </c>
      <c r="T111">
        <v>551</v>
      </c>
      <c r="U111">
        <v>2</v>
      </c>
      <c r="V111">
        <v>1</v>
      </c>
      <c r="W111" t="s">
        <v>1412</v>
      </c>
      <c r="X111" t="s">
        <v>520</v>
      </c>
      <c r="Y111" t="s">
        <v>274</v>
      </c>
      <c r="Z111" s="4" t="s">
        <v>1111</v>
      </c>
      <c r="AA111" t="s">
        <v>1112</v>
      </c>
      <c r="AB111" s="3" t="s">
        <v>275</v>
      </c>
      <c r="AC111" s="2">
        <f>HYPERLINK("http://exon.niaid.nih.gov/transcriptome/O_fasciatus/Sup_tab1/links/GO\of-new-contig_239-GO.txt",1E-27)</f>
        <v>0</v>
      </c>
      <c r="AD111" s="4" t="s">
        <v>276</v>
      </c>
      <c r="AE111" t="s">
        <v>277</v>
      </c>
      <c r="AF111" s="1">
        <v>8E-26</v>
      </c>
      <c r="AG111" s="4" t="s">
        <v>1137</v>
      </c>
      <c r="AH111" t="s">
        <v>1138</v>
      </c>
      <c r="AI111" s="1">
        <v>8E-26</v>
      </c>
      <c r="AJ111" s="4" t="s">
        <v>1595</v>
      </c>
      <c r="AK111" t="s">
        <v>1596</v>
      </c>
      <c r="AL111" s="1">
        <v>8E-26</v>
      </c>
      <c r="AM111" s="3" t="str">
        <f>HYPERLINK("http://exon.niaid.nih.gov/transcriptome/O_fasciatus/Sup_tab1/links/KOG\of-new-contig_239-KOG.txt","Predicted transporter (ABC superfamily)")</f>
        <v>Predicted transporter (ABC superfamily)</v>
      </c>
      <c r="AN111" s="2" t="str">
        <f>HYPERLINK("http://www.ncbi.nlm.nih.gov/COG/new/shokog.cgi?KOG0927","6E-026")</f>
        <v>6E-026</v>
      </c>
      <c r="AO111" t="s">
        <v>1503</v>
      </c>
      <c r="AP111" s="3" t="str">
        <f>HYPERLINK("http://exon.niaid.nih.gov/transcriptome/O_fasciatus/Sup_tab1/links/CDD\of-new-contig_239-CDD.txt","Uup")</f>
        <v>Uup</v>
      </c>
      <c r="AQ111" s="2" t="str">
        <f>HYPERLINK("http://www.ncbi.nlm.nih.gov/Structure/cdd/cddsrv.cgi?uid=COG0488&amp;version=v4.0","2E-016")</f>
        <v>2E-016</v>
      </c>
      <c r="AR111" t="s">
        <v>278</v>
      </c>
      <c r="AS111" s="3" t="str">
        <f>HYPERLINK("http://exon.niaid.nih.gov/transcriptome/O_fasciatus/Sup_tab1/links/PFAM\of-new-contig_239-PFAM.txt","ABC_tran")</f>
        <v>ABC_tran</v>
      </c>
      <c r="AT111" s="2" t="str">
        <f>HYPERLINK("http://pfam.wustl.edu/cgi-bin/getdesc?acc=PF00005","1E-007")</f>
        <v>1E-007</v>
      </c>
      <c r="AU111" s="3" t="str">
        <f>HYPERLINK("http://exon.niaid.nih.gov/transcriptome/O_fasciatus/Sup_tab1/links/SMART\of-new-contig_239-SMART.txt","PAC")</f>
        <v>PAC</v>
      </c>
      <c r="AV111" s="2" t="str">
        <f>HYPERLINK("http://smart.embl-heidelberg.de/smart/do_annotation.pl?DOMAIN=PAC&amp;BLAST=DUMMY","0.14")</f>
        <v>0.14</v>
      </c>
      <c r="AW111" s="3" t="s">
        <v>547</v>
      </c>
      <c r="AX111" s="2" t="s">
        <v>547</v>
      </c>
      <c r="AY111" s="3" t="s">
        <v>547</v>
      </c>
      <c r="AZ111" s="2" t="s">
        <v>547</v>
      </c>
    </row>
    <row r="112" s="12" customFormat="1" ht="11.25">
      <c r="A112" s="11" t="s">
        <v>70</v>
      </c>
    </row>
    <row r="113" spans="1:52" ht="11.25">
      <c r="A113" t="str">
        <f>HYPERLINK("http://exon.niaid.nih.gov/transcriptome/O_fasciatus/Sup_tab1/links/of-new\of-new-contig_17.txt","of-new-contig_17")</f>
        <v>of-new-contig_17</v>
      </c>
      <c r="B113" t="str">
        <f>HYPERLINK("http://exon.niaid.nih.gov/transcriptome/O_fasciatus/Sup_tab1/links/of-new\of-new-5-64-64-asb-17.txt","Contig-17")</f>
        <v>Contig-17</v>
      </c>
      <c r="C113" t="str">
        <f>HYPERLINK("http://exon.niaid.nih.gov/transcriptome/O_fasciatus/Sup_tab1/links/of-new\of-new-5-64-64-17-CLU.txt","Contig17")</f>
        <v>Contig17</v>
      </c>
      <c r="D113">
        <v>2</v>
      </c>
      <c r="E113">
        <v>623</v>
      </c>
      <c r="F113" t="str">
        <f>HYPERLINK("http://exon.niaid.nih.gov/transcriptome/O_fasciatus/Sup_tab1/links/of-new\of-new-5-64-64-17-qual.txt","90.3")</f>
        <v>90.3</v>
      </c>
      <c r="G113">
        <v>0.8</v>
      </c>
      <c r="H113">
        <v>49.8</v>
      </c>
      <c r="I113" t="s">
        <v>547</v>
      </c>
      <c r="J113">
        <v>17</v>
      </c>
      <c r="K113" t="s">
        <v>559</v>
      </c>
      <c r="L113" t="s">
        <v>547</v>
      </c>
      <c r="M113" s="3" t="str">
        <f>HYPERLINK("http://exon.niaid.nih.gov/transcriptome/O_fasciatus/Sup_tab1/links/NR\of-new-contig_17-NR.txt","hypothetical protein UM02043.1 [Ustilago maydis 521]")</f>
        <v>hypothetical protein UM02043.1 [Ustilago maydis 521]</v>
      </c>
      <c r="N113" s="2" t="str">
        <f>HYPERLINK("http://www.ncbi.nlm.nih.gov/sutils/blink.cgi?pid=71008169","0.019")</f>
        <v>0.019</v>
      </c>
      <c r="O113" t="s">
        <v>1642</v>
      </c>
      <c r="P113">
        <v>127</v>
      </c>
      <c r="Q113">
        <v>481</v>
      </c>
      <c r="R113">
        <v>33</v>
      </c>
      <c r="S113">
        <v>26</v>
      </c>
      <c r="T113">
        <v>350</v>
      </c>
      <c r="U113">
        <v>47</v>
      </c>
      <c r="V113">
        <v>1</v>
      </c>
      <c r="W113" t="s">
        <v>1412</v>
      </c>
      <c r="X113" t="s">
        <v>1643</v>
      </c>
      <c r="Y113" t="s">
        <v>1644</v>
      </c>
      <c r="Z113" s="4" t="s">
        <v>1020</v>
      </c>
      <c r="AA113" t="s">
        <v>1021</v>
      </c>
      <c r="AB113" s="3" t="s">
        <v>1645</v>
      </c>
      <c r="AC113" s="2">
        <f>HYPERLINK("http://exon.niaid.nih.gov/transcriptome/O_fasciatus/Sup_tab1/links/GO\of-new-contig_17-GO.txt",0.011)</f>
        <v>0</v>
      </c>
      <c r="AD113" s="4" t="s">
        <v>1646</v>
      </c>
      <c r="AE113" t="s">
        <v>1647</v>
      </c>
      <c r="AF113">
        <v>0.011</v>
      </c>
      <c r="AG113" s="4" t="s">
        <v>1648</v>
      </c>
      <c r="AH113" t="s">
        <v>1649</v>
      </c>
      <c r="AI113">
        <v>0.011</v>
      </c>
      <c r="AJ113" s="4" t="s">
        <v>1650</v>
      </c>
      <c r="AK113" t="s">
        <v>1651</v>
      </c>
      <c r="AL113">
        <v>0.011</v>
      </c>
      <c r="AM113" s="3" t="str">
        <f>HYPERLINK("http://exon.niaid.nih.gov/transcriptome/O_fasciatus/Sup_tab1/links/KOG\of-new-contig_17-KOG.txt","Nuclear pore complex, p54 component (sc Nup57)")</f>
        <v>Nuclear pore complex, p54 component (sc Nup57)</v>
      </c>
      <c r="AN113" s="2" t="str">
        <f>HYPERLINK("http://www.ncbi.nlm.nih.gov/COG/new/shokog.cgi?KOG3091","0.007")</f>
        <v>0.007</v>
      </c>
      <c r="AO113" t="s">
        <v>1652</v>
      </c>
      <c r="AP113" s="3" t="str">
        <f>HYPERLINK("http://exon.niaid.nih.gov/transcriptome/O_fasciatus/Sup_tab1/links/CDD\of-new-contig_17-CDD.txt","COG4371")</f>
        <v>COG4371</v>
      </c>
      <c r="AQ113" s="2" t="str">
        <f>HYPERLINK("http://www.ncbi.nlm.nih.gov/Structure/cdd/cddsrv.cgi?uid=COG4371&amp;version=v4.0","0.11")</f>
        <v>0.11</v>
      </c>
      <c r="AR113" t="s">
        <v>1653</v>
      </c>
      <c r="AS113" s="3" t="str">
        <f>HYPERLINK("http://exon.niaid.nih.gov/transcriptome/O_fasciatus/Sup_tab1/links/PFAM\of-new-contig_17-PFAM.txt","TMP_2")</f>
        <v>TMP_2</v>
      </c>
      <c r="AT113" s="2" t="str">
        <f>HYPERLINK("http://pfam.wustl.edu/cgi-bin/getdesc?acc=PF06791","0.065")</f>
        <v>0.065</v>
      </c>
      <c r="AU113" s="3" t="str">
        <f>HYPERLINK("http://exon.niaid.nih.gov/transcriptome/O_fasciatus/Sup_tab1/links/SMART\of-new-contig_17-SMART.txt","PRP")</f>
        <v>PRP</v>
      </c>
      <c r="AV113" s="2" t="str">
        <f>HYPERLINK("http://smart.embl-heidelberg.de/smart/do_annotation.pl?DOMAIN=PRP&amp;BLAST=DUMMY","0.35")</f>
        <v>0.35</v>
      </c>
      <c r="AW113" s="3" t="s">
        <v>547</v>
      </c>
      <c r="AX113" s="2" t="s">
        <v>547</v>
      </c>
      <c r="AY113" s="3" t="s">
        <v>547</v>
      </c>
      <c r="AZ113" s="2" t="s">
        <v>547</v>
      </c>
    </row>
    <row r="114" s="12" customFormat="1" ht="11.25">
      <c r="A114" s="11" t="s">
        <v>71</v>
      </c>
    </row>
    <row r="115" spans="1:52" ht="11.25">
      <c r="A115" t="str">
        <f>HYPERLINK("http://exon.niaid.nih.gov/transcriptome/O_fasciatus/Sup_tab1/links/of-new\of-new-contig_283.txt","of-new-contig_283")</f>
        <v>of-new-contig_283</v>
      </c>
      <c r="B115" t="str">
        <f>HYPERLINK("http://exon.niaid.nih.gov/transcriptome/O_fasciatus/Sup_tab1/links/of-new\of-new-5-64-64-asb-283.txt","Contig-283")</f>
        <v>Contig-283</v>
      </c>
      <c r="C115" t="str">
        <f>HYPERLINK("http://exon.niaid.nih.gov/transcriptome/O_fasciatus/Sup_tab1/links/of-new\of-new-5-64-64-283-CLU.txt","Contig283")</f>
        <v>Contig283</v>
      </c>
      <c r="D115">
        <v>1</v>
      </c>
      <c r="E115">
        <v>169</v>
      </c>
      <c r="F115" t="str">
        <f>HYPERLINK("http://exon.niaid.nih.gov/transcriptome/O_fasciatus/Sup_tab1/links/of-new\of-new-5-64-64-283-qual.txt","57.1")</f>
        <v>57.1</v>
      </c>
      <c r="G115" t="s">
        <v>541</v>
      </c>
      <c r="H115">
        <v>71</v>
      </c>
      <c r="I115">
        <v>150</v>
      </c>
      <c r="J115">
        <v>283</v>
      </c>
      <c r="K115" t="s">
        <v>1361</v>
      </c>
      <c r="L115">
        <v>150</v>
      </c>
      <c r="M115" s="3" t="str">
        <f>HYPERLINK("http://exon.niaid.nih.gov/transcriptome/O_fasciatus/Sup_tab1/links/NR\of-new-contig_283-NR.txt","GA18169-PA")</f>
        <v>GA18169-PA</v>
      </c>
      <c r="N115" s="2" t="str">
        <f>HYPERLINK("http://www.ncbi.nlm.nih.gov/sutils/blink.cgi?pid=54645319","0.17")</f>
        <v>0.17</v>
      </c>
      <c r="O115" t="s">
        <v>123</v>
      </c>
      <c r="P115">
        <v>21</v>
      </c>
      <c r="Q115">
        <v>151</v>
      </c>
      <c r="R115">
        <v>76</v>
      </c>
      <c r="S115">
        <v>14</v>
      </c>
      <c r="T115">
        <v>131</v>
      </c>
      <c r="U115">
        <v>1</v>
      </c>
      <c r="V115">
        <v>1</v>
      </c>
      <c r="W115" t="s">
        <v>1412</v>
      </c>
      <c r="X115" t="s">
        <v>945</v>
      </c>
      <c r="Y115" t="s">
        <v>124</v>
      </c>
      <c r="Z115" s="4" t="s">
        <v>1122</v>
      </c>
      <c r="AA115" t="s">
        <v>1123</v>
      </c>
      <c r="AB115" s="3" t="s">
        <v>125</v>
      </c>
      <c r="AC115" s="2">
        <f>HYPERLINK("http://exon.niaid.nih.gov/transcriptome/O_fasciatus/Sup_tab1/links/GO\of-new-contig_283-GO.txt",0.038)</f>
        <v>0</v>
      </c>
      <c r="AD115" s="4" t="s">
        <v>547</v>
      </c>
      <c r="AE115" t="s">
        <v>547</v>
      </c>
      <c r="AF115" t="s">
        <v>547</v>
      </c>
      <c r="AG115" s="4" t="s">
        <v>12</v>
      </c>
      <c r="AH115" t="s">
        <v>13</v>
      </c>
      <c r="AI115">
        <v>0.066</v>
      </c>
      <c r="AJ115" s="4" t="s">
        <v>527</v>
      </c>
      <c r="AK115" t="s">
        <v>528</v>
      </c>
      <c r="AL115">
        <v>0.066</v>
      </c>
      <c r="AM115" s="3" t="str">
        <f>HYPERLINK("http://exon.niaid.nih.gov/transcriptome/O_fasciatus/Sup_tab1/links/KOG\of-new-contig_283-KOG.txt","Transcription factor containing NAC and TS-N domains")</f>
        <v>Transcription factor containing NAC and TS-N domains</v>
      </c>
      <c r="AN115" s="2" t="str">
        <f>HYPERLINK("http://www.ncbi.nlm.nih.gov/COG/new/shokog.cgi?KOG2239","4E-005")</f>
        <v>4E-005</v>
      </c>
      <c r="AO115" t="s">
        <v>1640</v>
      </c>
      <c r="AP115" s="3" t="str">
        <f>HYPERLINK("http://exon.niaid.nih.gov/transcriptome/O_fasciatus/Sup_tab1/links/CDD\of-new-contig_283-CDD.txt","EGD2")</f>
        <v>EGD2</v>
      </c>
      <c r="AQ115" s="2" t="str">
        <f>HYPERLINK("http://www.ncbi.nlm.nih.gov/Structure/cdd/cddsrv.cgi?uid=COG1308&amp;version=v4.0","0.031")</f>
        <v>0.031</v>
      </c>
      <c r="AR115" t="s">
        <v>126</v>
      </c>
      <c r="AS115" s="3" t="s">
        <v>547</v>
      </c>
      <c r="AT115" s="2" t="s">
        <v>547</v>
      </c>
      <c r="AU115" s="3" t="s">
        <v>547</v>
      </c>
      <c r="AV115" s="2" t="s">
        <v>547</v>
      </c>
      <c r="AW115" s="3" t="s">
        <v>547</v>
      </c>
      <c r="AX115" s="2" t="s">
        <v>547</v>
      </c>
      <c r="AY115" s="3" t="s">
        <v>547</v>
      </c>
      <c r="AZ115" s="2" t="s">
        <v>547</v>
      </c>
    </row>
    <row r="116" s="12" customFormat="1" ht="11.25">
      <c r="A116" s="11" t="s">
        <v>74</v>
      </c>
    </row>
    <row r="117" spans="1:52" ht="11.25">
      <c r="A117" t="str">
        <f>HYPERLINK("http://exon.niaid.nih.gov/transcriptome/O_fasciatus/Sup_tab1/links/of-new\of-new-contig_289.txt","of-new-contig_289")</f>
        <v>of-new-contig_289</v>
      </c>
      <c r="B117" t="str">
        <f>HYPERLINK("http://exon.niaid.nih.gov/transcriptome/O_fasciatus/Sup_tab1/links/of-new\of-new-5-64-64-asb-289.txt","Contig-289")</f>
        <v>Contig-289</v>
      </c>
      <c r="C117" t="str">
        <f>HYPERLINK("http://exon.niaid.nih.gov/transcriptome/O_fasciatus/Sup_tab1/links/of-new\of-new-5-64-64-289-CLU.txt","Contig289")</f>
        <v>Contig289</v>
      </c>
      <c r="D117">
        <v>1</v>
      </c>
      <c r="E117">
        <v>351</v>
      </c>
      <c r="F117" t="str">
        <f>HYPERLINK("http://exon.niaid.nih.gov/transcriptome/O_fasciatus/Sup_tab1/links/of-new\of-new-5-64-64-289-qual.txt","62.2")</f>
        <v>62.2</v>
      </c>
      <c r="G117" t="s">
        <v>541</v>
      </c>
      <c r="H117">
        <v>70.9</v>
      </c>
      <c r="I117">
        <v>332</v>
      </c>
      <c r="J117">
        <v>289</v>
      </c>
      <c r="K117" t="s">
        <v>1367</v>
      </c>
      <c r="L117">
        <v>332</v>
      </c>
      <c r="M117" s="3" t="str">
        <f>HYPERLINK("http://exon.niaid.nih.gov/transcriptome/O_fasciatus/Sup_tab1/links/NR\of-new-contig_289-NR.txt","PREDICTED: similar to ubiquitin carboxyl-terminal hydrolase L5 (predicted)")</f>
        <v>PREDICTED: similar to ubiquitin carboxyl-terminal hydrolase L5 (predicted)</v>
      </c>
      <c r="N117" s="2" t="str">
        <f>HYPERLINK("http://www.ncbi.nlm.nih.gov/sutils/blink.cgi?pid=91079883","1E-019")</f>
        <v>1E-019</v>
      </c>
      <c r="O117" t="s">
        <v>135</v>
      </c>
      <c r="P117">
        <v>73</v>
      </c>
      <c r="Q117">
        <v>323</v>
      </c>
      <c r="R117">
        <v>64</v>
      </c>
      <c r="S117">
        <v>23</v>
      </c>
      <c r="T117">
        <v>251</v>
      </c>
      <c r="U117">
        <v>9</v>
      </c>
      <c r="V117">
        <v>1</v>
      </c>
      <c r="W117" t="s">
        <v>1412</v>
      </c>
      <c r="X117" t="s">
        <v>676</v>
      </c>
      <c r="Y117" t="s">
        <v>681</v>
      </c>
      <c r="Z117" s="4" t="s">
        <v>1125</v>
      </c>
      <c r="AA117" t="s">
        <v>1126</v>
      </c>
      <c r="AB117" s="3" t="s">
        <v>682</v>
      </c>
      <c r="AC117" s="2">
        <f>HYPERLINK("http://exon.niaid.nih.gov/transcriptome/O_fasciatus/Sup_tab1/links/GO\of-new-contig_289-GO.txt",0.00000000000000001)</f>
        <v>0</v>
      </c>
      <c r="AD117" s="4" t="s">
        <v>683</v>
      </c>
      <c r="AE117" t="s">
        <v>684</v>
      </c>
      <c r="AF117" s="1">
        <v>1E-17</v>
      </c>
      <c r="AG117" s="4" t="s">
        <v>685</v>
      </c>
      <c r="AH117" t="s">
        <v>686</v>
      </c>
      <c r="AI117" s="1">
        <v>1E-17</v>
      </c>
      <c r="AJ117" s="4" t="s">
        <v>808</v>
      </c>
      <c r="AK117" t="s">
        <v>809</v>
      </c>
      <c r="AL117" s="1">
        <v>1E-17</v>
      </c>
      <c r="AM117" s="3" t="str">
        <f>HYPERLINK("http://exon.niaid.nih.gov/transcriptome/O_fasciatus/Sup_tab1/links/KOG\of-new-contig_289-KOG.txt","Ubiquitin C-terminal hydrolase")</f>
        <v>Ubiquitin C-terminal hydrolase</v>
      </c>
      <c r="AN117" s="2" t="str">
        <f>HYPERLINK("http://www.ncbi.nlm.nih.gov/COG/new/shokog.cgi?KOG2778","1E-017")</f>
        <v>1E-017</v>
      </c>
      <c r="AO117" t="s">
        <v>653</v>
      </c>
      <c r="AP117" s="3" t="str">
        <f>HYPERLINK("http://exon.niaid.nih.gov/transcriptome/O_fasciatus/Sup_tab1/links/CDD\of-new-contig_289-CDD.txt","HMG-box")</f>
        <v>HMG-box</v>
      </c>
      <c r="AQ117" s="2" t="str">
        <f>HYPERLINK("http://www.ncbi.nlm.nih.gov/Structure/cdd/cddsrv.cgi?uid=cd00084&amp;version=v4.0","0.13")</f>
        <v>0.13</v>
      </c>
      <c r="AR117" t="s">
        <v>687</v>
      </c>
      <c r="AS117" s="3" t="str">
        <f>HYPERLINK("http://exon.niaid.nih.gov/transcriptome/O_fasciatus/Sup_tab1/links/PFAM\of-new-contig_289-PFAM.txt","Brix")</f>
        <v>Brix</v>
      </c>
      <c r="AT117" s="2" t="str">
        <f>HYPERLINK("http://pfam.wustl.edu/cgi-bin/getdesc?acc=PF04427","0.27")</f>
        <v>0.27</v>
      </c>
      <c r="AU117" s="3" t="str">
        <f>HYPERLINK("http://exon.niaid.nih.gov/transcriptome/O_fasciatus/Sup_tab1/links/SMART\of-new-contig_289-SMART.txt","TLC")</f>
        <v>TLC</v>
      </c>
      <c r="AV117" s="2" t="str">
        <f>HYPERLINK("http://smart.embl-heidelberg.de/smart/do_annotation.pl?DOMAIN=TLC&amp;BLAST=DUMMY","0.32")</f>
        <v>0.32</v>
      </c>
      <c r="AW117" s="3" t="s">
        <v>547</v>
      </c>
      <c r="AX117" s="2" t="s">
        <v>547</v>
      </c>
      <c r="AY117" s="3" t="s">
        <v>547</v>
      </c>
      <c r="AZ117" s="2" t="s">
        <v>547</v>
      </c>
    </row>
    <row r="118" s="12" customFormat="1" ht="11.25">
      <c r="A118" s="11" t="s">
        <v>77</v>
      </c>
    </row>
    <row r="119" spans="1:52" ht="11.25">
      <c r="A119" t="str">
        <f>HYPERLINK("http://exon.niaid.nih.gov/transcriptome/O_fasciatus/Sup_tab1/links/of-new\of-new-contig_114.txt","of-new-contig_114")</f>
        <v>of-new-contig_114</v>
      </c>
      <c r="B119" t="str">
        <f>HYPERLINK("http://exon.niaid.nih.gov/transcriptome/O_fasciatus/Sup_tab1/links/of-new\of-new-5-64-64-asb-114.txt","Contig-114")</f>
        <v>Contig-114</v>
      </c>
      <c r="C119" t="str">
        <f>HYPERLINK("http://exon.niaid.nih.gov/transcriptome/O_fasciatus/Sup_tab1/links/of-new\of-new-5-64-64-114-CLU.txt","Contig114")</f>
        <v>Contig114</v>
      </c>
      <c r="D119">
        <v>2</v>
      </c>
      <c r="E119">
        <v>479</v>
      </c>
      <c r="F119" t="str">
        <f>HYPERLINK("http://exon.niaid.nih.gov/transcriptome/O_fasciatus/Sup_tab1/links/of-new\of-new-5-64-64-114-qual.txt","90.6")</f>
        <v>90.6</v>
      </c>
      <c r="G119" t="s">
        <v>541</v>
      </c>
      <c r="H119">
        <v>69.1</v>
      </c>
      <c r="I119">
        <v>460</v>
      </c>
      <c r="J119">
        <v>114</v>
      </c>
      <c r="K119" t="s">
        <v>1193</v>
      </c>
      <c r="L119">
        <v>459</v>
      </c>
      <c r="M119" s="3" t="str">
        <f>HYPERLINK("http://exon.niaid.nih.gov/transcriptome/O_fasciatus/Sup_tab1/links/NR\of-new-contig_114-NR.txt","putative translationally controlled tumor protein")</f>
        <v>putative translationally controlled tumor protein</v>
      </c>
      <c r="N119" s="2" t="str">
        <f>HYPERLINK("http://www.ncbi.nlm.nih.gov/sutils/blink.cgi?pid=90819984","6E-028")</f>
        <v>6E-028</v>
      </c>
      <c r="O119" t="s">
        <v>7</v>
      </c>
      <c r="P119">
        <v>68</v>
      </c>
      <c r="Q119">
        <v>172</v>
      </c>
      <c r="R119">
        <v>85</v>
      </c>
      <c r="S119">
        <v>40</v>
      </c>
      <c r="T119">
        <v>105</v>
      </c>
      <c r="U119">
        <v>17</v>
      </c>
      <c r="V119">
        <v>1</v>
      </c>
      <c r="W119" t="s">
        <v>1412</v>
      </c>
      <c r="X119" t="s">
        <v>1445</v>
      </c>
      <c r="Y119" t="s">
        <v>8</v>
      </c>
      <c r="Z119" s="4" t="s">
        <v>1073</v>
      </c>
      <c r="AA119" t="s">
        <v>1074</v>
      </c>
      <c r="AB119" s="3" t="s">
        <v>9</v>
      </c>
      <c r="AC119" s="2">
        <f>HYPERLINK("http://exon.niaid.nih.gov/transcriptome/O_fasciatus/Sup_tab1/links/GO\of-new-contig_114-GO.txt",1E-27)</f>
        <v>0</v>
      </c>
      <c r="AD119" s="4" t="s">
        <v>10</v>
      </c>
      <c r="AE119" t="s">
        <v>11</v>
      </c>
      <c r="AF119" s="1">
        <v>2E-27</v>
      </c>
      <c r="AG119" s="4" t="s">
        <v>12</v>
      </c>
      <c r="AH119" t="s">
        <v>13</v>
      </c>
      <c r="AI119" s="1">
        <v>2E-27</v>
      </c>
      <c r="AJ119" s="4" t="s">
        <v>14</v>
      </c>
      <c r="AK119" t="s">
        <v>15</v>
      </c>
      <c r="AL119" s="1">
        <v>2E-27</v>
      </c>
      <c r="AM119" s="3" t="str">
        <f>HYPERLINK("http://exon.niaid.nih.gov/transcriptome/O_fasciatus/Sup_tab1/links/KOG\of-new-contig_114-KOG.txt","Microtubule-binding protein (translationally controlled tumor protein)")</f>
        <v>Microtubule-binding protein (translationally controlled tumor protein)</v>
      </c>
      <c r="AN119" s="2" t="str">
        <f>HYPERLINK("http://www.ncbi.nlm.nih.gov/COG/new/shokog.cgi?KOG1727","8E-019")</f>
        <v>8E-019</v>
      </c>
      <c r="AO119" t="s">
        <v>380</v>
      </c>
      <c r="AP119" s="3" t="str">
        <f>HYPERLINK("http://exon.niaid.nih.gov/transcriptome/O_fasciatus/Sup_tab1/links/CDD\of-new-contig_114-CDD.txt","TCTP")</f>
        <v>TCTP</v>
      </c>
      <c r="AQ119" s="2" t="str">
        <f>HYPERLINK("http://www.ncbi.nlm.nih.gov/Structure/cdd/cddsrv.cgi?uid=pfam00838&amp;version=v4.0","1E-017")</f>
        <v>1E-017</v>
      </c>
      <c r="AR119" t="s">
        <v>16</v>
      </c>
      <c r="AS119" s="3" t="str">
        <f>HYPERLINK("http://exon.niaid.nih.gov/transcriptome/O_fasciatus/Sup_tab1/links/PFAM\of-new-contig_114-PFAM.txt","TCTP")</f>
        <v>TCTP</v>
      </c>
      <c r="AT119" s="2" t="str">
        <f>HYPERLINK("http://pfam.wustl.edu/cgi-bin/getdesc?acc=PF00838","5E-018")</f>
        <v>5E-018</v>
      </c>
      <c r="AU119" s="3" t="str">
        <f>HYPERLINK("http://exon.niaid.nih.gov/transcriptome/O_fasciatus/Sup_tab1/links/SMART\of-new-contig_114-SMART.txt","G_alpha")</f>
        <v>G_alpha</v>
      </c>
      <c r="AV119" s="2" t="str">
        <f>HYPERLINK("http://smart.embl-heidelberg.de/smart/do_annotation.pl?DOMAIN=G_alpha&amp;BLAST=DUMMY","0.66")</f>
        <v>0.66</v>
      </c>
      <c r="AW119" s="3" t="s">
        <v>547</v>
      </c>
      <c r="AX119" s="2" t="s">
        <v>547</v>
      </c>
      <c r="AY119" s="3" t="s">
        <v>547</v>
      </c>
      <c r="AZ119" s="2" t="s">
        <v>547</v>
      </c>
    </row>
    <row r="120" s="12" customFormat="1" ht="11.25">
      <c r="A120" s="11" t="s">
        <v>78</v>
      </c>
    </row>
    <row r="121" spans="1:52" ht="11.25">
      <c r="A121" t="str">
        <f>HYPERLINK("http://exon.niaid.nih.gov/transcriptome/O_fasciatus/Sup_tab1/links/of-new\of-new-contig_112.txt","of-new-contig_112")</f>
        <v>of-new-contig_112</v>
      </c>
      <c r="B121" t="str">
        <f>HYPERLINK("http://exon.niaid.nih.gov/transcriptome/O_fasciatus/Sup_tab1/links/of-new\of-new-5-64-64-asb-112.txt","Contig-112")</f>
        <v>Contig-112</v>
      </c>
      <c r="C121" t="str">
        <f>HYPERLINK("http://exon.niaid.nih.gov/transcriptome/O_fasciatus/Sup_tab1/links/of-new\of-new-5-64-64-112-CLU.txt","Contig112")</f>
        <v>Contig112</v>
      </c>
      <c r="D121">
        <v>2</v>
      </c>
      <c r="E121">
        <v>294</v>
      </c>
      <c r="F121" t="str">
        <f>HYPERLINK("http://exon.niaid.nih.gov/transcriptome/O_fasciatus/Sup_tab1/links/of-new\of-new-5-64-64-112-qual.txt","88.4")</f>
        <v>88.4</v>
      </c>
      <c r="G121" t="s">
        <v>541</v>
      </c>
      <c r="H121">
        <v>64.6</v>
      </c>
      <c r="I121">
        <v>275</v>
      </c>
      <c r="J121">
        <v>112</v>
      </c>
      <c r="K121" t="s">
        <v>1191</v>
      </c>
      <c r="L121">
        <v>279</v>
      </c>
      <c r="M121" s="3" t="str">
        <f>HYPERLINK("http://exon.niaid.nih.gov/transcriptome/O_fasciatus/Sup_tab1/links/NR\of-new-contig_112-NR.txt","abnormal wing disc-like protein")</f>
        <v>abnormal wing disc-like protein</v>
      </c>
      <c r="N121" s="2" t="str">
        <f>HYPERLINK("http://www.ncbi.nlm.nih.gov/sutils/blink.cgi?pid=95103130","3E-024")</f>
        <v>3E-024</v>
      </c>
      <c r="O121" t="s">
        <v>388</v>
      </c>
      <c r="P121">
        <v>67</v>
      </c>
      <c r="Q121">
        <v>154</v>
      </c>
      <c r="R121">
        <v>77</v>
      </c>
      <c r="S121">
        <v>44</v>
      </c>
      <c r="T121">
        <v>88</v>
      </c>
      <c r="U121">
        <v>3</v>
      </c>
      <c r="V121">
        <v>1</v>
      </c>
      <c r="W121" t="s">
        <v>1412</v>
      </c>
      <c r="X121" t="s">
        <v>1579</v>
      </c>
      <c r="Y121" t="s">
        <v>389</v>
      </c>
      <c r="Z121" s="4" t="s">
        <v>1071</v>
      </c>
      <c r="AA121" t="s">
        <v>1072</v>
      </c>
      <c r="AB121" s="3" t="s">
        <v>390</v>
      </c>
      <c r="AC121" s="2">
        <f>HYPERLINK("http://exon.niaid.nih.gov/transcriptome/O_fasciatus/Sup_tab1/links/GO\of-new-contig_112-GO.txt",2E-24)</f>
        <v>0</v>
      </c>
      <c r="AD121" s="4" t="s">
        <v>391</v>
      </c>
      <c r="AE121" t="s">
        <v>392</v>
      </c>
      <c r="AF121" s="1">
        <v>2E-24</v>
      </c>
      <c r="AG121" s="4" t="s">
        <v>1648</v>
      </c>
      <c r="AH121" t="s">
        <v>1649</v>
      </c>
      <c r="AI121" s="1">
        <v>2E-24</v>
      </c>
      <c r="AJ121" s="4" t="s">
        <v>0</v>
      </c>
      <c r="AK121" t="s">
        <v>1</v>
      </c>
      <c r="AL121" s="1">
        <v>2E-24</v>
      </c>
      <c r="AM121" s="3" t="str">
        <f>HYPERLINK("http://exon.niaid.nih.gov/transcriptome/O_fasciatus/Sup_tab1/links/KOG\of-new-contig_112-KOG.txt","Nucleoside diphosphate kinase")</f>
        <v>Nucleoside diphosphate kinase</v>
      </c>
      <c r="AN121" s="2" t="str">
        <f>HYPERLINK("http://www.ncbi.nlm.nih.gov/COG/new/shokog.cgi?KOG0888","8E-020")</f>
        <v>8E-020</v>
      </c>
      <c r="AO121" t="s">
        <v>2</v>
      </c>
      <c r="AP121" s="3" t="str">
        <f>HYPERLINK("http://exon.niaid.nih.gov/transcriptome/O_fasciatus/Sup_tab1/links/CDD\of-new-contig_112-CDD.txt","NDK")</f>
        <v>NDK</v>
      </c>
      <c r="AQ121" s="2" t="str">
        <f>HYPERLINK("http://www.ncbi.nlm.nih.gov/Structure/cdd/cddsrv.cgi?uid=smart00562&amp;version=v4.0","9E-019")</f>
        <v>9E-019</v>
      </c>
      <c r="AR121" t="s">
        <v>3</v>
      </c>
      <c r="AS121" s="3" t="str">
        <f>HYPERLINK("http://exon.niaid.nih.gov/transcriptome/O_fasciatus/Sup_tab1/links/PFAM\of-new-contig_112-PFAM.txt","NDK")</f>
        <v>NDK</v>
      </c>
      <c r="AT121" s="2" t="str">
        <f>HYPERLINK("http://pfam.wustl.edu/cgi-bin/getdesc?acc=PF00334","9E-024")</f>
        <v>9E-024</v>
      </c>
      <c r="AU121" s="3" t="str">
        <f>HYPERLINK("http://exon.niaid.nih.gov/transcriptome/O_fasciatus/Sup_tab1/links/SMART\of-new-contig_112-SMART.txt","NDK")</f>
        <v>NDK</v>
      </c>
      <c r="AV121" s="2" t="str">
        <f>HYPERLINK("http://smart.embl-heidelberg.de/smart/do_annotation.pl?DOMAIN=NDK&amp;BLAST=DUMMY","2E-020")</f>
        <v>2E-020</v>
      </c>
      <c r="AW121" s="3" t="s">
        <v>547</v>
      </c>
      <c r="AX121" s="2" t="s">
        <v>547</v>
      </c>
      <c r="AY121" s="3" t="s">
        <v>547</v>
      </c>
      <c r="AZ121" s="2" t="s">
        <v>547</v>
      </c>
    </row>
    <row r="122" s="12" customFormat="1" ht="11.25">
      <c r="A122" s="11" t="s">
        <v>79</v>
      </c>
    </row>
    <row r="123" spans="1:52" ht="11.25">
      <c r="A123" t="str">
        <f>HYPERLINK("http://exon.niaid.nih.gov/transcriptome/O_fasciatus/Sup_tab1/links/of-new\of-new-contig_189.txt","of-new-contig_189")</f>
        <v>of-new-contig_189</v>
      </c>
      <c r="B123" t="str">
        <f>HYPERLINK("http://exon.niaid.nih.gov/transcriptome/O_fasciatus/Sup_tab1/links/of-new\of-new-5-64-64-asb-189.txt","Contig-189")</f>
        <v>Contig-189</v>
      </c>
      <c r="C123" t="str">
        <f>HYPERLINK("http://exon.niaid.nih.gov/transcriptome/O_fasciatus/Sup_tab1/links/of-new\of-new-5-64-64-189-CLU.txt","Contig189")</f>
        <v>Contig189</v>
      </c>
      <c r="D123">
        <v>1</v>
      </c>
      <c r="E123">
        <v>238</v>
      </c>
      <c r="F123" t="str">
        <f>HYPERLINK("http://exon.niaid.nih.gov/transcriptome/O_fasciatus/Sup_tab1/links/of-new\of-new-5-64-64-189-qual.txt","59.5")</f>
        <v>59.5</v>
      </c>
      <c r="G123" t="s">
        <v>541</v>
      </c>
      <c r="H123">
        <v>65.5</v>
      </c>
      <c r="I123">
        <v>219</v>
      </c>
      <c r="J123">
        <v>189</v>
      </c>
      <c r="K123" t="s">
        <v>1267</v>
      </c>
      <c r="L123">
        <v>219</v>
      </c>
      <c r="M123" s="3" t="str">
        <f>HYPERLINK("http://exon.niaid.nih.gov/transcriptome/O_fasciatus/Sup_tab1/links/NR\of-new-contig_189-NR.txt","LP12301p")</f>
        <v>LP12301p</v>
      </c>
      <c r="N123" s="2" t="str">
        <f>HYPERLINK("http://www.ncbi.nlm.nih.gov/sutils/blink.cgi?pid=15292445","4E-018")</f>
        <v>4E-018</v>
      </c>
      <c r="O123" t="s">
        <v>331</v>
      </c>
      <c r="P123">
        <v>59</v>
      </c>
      <c r="Q123">
        <v>360</v>
      </c>
      <c r="R123">
        <v>69</v>
      </c>
      <c r="S123">
        <v>16</v>
      </c>
      <c r="T123">
        <v>289</v>
      </c>
      <c r="U123">
        <v>6</v>
      </c>
      <c r="V123">
        <v>1</v>
      </c>
      <c r="W123" t="s">
        <v>1412</v>
      </c>
      <c r="X123" t="s">
        <v>940</v>
      </c>
      <c r="Y123" t="s">
        <v>332</v>
      </c>
      <c r="Z123" s="4" t="s">
        <v>1101</v>
      </c>
      <c r="AA123" t="s">
        <v>1102</v>
      </c>
      <c r="AB123" s="3" t="s">
        <v>333</v>
      </c>
      <c r="AC123" s="2">
        <f>HYPERLINK("http://exon.niaid.nih.gov/transcriptome/O_fasciatus/Sup_tab1/links/GO\of-new-contig_189-GO.txt",0.0000000000000000002)</f>
        <v>0</v>
      </c>
      <c r="AD123" s="4" t="s">
        <v>334</v>
      </c>
      <c r="AE123" t="s">
        <v>335</v>
      </c>
      <c r="AF123">
        <v>9E-07</v>
      </c>
      <c r="AG123" s="4" t="s">
        <v>1638</v>
      </c>
      <c r="AH123" t="s">
        <v>1639</v>
      </c>
      <c r="AI123">
        <v>9E-07</v>
      </c>
      <c r="AJ123" s="4" t="s">
        <v>336</v>
      </c>
      <c r="AK123" t="s">
        <v>337</v>
      </c>
      <c r="AL123">
        <v>9E-07</v>
      </c>
      <c r="AM123" s="3" t="str">
        <f>HYPERLINK("http://exon.niaid.nih.gov/transcriptome/O_fasciatus/Sup_tab1/links/KOG\of-new-contig_189-KOG.txt","Sorbitol dehydrogenase")</f>
        <v>Sorbitol dehydrogenase</v>
      </c>
      <c r="AN123" s="2" t="str">
        <f>HYPERLINK("http://www.ncbi.nlm.nih.gov/COG/new/shokog.cgi?KOG0024","2E-019")</f>
        <v>2E-019</v>
      </c>
      <c r="AO123" t="s">
        <v>338</v>
      </c>
      <c r="AP123" s="3" t="str">
        <f>HYPERLINK("http://exon.niaid.nih.gov/transcriptome/O_fasciatus/Sup_tab1/links/CDD\of-new-contig_189-CDD.txt","Tdh")</f>
        <v>Tdh</v>
      </c>
      <c r="AQ123" s="2" t="str">
        <f>HYPERLINK("http://www.ncbi.nlm.nih.gov/Structure/cdd/cddsrv.cgi?uid=COG1063&amp;version=v4.0","4E-008")</f>
        <v>4E-008</v>
      </c>
      <c r="AR123" t="s">
        <v>339</v>
      </c>
      <c r="AS123" s="3" t="str">
        <f>HYPERLINK("http://exon.niaid.nih.gov/transcriptome/O_fasciatus/Sup_tab1/links/PFAM\of-new-contig_189-PFAM.txt","ADH_zinc_N")</f>
        <v>ADH_zinc_N</v>
      </c>
      <c r="AT123" s="2" t="str">
        <f>HYPERLINK("http://pfam.wustl.edu/cgi-bin/getdesc?acc=PF00107","3E-004")</f>
        <v>3E-004</v>
      </c>
      <c r="AU123" s="3" t="str">
        <f>HYPERLINK("http://exon.niaid.nih.gov/transcriptome/O_fasciatus/Sup_tab1/links/SMART\of-new-contig_189-SMART.txt","MUTSd")</f>
        <v>MUTSd</v>
      </c>
      <c r="AV123" s="2" t="str">
        <f>HYPERLINK("http://smart.embl-heidelberg.de/smart/do_annotation.pl?DOMAIN=MUTSd&amp;BLAST=DUMMY","0.065")</f>
        <v>0.065</v>
      </c>
      <c r="AW123" s="3" t="s">
        <v>547</v>
      </c>
      <c r="AX123" s="2" t="s">
        <v>547</v>
      </c>
      <c r="AY123" s="3" t="s">
        <v>547</v>
      </c>
      <c r="AZ123" s="2" t="s">
        <v>547</v>
      </c>
    </row>
    <row r="124" s="12" customFormat="1" ht="11.25">
      <c r="A124" s="11" t="s">
        <v>80</v>
      </c>
    </row>
    <row r="125" spans="1:52" ht="11.25">
      <c r="A125" t="str">
        <f>HYPERLINK("http://exon.niaid.nih.gov/transcriptome/O_fasciatus/Sup_tab1/links/of-new\of-new-contig_97.txt","of-new-contig_97")</f>
        <v>of-new-contig_97</v>
      </c>
      <c r="B125" t="str">
        <f>HYPERLINK("http://exon.niaid.nih.gov/transcriptome/O_fasciatus/Sup_tab1/links/of-new\of-new-5-64-64-asb-97.txt","Contig-97")</f>
        <v>Contig-97</v>
      </c>
      <c r="C125" t="str">
        <f>HYPERLINK("http://exon.niaid.nih.gov/transcriptome/O_fasciatus/Sup_tab1/links/of-new\of-new-5-64-64-97-CLU.txt","Contig97")</f>
        <v>Contig97</v>
      </c>
      <c r="D125">
        <v>2</v>
      </c>
      <c r="E125">
        <v>619</v>
      </c>
      <c r="F125" t="str">
        <f>HYPERLINK("http://exon.niaid.nih.gov/transcriptome/O_fasciatus/Sup_tab1/links/of-new\of-new-5-64-64-97-qual.txt","77.2")</f>
        <v>77.2</v>
      </c>
      <c r="G125" t="s">
        <v>541</v>
      </c>
      <c r="H125">
        <v>46.5</v>
      </c>
      <c r="I125">
        <v>600</v>
      </c>
      <c r="J125">
        <v>97</v>
      </c>
      <c r="K125" t="s">
        <v>1176</v>
      </c>
      <c r="L125">
        <v>507</v>
      </c>
      <c r="M125" s="3" t="str">
        <f>HYPERLINK("http://exon.niaid.nih.gov/transcriptome/O_fasciatus/Sup_tab1/links/NR\of-new-contig_97-NR.txt","PREDICTED: similar to CG3108-PA")</f>
        <v>PREDICTED: similar to CG3108-PA</v>
      </c>
      <c r="N125" s="2" t="str">
        <f>HYPERLINK("http://www.ncbi.nlm.nih.gov/sutils/blink.cgi?pid=48097950","1E-035")</f>
        <v>1E-035</v>
      </c>
      <c r="O125" t="s">
        <v>803</v>
      </c>
      <c r="P125">
        <v>156</v>
      </c>
      <c r="Q125">
        <v>459</v>
      </c>
      <c r="R125">
        <v>47</v>
      </c>
      <c r="S125">
        <v>34</v>
      </c>
      <c r="T125">
        <v>301</v>
      </c>
      <c r="U125">
        <v>6</v>
      </c>
      <c r="V125">
        <v>1</v>
      </c>
      <c r="W125" t="s">
        <v>1412</v>
      </c>
      <c r="X125" t="s">
        <v>520</v>
      </c>
      <c r="Y125" t="s">
        <v>804</v>
      </c>
      <c r="Z125" s="4" t="s">
        <v>1065</v>
      </c>
      <c r="AA125" t="s">
        <v>1066</v>
      </c>
      <c r="AB125" s="3" t="s">
        <v>805</v>
      </c>
      <c r="AC125" s="2">
        <f>HYPERLINK("http://exon.niaid.nih.gov/transcriptome/O_fasciatus/Sup_tab1/links/GO\of-new-contig_97-GO.txt",3E-30)</f>
        <v>0</v>
      </c>
      <c r="AD125" s="4" t="s">
        <v>806</v>
      </c>
      <c r="AE125" t="s">
        <v>807</v>
      </c>
      <c r="AF125" s="1">
        <v>6E-27</v>
      </c>
      <c r="AG125" s="4" t="s">
        <v>1638</v>
      </c>
      <c r="AH125" t="s">
        <v>1639</v>
      </c>
      <c r="AI125" s="1">
        <v>6E-27</v>
      </c>
      <c r="AJ125" s="4" t="s">
        <v>808</v>
      </c>
      <c r="AK125" t="s">
        <v>809</v>
      </c>
      <c r="AL125" s="1">
        <v>6E-27</v>
      </c>
      <c r="AM125" s="3" t="str">
        <f>HYPERLINK("http://exon.niaid.nih.gov/transcriptome/O_fasciatus/Sup_tab1/links/KOG\of-new-contig_97-KOG.txt","Zinc carboxypeptidase")</f>
        <v>Zinc carboxypeptidase</v>
      </c>
      <c r="AN125" s="2" t="str">
        <f>HYPERLINK("http://www.ncbi.nlm.nih.gov/COG/new/shokog.cgi?KOG2650","2E-051")</f>
        <v>2E-051</v>
      </c>
      <c r="AO125" t="s">
        <v>881</v>
      </c>
      <c r="AP125" s="3" t="str">
        <f>HYPERLINK("http://exon.niaid.nih.gov/transcriptome/O_fasciatus/Sup_tab1/links/CDD\of-new-contig_97-CDD.txt","Zn_pept")</f>
        <v>Zn_pept</v>
      </c>
      <c r="AQ125" s="2" t="str">
        <f>HYPERLINK("http://www.ncbi.nlm.nih.gov/Structure/cdd/cddsrv.cgi?uid=smart00631&amp;version=v4.0","1E-037")</f>
        <v>1E-037</v>
      </c>
      <c r="AR125" t="s">
        <v>810</v>
      </c>
      <c r="AS125" s="3" t="str">
        <f>HYPERLINK("http://exon.niaid.nih.gov/transcriptome/O_fasciatus/Sup_tab1/links/PFAM\of-new-contig_97-PFAM.txt","Zn_carbOpept")</f>
        <v>Zn_carbOpept</v>
      </c>
      <c r="AT125" s="2" t="str">
        <f>HYPERLINK("http://pfam.wustl.edu/cgi-bin/getdesc?acc=PF00246","2E-011")</f>
        <v>2E-011</v>
      </c>
      <c r="AU125" s="3" t="str">
        <f>HYPERLINK("http://exon.niaid.nih.gov/transcriptome/O_fasciatus/Sup_tab1/links/SMART\of-new-contig_97-SMART.txt","Zn_pept")</f>
        <v>Zn_pept</v>
      </c>
      <c r="AV125" s="2" t="str">
        <f>HYPERLINK("http://smart.embl-heidelberg.de/smart/do_annotation.pl?DOMAIN=Zn_pept&amp;BLAST=DUMMY","2E-039")</f>
        <v>2E-039</v>
      </c>
      <c r="AW125" s="3" t="s">
        <v>547</v>
      </c>
      <c r="AX125" s="2" t="s">
        <v>547</v>
      </c>
      <c r="AY125" s="3" t="s">
        <v>547</v>
      </c>
      <c r="AZ125" s="2" t="s">
        <v>547</v>
      </c>
    </row>
    <row r="126" s="10" customFormat="1" ht="11.25">
      <c r="A126" s="9" t="s">
        <v>57</v>
      </c>
    </row>
    <row r="127" spans="1:52" ht="11.25">
      <c r="A127" t="str">
        <f>HYPERLINK("http://exon.niaid.nih.gov/transcriptome/O_fasciatus/Sup_tab1/links/of-new\of-new-contig_203.txt","of-new-contig_203")</f>
        <v>of-new-contig_203</v>
      </c>
      <c r="B127" t="str">
        <f>HYPERLINK("http://exon.niaid.nih.gov/transcriptome/O_fasciatus/Sup_tab1/links/of-new\of-new-5-64-64-asb-203.txt","Contig-203")</f>
        <v>Contig-203</v>
      </c>
      <c r="C127" t="str">
        <f>HYPERLINK("http://exon.niaid.nih.gov/transcriptome/O_fasciatus/Sup_tab1/links/of-new\of-new-5-64-64-203-CLU.txt","Contig203")</f>
        <v>Contig203</v>
      </c>
      <c r="D127">
        <v>1</v>
      </c>
      <c r="E127">
        <v>530</v>
      </c>
      <c r="F127" t="str">
        <f>HYPERLINK("http://exon.niaid.nih.gov/transcriptome/O_fasciatus/Sup_tab1/links/of-new\of-new-5-64-64-203-qual.txt","64.")</f>
        <v>64.</v>
      </c>
      <c r="G127" t="s">
        <v>541</v>
      </c>
      <c r="H127">
        <v>58.7</v>
      </c>
      <c r="I127">
        <v>511</v>
      </c>
      <c r="J127">
        <v>203</v>
      </c>
      <c r="K127" t="s">
        <v>1281</v>
      </c>
      <c r="L127">
        <v>511</v>
      </c>
      <c r="M127" s="3" t="str">
        <f>HYPERLINK("http://exon.niaid.nih.gov/transcriptome/O_fasciatus/Sup_tab1/links/NR\of-new-contig_203-NR.txt","ENSANGP00000020605 [Anopheles gambiae str. PEST]")</f>
        <v>ENSANGP00000020605 [Anopheles gambiae str. PEST]</v>
      </c>
      <c r="N127" s="2" t="str">
        <f>HYPERLINK("http://www.ncbi.nlm.nih.gov/sutils/blink.cgi?pid=57934123","4E-011")</f>
        <v>4E-011</v>
      </c>
      <c r="O127" t="s">
        <v>729</v>
      </c>
      <c r="P127">
        <v>91</v>
      </c>
      <c r="Q127">
        <v>541</v>
      </c>
      <c r="R127">
        <v>36</v>
      </c>
      <c r="S127">
        <v>17</v>
      </c>
      <c r="T127">
        <v>451</v>
      </c>
      <c r="U127">
        <v>137</v>
      </c>
      <c r="V127">
        <v>1</v>
      </c>
      <c r="W127" t="s">
        <v>1412</v>
      </c>
      <c r="X127" t="s">
        <v>1628</v>
      </c>
      <c r="Y127" t="s">
        <v>730</v>
      </c>
      <c r="Z127" s="4" t="s">
        <v>1104</v>
      </c>
      <c r="AA127" t="s">
        <v>1105</v>
      </c>
      <c r="AB127" s="3" t="s">
        <v>547</v>
      </c>
      <c r="AC127" s="2" t="s">
        <v>547</v>
      </c>
      <c r="AD127" s="4" t="s">
        <v>547</v>
      </c>
      <c r="AE127" t="s">
        <v>547</v>
      </c>
      <c r="AF127" t="s">
        <v>547</v>
      </c>
      <c r="AG127" s="4" t="s">
        <v>547</v>
      </c>
      <c r="AH127" t="s">
        <v>547</v>
      </c>
      <c r="AI127" t="s">
        <v>547</v>
      </c>
      <c r="AJ127" s="4" t="s">
        <v>547</v>
      </c>
      <c r="AK127" t="s">
        <v>547</v>
      </c>
      <c r="AL127" t="s">
        <v>547</v>
      </c>
      <c r="AM127" s="3" t="str">
        <f>HYPERLINK("http://exon.niaid.nih.gov/transcriptome/O_fasciatus/Sup_tab1/links/KOG\of-new-contig_203-KOG.txt","Chromatin remodeling protein HARP/SMARCAL1, DEAD-box superfamily")</f>
        <v>Chromatin remodeling protein HARP/SMARCAL1, DEAD-box superfamily</v>
      </c>
      <c r="AN127" s="2" t="str">
        <f>HYPERLINK("http://www.ncbi.nlm.nih.gov/COG/new/shokog.cgi?KOG1000","0.12")</f>
        <v>0.12</v>
      </c>
      <c r="AO127" t="s">
        <v>731</v>
      </c>
      <c r="AP127" s="3" t="str">
        <f>HYPERLINK("http://exon.niaid.nih.gov/transcriptome/O_fasciatus/Sup_tab1/links/CDD\of-new-contig_203-CDD.txt","CAL1")</f>
        <v>CAL1</v>
      </c>
      <c r="AQ127" s="2" t="str">
        <f>HYPERLINK("http://www.ncbi.nlm.nih.gov/Structure/cdd/cddsrv.cgi?uid=COG5029&amp;version=v4.0","0.48")</f>
        <v>0.48</v>
      </c>
      <c r="AR127" t="s">
        <v>732</v>
      </c>
      <c r="AS127" s="3" t="str">
        <f>HYPERLINK("http://exon.niaid.nih.gov/transcriptome/O_fasciatus/Sup_tab1/links/PFAM\of-new-contig_203-PFAM.txt","Dicty_REP")</f>
        <v>Dicty_REP</v>
      </c>
      <c r="AT127" s="2" t="str">
        <f>HYPERLINK("http://pfam.wustl.edu/cgi-bin/getdesc?acc=PF05086","0.073")</f>
        <v>0.073</v>
      </c>
      <c r="AU127" s="3" t="str">
        <f>HYPERLINK("http://exon.niaid.nih.gov/transcriptome/O_fasciatus/Sup_tab1/links/SMART\of-new-contig_203-SMART.txt","HTH_ARAC")</f>
        <v>HTH_ARAC</v>
      </c>
      <c r="AV127" s="2" t="str">
        <f>HYPERLINK("http://smart.embl-heidelberg.de/smart/do_annotation.pl?DOMAIN=HTH_ARAC&amp;BLAST=DUMMY","0.12")</f>
        <v>0.12</v>
      </c>
      <c r="AW127" s="3" t="s">
        <v>547</v>
      </c>
      <c r="AX127" s="2" t="s">
        <v>547</v>
      </c>
      <c r="AY127" s="3" t="s">
        <v>547</v>
      </c>
      <c r="AZ127" s="2" t="s">
        <v>547</v>
      </c>
    </row>
    <row r="128" s="10" customFormat="1" ht="11.25">
      <c r="A128" s="9" t="s">
        <v>54</v>
      </c>
    </row>
    <row r="129" s="12" customFormat="1" ht="11.25">
      <c r="A129" s="11" t="s">
        <v>58</v>
      </c>
    </row>
    <row r="130" spans="1:52" ht="11.25">
      <c r="A130" t="str">
        <f>HYPERLINK("http://exon.niaid.nih.gov/transcriptome/O_fasciatus/Sup_tab1/links/of-new\of-new-contig_12.txt","of-new-contig_12")</f>
        <v>of-new-contig_12</v>
      </c>
      <c r="B130" t="str">
        <f>HYPERLINK("http://exon.niaid.nih.gov/transcriptome/O_fasciatus/Sup_tab1/links/of-new\of-new-5-64-64-asb-12.txt","Contig-12")</f>
        <v>Contig-12</v>
      </c>
      <c r="C130" t="str">
        <f>HYPERLINK("http://exon.niaid.nih.gov/transcriptome/O_fasciatus/Sup_tab1/links/of-new\of-new-5-64-64-12-CLU.txt","Contig12")</f>
        <v>Contig12</v>
      </c>
      <c r="D130">
        <v>34</v>
      </c>
      <c r="E130">
        <v>556</v>
      </c>
      <c r="F130" t="str">
        <f>HYPERLINK("http://exon.niaid.nih.gov/transcriptome/O_fasciatus/Sup_tab1/links/of-new\of-new-5-64-64-12-qual.txt","83.9")</f>
        <v>83.9</v>
      </c>
      <c r="G130" t="s">
        <v>541</v>
      </c>
      <c r="H130">
        <v>50.5</v>
      </c>
      <c r="I130">
        <v>534</v>
      </c>
      <c r="J130">
        <v>12</v>
      </c>
      <c r="K130" t="s">
        <v>554</v>
      </c>
      <c r="L130">
        <v>537</v>
      </c>
      <c r="M130" s="3" t="str">
        <f>HYPERLINK("http://exon.niaid.nih.gov/transcriptome/O_fasciatus/Sup_tab1/links/NR\of-new-contig_12-NR.txt","pherophorin-dz1 protein")</f>
        <v>pherophorin-dz1 protein</v>
      </c>
      <c r="N130" s="2" t="str">
        <f>HYPERLINK("http://www.ncbi.nlm.nih.gov/sutils/blink.cgi?pid=21322711","2E-046")</f>
        <v>2E-046</v>
      </c>
      <c r="O130" t="s">
        <v>1548</v>
      </c>
      <c r="P130">
        <v>124</v>
      </c>
      <c r="Q130">
        <v>1009</v>
      </c>
      <c r="R130">
        <v>66</v>
      </c>
      <c r="S130">
        <v>12</v>
      </c>
      <c r="T130">
        <v>0</v>
      </c>
      <c r="U130">
        <v>0</v>
      </c>
      <c r="V130">
        <v>200</v>
      </c>
      <c r="W130" t="s">
        <v>1412</v>
      </c>
      <c r="X130" t="s">
        <v>1549</v>
      </c>
      <c r="Y130" t="s">
        <v>838</v>
      </c>
      <c r="Z130" s="4" t="s">
        <v>1014</v>
      </c>
      <c r="AA130" t="s">
        <v>1015</v>
      </c>
      <c r="AB130" s="3" t="s">
        <v>831</v>
      </c>
      <c r="AC130" s="2">
        <f>HYPERLINK("http://exon.niaid.nih.gov/transcriptome/O_fasciatus/Sup_tab1/links/GO\of-new-contig_12-GO.txt",8E-38)</f>
        <v>0</v>
      </c>
      <c r="AD130" s="4" t="s">
        <v>547</v>
      </c>
      <c r="AE130" t="s">
        <v>547</v>
      </c>
      <c r="AF130" t="s">
        <v>547</v>
      </c>
      <c r="AG130" s="4" t="s">
        <v>839</v>
      </c>
      <c r="AH130" t="s">
        <v>840</v>
      </c>
      <c r="AI130" s="1">
        <v>1E-34</v>
      </c>
      <c r="AJ130" s="4" t="s">
        <v>841</v>
      </c>
      <c r="AK130" t="s">
        <v>842</v>
      </c>
      <c r="AL130" s="1">
        <v>1E-34</v>
      </c>
      <c r="AM130" s="3" t="str">
        <f>HYPERLINK("http://exon.niaid.nih.gov/transcriptome/O_fasciatus/Sup_tab1/links/KOG\of-new-contig_12-KOG.txt","Actin regulatory protein (Wiskott-Aldrich syndrome protein)")</f>
        <v>Actin regulatory protein (Wiskott-Aldrich syndrome protein)</v>
      </c>
      <c r="AN130" s="2" t="str">
        <f>HYPERLINK("http://www.ncbi.nlm.nih.gov/COG/new/shokog.cgi?KOG3671","7E-027")</f>
        <v>7E-027</v>
      </c>
      <c r="AO130" t="s">
        <v>836</v>
      </c>
      <c r="AP130" s="3" t="str">
        <f>HYPERLINK("http://exon.niaid.nih.gov/transcriptome/O_fasciatus/Sup_tab1/links/CDD\of-new-contig_12-CDD.txt","Drf_FH1")</f>
        <v>Drf_FH1</v>
      </c>
      <c r="AQ130" s="2" t="str">
        <f>HYPERLINK("http://www.ncbi.nlm.nih.gov/Structure/cdd/cddsrv.cgi?uid=pfam06346&amp;version=v4.0","3E-030")</f>
        <v>3E-030</v>
      </c>
      <c r="AR130" t="s">
        <v>843</v>
      </c>
      <c r="AS130" s="3" t="str">
        <f>HYPERLINK("http://exon.niaid.nih.gov/transcriptome/O_fasciatus/Sup_tab1/links/PFAM\of-new-contig_12-PFAM.txt","Drf_FH1")</f>
        <v>Drf_FH1</v>
      </c>
      <c r="AT130" s="2" t="str">
        <f>HYPERLINK("http://pfam.wustl.edu/cgi-bin/getdesc?acc=PF06346","2E-030")</f>
        <v>2E-030</v>
      </c>
      <c r="AU130" s="3" t="str">
        <f>HYPERLINK("http://exon.niaid.nih.gov/transcriptome/O_fasciatus/Sup_tab1/links/SMART\of-new-contig_12-SMART.txt","PRP")</f>
        <v>PRP</v>
      </c>
      <c r="AV130" s="2" t="str">
        <f>HYPERLINK("http://smart.embl-heidelberg.de/smart/do_annotation.pl?DOMAIN=PRP&amp;BLAST=DUMMY","1E-007")</f>
        <v>1E-007</v>
      </c>
      <c r="AW130" s="3" t="s">
        <v>547</v>
      </c>
      <c r="AX130" s="2" t="s">
        <v>547</v>
      </c>
      <c r="AY130" s="3" t="s">
        <v>547</v>
      </c>
      <c r="AZ130" s="2" t="s">
        <v>547</v>
      </c>
    </row>
    <row r="131" spans="1:52" ht="11.25">
      <c r="A131" t="str">
        <f>HYPERLINK("http://exon.niaid.nih.gov/transcriptome/O_fasciatus/Sup_tab1/links/of-new\of-new-contig_23.txt","of-new-contig_23")</f>
        <v>of-new-contig_23</v>
      </c>
      <c r="B131" t="str">
        <f>HYPERLINK("http://exon.niaid.nih.gov/transcriptome/O_fasciatus/Sup_tab1/links/of-new\of-new-5-64-64-asb-23.txt","Contig-23")</f>
        <v>Contig-23</v>
      </c>
      <c r="C131" t="str">
        <f>HYPERLINK("http://exon.niaid.nih.gov/transcriptome/O_fasciatus/Sup_tab1/links/of-new\of-new-5-64-64-23-CLU.txt","Contig23")</f>
        <v>Contig23</v>
      </c>
      <c r="D131">
        <v>23</v>
      </c>
      <c r="E131">
        <v>327</v>
      </c>
      <c r="F131" t="str">
        <f>HYPERLINK("http://exon.niaid.nih.gov/transcriptome/O_fasciatus/Sup_tab1/links/of-new\of-new-5-64-64-23-qual.txt","85.4")</f>
        <v>85.4</v>
      </c>
      <c r="G131" t="s">
        <v>541</v>
      </c>
      <c r="H131">
        <v>59</v>
      </c>
      <c r="I131">
        <v>218</v>
      </c>
      <c r="J131">
        <v>23</v>
      </c>
      <c r="K131" t="s">
        <v>565</v>
      </c>
      <c r="L131">
        <v>290</v>
      </c>
      <c r="N131" s="2" t="s">
        <v>547</v>
      </c>
      <c r="O131" t="s">
        <v>547</v>
      </c>
      <c r="P131" t="s">
        <v>547</v>
      </c>
      <c r="Q131" t="s">
        <v>547</v>
      </c>
      <c r="R131" t="s">
        <v>547</v>
      </c>
      <c r="S131" t="s">
        <v>547</v>
      </c>
      <c r="T131" t="s">
        <v>547</v>
      </c>
      <c r="U131" t="s">
        <v>547</v>
      </c>
      <c r="V131" t="s">
        <v>547</v>
      </c>
      <c r="W131" t="s">
        <v>547</v>
      </c>
      <c r="X131" t="s">
        <v>547</v>
      </c>
      <c r="Y131" t="s">
        <v>547</v>
      </c>
      <c r="Z131" s="4" t="s">
        <v>1025</v>
      </c>
      <c r="AA131" t="s">
        <v>1015</v>
      </c>
      <c r="AB131" s="3" t="s">
        <v>547</v>
      </c>
      <c r="AC131" s="2" t="s">
        <v>547</v>
      </c>
      <c r="AD131" s="4" t="s">
        <v>547</v>
      </c>
      <c r="AE131" t="s">
        <v>547</v>
      </c>
      <c r="AF131" t="s">
        <v>547</v>
      </c>
      <c r="AG131" s="4" t="s">
        <v>547</v>
      </c>
      <c r="AH131" t="s">
        <v>547</v>
      </c>
      <c r="AI131" t="s">
        <v>547</v>
      </c>
      <c r="AJ131" s="4" t="s">
        <v>547</v>
      </c>
      <c r="AK131" t="s">
        <v>547</v>
      </c>
      <c r="AL131" t="s">
        <v>547</v>
      </c>
      <c r="AM131" s="3" t="str">
        <f>HYPERLINK("http://exon.niaid.nih.gov/transcriptome/O_fasciatus/Sup_tab1/links/KOG\of-new-contig_23-KOG.txt","Voltage-gated K+ channel KCNQ")</f>
        <v>Voltage-gated K+ channel KCNQ</v>
      </c>
      <c r="AN131" s="2" t="str">
        <f>HYPERLINK("http://www.ncbi.nlm.nih.gov/COG/new/shokog.cgi?KOG1419","0.90")</f>
        <v>0.90</v>
      </c>
      <c r="AO131" t="s">
        <v>1518</v>
      </c>
      <c r="AP131" s="3" t="s">
        <v>547</v>
      </c>
      <c r="AQ131" s="2" t="s">
        <v>547</v>
      </c>
      <c r="AR131" t="s">
        <v>547</v>
      </c>
      <c r="AS131" s="3" t="str">
        <f>HYPERLINK("http://exon.niaid.nih.gov/transcriptome/O_fasciatus/Sup_tab1/links/PFAM\of-new-contig_23-PFAM.txt","PolC_DP2")</f>
        <v>PolC_DP2</v>
      </c>
      <c r="AT131" s="2" t="str">
        <f>HYPERLINK("http://pfam.wustl.edu/cgi-bin/getdesc?acc=PF03833","0.77")</f>
        <v>0.77</v>
      </c>
      <c r="AU131" s="3" t="str">
        <f>HYPERLINK("http://exon.niaid.nih.gov/transcriptome/O_fasciatus/Sup_tab1/links/SMART\of-new-contig_23-SMART.txt","TGc")</f>
        <v>TGc</v>
      </c>
      <c r="AV131" s="2" t="str">
        <f>HYPERLINK("http://smart.embl-heidelberg.de/smart/do_annotation.pl?DOMAIN=TGc&amp;BLAST=DUMMY","0.76")</f>
        <v>0.76</v>
      </c>
      <c r="AW131" s="3" t="s">
        <v>547</v>
      </c>
      <c r="AX131" s="2" t="s">
        <v>547</v>
      </c>
      <c r="AY131" s="3" t="s">
        <v>547</v>
      </c>
      <c r="AZ131" s="2" t="s">
        <v>547</v>
      </c>
    </row>
    <row r="132" spans="1:52" ht="11.25">
      <c r="A132" t="str">
        <f>HYPERLINK("http://exon.niaid.nih.gov/transcriptome/O_fasciatus/Sup_tab1/links/of-new\of-new-contig_26.txt","of-new-contig_26")</f>
        <v>of-new-contig_26</v>
      </c>
      <c r="B132" t="str">
        <f>HYPERLINK("http://exon.niaid.nih.gov/transcriptome/O_fasciatus/Sup_tab1/links/of-new\of-new-5-64-64-asb-26.txt","Contig-26")</f>
        <v>Contig-26</v>
      </c>
      <c r="C132" t="str">
        <f>HYPERLINK("http://exon.niaid.nih.gov/transcriptome/O_fasciatus/Sup_tab1/links/of-new\of-new-5-64-64-26-CLU.txt","Contig26")</f>
        <v>Contig26</v>
      </c>
      <c r="D132">
        <v>20</v>
      </c>
      <c r="E132">
        <v>551</v>
      </c>
      <c r="F132" t="str">
        <f>HYPERLINK("http://exon.niaid.nih.gov/transcriptome/O_fasciatus/Sup_tab1/links/of-new\of-new-5-64-64-26-qual.txt","92.9")</f>
        <v>92.9</v>
      </c>
      <c r="G132" t="s">
        <v>541</v>
      </c>
      <c r="H132">
        <v>46.3</v>
      </c>
      <c r="I132">
        <v>529</v>
      </c>
      <c r="J132">
        <v>26</v>
      </c>
      <c r="K132" t="s">
        <v>568</v>
      </c>
      <c r="L132">
        <v>534</v>
      </c>
      <c r="M132" s="3" t="str">
        <f>HYPERLINK("http://exon.niaid.nih.gov/transcriptome/O_fasciatus/Sup_tab1/links/NR\of-new-contig_26-NR.txt","hypothetical protein DDBDRAFT_0218769 [Dictyostelium discoideum AX4]")</f>
        <v>hypothetical protein DDBDRAFT_0218769 [Dictyostelium discoideum AX4]</v>
      </c>
      <c r="N132" s="2" t="str">
        <f>HYPERLINK("http://www.ncbi.nlm.nih.gov/sutils/blink.cgi?pid=66808463","2E-011")</f>
        <v>2E-011</v>
      </c>
      <c r="O132" t="s">
        <v>294</v>
      </c>
      <c r="P132">
        <v>134</v>
      </c>
      <c r="Q132">
        <v>224</v>
      </c>
      <c r="R132">
        <v>30</v>
      </c>
      <c r="S132">
        <v>60</v>
      </c>
      <c r="T132">
        <v>55</v>
      </c>
      <c r="U132">
        <v>43</v>
      </c>
      <c r="V132">
        <v>4</v>
      </c>
      <c r="W132" t="s">
        <v>1412</v>
      </c>
      <c r="X132" t="s">
        <v>295</v>
      </c>
      <c r="Y132" t="s">
        <v>296</v>
      </c>
      <c r="Z132" s="4" t="s">
        <v>1026</v>
      </c>
      <c r="AA132" t="s">
        <v>1013</v>
      </c>
      <c r="AB132" s="3" t="s">
        <v>297</v>
      </c>
      <c r="AC132" s="2">
        <f>HYPERLINK("http://exon.niaid.nih.gov/transcriptome/O_fasciatus/Sup_tab1/links/GO\of-new-contig_26-GO.txt",0.00000000003)</f>
        <v>0</v>
      </c>
      <c r="AD132" s="4" t="s">
        <v>1631</v>
      </c>
      <c r="AE132" t="s">
        <v>1632</v>
      </c>
      <c r="AF132">
        <v>3E-11</v>
      </c>
      <c r="AG132" s="4" t="s">
        <v>298</v>
      </c>
      <c r="AH132" t="s">
        <v>299</v>
      </c>
      <c r="AI132">
        <v>3E-11</v>
      </c>
      <c r="AJ132" s="4" t="s">
        <v>1537</v>
      </c>
      <c r="AK132" t="s">
        <v>1538</v>
      </c>
      <c r="AL132">
        <v>3E-11</v>
      </c>
      <c r="AM132" s="3" t="str">
        <f>HYPERLINK("http://exon.niaid.nih.gov/transcriptome/O_fasciatus/Sup_tab1/links/KOG\of-new-contig_26-KOG.txt","Vesicle coat complex COPII, subunit SEC31")</f>
        <v>Vesicle coat complex COPII, subunit SEC31</v>
      </c>
      <c r="AN132" s="2" t="str">
        <f>HYPERLINK("http://www.ncbi.nlm.nih.gov/COG/new/shokog.cgi?KOG0307","7E-008")</f>
        <v>7E-008</v>
      </c>
      <c r="AO132" t="s">
        <v>300</v>
      </c>
      <c r="AP132" s="3" t="str">
        <f>HYPERLINK("http://exon.niaid.nih.gov/transcriptome/O_fasciatus/Sup_tab1/links/CDD\of-new-contig_26-CDD.txt","Tymo_45kd_70kd")</f>
        <v>Tymo_45kd_70kd</v>
      </c>
      <c r="AQ132" s="2" t="str">
        <f>HYPERLINK("http://www.ncbi.nlm.nih.gov/Structure/cdd/cddsrv.cgi?uid=pfam03251&amp;version=v4.0","2E-006")</f>
        <v>2E-006</v>
      </c>
      <c r="AR132" t="s">
        <v>301</v>
      </c>
      <c r="AS132" s="3" t="str">
        <f>HYPERLINK("http://exon.niaid.nih.gov/transcriptome/O_fasciatus/Sup_tab1/links/PFAM\of-new-contig_26-PFAM.txt","Tymo_45kd_70kd")</f>
        <v>Tymo_45kd_70kd</v>
      </c>
      <c r="AT132" s="2" t="str">
        <f>HYPERLINK("http://pfam.wustl.edu/cgi-bin/getdesc?acc=PF03251","1E-006")</f>
        <v>1E-006</v>
      </c>
      <c r="AU132" s="3" t="str">
        <f>HYPERLINK("http://exon.niaid.nih.gov/transcriptome/O_fasciatus/Sup_tab1/links/SMART\of-new-contig_26-SMART.txt","ILWEQ")</f>
        <v>ILWEQ</v>
      </c>
      <c r="AV132" s="2" t="str">
        <f>HYPERLINK("http://smart.embl-heidelberg.de/smart/do_annotation.pl?DOMAIN=ILWEQ&amp;BLAST=DUMMY","0.005")</f>
        <v>0.005</v>
      </c>
      <c r="AW132" s="3" t="s">
        <v>547</v>
      </c>
      <c r="AX132" s="2" t="s">
        <v>547</v>
      </c>
      <c r="AY132" s="3" t="s">
        <v>547</v>
      </c>
      <c r="AZ132" s="2" t="s">
        <v>547</v>
      </c>
    </row>
    <row r="133" spans="1:52" ht="11.25">
      <c r="A133" t="str">
        <f>HYPERLINK("http://exon.niaid.nih.gov/transcriptome/O_fasciatus/Sup_tab1/links/of-new\of-new-contig_32.txt","of-new-contig_32")</f>
        <v>of-new-contig_32</v>
      </c>
      <c r="B133" t="str">
        <f>HYPERLINK("http://exon.niaid.nih.gov/transcriptome/O_fasciatus/Sup_tab1/links/of-new\of-new-5-64-64-asb-32.txt","Contig-32")</f>
        <v>Contig-32</v>
      </c>
      <c r="C133" t="str">
        <f>HYPERLINK("http://exon.niaid.nih.gov/transcriptome/O_fasciatus/Sup_tab1/links/of-new\of-new-5-64-64-32-CLU.txt","Contig32")</f>
        <v>Contig32</v>
      </c>
      <c r="D133">
        <v>10</v>
      </c>
      <c r="E133">
        <v>800</v>
      </c>
      <c r="F133" t="str">
        <f>HYPERLINK("http://exon.niaid.nih.gov/transcriptome/O_fasciatus/Sup_tab1/links/of-new\of-new-5-64-64-32-qual.txt","90.5")</f>
        <v>90.5</v>
      </c>
      <c r="G133" t="s">
        <v>541</v>
      </c>
      <c r="H133">
        <v>59.6</v>
      </c>
      <c r="I133">
        <v>688</v>
      </c>
      <c r="J133">
        <v>32</v>
      </c>
      <c r="K133" t="s">
        <v>573</v>
      </c>
      <c r="L133">
        <v>397</v>
      </c>
      <c r="M133" s="3" t="str">
        <f>HYPERLINK("http://exon.niaid.nih.gov/transcriptome/O_fasciatus/Sup_tab1/links/NR\of-new-contig_32-NR.txt","hypothetical protein; putative GAF, ANTAR and cheY domains [Frankia alni ACN14a]")</f>
        <v>hypothetical protein; putative GAF, ANTAR and cheY domains [Frankia alni ACN14a]</v>
      </c>
      <c r="N133" s="2" t="str">
        <f>HYPERLINK("http://www.ncbi.nlm.nih.gov/sutils/blink.cgi?pid=111225384","0.071")</f>
        <v>0.071</v>
      </c>
      <c r="O133" t="s">
        <v>882</v>
      </c>
      <c r="P133">
        <v>97</v>
      </c>
      <c r="Q133">
        <v>583</v>
      </c>
      <c r="R133">
        <v>34</v>
      </c>
      <c r="S133">
        <v>17</v>
      </c>
      <c r="T133">
        <v>307</v>
      </c>
      <c r="U133">
        <v>55</v>
      </c>
      <c r="V133">
        <v>1</v>
      </c>
      <c r="W133" t="s">
        <v>1412</v>
      </c>
      <c r="X133" t="s">
        <v>883</v>
      </c>
      <c r="Y133" t="s">
        <v>884</v>
      </c>
      <c r="Z133" s="4" t="s">
        <v>1025</v>
      </c>
      <c r="AA133" t="s">
        <v>1015</v>
      </c>
      <c r="AB133" s="3" t="s">
        <v>547</v>
      </c>
      <c r="AC133" s="2" t="s">
        <v>547</v>
      </c>
      <c r="AD133" s="4" t="s">
        <v>547</v>
      </c>
      <c r="AE133" t="s">
        <v>547</v>
      </c>
      <c r="AF133" t="s">
        <v>547</v>
      </c>
      <c r="AG133" s="4" t="s">
        <v>547</v>
      </c>
      <c r="AH133" t="s">
        <v>547</v>
      </c>
      <c r="AI133" t="s">
        <v>547</v>
      </c>
      <c r="AJ133" s="4" t="s">
        <v>547</v>
      </c>
      <c r="AK133" t="s">
        <v>547</v>
      </c>
      <c r="AL133" t="s">
        <v>547</v>
      </c>
      <c r="AM133" s="3" t="str">
        <f>HYPERLINK("http://exon.niaid.nih.gov/transcriptome/O_fasciatus/Sup_tab1/links/KOG\of-new-contig_32-KOG.txt","Protein kinase containing WD40 repeats")</f>
        <v>Protein kinase containing WD40 repeats</v>
      </c>
      <c r="AN133" s="2" t="str">
        <f>HYPERLINK("http://www.ncbi.nlm.nih.gov/COG/new/shokog.cgi?KOG1240","0.014")</f>
        <v>0.014</v>
      </c>
      <c r="AO133" t="s">
        <v>1521</v>
      </c>
      <c r="AP133" s="3" t="str">
        <f>HYPERLINK("http://exon.niaid.nih.gov/transcriptome/O_fasciatus/Sup_tab1/links/CDD\of-new-contig_32-CDD.txt","COG5621")</f>
        <v>COG5621</v>
      </c>
      <c r="AQ133" s="2" t="str">
        <f>HYPERLINK("http://www.ncbi.nlm.nih.gov/Structure/cdd/cddsrv.cgi?uid=COG5621&amp;version=v4.0","0.037")</f>
        <v>0.037</v>
      </c>
      <c r="AR133" t="s">
        <v>885</v>
      </c>
      <c r="AS133" s="3" t="str">
        <f>HYPERLINK("http://exon.niaid.nih.gov/transcriptome/O_fasciatus/Sup_tab1/links/PFAM\of-new-contig_32-PFAM.txt","DNA_pol_viral_N")</f>
        <v>DNA_pol_viral_N</v>
      </c>
      <c r="AT133" s="2" t="str">
        <f>HYPERLINK("http://pfam.wustl.edu/cgi-bin/getdesc?acc=PF00242","0.035")</f>
        <v>0.035</v>
      </c>
      <c r="AU133" s="3" t="str">
        <f>HYPERLINK("http://exon.niaid.nih.gov/transcriptome/O_fasciatus/Sup_tab1/links/SMART\of-new-contig_32-SMART.txt","Tryp_SPc")</f>
        <v>Tryp_SPc</v>
      </c>
      <c r="AV133" s="2" t="str">
        <f>HYPERLINK("http://smart.embl-heidelberg.de/smart/do_annotation.pl?DOMAIN=Tryp_SPc&amp;BLAST=DUMMY","0.39")</f>
        <v>0.39</v>
      </c>
      <c r="AW133" s="3" t="s">
        <v>547</v>
      </c>
      <c r="AX133" s="2" t="s">
        <v>547</v>
      </c>
      <c r="AY133" s="3" t="s">
        <v>547</v>
      </c>
      <c r="AZ133" s="2" t="s">
        <v>547</v>
      </c>
    </row>
    <row r="134" spans="1:52" ht="11.25">
      <c r="A134" t="str">
        <f>HYPERLINK("http://exon.niaid.nih.gov/transcriptome/O_fasciatus/Sup_tab1/links/of-new\of-new-contig_33.txt","of-new-contig_33")</f>
        <v>of-new-contig_33</v>
      </c>
      <c r="B134" t="str">
        <f>HYPERLINK("http://exon.niaid.nih.gov/transcriptome/O_fasciatus/Sup_tab1/links/of-new\of-new-5-64-64-asb-33.txt","Contig-33")</f>
        <v>Contig-33</v>
      </c>
      <c r="C134" t="str">
        <f>HYPERLINK("http://exon.niaid.nih.gov/transcriptome/O_fasciatus/Sup_tab1/links/of-new\of-new-5-64-64-33-CLU.txt","Contig33")</f>
        <v>Contig33</v>
      </c>
      <c r="D134">
        <v>10</v>
      </c>
      <c r="E134">
        <v>738</v>
      </c>
      <c r="F134" t="str">
        <f>HYPERLINK("http://exon.niaid.nih.gov/transcriptome/O_fasciatus/Sup_tab1/links/of-new\of-new-5-64-64-33-qual.txt","60.6")</f>
        <v>60.6</v>
      </c>
      <c r="G134" t="s">
        <v>541</v>
      </c>
      <c r="H134">
        <v>77.2</v>
      </c>
      <c r="I134">
        <v>367</v>
      </c>
      <c r="J134">
        <v>33</v>
      </c>
      <c r="K134" t="s">
        <v>574</v>
      </c>
      <c r="L134">
        <v>349</v>
      </c>
      <c r="M134" s="3" t="str">
        <f>HYPERLINK("http://exon.niaid.nih.gov/transcriptome/O_fasciatus/Sup_tab1/links/NR\of-new-contig_33-NR.txt","hypothetical protein [Plasmodium berghei strain ANKA]")</f>
        <v>hypothetical protein [Plasmodium berghei strain ANKA]</v>
      </c>
      <c r="N134" s="2" t="str">
        <f>HYPERLINK("http://www.ncbi.nlm.nih.gov/sutils/blink.cgi?pid=68065011","4.3")</f>
        <v>4.3</v>
      </c>
      <c r="O134" t="s">
        <v>886</v>
      </c>
      <c r="P134">
        <v>46</v>
      </c>
      <c r="Q134">
        <v>500</v>
      </c>
      <c r="R134">
        <v>32</v>
      </c>
      <c r="S134">
        <v>9</v>
      </c>
      <c r="T134">
        <v>277</v>
      </c>
      <c r="U134">
        <v>105</v>
      </c>
      <c r="V134">
        <v>1</v>
      </c>
      <c r="W134" t="s">
        <v>1412</v>
      </c>
      <c r="X134" t="s">
        <v>887</v>
      </c>
      <c r="Y134" t="s">
        <v>888</v>
      </c>
      <c r="Z134" s="4" t="s">
        <v>1025</v>
      </c>
      <c r="AA134" t="s">
        <v>1015</v>
      </c>
      <c r="AB134" s="3" t="s">
        <v>547</v>
      </c>
      <c r="AC134" s="2" t="s">
        <v>547</v>
      </c>
      <c r="AD134" s="4" t="s">
        <v>547</v>
      </c>
      <c r="AE134" t="s">
        <v>547</v>
      </c>
      <c r="AF134" t="s">
        <v>547</v>
      </c>
      <c r="AG134" s="4" t="s">
        <v>547</v>
      </c>
      <c r="AH134" t="s">
        <v>547</v>
      </c>
      <c r="AI134" t="s">
        <v>547</v>
      </c>
      <c r="AJ134" s="4" t="s">
        <v>547</v>
      </c>
      <c r="AK134" t="s">
        <v>547</v>
      </c>
      <c r="AL134" t="s">
        <v>547</v>
      </c>
      <c r="AM134" s="3" t="s">
        <v>547</v>
      </c>
      <c r="AN134" s="2" t="s">
        <v>547</v>
      </c>
      <c r="AO134" t="s">
        <v>547</v>
      </c>
      <c r="AP134" s="3" t="str">
        <f>HYPERLINK("http://exon.niaid.nih.gov/transcriptome/O_fasciatus/Sup_tab1/links/CDD\of-new-contig_33-CDD.txt","COG3202")</f>
        <v>COG3202</v>
      </c>
      <c r="AQ134" s="2" t="str">
        <f>HYPERLINK("http://www.ncbi.nlm.nih.gov/Structure/cdd/cddsrv.cgi?uid=COG3202&amp;version=v4.0","0.32")</f>
        <v>0.32</v>
      </c>
      <c r="AR134" t="s">
        <v>889</v>
      </c>
      <c r="AS134" s="3" t="str">
        <f>HYPERLINK("http://exon.niaid.nih.gov/transcriptome/O_fasciatus/Sup_tab1/links/PFAM\of-new-contig_33-PFAM.txt","DUF215")</f>
        <v>DUF215</v>
      </c>
      <c r="AT134" s="2" t="str">
        <f>HYPERLINK("http://pfam.wustl.edu/cgi-bin/getdesc?acc=PF02688","0.014")</f>
        <v>0.014</v>
      </c>
      <c r="AU134" s="3" t="str">
        <f>HYPERLINK("http://exon.niaid.nih.gov/transcriptome/O_fasciatus/Sup_tab1/links/SMART\of-new-contig_33-SMART.txt","TLC")</f>
        <v>TLC</v>
      </c>
      <c r="AV134" s="2" t="str">
        <f>HYPERLINK("http://smart.embl-heidelberg.de/smart/do_annotation.pl?DOMAIN=TLC&amp;BLAST=DUMMY","0.036")</f>
        <v>0.036</v>
      </c>
      <c r="AW134" s="3" t="s">
        <v>547</v>
      </c>
      <c r="AX134" s="2" t="s">
        <v>547</v>
      </c>
      <c r="AY134" s="3" t="s">
        <v>547</v>
      </c>
      <c r="AZ134" s="2" t="s">
        <v>547</v>
      </c>
    </row>
    <row r="135" spans="1:52" ht="11.25">
      <c r="A135" t="str">
        <f>HYPERLINK("http://exon.niaid.nih.gov/transcriptome/O_fasciatus/Sup_tab1/links/of-new\of-new-contig_11.txt","of-new-contig_11")</f>
        <v>of-new-contig_11</v>
      </c>
      <c r="B135" t="str">
        <f>HYPERLINK("http://exon.niaid.nih.gov/transcriptome/O_fasciatus/Sup_tab1/links/of-new\of-new-5-64-64-asb-11.txt","Contig-11")</f>
        <v>Contig-11</v>
      </c>
      <c r="C135" t="str">
        <f>HYPERLINK("http://exon.niaid.nih.gov/transcriptome/O_fasciatus/Sup_tab1/links/of-new\of-new-5-64-64-11-CLU.txt","Contig11")</f>
        <v>Contig11</v>
      </c>
      <c r="D135">
        <v>7</v>
      </c>
      <c r="E135">
        <v>437</v>
      </c>
      <c r="F135" t="str">
        <f>HYPERLINK("http://exon.niaid.nih.gov/transcriptome/O_fasciatus/Sup_tab1/links/of-new\of-new-5-64-64-11-qual.txt","82.7")</f>
        <v>82.7</v>
      </c>
      <c r="G135" t="s">
        <v>541</v>
      </c>
      <c r="H135">
        <v>51.7</v>
      </c>
      <c r="I135">
        <v>417</v>
      </c>
      <c r="J135">
        <v>11</v>
      </c>
      <c r="K135" t="s">
        <v>553</v>
      </c>
      <c r="L135">
        <v>438</v>
      </c>
      <c r="M135" s="3" t="str">
        <f>HYPERLINK("http://exon.niaid.nih.gov/transcriptome/O_fasciatus/Sup_tab1/links/NR\of-new-contig_11-NR.txt","pherophorin-dz1 protein")</f>
        <v>pherophorin-dz1 protein</v>
      </c>
      <c r="N135" s="2" t="str">
        <f>HYPERLINK("http://www.ncbi.nlm.nih.gov/sutils/blink.cgi?pid=21322711","2E-034")</f>
        <v>2E-034</v>
      </c>
      <c r="O135" t="s">
        <v>1548</v>
      </c>
      <c r="P135">
        <v>83</v>
      </c>
      <c r="Q135">
        <v>1009</v>
      </c>
      <c r="R135">
        <v>67</v>
      </c>
      <c r="S135">
        <v>8</v>
      </c>
      <c r="T135">
        <v>0</v>
      </c>
      <c r="U135">
        <v>0</v>
      </c>
      <c r="V135">
        <v>200</v>
      </c>
      <c r="W135" t="s">
        <v>1412</v>
      </c>
      <c r="X135" t="s">
        <v>1549</v>
      </c>
      <c r="Y135" t="s">
        <v>1550</v>
      </c>
      <c r="Z135" s="4" t="s">
        <v>1012</v>
      </c>
      <c r="AA135" t="s">
        <v>1013</v>
      </c>
      <c r="AB135" s="3" t="s">
        <v>831</v>
      </c>
      <c r="AC135" s="2">
        <f>HYPERLINK("http://exon.niaid.nih.gov/transcriptome/O_fasciatus/Sup_tab1/links/GO\of-new-contig_11-GO.txt",2E-27)</f>
        <v>0</v>
      </c>
      <c r="AD135" s="4" t="s">
        <v>832</v>
      </c>
      <c r="AE135" t="s">
        <v>833</v>
      </c>
      <c r="AF135" s="1">
        <v>2E-24</v>
      </c>
      <c r="AG135" s="4" t="s">
        <v>834</v>
      </c>
      <c r="AH135" t="s">
        <v>835</v>
      </c>
      <c r="AI135" s="1">
        <v>2E-24</v>
      </c>
      <c r="AJ135" s="4" t="s">
        <v>547</v>
      </c>
      <c r="AK135" t="s">
        <v>547</v>
      </c>
      <c r="AL135" t="s">
        <v>547</v>
      </c>
      <c r="AM135" s="3" t="str">
        <f>HYPERLINK("http://exon.niaid.nih.gov/transcriptome/O_fasciatus/Sup_tab1/links/KOG\of-new-contig_11-KOG.txt","RhoA GTPase effector DIA/Diaphanous")</f>
        <v>RhoA GTPase effector DIA/Diaphanous</v>
      </c>
      <c r="AN135" s="2" t="str">
        <f>HYPERLINK("http://www.ncbi.nlm.nih.gov/COG/new/shokog.cgi?KOG1924","3E-023")</f>
        <v>3E-023</v>
      </c>
      <c r="AO135" t="s">
        <v>836</v>
      </c>
      <c r="AP135" s="3" t="str">
        <f>HYPERLINK("http://exon.niaid.nih.gov/transcriptome/O_fasciatus/Sup_tab1/links/CDD\of-new-contig_11-CDD.txt","Drf_FH1")</f>
        <v>Drf_FH1</v>
      </c>
      <c r="AQ135" s="2" t="str">
        <f>HYPERLINK("http://www.ncbi.nlm.nih.gov/Structure/cdd/cddsrv.cgi?uid=pfam06346&amp;version=v4.0","2E-020")</f>
        <v>2E-020</v>
      </c>
      <c r="AR135" t="s">
        <v>837</v>
      </c>
      <c r="AS135" s="3" t="str">
        <f>HYPERLINK("http://exon.niaid.nih.gov/transcriptome/O_fasciatus/Sup_tab1/links/PFAM\of-new-contig_11-PFAM.txt","Drf_FH1")</f>
        <v>Drf_FH1</v>
      </c>
      <c r="AT135" s="2" t="str">
        <f>HYPERLINK("http://pfam.wustl.edu/cgi-bin/getdesc?acc=PF06346","8E-021")</f>
        <v>8E-021</v>
      </c>
      <c r="AU135" s="3" t="str">
        <f>HYPERLINK("http://exon.niaid.nih.gov/transcriptome/O_fasciatus/Sup_tab1/links/SMART\of-new-contig_11-SMART.txt","PRP")</f>
        <v>PRP</v>
      </c>
      <c r="AV135" s="2" t="str">
        <f>HYPERLINK("http://smart.embl-heidelberg.de/smart/do_annotation.pl?DOMAIN=PRP&amp;BLAST=DUMMY","4E-008")</f>
        <v>4E-008</v>
      </c>
      <c r="AW135" s="3" t="s">
        <v>547</v>
      </c>
      <c r="AX135" s="2" t="s">
        <v>547</v>
      </c>
      <c r="AY135" s="3" t="s">
        <v>547</v>
      </c>
      <c r="AZ135" s="2" t="s">
        <v>547</v>
      </c>
    </row>
    <row r="136" spans="1:52" ht="11.25">
      <c r="A136" t="str">
        <f>HYPERLINK("http://exon.niaid.nih.gov/transcriptome/O_fasciatus/Sup_tab1/links/of-new\of-new-contig_40.txt","of-new-contig_40")</f>
        <v>of-new-contig_40</v>
      </c>
      <c r="B136" t="str">
        <f>HYPERLINK("http://exon.niaid.nih.gov/transcriptome/O_fasciatus/Sup_tab1/links/of-new\of-new-5-64-64-asb-40.txt","Contig-40")</f>
        <v>Contig-40</v>
      </c>
      <c r="C136" t="str">
        <f>HYPERLINK("http://exon.niaid.nih.gov/transcriptome/O_fasciatus/Sup_tab1/links/of-new\of-new-5-64-64-40-CLU.txt","Contig40")</f>
        <v>Contig40</v>
      </c>
      <c r="D136">
        <v>7</v>
      </c>
      <c r="E136">
        <v>607</v>
      </c>
      <c r="F136" t="str">
        <f>HYPERLINK("http://exon.niaid.nih.gov/transcriptome/O_fasciatus/Sup_tab1/links/of-new\of-new-5-64-64-40-qual.txt","66.5")</f>
        <v>66.5</v>
      </c>
      <c r="G136" t="s">
        <v>541</v>
      </c>
      <c r="H136">
        <v>51.2</v>
      </c>
      <c r="I136">
        <v>383</v>
      </c>
      <c r="J136">
        <v>40</v>
      </c>
      <c r="K136" t="s">
        <v>581</v>
      </c>
      <c r="L136">
        <v>371</v>
      </c>
      <c r="M136" s="3" t="str">
        <f>HYPERLINK("http://exon.niaid.nih.gov/transcriptome/O_fasciatus/Sup_tab1/links/NR\of-new-contig_40-NR.txt","SJCHGC09076 protein")</f>
        <v>SJCHGC09076 protein</v>
      </c>
      <c r="N136" s="2" t="str">
        <f>HYPERLINK("http://www.ncbi.nlm.nih.gov/sutils/blink.cgi?pid=56756781","1E-005")</f>
        <v>1E-005</v>
      </c>
      <c r="O136" t="s">
        <v>1424</v>
      </c>
      <c r="P136">
        <v>37</v>
      </c>
      <c r="Q136">
        <v>109</v>
      </c>
      <c r="R136">
        <v>70</v>
      </c>
      <c r="S136">
        <v>34</v>
      </c>
      <c r="T136">
        <v>46</v>
      </c>
      <c r="U136">
        <v>497</v>
      </c>
      <c r="V136">
        <v>1</v>
      </c>
      <c r="W136" t="s">
        <v>1412</v>
      </c>
      <c r="X136" t="s">
        <v>1425</v>
      </c>
      <c r="Y136" t="s">
        <v>1146</v>
      </c>
      <c r="Z136" s="4" t="s">
        <v>1025</v>
      </c>
      <c r="AA136" t="s">
        <v>1015</v>
      </c>
      <c r="AB136" s="3" t="s">
        <v>1147</v>
      </c>
      <c r="AC136" s="2">
        <f>HYPERLINK("http://exon.niaid.nih.gov/transcriptome/O_fasciatus/Sup_tab1/links/GO\of-new-contig_40-GO.txt",0.01)</f>
        <v>0</v>
      </c>
      <c r="AD136" s="4" t="s">
        <v>1148</v>
      </c>
      <c r="AE136" t="s">
        <v>1149</v>
      </c>
      <c r="AF136">
        <v>0.01</v>
      </c>
      <c r="AG136" s="4" t="s">
        <v>1137</v>
      </c>
      <c r="AH136" t="s">
        <v>1138</v>
      </c>
      <c r="AI136">
        <v>0.01</v>
      </c>
      <c r="AJ136" s="4" t="s">
        <v>1150</v>
      </c>
      <c r="AK136" t="s">
        <v>1151</v>
      </c>
      <c r="AL136">
        <v>0.01</v>
      </c>
      <c r="AM136" s="3" t="str">
        <f>HYPERLINK("http://exon.niaid.nih.gov/transcriptome/O_fasciatus/Sup_tab1/links/KOG\of-new-contig_40-KOG.txt","Sequence-specific single-stranded-DNA-binding protein")</f>
        <v>Sequence-specific single-stranded-DNA-binding protein</v>
      </c>
      <c r="AN136" s="2" t="str">
        <f>HYPERLINK("http://www.ncbi.nlm.nih.gov/COG/new/shokog.cgi?KOG4594","0.029")</f>
        <v>0.029</v>
      </c>
      <c r="AO136" t="s">
        <v>1152</v>
      </c>
      <c r="AP136" s="3" t="str">
        <f>HYPERLINK("http://exon.niaid.nih.gov/transcriptome/O_fasciatus/Sup_tab1/links/CDD\of-new-contig_40-CDD.txt","COG2421")</f>
        <v>COG2421</v>
      </c>
      <c r="AQ136" s="2" t="str">
        <f>HYPERLINK("http://www.ncbi.nlm.nih.gov/Structure/cdd/cddsrv.cgi?uid=COG2421&amp;version=v4.0","0.067")</f>
        <v>0.067</v>
      </c>
      <c r="AR136" t="s">
        <v>1153</v>
      </c>
      <c r="AS136" s="3" t="s">
        <v>547</v>
      </c>
      <c r="AT136" s="2" t="s">
        <v>547</v>
      </c>
      <c r="AU136" s="3" t="str">
        <f>HYPERLINK("http://exon.niaid.nih.gov/transcriptome/O_fasciatus/Sup_tab1/links/SMART\of-new-contig_40-SMART.txt","LPD_N")</f>
        <v>LPD_N</v>
      </c>
      <c r="AV136" s="2" t="str">
        <f>HYPERLINK("http://smart.embl-heidelberg.de/smart/do_annotation.pl?DOMAIN=LPD_N&amp;BLAST=DUMMY","0.031")</f>
        <v>0.031</v>
      </c>
      <c r="AW136" s="3" t="s">
        <v>547</v>
      </c>
      <c r="AX136" s="2" t="s">
        <v>547</v>
      </c>
      <c r="AY136" s="3" t="s">
        <v>547</v>
      </c>
      <c r="AZ136" s="2" t="s">
        <v>547</v>
      </c>
    </row>
    <row r="137" spans="1:52" ht="11.25">
      <c r="A137" t="str">
        <f>HYPERLINK("http://exon.niaid.nih.gov/transcriptome/O_fasciatus/Sup_tab1/links/of-new\of-new-contig_29.txt","of-new-contig_29")</f>
        <v>of-new-contig_29</v>
      </c>
      <c r="B137" t="str">
        <f>HYPERLINK("http://exon.niaid.nih.gov/transcriptome/O_fasciatus/Sup_tab1/links/of-new\of-new-5-64-64-asb-29.txt","Contig-29")</f>
        <v>Contig-29</v>
      </c>
      <c r="C137" t="str">
        <f>HYPERLINK("http://exon.niaid.nih.gov/transcriptome/O_fasciatus/Sup_tab1/links/of-new\of-new-5-64-64-29-CLU.txt","Contig29")</f>
        <v>Contig29</v>
      </c>
      <c r="D137">
        <v>6</v>
      </c>
      <c r="E137">
        <v>425</v>
      </c>
      <c r="F137" t="str">
        <f>HYPERLINK("http://exon.niaid.nih.gov/transcriptome/O_fasciatus/Sup_tab1/links/of-new\of-new-5-64-64-29-qual.txt","91.8")</f>
        <v>91.8</v>
      </c>
      <c r="G137" t="s">
        <v>541</v>
      </c>
      <c r="H137">
        <v>61.9</v>
      </c>
      <c r="I137">
        <v>406</v>
      </c>
      <c r="J137">
        <v>29</v>
      </c>
      <c r="K137" t="s">
        <v>571</v>
      </c>
      <c r="L137">
        <v>406</v>
      </c>
      <c r="M137" s="3" t="str">
        <f>HYPERLINK("http://exon.niaid.nih.gov/transcriptome/O_fasciatus/Sup_tab1/links/NR\of-new-contig_29-NR.txt","hypothetical protein [Neurospora crassa OR74A]")</f>
        <v>hypothetical protein [Neurospora crassa OR74A]</v>
      </c>
      <c r="N137" s="2" t="str">
        <f>HYPERLINK("http://www.ncbi.nlm.nih.gov/sutils/blink.cgi?pid=85111552","3E-010")</f>
        <v>3E-010</v>
      </c>
      <c r="O137" t="s">
        <v>865</v>
      </c>
      <c r="P137">
        <v>63</v>
      </c>
      <c r="Q137">
        <v>324</v>
      </c>
      <c r="R137">
        <v>52</v>
      </c>
      <c r="S137">
        <v>19</v>
      </c>
      <c r="T137">
        <v>51</v>
      </c>
      <c r="U137">
        <v>3</v>
      </c>
      <c r="V137">
        <v>4</v>
      </c>
      <c r="W137" t="s">
        <v>1412</v>
      </c>
      <c r="X137" t="s">
        <v>866</v>
      </c>
      <c r="Y137" t="s">
        <v>867</v>
      </c>
      <c r="Z137" s="4" t="s">
        <v>1029</v>
      </c>
      <c r="AA137" t="s">
        <v>1013</v>
      </c>
      <c r="AB137" s="3" t="s">
        <v>868</v>
      </c>
      <c r="AC137" s="2">
        <f>HYPERLINK("http://exon.niaid.nih.gov/transcriptome/O_fasciatus/Sup_tab1/links/GO\of-new-contig_29-GO.txt",0.0000000009)</f>
        <v>0</v>
      </c>
      <c r="AD137" s="4" t="s">
        <v>547</v>
      </c>
      <c r="AE137" t="s">
        <v>547</v>
      </c>
      <c r="AF137" t="s">
        <v>547</v>
      </c>
      <c r="AG137" s="4" t="s">
        <v>839</v>
      </c>
      <c r="AH137" t="s">
        <v>840</v>
      </c>
      <c r="AI137">
        <v>1E-08</v>
      </c>
      <c r="AJ137" s="4" t="s">
        <v>841</v>
      </c>
      <c r="AK137" t="s">
        <v>842</v>
      </c>
      <c r="AL137">
        <v>1E-08</v>
      </c>
      <c r="AM137" s="3" t="str">
        <f>HYPERLINK("http://exon.niaid.nih.gov/transcriptome/O_fasciatus/Sup_tab1/links/KOG\of-new-contig_29-KOG.txt","RhoA GTPase effector DIA/Diaphanous")</f>
        <v>RhoA GTPase effector DIA/Diaphanous</v>
      </c>
      <c r="AN137" s="2" t="str">
        <f>HYPERLINK("http://www.ncbi.nlm.nih.gov/COG/new/shokog.cgi?KOG1924","1E-008")</f>
        <v>1E-008</v>
      </c>
      <c r="AO137" t="s">
        <v>836</v>
      </c>
      <c r="AP137" s="3" t="str">
        <f>HYPERLINK("http://exon.niaid.nih.gov/transcriptome/O_fasciatus/Sup_tab1/links/CDD\of-new-contig_29-CDD.txt","Drf_FH1")</f>
        <v>Drf_FH1</v>
      </c>
      <c r="AQ137" s="2" t="str">
        <f>HYPERLINK("http://www.ncbi.nlm.nih.gov/Structure/cdd/cddsrv.cgi?uid=pfam06346&amp;version=v4.0","7E-006")</f>
        <v>7E-006</v>
      </c>
      <c r="AR137" t="s">
        <v>869</v>
      </c>
      <c r="AS137" s="3" t="str">
        <f>HYPERLINK("http://exon.niaid.nih.gov/transcriptome/O_fasciatus/Sup_tab1/links/PFAM\of-new-contig_29-PFAM.txt","Drf_FH1")</f>
        <v>Drf_FH1</v>
      </c>
      <c r="AT137" s="2" t="str">
        <f>HYPERLINK("http://pfam.wustl.edu/cgi-bin/getdesc?acc=PF06346","3E-006")</f>
        <v>3E-006</v>
      </c>
      <c r="AU137" s="3" t="str">
        <f>HYPERLINK("http://exon.niaid.nih.gov/transcriptome/O_fasciatus/Sup_tab1/links/SMART\of-new-contig_29-SMART.txt","PRP")</f>
        <v>PRP</v>
      </c>
      <c r="AV137" s="2" t="str">
        <f>HYPERLINK("http://smart.embl-heidelberg.de/smart/do_annotation.pl?DOMAIN=PRP&amp;BLAST=DUMMY","0.050")</f>
        <v>0.050</v>
      </c>
      <c r="AW137" s="3" t="s">
        <v>547</v>
      </c>
      <c r="AX137" s="2" t="s">
        <v>547</v>
      </c>
      <c r="AY137" s="3" t="s">
        <v>547</v>
      </c>
      <c r="AZ137" s="2" t="s">
        <v>547</v>
      </c>
    </row>
    <row r="138" spans="1:52" ht="11.25">
      <c r="A138" t="str">
        <f>HYPERLINK("http://exon.niaid.nih.gov/transcriptome/O_fasciatus/Sup_tab1/links/of-new\of-new-contig_15.txt","of-new-contig_15")</f>
        <v>of-new-contig_15</v>
      </c>
      <c r="B138" t="str">
        <f>HYPERLINK("http://exon.niaid.nih.gov/transcriptome/O_fasciatus/Sup_tab1/links/of-new\of-new-5-64-64-asb-15.txt","Contig-15")</f>
        <v>Contig-15</v>
      </c>
      <c r="C138" t="str">
        <f>HYPERLINK("http://exon.niaid.nih.gov/transcriptome/O_fasciatus/Sup_tab1/links/of-new\of-new-5-64-64-15-CLU.txt","Contig15")</f>
        <v>Contig15</v>
      </c>
      <c r="D138">
        <v>6</v>
      </c>
      <c r="E138">
        <v>503</v>
      </c>
      <c r="F138" t="str">
        <f>HYPERLINK("http://exon.niaid.nih.gov/transcriptome/O_fasciatus/Sup_tab1/links/of-new\of-new-5-64-64-15-qual.txt","89.1")</f>
        <v>89.1</v>
      </c>
      <c r="G138" t="s">
        <v>541</v>
      </c>
      <c r="H138">
        <v>50.9</v>
      </c>
      <c r="I138">
        <v>482</v>
      </c>
      <c r="J138">
        <v>15</v>
      </c>
      <c r="K138" t="s">
        <v>557</v>
      </c>
      <c r="L138">
        <v>497</v>
      </c>
      <c r="M138" s="3" t="str">
        <f>HYPERLINK("http://exon.niaid.nih.gov/transcriptome/O_fasciatus/Sup_tab1/links/NR\of-new-contig_15-NR.txt","ENSANGP00000012721")</f>
        <v>ENSANGP00000012721</v>
      </c>
      <c r="N138" s="2" t="str">
        <f>HYPERLINK("http://www.ncbi.nlm.nih.gov/sutils/blink.cgi?pid=116130701","0.032")</f>
        <v>0.032</v>
      </c>
      <c r="O138" t="s">
        <v>1627</v>
      </c>
      <c r="P138">
        <v>120</v>
      </c>
      <c r="Q138">
        <v>544</v>
      </c>
      <c r="R138">
        <v>28</v>
      </c>
      <c r="S138">
        <v>22</v>
      </c>
      <c r="T138">
        <v>246</v>
      </c>
      <c r="U138">
        <v>184</v>
      </c>
      <c r="V138">
        <v>1</v>
      </c>
      <c r="W138" t="s">
        <v>1412</v>
      </c>
      <c r="X138" t="s">
        <v>1628</v>
      </c>
      <c r="Y138" t="s">
        <v>1629</v>
      </c>
      <c r="Z138" s="4" t="s">
        <v>1017</v>
      </c>
      <c r="AA138" t="s">
        <v>1015</v>
      </c>
      <c r="AB138" s="3" t="s">
        <v>1630</v>
      </c>
      <c r="AC138" s="2">
        <f>HYPERLINK("http://exon.niaid.nih.gov/transcriptome/O_fasciatus/Sup_tab1/links/GO\of-new-contig_15-GO.txt",0.026)</f>
        <v>0</v>
      </c>
      <c r="AD138" s="4" t="s">
        <v>1631</v>
      </c>
      <c r="AE138" t="s">
        <v>1632</v>
      </c>
      <c r="AF138">
        <v>0.077</v>
      </c>
      <c r="AG138" s="4" t="s">
        <v>547</v>
      </c>
      <c r="AH138" t="s">
        <v>547</v>
      </c>
      <c r="AI138" t="s">
        <v>547</v>
      </c>
      <c r="AJ138" s="4" t="s">
        <v>1537</v>
      </c>
      <c r="AK138" t="s">
        <v>1538</v>
      </c>
      <c r="AL138">
        <v>0.077</v>
      </c>
      <c r="AM138" s="3" t="str">
        <f>HYPERLINK("http://exon.niaid.nih.gov/transcriptome/O_fasciatus/Sup_tab1/links/KOG\of-new-contig_15-KOG.txt","Dihydrolipoamide succinyltransferase (2-oxoglutarate dehydrogenase, E2 subunit)")</f>
        <v>Dihydrolipoamide succinyltransferase (2-oxoglutarate dehydrogenase, E2 subunit)</v>
      </c>
      <c r="AN138" s="2" t="str">
        <f>HYPERLINK("http://www.ncbi.nlm.nih.gov/COG/new/shokog.cgi?KOG0559","0.094")</f>
        <v>0.094</v>
      </c>
      <c r="AO138" t="s">
        <v>1430</v>
      </c>
      <c r="AP138" s="3" t="str">
        <f>HYPERLINK("http://exon.niaid.nih.gov/transcriptome/O_fasciatus/Sup_tab1/links/CDD\of-new-contig_15-CDD.txt","Harpin")</f>
        <v>Harpin</v>
      </c>
      <c r="AQ138" s="2" t="str">
        <f>HYPERLINK("http://www.ncbi.nlm.nih.gov/Structure/cdd/cddsrv.cgi?uid=pfam07132&amp;version=v4.0","0.14")</f>
        <v>0.14</v>
      </c>
      <c r="AR138" t="s">
        <v>1633</v>
      </c>
      <c r="AS138" s="3" t="str">
        <f>HYPERLINK("http://exon.niaid.nih.gov/transcriptome/O_fasciatus/Sup_tab1/links/PFAM\of-new-contig_15-PFAM.txt","DUF1420")</f>
        <v>DUF1420</v>
      </c>
      <c r="AT138" s="2" t="str">
        <f>HYPERLINK("http://pfam.wustl.edu/cgi-bin/getdesc?acc=PF07220","0.076")</f>
        <v>0.076</v>
      </c>
      <c r="AU138" s="3" t="str">
        <f>HYPERLINK("http://exon.niaid.nih.gov/transcriptome/O_fasciatus/Sup_tab1/links/SMART\of-new-contig_15-SMART.txt","PRP")</f>
        <v>PRP</v>
      </c>
      <c r="AV138" s="2" t="str">
        <f>HYPERLINK("http://smart.embl-heidelberg.de/smart/do_annotation.pl?DOMAIN=PRP&amp;BLAST=DUMMY","0.33")</f>
        <v>0.33</v>
      </c>
      <c r="AW138" s="3" t="s">
        <v>547</v>
      </c>
      <c r="AX138" s="2" t="s">
        <v>547</v>
      </c>
      <c r="AY138" s="3" t="s">
        <v>547</v>
      </c>
      <c r="AZ138" s="2" t="s">
        <v>547</v>
      </c>
    </row>
    <row r="139" spans="1:52" ht="11.25">
      <c r="A139" t="str">
        <f>HYPERLINK("http://exon.niaid.nih.gov/transcriptome/O_fasciatus/Sup_tab1/links/of-new\of-new-contig_45.txt","of-new-contig_45")</f>
        <v>of-new-contig_45</v>
      </c>
      <c r="B139" t="str">
        <f>HYPERLINK("http://exon.niaid.nih.gov/transcriptome/O_fasciatus/Sup_tab1/links/of-new\of-new-5-64-64-asb-45.txt","Contig-45")</f>
        <v>Contig-45</v>
      </c>
      <c r="C139" t="str">
        <f>HYPERLINK("http://exon.niaid.nih.gov/transcriptome/O_fasciatus/Sup_tab1/links/of-new\of-new-5-64-64-45-CLU.txt","Contig45")</f>
        <v>Contig45</v>
      </c>
      <c r="D139">
        <v>4</v>
      </c>
      <c r="E139">
        <v>635</v>
      </c>
      <c r="F139" t="str">
        <f>HYPERLINK("http://exon.niaid.nih.gov/transcriptome/O_fasciatus/Sup_tab1/links/of-new\of-new-5-64-64-45-qual.txt","91.9")</f>
        <v>91.9</v>
      </c>
      <c r="G139" t="s">
        <v>541</v>
      </c>
      <c r="H139">
        <v>51.5</v>
      </c>
      <c r="I139">
        <v>616</v>
      </c>
      <c r="J139">
        <v>45</v>
      </c>
      <c r="K139" t="s">
        <v>586</v>
      </c>
      <c r="L139">
        <v>604</v>
      </c>
      <c r="M139" s="3" t="str">
        <f>HYPERLINK("http://exon.niaid.nih.gov/transcriptome/O_fasciatus/Sup_tab1/links/NR\of-new-contig_45-NR.txt","hypothetical protein CaO19.3740 [Candida albicans SC5314]")</f>
        <v>hypothetical protein CaO19.3740 [Candida albicans SC5314]</v>
      </c>
      <c r="N139" s="2" t="str">
        <f>HYPERLINK("http://www.ncbi.nlm.nih.gov/sutils/blink.cgi?pid=68485334","1E-008")</f>
        <v>1E-008</v>
      </c>
      <c r="O139" t="s">
        <v>1491</v>
      </c>
      <c r="P139">
        <v>128</v>
      </c>
      <c r="Q139">
        <v>282</v>
      </c>
      <c r="R139">
        <v>34</v>
      </c>
      <c r="S139">
        <v>45</v>
      </c>
      <c r="T139">
        <v>35</v>
      </c>
      <c r="U139">
        <v>47</v>
      </c>
      <c r="V139">
        <v>2</v>
      </c>
      <c r="W139" t="s">
        <v>1412</v>
      </c>
      <c r="X139" t="s">
        <v>1492</v>
      </c>
      <c r="Y139" t="s">
        <v>1493</v>
      </c>
      <c r="Z139" s="4" t="s">
        <v>1029</v>
      </c>
      <c r="AA139" t="s">
        <v>1013</v>
      </c>
      <c r="AB139" s="3" t="s">
        <v>1494</v>
      </c>
      <c r="AC139" s="2">
        <f>HYPERLINK("http://exon.niaid.nih.gov/transcriptome/O_fasciatus/Sup_tab1/links/GO\of-new-contig_45-GO.txt",0.00005)</f>
        <v>0</v>
      </c>
      <c r="AD139" s="4" t="s">
        <v>1495</v>
      </c>
      <c r="AE139" t="s">
        <v>1496</v>
      </c>
      <c r="AF139">
        <v>5E-05</v>
      </c>
      <c r="AG139" s="4" t="s">
        <v>1497</v>
      </c>
      <c r="AH139" t="s">
        <v>1498</v>
      </c>
      <c r="AI139">
        <v>5E-05</v>
      </c>
      <c r="AJ139" s="4" t="s">
        <v>1499</v>
      </c>
      <c r="AK139" t="s">
        <v>1500</v>
      </c>
      <c r="AL139">
        <v>5E-05</v>
      </c>
      <c r="AM139" s="3" t="str">
        <f>HYPERLINK("http://exon.niaid.nih.gov/transcriptome/O_fasciatus/Sup_tab1/links/KOG\of-new-contig_45-KOG.txt","Ultrahigh sulfur keratin-associated protein")</f>
        <v>Ultrahigh sulfur keratin-associated protein</v>
      </c>
      <c r="AN139" s="2" t="str">
        <f>HYPERLINK("http://www.ncbi.nlm.nih.gov/COG/new/shokog.cgi?KOG4726","1E-007")</f>
        <v>1E-007</v>
      </c>
      <c r="AO139" t="s">
        <v>293</v>
      </c>
      <c r="AP139" s="3" t="str">
        <f>HYPERLINK("http://exon.niaid.nih.gov/transcriptome/O_fasciatus/Sup_tab1/links/CDD\of-new-contig_45-CDD.txt","TrbL")</f>
        <v>TrbL</v>
      </c>
      <c r="AQ139" s="2" t="str">
        <f>HYPERLINK("http://www.ncbi.nlm.nih.gov/Structure/cdd/cddsrv.cgi?uid=COG3846&amp;version=v4.0","4E-006")</f>
        <v>4E-006</v>
      </c>
      <c r="AR139" t="s">
        <v>1501</v>
      </c>
      <c r="AS139" s="3" t="str">
        <f>HYPERLINK("http://exon.niaid.nih.gov/transcriptome/O_fasciatus/Sup_tab1/links/PFAM\of-new-contig_45-PFAM.txt","DUF571")</f>
        <v>DUF571</v>
      </c>
      <c r="AT139" s="2" t="str">
        <f>HYPERLINK("http://pfam.wustl.edu/cgi-bin/getdesc?acc=PF04600","3E-006")</f>
        <v>3E-006</v>
      </c>
      <c r="AU139" s="3" t="str">
        <f>HYPERLINK("http://exon.niaid.nih.gov/transcriptome/O_fasciatus/Sup_tab1/links/SMART\of-new-contig_45-SMART.txt","GRAN")</f>
        <v>GRAN</v>
      </c>
      <c r="AV139" s="2" t="str">
        <f>HYPERLINK("http://smart.embl-heidelberg.de/smart/do_annotation.pl?DOMAIN=GRAN&amp;BLAST=DUMMY","0.005")</f>
        <v>0.005</v>
      </c>
      <c r="AW139" s="3" t="s">
        <v>547</v>
      </c>
      <c r="AX139" s="2" t="s">
        <v>547</v>
      </c>
      <c r="AY139" s="3" t="s">
        <v>547</v>
      </c>
      <c r="AZ139" s="2" t="s">
        <v>547</v>
      </c>
    </row>
    <row r="140" spans="1:52" ht="11.25">
      <c r="A140" t="str">
        <f>HYPERLINK("http://exon.niaid.nih.gov/transcriptome/O_fasciatus/Sup_tab1/links/of-new\of-new-contig_47.txt","of-new-contig_47")</f>
        <v>of-new-contig_47</v>
      </c>
      <c r="B140" t="str">
        <f>HYPERLINK("http://exon.niaid.nih.gov/transcriptome/O_fasciatus/Sup_tab1/links/of-new\of-new-5-64-64-asb-47.txt","Contig-47")</f>
        <v>Contig-47</v>
      </c>
      <c r="C140" t="str">
        <f>HYPERLINK("http://exon.niaid.nih.gov/transcriptome/O_fasciatus/Sup_tab1/links/of-new\of-new-5-64-64-47-CLU.txt","Contig47")</f>
        <v>Contig47</v>
      </c>
      <c r="D140">
        <v>4</v>
      </c>
      <c r="E140">
        <v>394</v>
      </c>
      <c r="F140" t="str">
        <f>HYPERLINK("http://exon.niaid.nih.gov/transcriptome/O_fasciatus/Sup_tab1/links/of-new\of-new-5-64-64-47-qual.txt","88.1")</f>
        <v>88.1</v>
      </c>
      <c r="G140" t="s">
        <v>541</v>
      </c>
      <c r="H140">
        <v>61.7</v>
      </c>
      <c r="I140">
        <v>375</v>
      </c>
      <c r="J140">
        <v>47</v>
      </c>
      <c r="K140" t="s">
        <v>588</v>
      </c>
      <c r="L140">
        <v>376</v>
      </c>
      <c r="M140" s="3" t="str">
        <f>HYPERLINK("http://exon.niaid.nih.gov/transcriptome/O_fasciatus/Sup_tab1/links/NR\of-new-contig_47-NR.txt","unnamed protein product [Candida glabrata]")</f>
        <v>unnamed protein product [Candida glabrata]</v>
      </c>
      <c r="N140" s="2" t="str">
        <f>HYPERLINK("http://www.ncbi.nlm.nih.gov/sutils/blink.cgi?pid=50288385","6E-014")</f>
        <v>6E-014</v>
      </c>
      <c r="O140" t="s">
        <v>1505</v>
      </c>
      <c r="P140">
        <v>55</v>
      </c>
      <c r="Q140">
        <v>419</v>
      </c>
      <c r="R140">
        <v>67</v>
      </c>
      <c r="S140">
        <v>13</v>
      </c>
      <c r="T140">
        <v>34</v>
      </c>
      <c r="U140">
        <v>1</v>
      </c>
      <c r="V140">
        <v>10</v>
      </c>
      <c r="W140" t="s">
        <v>1412</v>
      </c>
      <c r="X140" t="s">
        <v>1481</v>
      </c>
      <c r="Y140" t="s">
        <v>1506</v>
      </c>
      <c r="Z140" s="4" t="s">
        <v>1045</v>
      </c>
      <c r="AA140" t="s">
        <v>1013</v>
      </c>
      <c r="AB140" s="3" t="s">
        <v>1507</v>
      </c>
      <c r="AC140" s="2">
        <f>HYPERLINK("http://exon.niaid.nih.gov/transcriptome/O_fasciatus/Sup_tab1/links/GO\of-new-contig_47-GO.txt",0.000000000008)</f>
        <v>0</v>
      </c>
      <c r="AD140" s="4" t="s">
        <v>1508</v>
      </c>
      <c r="AE140" t="s">
        <v>1509</v>
      </c>
      <c r="AF140">
        <v>8E-12</v>
      </c>
      <c r="AG140" s="4" t="s">
        <v>847</v>
      </c>
      <c r="AH140" t="s">
        <v>848</v>
      </c>
      <c r="AI140">
        <v>8E-12</v>
      </c>
      <c r="AJ140" s="4" t="s">
        <v>1510</v>
      </c>
      <c r="AK140" t="s">
        <v>1511</v>
      </c>
      <c r="AL140">
        <v>8E-12</v>
      </c>
      <c r="AM140" s="3" t="str">
        <f>HYPERLINK("http://exon.niaid.nih.gov/transcriptome/O_fasciatus/Sup_tab1/links/KOG\of-new-contig_47-KOG.txt","Fibrillarin and related nucleolar RNA-binding proteins")</f>
        <v>Fibrillarin and related nucleolar RNA-binding proteins</v>
      </c>
      <c r="AN140" s="2" t="str">
        <f>HYPERLINK("http://www.ncbi.nlm.nih.gov/COG/new/shokog.cgi?KOG1596","9E-008")</f>
        <v>9E-008</v>
      </c>
      <c r="AO140" t="s">
        <v>1677</v>
      </c>
      <c r="AP140" s="3" t="str">
        <f>HYPERLINK("http://exon.niaid.nih.gov/transcriptome/O_fasciatus/Sup_tab1/links/CDD\of-new-contig_47-CDD.txt","Drf_FH1")</f>
        <v>Drf_FH1</v>
      </c>
      <c r="AQ140" s="2" t="str">
        <f>HYPERLINK("http://www.ncbi.nlm.nih.gov/Structure/cdd/cddsrv.cgi?uid=pfam06346&amp;version=v4.0","1E-006")</f>
        <v>1E-006</v>
      </c>
      <c r="AR140" t="s">
        <v>1512</v>
      </c>
      <c r="AS140" s="3" t="str">
        <f>HYPERLINK("http://exon.niaid.nih.gov/transcriptome/O_fasciatus/Sup_tab1/links/PFAM\of-new-contig_47-PFAM.txt","Drf_FH1")</f>
        <v>Drf_FH1</v>
      </c>
      <c r="AT140" s="2" t="str">
        <f>HYPERLINK("http://pfam.wustl.edu/cgi-bin/getdesc?acc=PF06346","8E-007")</f>
        <v>8E-007</v>
      </c>
      <c r="AU140" s="3" t="str">
        <f>HYPERLINK("http://exon.niaid.nih.gov/transcriptome/O_fasciatus/Sup_tab1/links/SMART\of-new-contig_47-SMART.txt","PRP")</f>
        <v>PRP</v>
      </c>
      <c r="AV140" s="2" t="str">
        <f>HYPERLINK("http://smart.embl-heidelberg.de/smart/do_annotation.pl?DOMAIN=PRP&amp;BLAST=DUMMY","1E-004")</f>
        <v>1E-004</v>
      </c>
      <c r="AW140" s="3" t="s">
        <v>547</v>
      </c>
      <c r="AX140" s="2" t="s">
        <v>547</v>
      </c>
      <c r="AY140" s="3" t="s">
        <v>547</v>
      </c>
      <c r="AZ140" s="2" t="s">
        <v>547</v>
      </c>
    </row>
    <row r="141" spans="1:52" ht="11.25">
      <c r="A141" t="str">
        <f>HYPERLINK("http://exon.niaid.nih.gov/transcriptome/O_fasciatus/Sup_tab1/links/of-new\of-new-contig_48.txt","of-new-contig_48")</f>
        <v>of-new-contig_48</v>
      </c>
      <c r="B141" t="str">
        <f>HYPERLINK("http://exon.niaid.nih.gov/transcriptome/O_fasciatus/Sup_tab1/links/of-new\of-new-5-64-64-asb-48.txt","Contig-48")</f>
        <v>Contig-48</v>
      </c>
      <c r="C141" t="str">
        <f>HYPERLINK("http://exon.niaid.nih.gov/transcriptome/O_fasciatus/Sup_tab1/links/of-new\of-new-5-64-64-48-CLU.txt","Contig48")</f>
        <v>Contig48</v>
      </c>
      <c r="D141">
        <v>4</v>
      </c>
      <c r="E141">
        <v>967</v>
      </c>
      <c r="F141" t="str">
        <f>HYPERLINK("http://exon.niaid.nih.gov/transcriptome/O_fasciatus/Sup_tab1/links/of-new\of-new-5-64-64-48-qual.txt","87.6")</f>
        <v>87.6</v>
      </c>
      <c r="G141" t="s">
        <v>541</v>
      </c>
      <c r="H141">
        <v>64.6</v>
      </c>
      <c r="I141" t="s">
        <v>547</v>
      </c>
      <c r="J141">
        <v>48</v>
      </c>
      <c r="K141" t="s">
        <v>589</v>
      </c>
      <c r="L141">
        <v>553</v>
      </c>
      <c r="M141" s="3" t="str">
        <f>HYPERLINK("http://exon.niaid.nih.gov/transcriptome/O_fasciatus/Sup_tab1/links/NR\of-new-contig_48-NR.txt","cement precursor protein 3B variant 1")</f>
        <v>cement precursor protein 3B variant 1</v>
      </c>
      <c r="N141" s="2" t="str">
        <f>HYPERLINK("http://www.ncbi.nlm.nih.gov/sutils/blink.cgi?pid=63055532","1E-011")</f>
        <v>1E-011</v>
      </c>
      <c r="O141" t="s">
        <v>1513</v>
      </c>
      <c r="P141">
        <v>112</v>
      </c>
      <c r="Q141">
        <v>341</v>
      </c>
      <c r="R141">
        <v>43</v>
      </c>
      <c r="S141">
        <v>33</v>
      </c>
      <c r="T141">
        <v>24</v>
      </c>
      <c r="U141">
        <v>14</v>
      </c>
      <c r="V141">
        <v>20</v>
      </c>
      <c r="W141" t="s">
        <v>1412</v>
      </c>
      <c r="X141" t="s">
        <v>1514</v>
      </c>
      <c r="Y141" t="s">
        <v>1515</v>
      </c>
      <c r="Z141" s="4" t="s">
        <v>1046</v>
      </c>
      <c r="AA141" t="s">
        <v>1013</v>
      </c>
      <c r="AB141" s="3" t="s">
        <v>1516</v>
      </c>
      <c r="AC141" s="2">
        <f>HYPERLINK("http://exon.niaid.nih.gov/transcriptome/O_fasciatus/Sup_tab1/links/GO\of-new-contig_48-GO.txt",0.000000007)</f>
        <v>0</v>
      </c>
      <c r="AD141" s="4" t="s">
        <v>507</v>
      </c>
      <c r="AE141" t="s">
        <v>508</v>
      </c>
      <c r="AF141">
        <v>7E-09</v>
      </c>
      <c r="AG141" s="4" t="s">
        <v>1648</v>
      </c>
      <c r="AH141" t="s">
        <v>1649</v>
      </c>
      <c r="AI141">
        <v>7E-09</v>
      </c>
      <c r="AJ141" s="4" t="s">
        <v>305</v>
      </c>
      <c r="AK141" t="s">
        <v>858</v>
      </c>
      <c r="AL141">
        <v>7E-09</v>
      </c>
      <c r="AM141" s="3" t="str">
        <f>HYPERLINK("http://exon.niaid.nih.gov/transcriptome/O_fasciatus/Sup_tab1/links/KOG\of-new-contig_48-KOG.txt","Predicted C3H1-type Zn-finger protein")</f>
        <v>Predicted C3H1-type Zn-finger protein</v>
      </c>
      <c r="AN141" s="2" t="str">
        <f>HYPERLINK("http://www.ncbi.nlm.nih.gov/COG/new/shokog.cgi?KOG3116","6E-005")</f>
        <v>6E-005</v>
      </c>
      <c r="AO141" t="s">
        <v>1503</v>
      </c>
      <c r="AP141" s="3" t="str">
        <f>HYPERLINK("http://exon.niaid.nih.gov/transcriptome/O_fasciatus/Sup_tab1/links/CDD\of-new-contig_48-CDD.txt","Candida_ALS")</f>
        <v>Candida_ALS</v>
      </c>
      <c r="AQ141" s="2" t="str">
        <f>HYPERLINK("http://www.ncbi.nlm.nih.gov/Structure/cdd/cddsrv.cgi?uid=pfam05792&amp;version=v4.0","0.001")</f>
        <v>0.001</v>
      </c>
      <c r="AR141" t="s">
        <v>509</v>
      </c>
      <c r="AS141" s="3" t="str">
        <f>HYPERLINK("http://exon.niaid.nih.gov/transcriptome/O_fasciatus/Sup_tab1/links/PFAM\of-new-contig_48-PFAM.txt","Candida_ALS")</f>
        <v>Candida_ALS</v>
      </c>
      <c r="AT141" s="2" t="str">
        <f>HYPERLINK("http://pfam.wustl.edu/cgi-bin/getdesc?acc=PF05792","5E-004")</f>
        <v>5E-004</v>
      </c>
      <c r="AU141" s="3" t="str">
        <f>HYPERLINK("http://exon.niaid.nih.gov/transcriptome/O_fasciatus/Sup_tab1/links/SMART\of-new-contig_48-SMART.txt","HOLI")</f>
        <v>HOLI</v>
      </c>
      <c r="AV141" s="2" t="str">
        <f>HYPERLINK("http://smart.embl-heidelberg.de/smart/do_annotation.pl?DOMAIN=HOLI&amp;BLAST=DUMMY","0.076")</f>
        <v>0.076</v>
      </c>
      <c r="AW141" s="3" t="s">
        <v>547</v>
      </c>
      <c r="AX141" s="2" t="s">
        <v>547</v>
      </c>
      <c r="AY141" s="3" t="s">
        <v>547</v>
      </c>
      <c r="AZ141" s="2" t="s">
        <v>547</v>
      </c>
    </row>
    <row r="142" spans="1:52" ht="11.25">
      <c r="A142" t="str">
        <f>HYPERLINK("http://exon.niaid.nih.gov/transcriptome/O_fasciatus/Sup_tab1/links/of-new\of-new-contig_141.txt","of-new-contig_141")</f>
        <v>of-new-contig_141</v>
      </c>
      <c r="B142" t="str">
        <f>HYPERLINK("http://exon.niaid.nih.gov/transcriptome/O_fasciatus/Sup_tab1/links/of-new\of-new-5-64-64-asb-141.txt","Contig-141")</f>
        <v>Contig-141</v>
      </c>
      <c r="C142" t="str">
        <f>HYPERLINK("http://exon.niaid.nih.gov/transcriptome/O_fasciatus/Sup_tab1/links/of-new\of-new-5-64-64-141-CLU.txt","Contig141")</f>
        <v>Contig141</v>
      </c>
      <c r="D142">
        <v>2</v>
      </c>
      <c r="E142">
        <v>230</v>
      </c>
      <c r="F142" t="str">
        <f>HYPERLINK("http://exon.niaid.nih.gov/transcriptome/O_fasciatus/Sup_tab1/links/of-new\of-new-5-64-64-141-qual.txt","83.9")</f>
        <v>83.9</v>
      </c>
      <c r="G142" t="s">
        <v>541</v>
      </c>
      <c r="H142">
        <v>59.6</v>
      </c>
      <c r="I142">
        <v>211</v>
      </c>
      <c r="J142">
        <v>141</v>
      </c>
      <c r="K142" t="s">
        <v>1219</v>
      </c>
      <c r="L142">
        <v>209</v>
      </c>
      <c r="M142" s="3" t="str">
        <f>HYPERLINK("http://exon.niaid.nih.gov/transcriptome/O_fasciatus/Sup_tab1/links/NR\of-new-contig_141-NR.txt","TPA: TPA_inf: HDC16773")</f>
        <v>TPA: TPA_inf: HDC16773</v>
      </c>
      <c r="N142" s="2" t="str">
        <f>HYPERLINK("http://www.ncbi.nlm.nih.gov/sutils/blink.cgi?pid=41616114","1E-010")</f>
        <v>1E-010</v>
      </c>
      <c r="O142" t="s">
        <v>939</v>
      </c>
      <c r="P142">
        <v>47</v>
      </c>
      <c r="Q142">
        <v>241</v>
      </c>
      <c r="R142">
        <v>68</v>
      </c>
      <c r="S142">
        <v>20</v>
      </c>
      <c r="T142">
        <v>72</v>
      </c>
      <c r="U142">
        <v>1</v>
      </c>
      <c r="V142">
        <v>5</v>
      </c>
      <c r="W142" t="s">
        <v>1412</v>
      </c>
      <c r="X142" t="s">
        <v>940</v>
      </c>
      <c r="Y142" t="s">
        <v>393</v>
      </c>
      <c r="Z142" s="4" t="s">
        <v>1082</v>
      </c>
      <c r="AA142" t="s">
        <v>1013</v>
      </c>
      <c r="AB142" s="3" t="s">
        <v>394</v>
      </c>
      <c r="AC142" s="2">
        <f>HYPERLINK("http://exon.niaid.nih.gov/transcriptome/O_fasciatus/Sup_tab1/links/GO\of-new-contig_141-GO.txt",0.00000003)</f>
        <v>0</v>
      </c>
      <c r="AD142" s="4" t="s">
        <v>1631</v>
      </c>
      <c r="AE142" t="s">
        <v>1632</v>
      </c>
      <c r="AF142">
        <v>3E-08</v>
      </c>
      <c r="AG142" s="4" t="s">
        <v>948</v>
      </c>
      <c r="AH142" t="s">
        <v>949</v>
      </c>
      <c r="AI142">
        <v>3E-08</v>
      </c>
      <c r="AJ142" s="4" t="s">
        <v>950</v>
      </c>
      <c r="AK142" t="s">
        <v>951</v>
      </c>
      <c r="AL142">
        <v>3E-08</v>
      </c>
      <c r="AM142" s="3" t="str">
        <f>HYPERLINK("http://exon.niaid.nih.gov/transcriptome/O_fasciatus/Sup_tab1/links/KOG\of-new-contig_141-KOG.txt","RhoA GTPase effector DIA/Diaphanous")</f>
        <v>RhoA GTPase effector DIA/Diaphanous</v>
      </c>
      <c r="AN142" s="2" t="str">
        <f>HYPERLINK("http://www.ncbi.nlm.nih.gov/COG/new/shokog.cgi?KOG1924","9E-006")</f>
        <v>9E-006</v>
      </c>
      <c r="AO142" t="s">
        <v>836</v>
      </c>
      <c r="AP142" s="3" t="str">
        <f>HYPERLINK("http://exon.niaid.nih.gov/transcriptome/O_fasciatus/Sup_tab1/links/CDD\of-new-contig_141-CDD.txt","COG1512")</f>
        <v>COG1512</v>
      </c>
      <c r="AQ142" s="2" t="str">
        <f>HYPERLINK("http://www.ncbi.nlm.nih.gov/Structure/cdd/cddsrv.cgi?uid=COG1512&amp;version=v4.0","1E-004")</f>
        <v>1E-004</v>
      </c>
      <c r="AR142" t="s">
        <v>952</v>
      </c>
      <c r="AS142" s="3" t="str">
        <f>HYPERLINK("http://exon.niaid.nih.gov/transcriptome/O_fasciatus/Sup_tab1/links/PFAM\of-new-contig_141-PFAM.txt","DUF1210")</f>
        <v>DUF1210</v>
      </c>
      <c r="AT142" s="2" t="str">
        <f>HYPERLINK("http://pfam.wustl.edu/cgi-bin/getdesc?acc=PF06735","2E-004")</f>
        <v>2E-004</v>
      </c>
      <c r="AU142" s="3" t="str">
        <f>HYPERLINK("http://exon.niaid.nih.gov/transcriptome/O_fasciatus/Sup_tab1/links/SMART\of-new-contig_141-SMART.txt","PRP")</f>
        <v>PRP</v>
      </c>
      <c r="AV142" s="2" t="str">
        <f>HYPERLINK("http://smart.embl-heidelberg.de/smart/do_annotation.pl?DOMAIN=PRP&amp;BLAST=DUMMY","6E-005")</f>
        <v>6E-005</v>
      </c>
      <c r="AW142" s="3" t="s">
        <v>547</v>
      </c>
      <c r="AX142" s="2" t="s">
        <v>547</v>
      </c>
      <c r="AY142" s="3" t="s">
        <v>547</v>
      </c>
      <c r="AZ142" s="2" t="s">
        <v>547</v>
      </c>
    </row>
    <row r="143" spans="1:52" ht="11.25">
      <c r="A143" t="str">
        <f>HYPERLINK("http://exon.niaid.nih.gov/transcriptome/O_fasciatus/Sup_tab1/links/of-new\of-new-contig_170.txt","of-new-contig_170")</f>
        <v>of-new-contig_170</v>
      </c>
      <c r="B143" t="str">
        <f>HYPERLINK("http://exon.niaid.nih.gov/transcriptome/O_fasciatus/Sup_tab1/links/of-new\of-new-5-64-64-asb-170.txt","Contig-170")</f>
        <v>Contig-170</v>
      </c>
      <c r="C143" t="str">
        <f>HYPERLINK("http://exon.niaid.nih.gov/transcriptome/O_fasciatus/Sup_tab1/links/of-new\of-new-5-64-64-170-CLU.txt","Contig170")</f>
        <v>Contig170</v>
      </c>
      <c r="D143">
        <v>1</v>
      </c>
      <c r="E143">
        <v>462</v>
      </c>
      <c r="F143" t="str">
        <f>HYPERLINK("http://exon.niaid.nih.gov/transcriptome/O_fasciatus/Sup_tab1/links/of-new\of-new-5-64-64-170-qual.txt","21.4")</f>
        <v>21.4</v>
      </c>
      <c r="G143">
        <v>1.5</v>
      </c>
      <c r="H143">
        <v>48.5</v>
      </c>
      <c r="I143" t="s">
        <v>547</v>
      </c>
      <c r="J143">
        <v>170</v>
      </c>
      <c r="K143" t="s">
        <v>1248</v>
      </c>
      <c r="L143" t="s">
        <v>547</v>
      </c>
      <c r="M143" s="3" t="str">
        <f>HYPERLINK("http://exon.niaid.nih.gov/transcriptome/O_fasciatus/Sup_tab1/links/NR\of-new-contig_170-NR.txt","unnamed protein product")</f>
        <v>unnamed protein product</v>
      </c>
      <c r="N143" s="2" t="str">
        <f>HYPERLINK("http://www.ncbi.nlm.nih.gov/sutils/blink.cgi?pid=47224393","3E-013")</f>
        <v>3E-013</v>
      </c>
      <c r="O143" t="s">
        <v>143</v>
      </c>
      <c r="P143">
        <v>97</v>
      </c>
      <c r="Q143">
        <v>307</v>
      </c>
      <c r="R143">
        <v>47</v>
      </c>
      <c r="S143">
        <v>32</v>
      </c>
      <c r="T143">
        <v>122</v>
      </c>
      <c r="U143">
        <v>67</v>
      </c>
      <c r="V143">
        <v>6</v>
      </c>
      <c r="W143" t="s">
        <v>1412</v>
      </c>
      <c r="X143" t="s">
        <v>144</v>
      </c>
      <c r="Y143" t="s">
        <v>704</v>
      </c>
      <c r="Z143" s="4" t="s">
        <v>1029</v>
      </c>
      <c r="AA143" t="s">
        <v>1013</v>
      </c>
      <c r="AB143" s="3" t="s">
        <v>872</v>
      </c>
      <c r="AC143" s="2">
        <f>HYPERLINK("http://exon.niaid.nih.gov/transcriptome/O_fasciatus/Sup_tab1/links/GO\of-new-contig_170-GO.txt",0.0000000005)</f>
        <v>0</v>
      </c>
      <c r="AD143" s="4" t="s">
        <v>705</v>
      </c>
      <c r="AE143" t="s">
        <v>706</v>
      </c>
      <c r="AF143">
        <v>1E-09</v>
      </c>
      <c r="AG143" s="4" t="s">
        <v>1673</v>
      </c>
      <c r="AH143" t="s">
        <v>1674</v>
      </c>
      <c r="AI143">
        <v>1E-09</v>
      </c>
      <c r="AJ143" s="4" t="s">
        <v>707</v>
      </c>
      <c r="AK143" t="s">
        <v>708</v>
      </c>
      <c r="AL143">
        <v>1E-09</v>
      </c>
      <c r="AM143" s="3" t="str">
        <f>HYPERLINK("http://exon.niaid.nih.gov/transcriptome/O_fasciatus/Sup_tab1/links/KOG\of-new-contig_170-KOG.txt","Uncharacterized conserved protein")</f>
        <v>Uncharacterized conserved protein</v>
      </c>
      <c r="AN143" s="2" t="str">
        <f>HYPERLINK("http://www.ncbi.nlm.nih.gov/COG/new/shokog.cgi?KOG2236","6E-008")</f>
        <v>6E-008</v>
      </c>
      <c r="AO143" t="s">
        <v>881</v>
      </c>
      <c r="AP143" s="3" t="str">
        <f>HYPERLINK("http://exon.niaid.nih.gov/transcriptome/O_fasciatus/Sup_tab1/links/CDD\of-new-contig_170-CDD.txt","Extensin_2")</f>
        <v>Extensin_2</v>
      </c>
      <c r="AQ143" s="2" t="str">
        <f>HYPERLINK("http://www.ncbi.nlm.nih.gov/Structure/cdd/cddsrv.cgi?uid=pfam04554&amp;version=v4.0","1E-006")</f>
        <v>1E-006</v>
      </c>
      <c r="AR143" t="s">
        <v>163</v>
      </c>
      <c r="AS143" s="3" t="str">
        <f>HYPERLINK("http://exon.niaid.nih.gov/transcriptome/O_fasciatus/Sup_tab1/links/PFAM\of-new-contig_170-PFAM.txt","Extensin_2")</f>
        <v>Extensin_2</v>
      </c>
      <c r="AT143" s="2" t="str">
        <f>HYPERLINK("http://pfam.wustl.edu/cgi-bin/getdesc?acc=PF04554","6E-007")</f>
        <v>6E-007</v>
      </c>
      <c r="AU143" s="3" t="str">
        <f>HYPERLINK("http://exon.niaid.nih.gov/transcriptome/O_fasciatus/Sup_tab1/links/SMART\of-new-contig_170-SMART.txt","PRP")</f>
        <v>PRP</v>
      </c>
      <c r="AV143" s="2" t="str">
        <f>HYPERLINK("http://smart.embl-heidelberg.de/smart/do_annotation.pl?DOMAIN=PRP&amp;BLAST=DUMMY","0.003")</f>
        <v>0.003</v>
      </c>
      <c r="AW143" s="3" t="s">
        <v>547</v>
      </c>
      <c r="AX143" s="2" t="s">
        <v>547</v>
      </c>
      <c r="AY143" s="3" t="s">
        <v>547</v>
      </c>
      <c r="AZ143" s="2" t="s">
        <v>547</v>
      </c>
    </row>
    <row r="144" spans="1:52" ht="11.25">
      <c r="A144" t="str">
        <f>HYPERLINK("http://exon.niaid.nih.gov/transcriptome/O_fasciatus/Sup_tab1/links/of-new\of-new-contig_181.txt","of-new-contig_181")</f>
        <v>of-new-contig_181</v>
      </c>
      <c r="B144" t="str">
        <f>HYPERLINK("http://exon.niaid.nih.gov/transcriptome/O_fasciatus/Sup_tab1/links/of-new\of-new-5-64-64-asb-181.txt","Contig-181")</f>
        <v>Contig-181</v>
      </c>
      <c r="C144" t="str">
        <f>HYPERLINK("http://exon.niaid.nih.gov/transcriptome/O_fasciatus/Sup_tab1/links/of-new\of-new-5-64-64-181-CLU.txt","Contig181")</f>
        <v>Contig181</v>
      </c>
      <c r="D144">
        <v>1</v>
      </c>
      <c r="E144">
        <v>371</v>
      </c>
      <c r="F144" t="str">
        <f>HYPERLINK("http://exon.niaid.nih.gov/transcriptome/O_fasciatus/Sup_tab1/links/of-new\of-new-5-64-64-181-qual.txt","21.5")</f>
        <v>21.5</v>
      </c>
      <c r="G144" t="s">
        <v>541</v>
      </c>
      <c r="H144">
        <v>43.9</v>
      </c>
      <c r="I144" t="s">
        <v>547</v>
      </c>
      <c r="J144">
        <v>181</v>
      </c>
      <c r="K144" t="s">
        <v>1259</v>
      </c>
      <c r="L144" t="s">
        <v>547</v>
      </c>
      <c r="M144" s="3" t="str">
        <f>HYPERLINK("http://exon.niaid.nih.gov/transcriptome/O_fasciatus/Sup_tab1/links/NR\of-new-contig_181-NR.txt","hypothetical protein DDB0169087 [Dictyostelium discoideum]")</f>
        <v>hypothetical protein DDB0169087 [Dictyostelium discoideum]</v>
      </c>
      <c r="N144" s="2" t="str">
        <f>HYPERLINK("http://www.ncbi.nlm.nih.gov/sutils/blink.cgi?pid=66818024","2E-007")</f>
        <v>2E-007</v>
      </c>
      <c r="O144" t="s">
        <v>201</v>
      </c>
      <c r="P144">
        <v>52</v>
      </c>
      <c r="Q144">
        <v>1074</v>
      </c>
      <c r="R144">
        <v>51</v>
      </c>
      <c r="S144">
        <v>5</v>
      </c>
      <c r="T144">
        <v>560</v>
      </c>
      <c r="U144">
        <v>208</v>
      </c>
      <c r="V144">
        <v>12</v>
      </c>
      <c r="W144" t="s">
        <v>1412</v>
      </c>
      <c r="X144" t="s">
        <v>202</v>
      </c>
      <c r="Y144" t="s">
        <v>203</v>
      </c>
      <c r="Z144" s="4" t="s">
        <v>1029</v>
      </c>
      <c r="AA144" t="s">
        <v>1013</v>
      </c>
      <c r="AB144" s="3" t="s">
        <v>204</v>
      </c>
      <c r="AC144" s="2">
        <f>HYPERLINK("http://exon.niaid.nih.gov/transcriptome/O_fasciatus/Sup_tab1/links/GO\of-new-contig_181-GO.txt",0.000000006)</f>
        <v>0</v>
      </c>
      <c r="AD144" s="4" t="s">
        <v>205</v>
      </c>
      <c r="AE144" t="s">
        <v>206</v>
      </c>
      <c r="AF144">
        <v>6E-09</v>
      </c>
      <c r="AG144" s="4" t="s">
        <v>207</v>
      </c>
      <c r="AH144" t="s">
        <v>208</v>
      </c>
      <c r="AI144">
        <v>6E-09</v>
      </c>
      <c r="AJ144" s="4" t="s">
        <v>209</v>
      </c>
      <c r="AK144" t="s">
        <v>210</v>
      </c>
      <c r="AL144">
        <v>6E-09</v>
      </c>
      <c r="AM144" s="3" t="str">
        <f>HYPERLINK("http://exon.niaid.nih.gov/transcriptome/O_fasciatus/Sup_tab1/links/KOG\of-new-contig_181-KOG.txt","RhoA GTPase effector DIA/Diaphanous")</f>
        <v>RhoA GTPase effector DIA/Diaphanous</v>
      </c>
      <c r="AN144" s="2" t="str">
        <f>HYPERLINK("http://www.ncbi.nlm.nih.gov/COG/new/shokog.cgi?KOG1924","1E-009")</f>
        <v>1E-009</v>
      </c>
      <c r="AO144" t="s">
        <v>836</v>
      </c>
      <c r="AP144" s="3" t="str">
        <f>HYPERLINK("http://exon.niaid.nih.gov/transcriptome/O_fasciatus/Sup_tab1/links/CDD\of-new-contig_181-CDD.txt","Drf_FH1")</f>
        <v>Drf_FH1</v>
      </c>
      <c r="AQ144" s="2" t="str">
        <f>HYPERLINK("http://www.ncbi.nlm.nih.gov/Structure/cdd/cddsrv.cgi?uid=pfam06346&amp;version=v4.0","7E-006")</f>
        <v>7E-006</v>
      </c>
      <c r="AR144" t="s">
        <v>211</v>
      </c>
      <c r="AS144" s="3" t="str">
        <f>HYPERLINK("http://exon.niaid.nih.gov/transcriptome/O_fasciatus/Sup_tab1/links/PFAM\of-new-contig_181-PFAM.txt","Drf_FH1")</f>
        <v>Drf_FH1</v>
      </c>
      <c r="AT144" s="2" t="str">
        <f>HYPERLINK("http://pfam.wustl.edu/cgi-bin/getdesc?acc=PF06346","3E-006")</f>
        <v>3E-006</v>
      </c>
      <c r="AU144" s="3" t="str">
        <f>HYPERLINK("http://exon.niaid.nih.gov/transcriptome/O_fasciatus/Sup_tab1/links/SMART\of-new-contig_181-SMART.txt","PRP")</f>
        <v>PRP</v>
      </c>
      <c r="AV144" s="2" t="str">
        <f>HYPERLINK("http://smart.embl-heidelberg.de/smart/do_annotation.pl?DOMAIN=PRP&amp;BLAST=DUMMY","5E-005")</f>
        <v>5E-005</v>
      </c>
      <c r="AW144" s="3" t="s">
        <v>547</v>
      </c>
      <c r="AX144" s="2" t="s">
        <v>547</v>
      </c>
      <c r="AY144" s="3" t="s">
        <v>547</v>
      </c>
      <c r="AZ144" s="2" t="s">
        <v>547</v>
      </c>
    </row>
    <row r="145" spans="1:52" ht="11.25">
      <c r="A145" t="str">
        <f>HYPERLINK("http://exon.niaid.nih.gov/transcriptome/O_fasciatus/Sup_tab1/links/of-new\of-new-contig_277.txt","of-new-contig_277")</f>
        <v>of-new-contig_277</v>
      </c>
      <c r="B145" t="str">
        <f>HYPERLINK("http://exon.niaid.nih.gov/transcriptome/O_fasciatus/Sup_tab1/links/of-new\of-new-5-64-64-asb-277.txt","Contig-277")</f>
        <v>Contig-277</v>
      </c>
      <c r="C145" t="str">
        <f>HYPERLINK("http://exon.niaid.nih.gov/transcriptome/O_fasciatus/Sup_tab1/links/of-new\of-new-5-64-64-277-CLU.txt","Contig277")</f>
        <v>Contig277</v>
      </c>
      <c r="D145">
        <v>1</v>
      </c>
      <c r="E145">
        <v>329</v>
      </c>
      <c r="F145" t="str">
        <f>HYPERLINK("http://exon.niaid.nih.gov/transcriptome/O_fasciatus/Sup_tab1/links/of-new\of-new-5-64-64-277-qual.txt","24.")</f>
        <v>24.</v>
      </c>
      <c r="G145" t="s">
        <v>541</v>
      </c>
      <c r="H145">
        <v>51.7</v>
      </c>
      <c r="I145" t="s">
        <v>547</v>
      </c>
      <c r="J145">
        <v>277</v>
      </c>
      <c r="K145" t="s">
        <v>1355</v>
      </c>
      <c r="L145" t="s">
        <v>547</v>
      </c>
      <c r="M145" s="3" t="str">
        <f>HYPERLINK("http://exon.niaid.nih.gov/transcriptome/O_fasciatus/Sup_tab1/links/NR\of-new-contig_277-NR.txt","SJCHGC09076 protein")</f>
        <v>SJCHGC09076 protein</v>
      </c>
      <c r="N145" s="2" t="str">
        <f>HYPERLINK("http://www.ncbi.nlm.nih.gov/sutils/blink.cgi?pid=56756781","2E-005")</f>
        <v>2E-005</v>
      </c>
      <c r="O145" t="s">
        <v>1424</v>
      </c>
      <c r="P145">
        <v>41</v>
      </c>
      <c r="Q145">
        <v>109</v>
      </c>
      <c r="R145">
        <v>63</v>
      </c>
      <c r="S145">
        <v>38</v>
      </c>
      <c r="T145">
        <v>40</v>
      </c>
      <c r="U145">
        <v>186</v>
      </c>
      <c r="V145">
        <v>2</v>
      </c>
      <c r="W145" t="s">
        <v>1412</v>
      </c>
      <c r="X145" t="s">
        <v>1425</v>
      </c>
      <c r="Y145" t="s">
        <v>111</v>
      </c>
      <c r="Z145" s="4" t="s">
        <v>1121</v>
      </c>
      <c r="AA145" t="s">
        <v>1013</v>
      </c>
      <c r="AB145" s="3" t="s">
        <v>112</v>
      </c>
      <c r="AC145" s="2">
        <f>HYPERLINK("http://exon.niaid.nih.gov/transcriptome/O_fasciatus/Sup_tab1/links/GO\of-new-contig_277-GO.txt",0.00002)</f>
        <v>0</v>
      </c>
      <c r="AD145" s="4" t="s">
        <v>1631</v>
      </c>
      <c r="AE145" t="s">
        <v>1632</v>
      </c>
      <c r="AF145">
        <v>0.0005</v>
      </c>
      <c r="AG145" s="4" t="s">
        <v>113</v>
      </c>
      <c r="AH145" t="s">
        <v>114</v>
      </c>
      <c r="AI145">
        <v>0.0005</v>
      </c>
      <c r="AJ145" s="4" t="s">
        <v>1537</v>
      </c>
      <c r="AK145" t="s">
        <v>1538</v>
      </c>
      <c r="AL145">
        <v>0.0005</v>
      </c>
      <c r="AM145" s="3" t="str">
        <f>HYPERLINK("http://exon.niaid.nih.gov/transcriptome/O_fasciatus/Sup_tab1/links/KOG\of-new-contig_277-KOG.txt","Collagens (type XV)")</f>
        <v>Collagens (type XV)</v>
      </c>
      <c r="AN145" s="2" t="str">
        <f>HYPERLINK("http://www.ncbi.nlm.nih.gov/COG/new/shokog.cgi?KOG3546","5E-004")</f>
        <v>5E-004</v>
      </c>
      <c r="AO145" t="s">
        <v>293</v>
      </c>
      <c r="AP145" s="3" t="str">
        <f>HYPERLINK("http://exon.niaid.nih.gov/transcriptome/O_fasciatus/Sup_tab1/links/CDD\of-new-contig_277-CDD.txt","Atrophin-1")</f>
        <v>Atrophin-1</v>
      </c>
      <c r="AQ145" s="2" t="str">
        <f>HYPERLINK("http://www.ncbi.nlm.nih.gov/Structure/cdd/cddsrv.cgi?uid=pfam03154&amp;version=v4.0","0.001")</f>
        <v>0.001</v>
      </c>
      <c r="AR145" t="s">
        <v>115</v>
      </c>
      <c r="AS145" s="3" t="str">
        <f>HYPERLINK("http://exon.niaid.nih.gov/transcriptome/O_fasciatus/Sup_tab1/links/PFAM\of-new-contig_277-PFAM.txt","Atrophin-1")</f>
        <v>Atrophin-1</v>
      </c>
      <c r="AT145" s="2" t="str">
        <f>HYPERLINK("http://pfam.wustl.edu/cgi-bin/getdesc?acc=PF03154","6E-004")</f>
        <v>6E-004</v>
      </c>
      <c r="AU145" s="3" t="str">
        <f>HYPERLINK("http://exon.niaid.nih.gov/transcriptome/O_fasciatus/Sup_tab1/links/SMART\of-new-contig_277-SMART.txt","PRP")</f>
        <v>PRP</v>
      </c>
      <c r="AV145" s="2" t="str">
        <f>HYPERLINK("http://smart.embl-heidelberg.de/smart/do_annotation.pl?DOMAIN=PRP&amp;BLAST=DUMMY","0.047")</f>
        <v>0.047</v>
      </c>
      <c r="AW145" s="3" t="s">
        <v>547</v>
      </c>
      <c r="AX145" s="2" t="s">
        <v>547</v>
      </c>
      <c r="AY145" s="3" t="s">
        <v>547</v>
      </c>
      <c r="AZ145" s="2" t="s">
        <v>547</v>
      </c>
    </row>
    <row r="146" s="12" customFormat="1" ht="11.25">
      <c r="A146" s="11" t="s">
        <v>66</v>
      </c>
    </row>
    <row r="147" spans="1:52" ht="11.25">
      <c r="A147" t="str">
        <f>HYPERLINK("http://exon.niaid.nih.gov/transcriptome/O_fasciatus/Sup_tab1/links/of-new\of-new-contig_49.txt","of-new-contig_49")</f>
        <v>of-new-contig_49</v>
      </c>
      <c r="B147" t="str">
        <f>HYPERLINK("http://exon.niaid.nih.gov/transcriptome/O_fasciatus/Sup_tab1/links/of-new\of-new-5-64-64-asb-49.txt","Contig-49")</f>
        <v>Contig-49</v>
      </c>
      <c r="C147" t="str">
        <f>HYPERLINK("http://exon.niaid.nih.gov/transcriptome/O_fasciatus/Sup_tab1/links/of-new\of-new-5-64-64-49-CLU.txt","Contig49")</f>
        <v>Contig49</v>
      </c>
      <c r="D147">
        <v>4</v>
      </c>
      <c r="E147">
        <v>428</v>
      </c>
      <c r="F147" t="str">
        <f>HYPERLINK("http://exon.niaid.nih.gov/transcriptome/O_fasciatus/Sup_tab1/links/of-new\of-new-5-64-64-49-qual.txt","91.5")</f>
        <v>91.5</v>
      </c>
      <c r="G147" t="s">
        <v>541</v>
      </c>
      <c r="H147">
        <v>76.4</v>
      </c>
      <c r="I147">
        <v>395</v>
      </c>
      <c r="J147">
        <v>49</v>
      </c>
      <c r="K147" t="s">
        <v>590</v>
      </c>
      <c r="L147">
        <v>400</v>
      </c>
      <c r="M147" s="3" t="str">
        <f>HYPERLINK("http://exon.niaid.nih.gov/transcriptome/O_fasciatus/Sup_tab1/links/NR\of-new-contig_49-NR.txt","hypothetical protein [Fusobacterium nucleatum subsp. vincentii ATCC 49256]")</f>
        <v>hypothetical protein [Fusobacterium nucleatum subsp. vincentii ATCC 49256]</v>
      </c>
      <c r="N147" s="2" t="str">
        <f>HYPERLINK("http://www.ncbi.nlm.nih.gov/sutils/blink.cgi?pid=34762784","0.077")</f>
        <v>0.077</v>
      </c>
      <c r="O147" t="s">
        <v>510</v>
      </c>
      <c r="P147">
        <v>96</v>
      </c>
      <c r="Q147">
        <v>559</v>
      </c>
      <c r="R147">
        <v>30</v>
      </c>
      <c r="S147">
        <v>17</v>
      </c>
      <c r="T147">
        <v>107</v>
      </c>
      <c r="U147">
        <v>186</v>
      </c>
      <c r="V147">
        <v>1</v>
      </c>
      <c r="W147" t="s">
        <v>1412</v>
      </c>
      <c r="X147" t="s">
        <v>511</v>
      </c>
      <c r="Y147" t="s">
        <v>512</v>
      </c>
      <c r="Z147" s="4" t="s">
        <v>1025</v>
      </c>
      <c r="AA147" t="s">
        <v>1015</v>
      </c>
      <c r="AB147" s="3" t="s">
        <v>547</v>
      </c>
      <c r="AC147" s="2" t="s">
        <v>547</v>
      </c>
      <c r="AD147" s="4" t="s">
        <v>547</v>
      </c>
      <c r="AE147" t="s">
        <v>547</v>
      </c>
      <c r="AF147" t="s">
        <v>547</v>
      </c>
      <c r="AG147" s="4" t="s">
        <v>547</v>
      </c>
      <c r="AH147" t="s">
        <v>547</v>
      </c>
      <c r="AI147" t="s">
        <v>547</v>
      </c>
      <c r="AJ147" s="4" t="s">
        <v>547</v>
      </c>
      <c r="AK147" t="s">
        <v>547</v>
      </c>
      <c r="AL147" t="s">
        <v>547</v>
      </c>
      <c r="AM147" s="3" t="str">
        <f>HYPERLINK("http://exon.niaid.nih.gov/transcriptome/O_fasciatus/Sup_tab1/links/KOG\of-new-contig_49-KOG.txt","Glycolipid 2-alpha-mannosyltransferase (alpha-1,2-mannosyltransferase)")</f>
        <v>Glycolipid 2-alpha-mannosyltransferase (alpha-1,2-mannosyltransferase)</v>
      </c>
      <c r="AN147" s="2" t="str">
        <f>HYPERLINK("http://www.ncbi.nlm.nih.gov/COG/new/shokog.cgi?KOG4472","0.38")</f>
        <v>0.38</v>
      </c>
      <c r="AO147" t="s">
        <v>513</v>
      </c>
      <c r="AP147" s="3" t="str">
        <f>HYPERLINK("http://exon.niaid.nih.gov/transcriptome/O_fasciatus/Sup_tab1/links/CDD\of-new-contig_49-CDD.txt","Snu114p")</f>
        <v>Snu114p</v>
      </c>
      <c r="AQ147" s="2" t="str">
        <f>HYPERLINK("http://www.ncbi.nlm.nih.gov/Structure/cdd/cddsrv.cgi?uid=cd04167&amp;version=v4.0","0.57")</f>
        <v>0.57</v>
      </c>
      <c r="AR147" t="s">
        <v>514</v>
      </c>
      <c r="AS147" s="3" t="str">
        <f>HYPERLINK("http://exon.niaid.nih.gov/transcriptome/O_fasciatus/Sup_tab1/links/PFAM\of-new-contig_49-PFAM.txt","LAGLIDADG_1")</f>
        <v>LAGLIDADG_1</v>
      </c>
      <c r="AT147" s="2" t="str">
        <f>HYPERLINK("http://pfam.wustl.edu/cgi-bin/getdesc?acc=PF00961","0.51")</f>
        <v>0.51</v>
      </c>
      <c r="AU147" s="3" t="str">
        <f>HYPERLINK("http://exon.niaid.nih.gov/transcriptome/O_fasciatus/Sup_tab1/links/SMART\of-new-contig_49-SMART.txt","HTTM")</f>
        <v>HTTM</v>
      </c>
      <c r="AV147" s="2" t="str">
        <f>HYPERLINK("http://smart.embl-heidelberg.de/smart/do_annotation.pl?DOMAIN=HTTM&amp;BLAST=DUMMY","0.12")</f>
        <v>0.12</v>
      </c>
      <c r="AW147" s="3" t="s">
        <v>547</v>
      </c>
      <c r="AX147" s="2" t="s">
        <v>547</v>
      </c>
      <c r="AY147" s="3" t="s">
        <v>547</v>
      </c>
      <c r="AZ147" s="2" t="s">
        <v>547</v>
      </c>
    </row>
    <row r="148" spans="1:52" ht="11.25">
      <c r="A148" t="str">
        <f>HYPERLINK("http://exon.niaid.nih.gov/transcriptome/O_fasciatus/Sup_tab1/links/of-new\of-new-contig_50.txt","of-new-contig_50")</f>
        <v>of-new-contig_50</v>
      </c>
      <c r="B148" t="str">
        <f>HYPERLINK("http://exon.niaid.nih.gov/transcriptome/O_fasciatus/Sup_tab1/links/of-new\of-new-5-64-64-asb-50.txt","Contig-50")</f>
        <v>Contig-50</v>
      </c>
      <c r="C148" t="str">
        <f>HYPERLINK("http://exon.niaid.nih.gov/transcriptome/O_fasciatus/Sup_tab1/links/of-new\of-new-5-64-64-50-CLU.txt","Contig50")</f>
        <v>Contig50</v>
      </c>
      <c r="D148">
        <v>3</v>
      </c>
      <c r="E148">
        <v>997</v>
      </c>
      <c r="F148" t="str">
        <f>HYPERLINK("http://exon.niaid.nih.gov/transcriptome/O_fasciatus/Sup_tab1/links/of-new\of-new-5-64-64-50-qual.txt","74.")</f>
        <v>74.</v>
      </c>
      <c r="G148" t="s">
        <v>541</v>
      </c>
      <c r="H148">
        <v>58.8</v>
      </c>
      <c r="I148">
        <v>978</v>
      </c>
      <c r="J148">
        <v>50</v>
      </c>
      <c r="K148" t="s">
        <v>591</v>
      </c>
      <c r="L148">
        <v>940</v>
      </c>
      <c r="M148" s="3" t="str">
        <f>HYPERLINK("http://exon.niaid.nih.gov/transcriptome/O_fasciatus/Sup_tab1/links/NR\of-new-contig_50-NR.txt","FLJ00140 protein")</f>
        <v>FLJ00140 protein</v>
      </c>
      <c r="N148" s="2" t="str">
        <f>HYPERLINK("http://www.ncbi.nlm.nih.gov/sutils/blink.cgi?pid=18676486","3.2")</f>
        <v>3.2</v>
      </c>
      <c r="O148" t="s">
        <v>515</v>
      </c>
      <c r="P148">
        <v>47</v>
      </c>
      <c r="Q148">
        <v>579</v>
      </c>
      <c r="R148">
        <v>42</v>
      </c>
      <c r="S148">
        <v>8</v>
      </c>
      <c r="T148">
        <v>529</v>
      </c>
      <c r="U148">
        <v>10</v>
      </c>
      <c r="V148">
        <v>1</v>
      </c>
      <c r="W148" t="s">
        <v>1412</v>
      </c>
      <c r="X148" t="s">
        <v>516</v>
      </c>
      <c r="Y148" t="s">
        <v>517</v>
      </c>
      <c r="Z148" s="4" t="s">
        <v>1025</v>
      </c>
      <c r="AA148" t="s">
        <v>1015</v>
      </c>
      <c r="AB148" s="3" t="s">
        <v>547</v>
      </c>
      <c r="AC148" s="2" t="s">
        <v>547</v>
      </c>
      <c r="AD148" s="4" t="s">
        <v>547</v>
      </c>
      <c r="AE148" t="s">
        <v>547</v>
      </c>
      <c r="AF148" t="s">
        <v>547</v>
      </c>
      <c r="AG148" s="4" t="s">
        <v>547</v>
      </c>
      <c r="AH148" t="s">
        <v>547</v>
      </c>
      <c r="AI148" t="s">
        <v>547</v>
      </c>
      <c r="AJ148" s="4" t="s">
        <v>547</v>
      </c>
      <c r="AK148" t="s">
        <v>547</v>
      </c>
      <c r="AL148" t="s">
        <v>547</v>
      </c>
      <c r="AM148" s="3" t="str">
        <f>HYPERLINK("http://exon.niaid.nih.gov/transcriptome/O_fasciatus/Sup_tab1/links/KOG\of-new-contig_50-KOG.txt","PHD finger protein BR140/LIN-49")</f>
        <v>PHD finger protein BR140/LIN-49</v>
      </c>
      <c r="AN148" s="2" t="str">
        <f>HYPERLINK("http://www.ncbi.nlm.nih.gov/COG/new/shokog.cgi?KOG0955","0.19")</f>
        <v>0.19</v>
      </c>
      <c r="AO148" t="s">
        <v>1503</v>
      </c>
      <c r="AP148" s="3" t="str">
        <f>HYPERLINK("http://exon.niaid.nih.gov/transcriptome/O_fasciatus/Sup_tab1/links/CDD\of-new-contig_50-CDD.txt","Cyclin_C")</f>
        <v>Cyclin_C</v>
      </c>
      <c r="AQ148" s="2" t="str">
        <f>HYPERLINK("http://www.ncbi.nlm.nih.gov/Structure/cdd/cddsrv.cgi?uid=pfam02984&amp;version=v4.0","0.33")</f>
        <v>0.33</v>
      </c>
      <c r="AR148" t="s">
        <v>518</v>
      </c>
      <c r="AS148" s="3" t="str">
        <f>HYPERLINK("http://exon.niaid.nih.gov/transcriptome/O_fasciatus/Sup_tab1/links/PFAM\of-new-contig_50-PFAM.txt","Cyclin_C")</f>
        <v>Cyclin_C</v>
      </c>
      <c r="AT148" s="2" t="str">
        <f>HYPERLINK("http://pfam.wustl.edu/cgi-bin/getdesc?acc=PF02984","0.16")</f>
        <v>0.16</v>
      </c>
      <c r="AU148" s="3" t="str">
        <f>HYPERLINK("http://exon.niaid.nih.gov/transcriptome/O_fasciatus/Sup_tab1/links/SMART\of-new-contig_50-SMART.txt","Ubox")</f>
        <v>Ubox</v>
      </c>
      <c r="AV148" s="2" t="str">
        <f>HYPERLINK("http://smart.embl-heidelberg.de/smart/do_annotation.pl?DOMAIN=Ubox&amp;BLAST=DUMMY","0.36")</f>
        <v>0.36</v>
      </c>
      <c r="AW148" s="3" t="s">
        <v>547</v>
      </c>
      <c r="AX148" s="2" t="s">
        <v>547</v>
      </c>
      <c r="AY148" s="3" t="s">
        <v>547</v>
      </c>
      <c r="AZ148" s="2" t="s">
        <v>547</v>
      </c>
    </row>
    <row r="149" spans="1:52" ht="11.25">
      <c r="A149" t="str">
        <f>HYPERLINK("http://exon.niaid.nih.gov/transcriptome/O_fasciatus/Sup_tab1/links/of-new\of-new-contig_53.txt","of-new-contig_53")</f>
        <v>of-new-contig_53</v>
      </c>
      <c r="B149" t="str">
        <f>HYPERLINK("http://exon.niaid.nih.gov/transcriptome/O_fasciatus/Sup_tab1/links/of-new\of-new-5-64-64-asb-53.txt","Contig-53")</f>
        <v>Contig-53</v>
      </c>
      <c r="C149" t="str">
        <f>HYPERLINK("http://exon.niaid.nih.gov/transcriptome/O_fasciatus/Sup_tab1/links/of-new\of-new-5-64-64-53-CLU.txt","Contig53")</f>
        <v>Contig53</v>
      </c>
      <c r="D149">
        <v>3</v>
      </c>
      <c r="E149">
        <v>477</v>
      </c>
      <c r="F149" t="str">
        <f>HYPERLINK("http://exon.niaid.nih.gov/transcriptome/O_fasciatus/Sup_tab1/links/of-new\of-new-5-64-64-53-qual.txt","72.5")</f>
        <v>72.5</v>
      </c>
      <c r="G149" t="s">
        <v>541</v>
      </c>
      <c r="H149">
        <v>75.3</v>
      </c>
      <c r="I149">
        <v>458</v>
      </c>
      <c r="J149">
        <v>53</v>
      </c>
      <c r="K149" t="s">
        <v>594</v>
      </c>
      <c r="L149">
        <v>388</v>
      </c>
      <c r="M149" s="3" t="str">
        <f>HYPERLINK("http://exon.niaid.nih.gov/transcriptome/O_fasciatus/Sup_tab1/links/NR\of-new-contig_53-NR.txt","RNA polymerase beta-prime subunit")</f>
        <v>RNA polymerase beta-prime subunit</v>
      </c>
      <c r="N149" s="2" t="str">
        <f>HYPERLINK("http://www.ncbi.nlm.nih.gov/sutils/blink.cgi?pid=14193384","0.86")</f>
        <v>0.86</v>
      </c>
      <c r="O149" t="s">
        <v>155</v>
      </c>
      <c r="P149">
        <v>95</v>
      </c>
      <c r="Q149">
        <v>846</v>
      </c>
      <c r="R149">
        <v>31</v>
      </c>
      <c r="S149">
        <v>11</v>
      </c>
      <c r="T149">
        <v>489</v>
      </c>
      <c r="U149">
        <v>114</v>
      </c>
      <c r="V149">
        <v>1</v>
      </c>
      <c r="W149" t="s">
        <v>1412</v>
      </c>
      <c r="X149" t="s">
        <v>156</v>
      </c>
      <c r="Y149" t="s">
        <v>157</v>
      </c>
      <c r="Z149" s="4" t="s">
        <v>1025</v>
      </c>
      <c r="AA149" t="s">
        <v>1015</v>
      </c>
      <c r="AB149" s="3" t="s">
        <v>547</v>
      </c>
      <c r="AC149" s="2" t="s">
        <v>547</v>
      </c>
      <c r="AD149" s="4" t="s">
        <v>547</v>
      </c>
      <c r="AE149" t="s">
        <v>547</v>
      </c>
      <c r="AF149" t="s">
        <v>547</v>
      </c>
      <c r="AG149" s="4" t="s">
        <v>547</v>
      </c>
      <c r="AH149" t="s">
        <v>547</v>
      </c>
      <c r="AI149" t="s">
        <v>547</v>
      </c>
      <c r="AJ149" s="4" t="s">
        <v>547</v>
      </c>
      <c r="AK149" t="s">
        <v>547</v>
      </c>
      <c r="AL149" t="s">
        <v>547</v>
      </c>
      <c r="AM149" s="3" t="s">
        <v>547</v>
      </c>
      <c r="AN149" s="2" t="s">
        <v>547</v>
      </c>
      <c r="AO149" t="s">
        <v>547</v>
      </c>
      <c r="AP149" s="3" t="str">
        <f>HYPERLINK("http://exon.niaid.nih.gov/transcriptome/O_fasciatus/Sup_tab1/links/CDD\of-new-contig_53-CDD.txt","COG4868")</f>
        <v>COG4868</v>
      </c>
      <c r="AQ149" s="2" t="str">
        <f>HYPERLINK("http://www.ncbi.nlm.nih.gov/Structure/cdd/cddsrv.cgi?uid=COG4868&amp;version=v4.0","0.46")</f>
        <v>0.46</v>
      </c>
      <c r="AR149" t="s">
        <v>158</v>
      </c>
      <c r="AS149" s="3" t="str">
        <f>HYPERLINK("http://exon.niaid.nih.gov/transcriptome/O_fasciatus/Sup_tab1/links/PFAM\of-new-contig_53-PFAM.txt","T_Ag_DNA_bind")</f>
        <v>T_Ag_DNA_bind</v>
      </c>
      <c r="AT149" s="2" t="str">
        <f>HYPERLINK("http://pfam.wustl.edu/cgi-bin/getdesc?acc=PF02217","0.10")</f>
        <v>0.10</v>
      </c>
      <c r="AU149" s="3" t="str">
        <f>HYPERLINK("http://exon.niaid.nih.gov/transcriptome/O_fasciatus/Sup_tab1/links/SMART\of-new-contig_53-SMART.txt","LITAF")</f>
        <v>LITAF</v>
      </c>
      <c r="AV149" s="2" t="str">
        <f>HYPERLINK("http://smart.embl-heidelberg.de/smart/do_annotation.pl?DOMAIN=LITAF&amp;BLAST=DUMMY","0.080")</f>
        <v>0.080</v>
      </c>
      <c r="AW149" s="3" t="s">
        <v>547</v>
      </c>
      <c r="AX149" s="2" t="s">
        <v>547</v>
      </c>
      <c r="AY149" s="3" t="s">
        <v>547</v>
      </c>
      <c r="AZ149" s="2" t="s">
        <v>547</v>
      </c>
    </row>
    <row r="150" spans="1:52" ht="11.25">
      <c r="A150" t="str">
        <f>HYPERLINK("http://exon.niaid.nih.gov/transcriptome/O_fasciatus/Sup_tab1/links/of-new\of-new-contig_54.txt","of-new-contig_54")</f>
        <v>of-new-contig_54</v>
      </c>
      <c r="B150" t="str">
        <f>HYPERLINK("http://exon.niaid.nih.gov/transcriptome/O_fasciatus/Sup_tab1/links/of-new\of-new-5-64-64-asb-54.txt","Contig-54")</f>
        <v>Contig-54</v>
      </c>
      <c r="C150" t="str">
        <f>HYPERLINK("http://exon.niaid.nih.gov/transcriptome/O_fasciatus/Sup_tab1/links/of-new\of-new-5-64-64-54-CLU.txt","Contig54")</f>
        <v>Contig54</v>
      </c>
      <c r="D150">
        <v>3</v>
      </c>
      <c r="E150">
        <v>646</v>
      </c>
      <c r="F150" t="str">
        <f>HYPERLINK("http://exon.niaid.nih.gov/transcriptome/O_fasciatus/Sup_tab1/links/of-new\of-new-5-64-64-54-qual.txt","91.3")</f>
        <v>91.3</v>
      </c>
      <c r="G150" t="s">
        <v>541</v>
      </c>
      <c r="H150">
        <v>72.4</v>
      </c>
      <c r="I150">
        <v>627</v>
      </c>
      <c r="J150">
        <v>54</v>
      </c>
      <c r="K150" t="s">
        <v>595</v>
      </c>
      <c r="L150">
        <v>636</v>
      </c>
      <c r="N150" s="2" t="s">
        <v>547</v>
      </c>
      <c r="O150" t="s">
        <v>547</v>
      </c>
      <c r="P150" t="s">
        <v>547</v>
      </c>
      <c r="Q150" t="s">
        <v>547</v>
      </c>
      <c r="R150" t="s">
        <v>547</v>
      </c>
      <c r="S150" t="s">
        <v>547</v>
      </c>
      <c r="T150" t="s">
        <v>547</v>
      </c>
      <c r="U150" t="s">
        <v>547</v>
      </c>
      <c r="V150" t="s">
        <v>547</v>
      </c>
      <c r="W150" t="s">
        <v>547</v>
      </c>
      <c r="X150" t="s">
        <v>547</v>
      </c>
      <c r="Y150" t="s">
        <v>547</v>
      </c>
      <c r="Z150" s="4" t="s">
        <v>1025</v>
      </c>
      <c r="AA150" t="s">
        <v>1015</v>
      </c>
      <c r="AB150" s="3" t="s">
        <v>547</v>
      </c>
      <c r="AC150" s="2" t="s">
        <v>547</v>
      </c>
      <c r="AD150" s="4" t="s">
        <v>547</v>
      </c>
      <c r="AE150" t="s">
        <v>547</v>
      </c>
      <c r="AF150" t="s">
        <v>547</v>
      </c>
      <c r="AG150" s="4" t="s">
        <v>547</v>
      </c>
      <c r="AH150" t="s">
        <v>547</v>
      </c>
      <c r="AI150" t="s">
        <v>547</v>
      </c>
      <c r="AJ150" s="4" t="s">
        <v>547</v>
      </c>
      <c r="AK150" t="s">
        <v>547</v>
      </c>
      <c r="AL150" t="s">
        <v>547</v>
      </c>
      <c r="AM150" s="3" t="str">
        <f>HYPERLINK("http://exon.niaid.nih.gov/transcriptome/O_fasciatus/Sup_tab1/links/KOG\of-new-contig_54-KOG.txt","Teneurin-1 and related extracellular matrix proteins, contain EGF-like repeats")</f>
        <v>Teneurin-1 and related extracellular matrix proteins, contain EGF-like repeats</v>
      </c>
      <c r="AN150" s="2" t="str">
        <f>HYPERLINK("http://www.ncbi.nlm.nih.gov/COG/new/shokog.cgi?KOG1225","0.59")</f>
        <v>0.59</v>
      </c>
      <c r="AO150" t="s">
        <v>159</v>
      </c>
      <c r="AP150" s="3" t="str">
        <f>HYPERLINK("http://exon.niaid.nih.gov/transcriptome/O_fasciatus/Sup_tab1/links/CDD\of-new-contig_54-CDD.txt","Grp1_Fun34_YaaH")</f>
        <v>Grp1_Fun34_YaaH</v>
      </c>
      <c r="AQ150" s="2" t="str">
        <f>HYPERLINK("http://www.ncbi.nlm.nih.gov/Structure/cdd/cddsrv.cgi?uid=pfam01184&amp;version=v4.0","0.79")</f>
        <v>0.79</v>
      </c>
      <c r="AR150" t="s">
        <v>160</v>
      </c>
      <c r="AS150" s="3" t="str">
        <f>HYPERLINK("http://exon.niaid.nih.gov/transcriptome/O_fasciatus/Sup_tab1/links/PFAM\of-new-contig_54-PFAM.txt","Grp1_Fun34_YaaH")</f>
        <v>Grp1_Fun34_YaaH</v>
      </c>
      <c r="AT150" s="2" t="str">
        <f>HYPERLINK("http://pfam.wustl.edu/cgi-bin/getdesc?acc=PF01184","0.39")</f>
        <v>0.39</v>
      </c>
      <c r="AU150" s="3" t="str">
        <f>HYPERLINK("http://exon.niaid.nih.gov/transcriptome/O_fasciatus/Sup_tab1/links/SMART\of-new-contig_54-SMART.txt","ZnF_CDGSH")</f>
        <v>ZnF_CDGSH</v>
      </c>
      <c r="AV150" s="2" t="str">
        <f>HYPERLINK("http://smart.embl-heidelberg.de/smart/do_annotation.pl?DOMAIN=ZnF_CDGSH&amp;BLAST=DUMMY","0.21")</f>
        <v>0.21</v>
      </c>
      <c r="AW150" s="3" t="s">
        <v>547</v>
      </c>
      <c r="AX150" s="2" t="s">
        <v>547</v>
      </c>
      <c r="AY150" s="3" t="s">
        <v>547</v>
      </c>
      <c r="AZ150" s="2" t="s">
        <v>547</v>
      </c>
    </row>
    <row r="151" spans="1:52" ht="11.25">
      <c r="A151" t="str">
        <f>HYPERLINK("http://exon.niaid.nih.gov/transcriptome/O_fasciatus/Sup_tab1/links/of-new\of-new-contig_57.txt","of-new-contig_57")</f>
        <v>of-new-contig_57</v>
      </c>
      <c r="B151" t="str">
        <f>HYPERLINK("http://exon.niaid.nih.gov/transcriptome/O_fasciatus/Sup_tab1/links/of-new\of-new-5-64-64-asb-57.txt","Contig-57")</f>
        <v>Contig-57</v>
      </c>
      <c r="C151" t="str">
        <f>HYPERLINK("http://exon.niaid.nih.gov/transcriptome/O_fasciatus/Sup_tab1/links/of-new\of-new-5-64-64-57-CLU.txt","Contig57")</f>
        <v>Contig57</v>
      </c>
      <c r="D151">
        <v>3</v>
      </c>
      <c r="E151">
        <v>199</v>
      </c>
      <c r="F151" t="str">
        <f>HYPERLINK("http://exon.niaid.nih.gov/transcriptome/O_fasciatus/Sup_tab1/links/of-new\of-new-5-64-64-57-qual.txt","79.3")</f>
        <v>79.3</v>
      </c>
      <c r="G151" t="s">
        <v>541</v>
      </c>
      <c r="H151">
        <v>78.4</v>
      </c>
      <c r="I151">
        <v>180</v>
      </c>
      <c r="J151">
        <v>57</v>
      </c>
      <c r="K151" t="s">
        <v>598</v>
      </c>
      <c r="L151">
        <v>180</v>
      </c>
      <c r="M151" s="3" t="str">
        <f>HYPERLINK("http://exon.niaid.nih.gov/transcriptome/O_fasciatus/Sup_tab1/links/NR\of-new-contig_57-NR.txt","hypothetical protein PF14_0406 [Plasmodium falciparum 3D7]")</f>
        <v>hypothetical protein PF14_0406 [Plasmodium falciparum 3D7]</v>
      </c>
      <c r="N151" s="2" t="str">
        <f>HYPERLINK("http://www.ncbi.nlm.nih.gov/sutils/blink.cgi?pid=23509628","3.2")</f>
        <v>3.2</v>
      </c>
      <c r="O151" t="s">
        <v>647</v>
      </c>
      <c r="P151">
        <v>37</v>
      </c>
      <c r="Q151">
        <v>402</v>
      </c>
      <c r="R151">
        <v>43</v>
      </c>
      <c r="S151">
        <v>9</v>
      </c>
      <c r="T151">
        <v>236</v>
      </c>
      <c r="U151">
        <v>53</v>
      </c>
      <c r="V151">
        <v>1</v>
      </c>
      <c r="W151" t="s">
        <v>1412</v>
      </c>
      <c r="X151" t="s">
        <v>648</v>
      </c>
      <c r="Y151" t="s">
        <v>649</v>
      </c>
      <c r="Z151" s="4" t="s">
        <v>1051</v>
      </c>
      <c r="AA151" t="s">
        <v>1015</v>
      </c>
      <c r="AB151" s="3" t="s">
        <v>547</v>
      </c>
      <c r="AC151" s="2" t="s">
        <v>547</v>
      </c>
      <c r="AD151" s="4" t="s">
        <v>547</v>
      </c>
      <c r="AE151" t="s">
        <v>547</v>
      </c>
      <c r="AF151" t="s">
        <v>547</v>
      </c>
      <c r="AG151" s="4" t="s">
        <v>547</v>
      </c>
      <c r="AH151" t="s">
        <v>547</v>
      </c>
      <c r="AI151" t="s">
        <v>547</v>
      </c>
      <c r="AJ151" s="4" t="s">
        <v>547</v>
      </c>
      <c r="AK151" t="s">
        <v>547</v>
      </c>
      <c r="AL151" t="s">
        <v>547</v>
      </c>
      <c r="AM151" s="3" t="s">
        <v>547</v>
      </c>
      <c r="AN151" s="2" t="s">
        <v>547</v>
      </c>
      <c r="AO151" t="s">
        <v>547</v>
      </c>
      <c r="AP151" s="3" t="s">
        <v>547</v>
      </c>
      <c r="AQ151" s="2" t="s">
        <v>547</v>
      </c>
      <c r="AR151" t="s">
        <v>547</v>
      </c>
      <c r="AS151" s="3" t="str">
        <f>HYPERLINK("http://exon.niaid.nih.gov/transcriptome/O_fasciatus/Sup_tab1/links/PFAM\of-new-contig_57-PFAM.txt","PigN")</f>
        <v>PigN</v>
      </c>
      <c r="AT151" s="2" t="str">
        <f>HYPERLINK("http://pfam.wustl.edu/cgi-bin/getdesc?acc=PF04987","0.56")</f>
        <v>0.56</v>
      </c>
      <c r="AU151" s="3" t="str">
        <f>HYPERLINK("http://exon.niaid.nih.gov/transcriptome/O_fasciatus/Sup_tab1/links/SMART\of-new-contig_57-SMART.txt","MIF4G")</f>
        <v>MIF4G</v>
      </c>
      <c r="AV151" s="2" t="str">
        <f>HYPERLINK("http://smart.embl-heidelberg.de/smart/do_annotation.pl?DOMAIN=MIF4G&amp;BLAST=DUMMY","0.40")</f>
        <v>0.40</v>
      </c>
      <c r="AW151" s="3" t="s">
        <v>547</v>
      </c>
      <c r="AX151" s="2" t="s">
        <v>547</v>
      </c>
      <c r="AY151" s="3" t="s">
        <v>547</v>
      </c>
      <c r="AZ151" s="2" t="s">
        <v>547</v>
      </c>
    </row>
    <row r="152" spans="1:52" ht="11.25">
      <c r="A152" t="str">
        <f>HYPERLINK("http://exon.niaid.nih.gov/transcriptome/O_fasciatus/Sup_tab1/links/of-new\of-new-contig_64.txt","of-new-contig_64")</f>
        <v>of-new-contig_64</v>
      </c>
      <c r="B152" t="str">
        <f>HYPERLINK("http://exon.niaid.nih.gov/transcriptome/O_fasciatus/Sup_tab1/links/of-new\of-new-5-64-64-asb-64.txt","Contig-64")</f>
        <v>Contig-64</v>
      </c>
      <c r="C152" t="str">
        <f>HYPERLINK("http://exon.niaid.nih.gov/transcriptome/O_fasciatus/Sup_tab1/links/of-new\of-new-5-64-64-64-CLU.txt","Contig64")</f>
        <v>Contig64</v>
      </c>
      <c r="D152">
        <v>3</v>
      </c>
      <c r="E152">
        <v>362</v>
      </c>
      <c r="F152" t="str">
        <f>HYPERLINK("http://exon.niaid.nih.gov/transcriptome/O_fasciatus/Sup_tab1/links/of-new\of-new-5-64-64-64-qual.txt","84.8")</f>
        <v>84.8</v>
      </c>
      <c r="G152" t="s">
        <v>541</v>
      </c>
      <c r="H152">
        <v>67.4</v>
      </c>
      <c r="I152">
        <v>315</v>
      </c>
      <c r="J152">
        <v>64</v>
      </c>
      <c r="K152" t="s">
        <v>605</v>
      </c>
      <c r="L152">
        <v>315</v>
      </c>
      <c r="M152" s="3" t="str">
        <f>HYPERLINK("http://exon.niaid.nih.gov/transcriptome/O_fasciatus/Sup_tab1/links/NR\of-new-contig_64-NR.txt","AAA ATPase, central region:Clp, N terminal [Shewanella sp. PV-4]")</f>
        <v>AAA ATPase, central region:Clp, N terminal [Shewanella sp. PV-4]</v>
      </c>
      <c r="N152" s="2" t="str">
        <f>HYPERLINK("http://www.ncbi.nlm.nih.gov/sutils/blink.cgi?pid=78367996","0.49")</f>
        <v>0.49</v>
      </c>
      <c r="O152" t="s">
        <v>671</v>
      </c>
      <c r="P152">
        <v>43</v>
      </c>
      <c r="Q152">
        <v>752</v>
      </c>
      <c r="R152">
        <v>41</v>
      </c>
      <c r="S152">
        <v>6</v>
      </c>
      <c r="T152">
        <v>139</v>
      </c>
      <c r="U152">
        <v>51</v>
      </c>
      <c r="V152">
        <v>1</v>
      </c>
      <c r="W152" t="s">
        <v>1412</v>
      </c>
      <c r="X152" t="s">
        <v>672</v>
      </c>
      <c r="Y152" t="s">
        <v>673</v>
      </c>
      <c r="Z152" s="4" t="s">
        <v>1025</v>
      </c>
      <c r="AA152" t="s">
        <v>1015</v>
      </c>
      <c r="AB152" s="3" t="s">
        <v>547</v>
      </c>
      <c r="AC152" s="2" t="s">
        <v>547</v>
      </c>
      <c r="AD152" s="4" t="s">
        <v>547</v>
      </c>
      <c r="AE152" t="s">
        <v>547</v>
      </c>
      <c r="AF152" t="s">
        <v>547</v>
      </c>
      <c r="AG152" s="4" t="s">
        <v>547</v>
      </c>
      <c r="AH152" t="s">
        <v>547</v>
      </c>
      <c r="AI152" t="s">
        <v>547</v>
      </c>
      <c r="AJ152" s="4" t="s">
        <v>547</v>
      </c>
      <c r="AK152" t="s">
        <v>547</v>
      </c>
      <c r="AL152" t="s">
        <v>547</v>
      </c>
      <c r="AM152" s="3" t="str">
        <f>HYPERLINK("http://exon.niaid.nih.gov/transcriptome/O_fasciatus/Sup_tab1/links/KOG\of-new-contig_64-KOG.txt","Predicted E3 ubiquitin ligase")</f>
        <v>Predicted E3 ubiquitin ligase</v>
      </c>
      <c r="AN152" s="2" t="str">
        <f>HYPERLINK("http://www.ncbi.nlm.nih.gov/COG/new/shokog.cgi?KOG0828","0.27")</f>
        <v>0.27</v>
      </c>
      <c r="AO152" t="s">
        <v>653</v>
      </c>
      <c r="AP152" s="3" t="str">
        <f>HYPERLINK("http://exon.niaid.nih.gov/transcriptome/O_fasciatus/Sup_tab1/links/CDD\of-new-contig_64-CDD.txt","MARVEL")</f>
        <v>MARVEL</v>
      </c>
      <c r="AQ152" s="2" t="str">
        <f>HYPERLINK("http://www.ncbi.nlm.nih.gov/Structure/cdd/cddsrv.cgi?uid=pfam01284&amp;version=v4.0","0.34")</f>
        <v>0.34</v>
      </c>
      <c r="AR152" t="s">
        <v>674</v>
      </c>
      <c r="AS152" s="3" t="str">
        <f>HYPERLINK("http://exon.niaid.nih.gov/transcriptome/O_fasciatus/Sup_tab1/links/PFAM\of-new-contig_64-PFAM.txt","MARVEL")</f>
        <v>MARVEL</v>
      </c>
      <c r="AT152" s="2" t="str">
        <f>HYPERLINK("http://pfam.wustl.edu/cgi-bin/getdesc?acc=PF01284","0.18")</f>
        <v>0.18</v>
      </c>
      <c r="AU152" s="3" t="str">
        <f>HYPERLINK("http://exon.niaid.nih.gov/transcriptome/O_fasciatus/Sup_tab1/links/SMART\of-new-contig_64-SMART.txt","53EXOc")</f>
        <v>53EXOc</v>
      </c>
      <c r="AV152" s="2" t="str">
        <f>HYPERLINK("http://smart.embl-heidelberg.de/smart/do_annotation.pl?DOMAIN=53EXOc&amp;BLAST=DUMMY","0.61")</f>
        <v>0.61</v>
      </c>
      <c r="AW152" s="3" t="s">
        <v>547</v>
      </c>
      <c r="AX152" s="2" t="s">
        <v>547</v>
      </c>
      <c r="AY152" s="3" t="s">
        <v>547</v>
      </c>
      <c r="AZ152" s="2" t="s">
        <v>547</v>
      </c>
    </row>
    <row r="153" spans="1:52" ht="11.25">
      <c r="A153" t="str">
        <f>HYPERLINK("http://exon.niaid.nih.gov/transcriptome/O_fasciatus/Sup_tab1/links/of-new\of-new-contig_58.txt","of-new-contig_58")</f>
        <v>of-new-contig_58</v>
      </c>
      <c r="B153" t="str">
        <f>HYPERLINK("http://exon.niaid.nih.gov/transcriptome/O_fasciatus/Sup_tab1/links/of-new\of-new-5-64-64-asb-58.txt","Contig-58")</f>
        <v>Contig-58</v>
      </c>
      <c r="C153" t="str">
        <f>HYPERLINK("http://exon.niaid.nih.gov/transcriptome/O_fasciatus/Sup_tab1/links/of-new\of-new-5-64-64-58-CLU.txt","Contig58")</f>
        <v>Contig58</v>
      </c>
      <c r="D153">
        <v>2</v>
      </c>
      <c r="E153">
        <v>317</v>
      </c>
      <c r="F153" t="str">
        <f>HYPERLINK("http://exon.niaid.nih.gov/transcriptome/O_fasciatus/Sup_tab1/links/of-new\of-new-5-64-64-58-qual.txt","87.5")</f>
        <v>87.5</v>
      </c>
      <c r="G153" t="s">
        <v>541</v>
      </c>
      <c r="H153">
        <v>61.5</v>
      </c>
      <c r="I153">
        <v>298</v>
      </c>
      <c r="J153">
        <v>58</v>
      </c>
      <c r="K153" t="s">
        <v>599</v>
      </c>
      <c r="L153">
        <v>298</v>
      </c>
      <c r="M153" s="3" t="str">
        <f>HYPERLINK("http://exon.niaid.nih.gov/transcriptome/O_fasciatus/Sup_tab1/links/NR\of-new-contig_58-NR.txt","hypothetical protein CHGG_05490 [Chaetomium globosum CBS 148.51]")</f>
        <v>hypothetical protein CHGG_05490 [Chaetomium globosum CBS 148.51]</v>
      </c>
      <c r="N153" s="2" t="str">
        <f>HYPERLINK("http://www.ncbi.nlm.nih.gov/sutils/blink.cgi?pid=116191545","4.3")</f>
        <v>4.3</v>
      </c>
      <c r="O153" t="s">
        <v>650</v>
      </c>
      <c r="P153">
        <v>36</v>
      </c>
      <c r="Q153">
        <v>397</v>
      </c>
      <c r="R153">
        <v>44</v>
      </c>
      <c r="S153">
        <v>9</v>
      </c>
      <c r="T153">
        <v>352</v>
      </c>
      <c r="U153">
        <v>8</v>
      </c>
      <c r="V153">
        <v>1</v>
      </c>
      <c r="W153" t="s">
        <v>1412</v>
      </c>
      <c r="X153" t="s">
        <v>651</v>
      </c>
      <c r="Y153" t="s">
        <v>652</v>
      </c>
      <c r="Z153" s="4" t="s">
        <v>1025</v>
      </c>
      <c r="AA153" t="s">
        <v>1015</v>
      </c>
      <c r="AB153" s="3" t="s">
        <v>547</v>
      </c>
      <c r="AC153" s="2" t="s">
        <v>547</v>
      </c>
      <c r="AD153" s="4" t="s">
        <v>547</v>
      </c>
      <c r="AE153" t="s">
        <v>547</v>
      </c>
      <c r="AF153" t="s">
        <v>547</v>
      </c>
      <c r="AG153" s="4" t="s">
        <v>547</v>
      </c>
      <c r="AH153" t="s">
        <v>547</v>
      </c>
      <c r="AI153" t="s">
        <v>547</v>
      </c>
      <c r="AJ153" s="4" t="s">
        <v>547</v>
      </c>
      <c r="AK153" t="s">
        <v>547</v>
      </c>
      <c r="AL153" t="s">
        <v>547</v>
      </c>
      <c r="AM153" s="3" t="str">
        <f>HYPERLINK("http://exon.niaid.nih.gov/transcriptome/O_fasciatus/Sup_tab1/links/KOG\of-new-contig_58-KOG.txt","Predicted ubiquitin-protein ligase/hyperplastic discs protein, HECT superfamily")</f>
        <v>Predicted ubiquitin-protein ligase/hyperplastic discs protein, HECT superfamily</v>
      </c>
      <c r="AN153" s="2" t="str">
        <f>HYPERLINK("http://www.ncbi.nlm.nih.gov/COG/new/shokog.cgi?KOG0943","0.59")</f>
        <v>0.59</v>
      </c>
      <c r="AO153" t="s">
        <v>653</v>
      </c>
      <c r="AP153" s="3" t="s">
        <v>547</v>
      </c>
      <c r="AQ153" s="2" t="s">
        <v>547</v>
      </c>
      <c r="AR153" t="s">
        <v>547</v>
      </c>
      <c r="AS153" s="3" t="str">
        <f>HYPERLINK("http://exon.niaid.nih.gov/transcriptome/O_fasciatus/Sup_tab1/links/PFAM\of-new-contig_58-PFAM.txt","Rhabdo_glycop")</f>
        <v>Rhabdo_glycop</v>
      </c>
      <c r="AT153" s="2" t="str">
        <f>HYPERLINK("http://pfam.wustl.edu/cgi-bin/getdesc?acc=PF00974","0.36")</f>
        <v>0.36</v>
      </c>
      <c r="AU153" s="3" t="str">
        <f>HYPERLINK("http://exon.niaid.nih.gov/transcriptome/O_fasciatus/Sup_tab1/links/SMART\of-new-contig_58-SMART.txt","MCM")</f>
        <v>MCM</v>
      </c>
      <c r="AV153" s="2" t="str">
        <f>HYPERLINK("http://smart.embl-heidelberg.de/smart/do_annotation.pl?DOMAIN=MCM&amp;BLAST=DUMMY","0.18")</f>
        <v>0.18</v>
      </c>
      <c r="AW153" s="3" t="s">
        <v>547</v>
      </c>
      <c r="AX153" s="2" t="s">
        <v>547</v>
      </c>
      <c r="AY153" s="3" t="s">
        <v>547</v>
      </c>
      <c r="AZ153" s="2" t="s">
        <v>547</v>
      </c>
    </row>
    <row r="154" spans="1:52" ht="11.25">
      <c r="A154" t="str">
        <f>HYPERLINK("http://exon.niaid.nih.gov/transcriptome/O_fasciatus/Sup_tab1/links/of-new\of-new-contig_68.txt","of-new-contig_68")</f>
        <v>of-new-contig_68</v>
      </c>
      <c r="B154" t="str">
        <f>HYPERLINK("http://exon.niaid.nih.gov/transcriptome/O_fasciatus/Sup_tab1/links/of-new\of-new-5-64-64-asb-68.txt","Contig-68")</f>
        <v>Contig-68</v>
      </c>
      <c r="C154" t="str">
        <f>HYPERLINK("http://exon.niaid.nih.gov/transcriptome/O_fasciatus/Sup_tab1/links/of-new\of-new-5-64-64-68-CLU.txt","Contig68")</f>
        <v>Contig68</v>
      </c>
      <c r="D154">
        <v>2</v>
      </c>
      <c r="E154">
        <v>716</v>
      </c>
      <c r="F154" t="str">
        <f>HYPERLINK("http://exon.niaid.nih.gov/transcriptome/O_fasciatus/Sup_tab1/links/of-new\of-new-5-64-64-68-qual.txt","71.5")</f>
        <v>71.5</v>
      </c>
      <c r="G154">
        <v>0.8</v>
      </c>
      <c r="H154">
        <v>70.7</v>
      </c>
      <c r="I154">
        <v>686</v>
      </c>
      <c r="J154">
        <v>68</v>
      </c>
      <c r="K154" t="s">
        <v>609</v>
      </c>
      <c r="L154" t="s">
        <v>547</v>
      </c>
      <c r="M154" s="3" t="str">
        <f>HYPERLINK("http://exon.niaid.nih.gov/transcriptome/O_fasciatus/Sup_tab1/links/NR\of-new-contig_68-NR.txt","hypothetical protein PY04382 [Plasmodium yoelii yoelii str. 17XNL]")</f>
        <v>hypothetical protein PY04382 [Plasmodium yoelii yoelii str. 17XNL]</v>
      </c>
      <c r="N154" s="2" t="str">
        <f>HYPERLINK("http://www.ncbi.nlm.nih.gov/sutils/blink.cgi?pid=82540761","1.4")</f>
        <v>1.4</v>
      </c>
      <c r="O154" t="s">
        <v>1451</v>
      </c>
      <c r="P154">
        <v>100</v>
      </c>
      <c r="Q154">
        <v>1287</v>
      </c>
      <c r="R154">
        <v>30</v>
      </c>
      <c r="S154">
        <v>8</v>
      </c>
      <c r="T154">
        <v>1137</v>
      </c>
      <c r="U154">
        <v>77</v>
      </c>
      <c r="V154">
        <v>1</v>
      </c>
      <c r="W154" t="s">
        <v>1412</v>
      </c>
      <c r="X154" t="s">
        <v>1452</v>
      </c>
      <c r="Y154" t="s">
        <v>1453</v>
      </c>
      <c r="Z154" s="4" t="s">
        <v>1025</v>
      </c>
      <c r="AA154" t="s">
        <v>1015</v>
      </c>
      <c r="AB154" s="3" t="s">
        <v>547</v>
      </c>
      <c r="AC154" s="2" t="s">
        <v>547</v>
      </c>
      <c r="AD154" s="4" t="s">
        <v>547</v>
      </c>
      <c r="AE154" t="s">
        <v>547</v>
      </c>
      <c r="AF154" t="s">
        <v>547</v>
      </c>
      <c r="AG154" s="4" t="s">
        <v>547</v>
      </c>
      <c r="AH154" t="s">
        <v>547</v>
      </c>
      <c r="AI154" t="s">
        <v>547</v>
      </c>
      <c r="AJ154" s="4" t="s">
        <v>547</v>
      </c>
      <c r="AK154" t="s">
        <v>547</v>
      </c>
      <c r="AL154" t="s">
        <v>547</v>
      </c>
      <c r="AM154" s="3" t="str">
        <f>HYPERLINK("http://exon.niaid.nih.gov/transcriptome/O_fasciatus/Sup_tab1/links/KOG\of-new-contig_68-KOG.txt","Predicted steroid reductase")</f>
        <v>Predicted steroid reductase</v>
      </c>
      <c r="AN154" s="2" t="str">
        <f>HYPERLINK("http://www.ncbi.nlm.nih.gov/COG/new/shokog.cgi?KOG1640","0.094")</f>
        <v>0.094</v>
      </c>
      <c r="AO154" t="s">
        <v>1469</v>
      </c>
      <c r="AP154" s="3" t="str">
        <f>HYPERLINK("http://exon.niaid.nih.gov/transcriptome/O_fasciatus/Sup_tab1/links/CDD\of-new-contig_68-CDD.txt","DUF216")</f>
        <v>DUF216</v>
      </c>
      <c r="AQ154" s="2" t="str">
        <f>HYPERLINK("http://www.ncbi.nlm.nih.gov/Structure/cdd/cddsrv.cgi?uid=pfam02695&amp;version=v4.0","0.012")</f>
        <v>0.012</v>
      </c>
      <c r="AR154" t="s">
        <v>1454</v>
      </c>
      <c r="AS154" s="3" t="str">
        <f>HYPERLINK("http://exon.niaid.nih.gov/transcriptome/O_fasciatus/Sup_tab1/links/PFAM\of-new-contig_68-PFAM.txt","DUF216")</f>
        <v>DUF216</v>
      </c>
      <c r="AT154" s="2" t="str">
        <f>HYPERLINK("http://pfam.wustl.edu/cgi-bin/getdesc?acc=PF02695","0.006")</f>
        <v>0.006</v>
      </c>
      <c r="AU154" s="3" t="str">
        <f>HYPERLINK("http://exon.niaid.nih.gov/transcriptome/O_fasciatus/Sup_tab1/links/SMART\of-new-contig_68-SMART.txt","TOP4c")</f>
        <v>TOP4c</v>
      </c>
      <c r="AV154" s="2" t="str">
        <f>HYPERLINK("http://smart.embl-heidelberg.de/smart/do_annotation.pl?DOMAIN=TOP4c&amp;BLAST=DUMMY","0.27")</f>
        <v>0.27</v>
      </c>
      <c r="AW154" s="3" t="s">
        <v>547</v>
      </c>
      <c r="AX154" s="2" t="s">
        <v>547</v>
      </c>
      <c r="AY154" s="3" t="s">
        <v>547</v>
      </c>
      <c r="AZ154" s="2" t="s">
        <v>547</v>
      </c>
    </row>
    <row r="155" spans="1:52" ht="11.25">
      <c r="A155" t="str">
        <f>HYPERLINK("http://exon.niaid.nih.gov/transcriptome/O_fasciatus/Sup_tab1/links/of-new\of-new-contig_69.txt","of-new-contig_69")</f>
        <v>of-new-contig_69</v>
      </c>
      <c r="B155" t="str">
        <f>HYPERLINK("http://exon.niaid.nih.gov/transcriptome/O_fasciatus/Sup_tab1/links/of-new\of-new-5-64-64-asb-69.txt","Contig-69")</f>
        <v>Contig-69</v>
      </c>
      <c r="C155" t="str">
        <f>HYPERLINK("http://exon.niaid.nih.gov/transcriptome/O_fasciatus/Sup_tab1/links/of-new\of-new-5-64-64-69-CLU.txt","Contig69")</f>
        <v>Contig69</v>
      </c>
      <c r="D155">
        <v>2</v>
      </c>
      <c r="E155">
        <v>570</v>
      </c>
      <c r="F155" t="str">
        <f>HYPERLINK("http://exon.niaid.nih.gov/transcriptome/O_fasciatus/Sup_tab1/links/of-new\of-new-5-64-64-69-qual.txt","59.8")</f>
        <v>59.8</v>
      </c>
      <c r="G155" t="s">
        <v>541</v>
      </c>
      <c r="H155">
        <v>76.3</v>
      </c>
      <c r="I155">
        <v>531</v>
      </c>
      <c r="J155">
        <v>69</v>
      </c>
      <c r="K155" t="s">
        <v>610</v>
      </c>
      <c r="L155">
        <v>504</v>
      </c>
      <c r="M155" s="3" t="str">
        <f>HYPERLINK("http://exon.niaid.nih.gov/transcriptome/O_fasciatus/Sup_tab1/links/NR\of-new-contig_69-NR.txt","hypothetical protein [Plasmodium falciparum 3D7]")</f>
        <v>hypothetical protein [Plasmodium falciparum 3D7]</v>
      </c>
      <c r="N155" s="2" t="str">
        <f>HYPERLINK("http://www.ncbi.nlm.nih.gov/sutils/blink.cgi?pid=23619207","0.65")</f>
        <v>0.65</v>
      </c>
      <c r="O155" t="s">
        <v>1455</v>
      </c>
      <c r="P155">
        <v>65</v>
      </c>
      <c r="Q155">
        <v>2756</v>
      </c>
      <c r="R155">
        <v>32</v>
      </c>
      <c r="S155">
        <v>2</v>
      </c>
      <c r="T155">
        <v>2570</v>
      </c>
      <c r="U155">
        <v>94</v>
      </c>
      <c r="V155">
        <v>2</v>
      </c>
      <c r="W155" t="s">
        <v>1412</v>
      </c>
      <c r="X155" t="s">
        <v>648</v>
      </c>
      <c r="Y155" t="s">
        <v>1456</v>
      </c>
      <c r="Z155" s="4" t="s">
        <v>1025</v>
      </c>
      <c r="AA155" t="s">
        <v>1015</v>
      </c>
      <c r="AB155" s="3" t="s">
        <v>547</v>
      </c>
      <c r="AC155" s="2" t="s">
        <v>547</v>
      </c>
      <c r="AD155" s="4" t="s">
        <v>547</v>
      </c>
      <c r="AE155" t="s">
        <v>547</v>
      </c>
      <c r="AF155" t="s">
        <v>547</v>
      </c>
      <c r="AG155" s="4" t="s">
        <v>547</v>
      </c>
      <c r="AH155" t="s">
        <v>547</v>
      </c>
      <c r="AI155" t="s">
        <v>547</v>
      </c>
      <c r="AJ155" s="4" t="s">
        <v>547</v>
      </c>
      <c r="AK155" t="s">
        <v>547</v>
      </c>
      <c r="AL155" t="s">
        <v>547</v>
      </c>
      <c r="AM155" s="3" t="str">
        <f>HYPERLINK("http://exon.niaid.nih.gov/transcriptome/O_fasciatus/Sup_tab1/links/KOG\of-new-contig_69-KOG.txt","G protein-coupled receptors")</f>
        <v>G protein-coupled receptors</v>
      </c>
      <c r="AN155" s="2" t="str">
        <f>HYPERLINK("http://www.ncbi.nlm.nih.gov/COG/new/shokog.cgi?KOG4193","0.50")</f>
        <v>0.50</v>
      </c>
      <c r="AO155" t="s">
        <v>1521</v>
      </c>
      <c r="AP155" s="3" t="str">
        <f>HYPERLINK("http://exon.niaid.nih.gov/transcriptome/O_fasciatus/Sup_tab1/links/CDD\of-new-contig_69-CDD.txt","DUF216")</f>
        <v>DUF216</v>
      </c>
      <c r="AQ155" s="2" t="str">
        <f>HYPERLINK("http://www.ncbi.nlm.nih.gov/Structure/cdd/cddsrv.cgi?uid=pfam02695&amp;version=v4.0","0.002")</f>
        <v>0.002</v>
      </c>
      <c r="AR155" t="s">
        <v>1457</v>
      </c>
      <c r="AS155" s="3" t="str">
        <f>HYPERLINK("http://exon.niaid.nih.gov/transcriptome/O_fasciatus/Sup_tab1/links/PFAM\of-new-contig_69-PFAM.txt","DUF216")</f>
        <v>DUF216</v>
      </c>
      <c r="AT155" s="2" t="str">
        <f>HYPERLINK("http://pfam.wustl.edu/cgi-bin/getdesc?acc=PF02695","8E-004")</f>
        <v>8E-004</v>
      </c>
      <c r="AU155" s="3" t="str">
        <f>HYPERLINK("http://exon.niaid.nih.gov/transcriptome/O_fasciatus/Sup_tab1/links/SMART\of-new-contig_69-SMART.txt","TLC")</f>
        <v>TLC</v>
      </c>
      <c r="AV155" s="2" t="str">
        <f>HYPERLINK("http://smart.embl-heidelberg.de/smart/do_annotation.pl?DOMAIN=TLC&amp;BLAST=DUMMY","0.21")</f>
        <v>0.21</v>
      </c>
      <c r="AW155" s="3" t="s">
        <v>547</v>
      </c>
      <c r="AX155" s="2" t="s">
        <v>547</v>
      </c>
      <c r="AY155" s="3" t="s">
        <v>547</v>
      </c>
      <c r="AZ155" s="2" t="s">
        <v>547</v>
      </c>
    </row>
    <row r="156" spans="1:52" ht="11.25">
      <c r="A156" t="str">
        <f>HYPERLINK("http://exon.niaid.nih.gov/transcriptome/O_fasciatus/Sup_tab1/links/of-new\of-new-contig_70.txt","of-new-contig_70")</f>
        <v>of-new-contig_70</v>
      </c>
      <c r="B156" t="str">
        <f>HYPERLINK("http://exon.niaid.nih.gov/transcriptome/O_fasciatus/Sup_tab1/links/of-new\of-new-5-64-64-asb-70.txt","Contig-70")</f>
        <v>Contig-70</v>
      </c>
      <c r="C156" t="str">
        <f>HYPERLINK("http://exon.niaid.nih.gov/transcriptome/O_fasciatus/Sup_tab1/links/of-new\of-new-5-64-64-70-CLU.txt","Contig70")</f>
        <v>Contig70</v>
      </c>
      <c r="D156">
        <v>2</v>
      </c>
      <c r="E156">
        <v>488</v>
      </c>
      <c r="F156" t="str">
        <f>HYPERLINK("http://exon.niaid.nih.gov/transcriptome/O_fasciatus/Sup_tab1/links/of-new\of-new-5-64-64-70-qual.txt","43.2")</f>
        <v>43.2</v>
      </c>
      <c r="G156" t="s">
        <v>541</v>
      </c>
      <c r="H156">
        <v>75.8</v>
      </c>
      <c r="I156" t="s">
        <v>547</v>
      </c>
      <c r="J156">
        <v>70</v>
      </c>
      <c r="K156" t="s">
        <v>611</v>
      </c>
      <c r="L156" t="s">
        <v>547</v>
      </c>
      <c r="M156" s="3" t="str">
        <f>HYPERLINK("http://exon.niaid.nih.gov/transcriptome/O_fasciatus/Sup_tab1/links/NR\of-new-contig_70-NR.txt","SJCHGC01974 protein")</f>
        <v>SJCHGC01974 protein</v>
      </c>
      <c r="N156" s="2" t="str">
        <f>HYPERLINK("http://www.ncbi.nlm.nih.gov/sutils/blink.cgi?pid=56757374","0.72")</f>
        <v>0.72</v>
      </c>
      <c r="O156" t="s">
        <v>1458</v>
      </c>
      <c r="P156">
        <v>30</v>
      </c>
      <c r="Q156">
        <v>138</v>
      </c>
      <c r="R156">
        <v>50</v>
      </c>
      <c r="S156">
        <v>22</v>
      </c>
      <c r="T156">
        <v>91</v>
      </c>
      <c r="U156">
        <v>22</v>
      </c>
      <c r="V156">
        <v>1</v>
      </c>
      <c r="W156" t="s">
        <v>1412</v>
      </c>
      <c r="X156" t="s">
        <v>1425</v>
      </c>
      <c r="Y156" t="s">
        <v>1459</v>
      </c>
      <c r="Z156" s="4" t="s">
        <v>1025</v>
      </c>
      <c r="AA156" t="s">
        <v>1015</v>
      </c>
      <c r="AB156" s="3" t="s">
        <v>547</v>
      </c>
      <c r="AC156" s="2" t="s">
        <v>547</v>
      </c>
      <c r="AD156" s="4" t="s">
        <v>547</v>
      </c>
      <c r="AE156" t="s">
        <v>547</v>
      </c>
      <c r="AF156" t="s">
        <v>547</v>
      </c>
      <c r="AG156" s="4" t="s">
        <v>547</v>
      </c>
      <c r="AH156" t="s">
        <v>547</v>
      </c>
      <c r="AI156" t="s">
        <v>547</v>
      </c>
      <c r="AJ156" s="4" t="s">
        <v>547</v>
      </c>
      <c r="AK156" t="s">
        <v>547</v>
      </c>
      <c r="AL156" t="s">
        <v>547</v>
      </c>
      <c r="AM156" s="3" t="str">
        <f>HYPERLINK("http://exon.niaid.nih.gov/transcriptome/O_fasciatus/Sup_tab1/links/KOG\of-new-contig_70-KOG.txt","Uncharacterized conserved protein")</f>
        <v>Uncharacterized conserved protein</v>
      </c>
      <c r="AN156" s="2" t="str">
        <f>HYPERLINK("http://www.ncbi.nlm.nih.gov/COG/new/shokog.cgi?KOG2895","0.85")</f>
        <v>0.85</v>
      </c>
      <c r="AO156" t="s">
        <v>881</v>
      </c>
      <c r="AP156" s="3" t="str">
        <f>HYPERLINK("http://exon.niaid.nih.gov/transcriptome/O_fasciatus/Sup_tab1/links/CDD\of-new-contig_70-CDD.txt","AnsP")</f>
        <v>AnsP</v>
      </c>
      <c r="AQ156" s="2" t="str">
        <f>HYPERLINK("http://www.ncbi.nlm.nih.gov/Structure/cdd/cddsrv.cgi?uid=COG1113&amp;version=v4.0","0.61")</f>
        <v>0.61</v>
      </c>
      <c r="AR156" t="s">
        <v>1460</v>
      </c>
      <c r="AS156" s="3" t="str">
        <f>HYPERLINK("http://exon.niaid.nih.gov/transcriptome/O_fasciatus/Sup_tab1/links/PFAM\of-new-contig_70-PFAM.txt","UPF0259")</f>
        <v>UPF0259</v>
      </c>
      <c r="AT156" s="2" t="str">
        <f>HYPERLINK("http://pfam.wustl.edu/cgi-bin/getdesc?acc=PF06790","0.26")</f>
        <v>0.26</v>
      </c>
      <c r="AU156" s="3" t="str">
        <f>HYPERLINK("http://exon.niaid.nih.gov/transcriptome/O_fasciatus/Sup_tab1/links/SMART\of-new-contig_70-SMART.txt","FBOX")</f>
        <v>FBOX</v>
      </c>
      <c r="AV156" s="2" t="str">
        <f>HYPERLINK("http://smart.embl-heidelberg.de/smart/do_annotation.pl?DOMAIN=FBOX&amp;BLAST=DUMMY","0.18")</f>
        <v>0.18</v>
      </c>
      <c r="AW156" s="3" t="s">
        <v>547</v>
      </c>
      <c r="AX156" s="2" t="s">
        <v>547</v>
      </c>
      <c r="AY156" s="3" t="s">
        <v>547</v>
      </c>
      <c r="AZ156" s="2" t="s">
        <v>547</v>
      </c>
    </row>
    <row r="157" spans="1:52" ht="11.25">
      <c r="A157" t="str">
        <f>HYPERLINK("http://exon.niaid.nih.gov/transcriptome/O_fasciatus/Sup_tab1/links/of-new\of-new-contig_71.txt","of-new-contig_71")</f>
        <v>of-new-contig_71</v>
      </c>
      <c r="B157" t="str">
        <f>HYPERLINK("http://exon.niaid.nih.gov/transcriptome/O_fasciatus/Sup_tab1/links/of-new\of-new-5-64-64-asb-71.txt","Contig-71")</f>
        <v>Contig-71</v>
      </c>
      <c r="C157" t="str">
        <f>HYPERLINK("http://exon.niaid.nih.gov/transcriptome/O_fasciatus/Sup_tab1/links/of-new\of-new-5-64-64-71-CLU.txt","Contig71")</f>
        <v>Contig71</v>
      </c>
      <c r="D157">
        <v>2</v>
      </c>
      <c r="E157">
        <v>375</v>
      </c>
      <c r="F157" t="str">
        <f>HYPERLINK("http://exon.niaid.nih.gov/transcriptome/O_fasciatus/Sup_tab1/links/of-new\of-new-5-64-64-71-qual.txt","57.1")</f>
        <v>57.1</v>
      </c>
      <c r="G157" t="s">
        <v>541</v>
      </c>
      <c r="H157">
        <v>77.1</v>
      </c>
      <c r="I157">
        <v>356</v>
      </c>
      <c r="J157">
        <v>71</v>
      </c>
      <c r="K157" t="s">
        <v>612</v>
      </c>
      <c r="L157">
        <v>442</v>
      </c>
      <c r="M157" s="3" t="str">
        <f>HYPERLINK("http://exon.niaid.nih.gov/transcriptome/O_fasciatus/Sup_tab1/links/NR\of-new-contig_71-NR.txt","hypothetical protein TA18345 [Theileria annulata strain Ankara]")</f>
        <v>hypothetical protein TA18345 [Theileria annulata strain Ankara]</v>
      </c>
      <c r="N157" s="2" t="str">
        <f>HYPERLINK("http://www.ncbi.nlm.nih.gov/sutils/blink.cgi?pid=85001552","0.86")</f>
        <v>0.86</v>
      </c>
      <c r="O157" t="s">
        <v>1461</v>
      </c>
      <c r="P157">
        <v>58</v>
      </c>
      <c r="Q157">
        <v>618</v>
      </c>
      <c r="R157">
        <v>41</v>
      </c>
      <c r="S157">
        <v>9</v>
      </c>
      <c r="T157">
        <v>386</v>
      </c>
      <c r="U157">
        <v>29</v>
      </c>
      <c r="V157">
        <v>1</v>
      </c>
      <c r="W157" t="s">
        <v>1412</v>
      </c>
      <c r="X157" t="s">
        <v>1462</v>
      </c>
      <c r="Y157" t="s">
        <v>1463</v>
      </c>
      <c r="Z157" s="4" t="s">
        <v>1025</v>
      </c>
      <c r="AA157" t="s">
        <v>1015</v>
      </c>
      <c r="AB157" s="3" t="s">
        <v>547</v>
      </c>
      <c r="AC157" s="2" t="s">
        <v>547</v>
      </c>
      <c r="AD157" s="4" t="s">
        <v>547</v>
      </c>
      <c r="AE157" t="s">
        <v>547</v>
      </c>
      <c r="AF157" t="s">
        <v>547</v>
      </c>
      <c r="AG157" s="4" t="s">
        <v>547</v>
      </c>
      <c r="AH157" t="s">
        <v>547</v>
      </c>
      <c r="AI157" t="s">
        <v>547</v>
      </c>
      <c r="AJ157" s="4" t="s">
        <v>547</v>
      </c>
      <c r="AK157" t="s">
        <v>547</v>
      </c>
      <c r="AL157" t="s">
        <v>547</v>
      </c>
      <c r="AM157" s="3" t="s">
        <v>547</v>
      </c>
      <c r="AN157" s="2" t="s">
        <v>547</v>
      </c>
      <c r="AO157" t="s">
        <v>547</v>
      </c>
      <c r="AP157" s="3" t="str">
        <f>HYPERLINK("http://exon.niaid.nih.gov/transcriptome/O_fasciatus/Sup_tab1/links/CDD\of-new-contig_71-CDD.txt","V_ATPase_I")</f>
        <v>V_ATPase_I</v>
      </c>
      <c r="AQ157" s="2" t="str">
        <f>HYPERLINK("http://www.ncbi.nlm.nih.gov/Structure/cdd/cddsrv.cgi?uid=pfam01496&amp;version=v4.0","0.30")</f>
        <v>0.30</v>
      </c>
      <c r="AR157" t="s">
        <v>1464</v>
      </c>
      <c r="AS157" s="3" t="str">
        <f>HYPERLINK("http://exon.niaid.nih.gov/transcriptome/O_fasciatus/Sup_tab1/links/PFAM\of-new-contig_71-PFAM.txt","Bunya_G1")</f>
        <v>Bunya_G1</v>
      </c>
      <c r="AT157" s="2" t="str">
        <f>HYPERLINK("http://pfam.wustl.edu/cgi-bin/getdesc?acc=PF03557","0.018")</f>
        <v>0.018</v>
      </c>
      <c r="AU157" s="3" t="str">
        <f>HYPERLINK("http://exon.niaid.nih.gov/transcriptome/O_fasciatus/Sup_tab1/links/SMART\of-new-contig_71-SMART.txt","LITAF")</f>
        <v>LITAF</v>
      </c>
      <c r="AV157" s="2" t="str">
        <f>HYPERLINK("http://smart.embl-heidelberg.de/smart/do_annotation.pl?DOMAIN=LITAF&amp;BLAST=DUMMY","0.060")</f>
        <v>0.060</v>
      </c>
      <c r="AW157" s="3" t="s">
        <v>547</v>
      </c>
      <c r="AX157" s="2" t="s">
        <v>547</v>
      </c>
      <c r="AY157" s="3" t="s">
        <v>547</v>
      </c>
      <c r="AZ157" s="2" t="s">
        <v>547</v>
      </c>
    </row>
    <row r="158" spans="1:52" ht="11.25">
      <c r="A158" t="str">
        <f>HYPERLINK("http://exon.niaid.nih.gov/transcriptome/O_fasciatus/Sup_tab1/links/of-new\of-new-contig_72.txt","of-new-contig_72")</f>
        <v>of-new-contig_72</v>
      </c>
      <c r="B158" t="str">
        <f>HYPERLINK("http://exon.niaid.nih.gov/transcriptome/O_fasciatus/Sup_tab1/links/of-new\of-new-5-64-64-asb-72.txt","Contig-72")</f>
        <v>Contig-72</v>
      </c>
      <c r="C158" t="str">
        <f>HYPERLINK("http://exon.niaid.nih.gov/transcriptome/O_fasciatus/Sup_tab1/links/of-new\of-new-5-64-64-72-CLU.txt","Contig72")</f>
        <v>Contig72</v>
      </c>
      <c r="D158">
        <v>2</v>
      </c>
      <c r="E158">
        <v>815</v>
      </c>
      <c r="F158" t="str">
        <f>HYPERLINK("http://exon.niaid.nih.gov/transcriptome/O_fasciatus/Sup_tab1/links/of-new\of-new-5-64-64-72-qual.txt","34.8")</f>
        <v>34.8</v>
      </c>
      <c r="G158" t="s">
        <v>541</v>
      </c>
      <c r="H158">
        <v>66.3</v>
      </c>
      <c r="I158" t="s">
        <v>547</v>
      </c>
      <c r="J158">
        <v>72</v>
      </c>
      <c r="K158" t="s">
        <v>613</v>
      </c>
      <c r="L158">
        <v>766</v>
      </c>
      <c r="M158" s="3" t="str">
        <f>HYPERLINK("http://exon.niaid.nih.gov/transcriptome/O_fasciatus/Sup_tab1/links/NR\of-new-contig_72-NR.txt","gag protein")</f>
        <v>gag protein</v>
      </c>
      <c r="N158" s="2" t="str">
        <f>HYPERLINK("http://www.ncbi.nlm.nih.gov/sutils/blink.cgi?pid=37682521","0.35")</f>
        <v>0.35</v>
      </c>
      <c r="O158" t="s">
        <v>1465</v>
      </c>
      <c r="P158">
        <v>58</v>
      </c>
      <c r="Q158">
        <v>497</v>
      </c>
      <c r="R158">
        <v>39</v>
      </c>
      <c r="S158">
        <v>12</v>
      </c>
      <c r="T158">
        <v>426</v>
      </c>
      <c r="U158">
        <v>303</v>
      </c>
      <c r="V158">
        <v>1</v>
      </c>
      <c r="W158" t="s">
        <v>1412</v>
      </c>
      <c r="X158" t="s">
        <v>1466</v>
      </c>
      <c r="Y158" t="s">
        <v>709</v>
      </c>
      <c r="Z158" s="4" t="s">
        <v>1025</v>
      </c>
      <c r="AA158" t="s">
        <v>1015</v>
      </c>
      <c r="AB158" s="3" t="s">
        <v>547</v>
      </c>
      <c r="AC158" s="2" t="s">
        <v>547</v>
      </c>
      <c r="AD158" s="4" t="s">
        <v>547</v>
      </c>
      <c r="AE158" t="s">
        <v>547</v>
      </c>
      <c r="AF158" t="s">
        <v>547</v>
      </c>
      <c r="AG158" s="4" t="s">
        <v>547</v>
      </c>
      <c r="AH158" t="s">
        <v>547</v>
      </c>
      <c r="AI158" t="s">
        <v>547</v>
      </c>
      <c r="AJ158" s="4" t="s">
        <v>547</v>
      </c>
      <c r="AK158" t="s">
        <v>547</v>
      </c>
      <c r="AL158" t="s">
        <v>547</v>
      </c>
      <c r="AM158" s="3" t="str">
        <f>HYPERLINK("http://exon.niaid.nih.gov/transcriptome/O_fasciatus/Sup_tab1/links/KOG\of-new-contig_72-KOG.txt","Nucleo-cytoplasmic protein MLN51")</f>
        <v>Nucleo-cytoplasmic protein MLN51</v>
      </c>
      <c r="AN158" s="2" t="str">
        <f>HYPERLINK("http://www.ncbi.nlm.nih.gov/COG/new/shokog.cgi?KOG4264","0.58")</f>
        <v>0.58</v>
      </c>
      <c r="AO158" t="s">
        <v>1503</v>
      </c>
      <c r="AP158" s="3" t="str">
        <f>HYPERLINK("http://exon.niaid.nih.gov/transcriptome/O_fasciatus/Sup_tab1/links/CDD\of-new-contig_72-CDD.txt","LIM_bind")</f>
        <v>LIM_bind</v>
      </c>
      <c r="AQ158" s="2" t="str">
        <f>HYPERLINK("http://www.ncbi.nlm.nih.gov/Structure/cdd/cddsrv.cgi?uid=pfam01803&amp;version=v4.0","0.48")</f>
        <v>0.48</v>
      </c>
      <c r="AR158" t="s">
        <v>710</v>
      </c>
      <c r="AS158" s="3" t="str">
        <f>HYPERLINK("http://exon.niaid.nih.gov/transcriptome/O_fasciatus/Sup_tab1/links/PFAM\of-new-contig_72-PFAM.txt","LIM_bind")</f>
        <v>LIM_bind</v>
      </c>
      <c r="AT158" s="2" t="str">
        <f>HYPERLINK("http://pfam.wustl.edu/cgi-bin/getdesc?acc=PF01803","0.24")</f>
        <v>0.24</v>
      </c>
      <c r="AU158" s="3" t="str">
        <f>HYPERLINK("http://exon.niaid.nih.gov/transcriptome/O_fasciatus/Sup_tab1/links/SMART\of-new-contig_72-SMART.txt","FBG")</f>
        <v>FBG</v>
      </c>
      <c r="AV158" s="2" t="str">
        <f>HYPERLINK("http://smart.embl-heidelberg.de/smart/do_annotation.pl?DOMAIN=FBG&amp;BLAST=DUMMY","0.84")</f>
        <v>0.84</v>
      </c>
      <c r="AW158" s="3" t="s">
        <v>547</v>
      </c>
      <c r="AX158" s="2" t="s">
        <v>547</v>
      </c>
      <c r="AY158" s="3" t="s">
        <v>547</v>
      </c>
      <c r="AZ158" s="2" t="s">
        <v>547</v>
      </c>
    </row>
    <row r="159" spans="1:52" ht="11.25">
      <c r="A159" t="str">
        <f>HYPERLINK("http://exon.niaid.nih.gov/transcriptome/O_fasciatus/Sup_tab1/links/of-new\of-new-contig_73.txt","of-new-contig_73")</f>
        <v>of-new-contig_73</v>
      </c>
      <c r="B159" t="str">
        <f>HYPERLINK("http://exon.niaid.nih.gov/transcriptome/O_fasciatus/Sup_tab1/links/of-new\of-new-5-64-64-asb-73.txt","Contig-73")</f>
        <v>Contig-73</v>
      </c>
      <c r="C159" t="str">
        <f>HYPERLINK("http://exon.niaid.nih.gov/transcriptome/O_fasciatus/Sup_tab1/links/of-new\of-new-5-64-64-73-CLU.txt","Contig73")</f>
        <v>Contig73</v>
      </c>
      <c r="D159">
        <v>2</v>
      </c>
      <c r="E159">
        <v>367</v>
      </c>
      <c r="F159" t="str">
        <f>HYPERLINK("http://exon.niaid.nih.gov/transcriptome/O_fasciatus/Sup_tab1/links/of-new\of-new-5-64-64-73-qual.txt","79.8")</f>
        <v>79.8</v>
      </c>
      <c r="G159" t="s">
        <v>541</v>
      </c>
      <c r="H159">
        <v>67.6</v>
      </c>
      <c r="I159">
        <v>348</v>
      </c>
      <c r="J159">
        <v>73</v>
      </c>
      <c r="K159" t="s">
        <v>614</v>
      </c>
      <c r="L159">
        <v>351</v>
      </c>
      <c r="M159" s="3" t="str">
        <f>HYPERLINK("http://exon.niaid.nih.gov/transcriptome/O_fasciatus/Sup_tab1/links/NR\of-new-contig_73-NR.txt","DNA-binding protein [Burkholderia pseudomallei K96243]")</f>
        <v>DNA-binding protein [Burkholderia pseudomallei K96243]</v>
      </c>
      <c r="N159" s="2" t="str">
        <f>HYPERLINK("http://www.ncbi.nlm.nih.gov/sutils/blink.cgi?pid=53721287","4.1")</f>
        <v>4.1</v>
      </c>
      <c r="O159" t="s">
        <v>711</v>
      </c>
      <c r="P159">
        <v>65</v>
      </c>
      <c r="Q159">
        <v>320</v>
      </c>
      <c r="R159">
        <v>33</v>
      </c>
      <c r="S159">
        <v>20</v>
      </c>
      <c r="T159">
        <v>5</v>
      </c>
      <c r="U159">
        <v>112</v>
      </c>
      <c r="V159">
        <v>1</v>
      </c>
      <c r="W159" t="s">
        <v>1412</v>
      </c>
      <c r="X159" t="s">
        <v>712</v>
      </c>
      <c r="Y159" t="s">
        <v>713</v>
      </c>
      <c r="Z159" s="4" t="s">
        <v>1025</v>
      </c>
      <c r="AA159" t="s">
        <v>1015</v>
      </c>
      <c r="AB159" s="3" t="s">
        <v>547</v>
      </c>
      <c r="AC159" s="2" t="s">
        <v>547</v>
      </c>
      <c r="AD159" s="4" t="s">
        <v>547</v>
      </c>
      <c r="AE159" t="s">
        <v>547</v>
      </c>
      <c r="AF159" t="s">
        <v>547</v>
      </c>
      <c r="AG159" s="4" t="s">
        <v>547</v>
      </c>
      <c r="AH159" t="s">
        <v>547</v>
      </c>
      <c r="AI159" t="s">
        <v>547</v>
      </c>
      <c r="AJ159" s="4" t="s">
        <v>547</v>
      </c>
      <c r="AK159" t="s">
        <v>547</v>
      </c>
      <c r="AL159" t="s">
        <v>547</v>
      </c>
      <c r="AM159" s="3" t="str">
        <f>HYPERLINK("http://exon.niaid.nih.gov/transcriptome/O_fasciatus/Sup_tab1/links/KOG\of-new-contig_73-KOG.txt","Uridine permease/thiamine transporter/allantoin transport")</f>
        <v>Uridine permease/thiamine transporter/allantoin transport</v>
      </c>
      <c r="AN159" s="2" t="str">
        <f>HYPERLINK("http://www.ncbi.nlm.nih.gov/COG/new/shokog.cgi?KOG2466","0.69")</f>
        <v>0.69</v>
      </c>
      <c r="AO159" t="s">
        <v>1551</v>
      </c>
      <c r="AP159" s="3" t="s">
        <v>547</v>
      </c>
      <c r="AQ159" s="2" t="s">
        <v>547</v>
      </c>
      <c r="AR159" t="s">
        <v>547</v>
      </c>
      <c r="AS159" s="3" t="s">
        <v>547</v>
      </c>
      <c r="AT159" s="2" t="s">
        <v>547</v>
      </c>
      <c r="AU159" s="3" t="s">
        <v>547</v>
      </c>
      <c r="AV159" s="2" t="s">
        <v>547</v>
      </c>
      <c r="AW159" s="3" t="s">
        <v>547</v>
      </c>
      <c r="AX159" s="2" t="s">
        <v>547</v>
      </c>
      <c r="AY159" s="3" t="s">
        <v>547</v>
      </c>
      <c r="AZ159" s="2" t="s">
        <v>547</v>
      </c>
    </row>
    <row r="160" spans="1:52" ht="11.25">
      <c r="A160" t="str">
        <f>HYPERLINK("http://exon.niaid.nih.gov/transcriptome/O_fasciatus/Sup_tab1/links/of-new\of-new-contig_74.txt","of-new-contig_74")</f>
        <v>of-new-contig_74</v>
      </c>
      <c r="B160" t="str">
        <f>HYPERLINK("http://exon.niaid.nih.gov/transcriptome/O_fasciatus/Sup_tab1/links/of-new\of-new-5-64-64-asb-74.txt","Contig-74")</f>
        <v>Contig-74</v>
      </c>
      <c r="C160" t="str">
        <f>HYPERLINK("http://exon.niaid.nih.gov/transcriptome/O_fasciatus/Sup_tab1/links/of-new\of-new-5-64-64-74-CLU.txt","Contig74")</f>
        <v>Contig74</v>
      </c>
      <c r="D160">
        <v>2</v>
      </c>
      <c r="E160">
        <v>356</v>
      </c>
      <c r="F160" t="str">
        <f>HYPERLINK("http://exon.niaid.nih.gov/transcriptome/O_fasciatus/Sup_tab1/links/of-new\of-new-5-64-64-74-qual.txt","78.7")</f>
        <v>78.7</v>
      </c>
      <c r="G160" t="s">
        <v>541</v>
      </c>
      <c r="H160">
        <v>68.5</v>
      </c>
      <c r="I160">
        <v>337</v>
      </c>
      <c r="J160">
        <v>74</v>
      </c>
      <c r="K160" t="s">
        <v>615</v>
      </c>
      <c r="L160">
        <v>337</v>
      </c>
      <c r="N160" s="2" t="s">
        <v>547</v>
      </c>
      <c r="O160" t="s">
        <v>547</v>
      </c>
      <c r="P160" t="s">
        <v>547</v>
      </c>
      <c r="Q160" t="s">
        <v>547</v>
      </c>
      <c r="R160" t="s">
        <v>547</v>
      </c>
      <c r="S160" t="s">
        <v>547</v>
      </c>
      <c r="T160" t="s">
        <v>547</v>
      </c>
      <c r="U160" t="s">
        <v>547</v>
      </c>
      <c r="V160" t="s">
        <v>547</v>
      </c>
      <c r="W160" t="s">
        <v>547</v>
      </c>
      <c r="X160" t="s">
        <v>547</v>
      </c>
      <c r="Y160" t="s">
        <v>547</v>
      </c>
      <c r="Z160" s="4" t="s">
        <v>1025</v>
      </c>
      <c r="AA160" t="s">
        <v>1015</v>
      </c>
      <c r="AB160" s="3" t="s">
        <v>547</v>
      </c>
      <c r="AC160" s="2" t="s">
        <v>547</v>
      </c>
      <c r="AD160" s="4" t="s">
        <v>547</v>
      </c>
      <c r="AE160" t="s">
        <v>547</v>
      </c>
      <c r="AF160" t="s">
        <v>547</v>
      </c>
      <c r="AG160" s="4" t="s">
        <v>547</v>
      </c>
      <c r="AH160" t="s">
        <v>547</v>
      </c>
      <c r="AI160" t="s">
        <v>547</v>
      </c>
      <c r="AJ160" s="4" t="s">
        <v>547</v>
      </c>
      <c r="AK160" t="s">
        <v>547</v>
      </c>
      <c r="AL160" t="s">
        <v>547</v>
      </c>
      <c r="AM160" s="3" t="s">
        <v>547</v>
      </c>
      <c r="AN160" s="2" t="s">
        <v>547</v>
      </c>
      <c r="AO160" t="s">
        <v>547</v>
      </c>
      <c r="AP160" s="3" t="s">
        <v>547</v>
      </c>
      <c r="AQ160" s="2" t="s">
        <v>547</v>
      </c>
      <c r="AR160" t="s">
        <v>547</v>
      </c>
      <c r="AS160" s="3" t="str">
        <f>HYPERLINK("http://exon.niaid.nih.gov/transcriptome/O_fasciatus/Sup_tab1/links/PFAM\of-new-contig_74-PFAM.txt","NADH_dehy_S2_C")</f>
        <v>NADH_dehy_S2_C</v>
      </c>
      <c r="AT160" s="2" t="str">
        <f>HYPERLINK("http://pfam.wustl.edu/cgi-bin/getdesc?acc=PF06444","0.64")</f>
        <v>0.64</v>
      </c>
      <c r="AU160" s="3" t="str">
        <f>HYPERLINK("http://exon.niaid.nih.gov/transcriptome/O_fasciatus/Sup_tab1/links/SMART\of-new-contig_74-SMART.txt","RhoGEF")</f>
        <v>RhoGEF</v>
      </c>
      <c r="AV160" s="2" t="str">
        <f>HYPERLINK("http://smart.embl-heidelberg.de/smart/do_annotation.pl?DOMAIN=RhoGEF&amp;BLAST=DUMMY","0.18")</f>
        <v>0.18</v>
      </c>
      <c r="AW160" s="3" t="s">
        <v>547</v>
      </c>
      <c r="AX160" s="2" t="s">
        <v>547</v>
      </c>
      <c r="AY160" s="3" t="s">
        <v>547</v>
      </c>
      <c r="AZ160" s="2" t="s">
        <v>547</v>
      </c>
    </row>
    <row r="161" spans="1:52" ht="11.25">
      <c r="A161" t="str">
        <f>HYPERLINK("http://exon.niaid.nih.gov/transcriptome/O_fasciatus/Sup_tab1/links/of-new\of-new-contig_75.txt","of-new-contig_75")</f>
        <v>of-new-contig_75</v>
      </c>
      <c r="B161" t="str">
        <f>HYPERLINK("http://exon.niaid.nih.gov/transcriptome/O_fasciatus/Sup_tab1/links/of-new\of-new-5-64-64-asb-75.txt","Contig-75")</f>
        <v>Contig-75</v>
      </c>
      <c r="C161" t="str">
        <f>HYPERLINK("http://exon.niaid.nih.gov/transcriptome/O_fasciatus/Sup_tab1/links/of-new\of-new-5-64-64-75-CLU.txt","Contig75")</f>
        <v>Contig75</v>
      </c>
      <c r="D161">
        <v>2</v>
      </c>
      <c r="E161">
        <v>526</v>
      </c>
      <c r="F161" t="str">
        <f>HYPERLINK("http://exon.niaid.nih.gov/transcriptome/O_fasciatus/Sup_tab1/links/of-new\of-new-5-64-64-75-qual.txt","77.8")</f>
        <v>77.8</v>
      </c>
      <c r="G161" t="s">
        <v>541</v>
      </c>
      <c r="H161">
        <v>69.4</v>
      </c>
      <c r="I161">
        <v>507</v>
      </c>
      <c r="J161">
        <v>75</v>
      </c>
      <c r="K161" t="s">
        <v>616</v>
      </c>
      <c r="L161">
        <v>511</v>
      </c>
      <c r="M161" s="3" t="str">
        <f>HYPERLINK("http://exon.niaid.nih.gov/transcriptome/O_fasciatus/Sup_tab1/links/NR\of-new-contig_75-NR.txt","Integral membrane protein [Fusobacterium nucleatum subsp. vincentii ATCC 49256]")</f>
        <v>Integral membrane protein [Fusobacterium nucleatum subsp. vincentii ATCC 49256]</v>
      </c>
      <c r="N161" s="2" t="str">
        <f>HYPERLINK("http://www.ncbi.nlm.nih.gov/sutils/blink.cgi?pid=34763099","7.4")</f>
        <v>7.4</v>
      </c>
      <c r="O161" t="s">
        <v>1552</v>
      </c>
      <c r="P161">
        <v>88</v>
      </c>
      <c r="Q161">
        <v>517</v>
      </c>
      <c r="R161">
        <v>31</v>
      </c>
      <c r="S161">
        <v>17</v>
      </c>
      <c r="T161">
        <v>356</v>
      </c>
      <c r="U161">
        <v>109</v>
      </c>
      <c r="V161">
        <v>1</v>
      </c>
      <c r="W161" t="s">
        <v>1412</v>
      </c>
      <c r="X161" t="s">
        <v>511</v>
      </c>
      <c r="Y161" t="s">
        <v>1553</v>
      </c>
      <c r="Z161" s="4" t="s">
        <v>1025</v>
      </c>
      <c r="AA161" t="s">
        <v>1015</v>
      </c>
      <c r="AB161" s="3" t="s">
        <v>547</v>
      </c>
      <c r="AC161" s="2" t="s">
        <v>547</v>
      </c>
      <c r="AD161" s="4" t="s">
        <v>547</v>
      </c>
      <c r="AE161" t="s">
        <v>547</v>
      </c>
      <c r="AF161" t="s">
        <v>547</v>
      </c>
      <c r="AG161" s="4" t="s">
        <v>547</v>
      </c>
      <c r="AH161" t="s">
        <v>547</v>
      </c>
      <c r="AI161" t="s">
        <v>547</v>
      </c>
      <c r="AJ161" s="4" t="s">
        <v>547</v>
      </c>
      <c r="AK161" t="s">
        <v>547</v>
      </c>
      <c r="AL161" t="s">
        <v>547</v>
      </c>
      <c r="AM161" s="3" t="s">
        <v>547</v>
      </c>
      <c r="AN161" s="2" t="s">
        <v>547</v>
      </c>
      <c r="AO161" t="s">
        <v>547</v>
      </c>
      <c r="AP161" s="3" t="str">
        <f>HYPERLINK("http://exon.niaid.nih.gov/transcriptome/O_fasciatus/Sup_tab1/links/CDD\of-new-contig_75-CDD.txt","FTSW_RODA_SPOVE")</f>
        <v>FTSW_RODA_SPOVE</v>
      </c>
      <c r="AQ161" s="2" t="str">
        <f>HYPERLINK("http://www.ncbi.nlm.nih.gov/Structure/cdd/cddsrv.cgi?uid=pfam01098&amp;version=v4.0","0.037")</f>
        <v>0.037</v>
      </c>
      <c r="AR161" t="s">
        <v>1554</v>
      </c>
      <c r="AS161" s="3" t="str">
        <f>HYPERLINK("http://exon.niaid.nih.gov/transcriptome/O_fasciatus/Sup_tab1/links/PFAM\of-new-contig_75-PFAM.txt","FTSW_RODA_SPOVE")</f>
        <v>FTSW_RODA_SPOVE</v>
      </c>
      <c r="AT161" s="2" t="str">
        <f>HYPERLINK("http://pfam.wustl.edu/cgi-bin/getdesc?acc=PF01098","0.019")</f>
        <v>0.019</v>
      </c>
      <c r="AU161" s="3" t="str">
        <f>HYPERLINK("http://exon.niaid.nih.gov/transcriptome/O_fasciatus/Sup_tab1/links/SMART\of-new-contig_75-SMART.txt","FBD")</f>
        <v>FBD</v>
      </c>
      <c r="AV161" s="2" t="str">
        <f>HYPERLINK("http://smart.embl-heidelberg.de/smart/do_annotation.pl?DOMAIN=FBD&amp;BLAST=DUMMY","0.43")</f>
        <v>0.43</v>
      </c>
      <c r="AW161" s="3" t="s">
        <v>547</v>
      </c>
      <c r="AX161" s="2" t="s">
        <v>547</v>
      </c>
      <c r="AY161" s="3" t="s">
        <v>547</v>
      </c>
      <c r="AZ161" s="2" t="s">
        <v>547</v>
      </c>
    </row>
    <row r="162" spans="1:52" ht="11.25">
      <c r="A162" t="str">
        <f>HYPERLINK("http://exon.niaid.nih.gov/transcriptome/O_fasciatus/Sup_tab1/links/of-new\of-new-contig_76.txt","of-new-contig_76")</f>
        <v>of-new-contig_76</v>
      </c>
      <c r="B162" t="str">
        <f>HYPERLINK("http://exon.niaid.nih.gov/transcriptome/O_fasciatus/Sup_tab1/links/of-new\of-new-5-64-64-asb-76.txt","Contig-76")</f>
        <v>Contig-76</v>
      </c>
      <c r="C162" t="str">
        <f>HYPERLINK("http://exon.niaid.nih.gov/transcriptome/O_fasciatus/Sup_tab1/links/of-new\of-new-5-64-64-76-CLU.txt","Contig76")</f>
        <v>Contig76</v>
      </c>
      <c r="D162">
        <v>2</v>
      </c>
      <c r="E162">
        <v>761</v>
      </c>
      <c r="F162" t="str">
        <f>HYPERLINK("http://exon.niaid.nih.gov/transcriptome/O_fasciatus/Sup_tab1/links/of-new\of-new-5-64-64-76-qual.txt","51.3")</f>
        <v>51.3</v>
      </c>
      <c r="G162" t="s">
        <v>541</v>
      </c>
      <c r="H162">
        <v>62.8</v>
      </c>
      <c r="I162">
        <v>741</v>
      </c>
      <c r="J162">
        <v>76</v>
      </c>
      <c r="K162" t="s">
        <v>617</v>
      </c>
      <c r="L162">
        <v>720</v>
      </c>
      <c r="M162" s="3" t="str">
        <f>HYPERLINK("http://exon.niaid.nih.gov/transcriptome/O_fasciatus/Sup_tab1/links/NR\of-new-contig_76-NR.txt","hypothetical protein CE0403 [Corynebacterium efficiens YS-314]")</f>
        <v>hypothetical protein CE0403 [Corynebacterium efficiens YS-314]</v>
      </c>
      <c r="N162" s="2" t="str">
        <f>HYPERLINK("http://www.ncbi.nlm.nih.gov/sutils/blink.cgi?pid=25026959","4.5")</f>
        <v>4.5</v>
      </c>
      <c r="O162" t="s">
        <v>1555</v>
      </c>
      <c r="P162">
        <v>49</v>
      </c>
      <c r="Q162">
        <v>79</v>
      </c>
      <c r="R162">
        <v>40</v>
      </c>
      <c r="S162">
        <v>62</v>
      </c>
      <c r="T162">
        <v>5</v>
      </c>
      <c r="U162">
        <v>483</v>
      </c>
      <c r="V162">
        <v>1</v>
      </c>
      <c r="W162" t="s">
        <v>1412</v>
      </c>
      <c r="X162" t="s">
        <v>1556</v>
      </c>
      <c r="Y162" t="s">
        <v>1557</v>
      </c>
      <c r="Z162" s="4" t="s">
        <v>1025</v>
      </c>
      <c r="AA162" t="s">
        <v>1015</v>
      </c>
      <c r="AB162" s="3" t="s">
        <v>547</v>
      </c>
      <c r="AC162" s="2" t="s">
        <v>547</v>
      </c>
      <c r="AD162" s="4" t="s">
        <v>547</v>
      </c>
      <c r="AE162" t="s">
        <v>547</v>
      </c>
      <c r="AF162" t="s">
        <v>547</v>
      </c>
      <c r="AG162" s="4" t="s">
        <v>547</v>
      </c>
      <c r="AH162" t="s">
        <v>547</v>
      </c>
      <c r="AI162" t="s">
        <v>547</v>
      </c>
      <c r="AJ162" s="4" t="s">
        <v>547</v>
      </c>
      <c r="AK162" t="s">
        <v>547</v>
      </c>
      <c r="AL162" t="s">
        <v>547</v>
      </c>
      <c r="AM162" s="3" t="s">
        <v>547</v>
      </c>
      <c r="AN162" s="2" t="s">
        <v>547</v>
      </c>
      <c r="AO162" t="s">
        <v>547</v>
      </c>
      <c r="AP162" s="3" t="s">
        <v>547</v>
      </c>
      <c r="AQ162" s="2" t="s">
        <v>547</v>
      </c>
      <c r="AR162" t="s">
        <v>547</v>
      </c>
      <c r="AS162" s="3" t="str">
        <f>HYPERLINK("http://exon.niaid.nih.gov/transcriptome/O_fasciatus/Sup_tab1/links/PFAM\of-new-contig_76-PFAM.txt","Ycf1")</f>
        <v>Ycf1</v>
      </c>
      <c r="AT162" s="2" t="str">
        <f>HYPERLINK("http://pfam.wustl.edu/cgi-bin/getdesc?acc=PF05758","0.87")</f>
        <v>0.87</v>
      </c>
      <c r="AU162" s="3" t="str">
        <f>HYPERLINK("http://exon.niaid.nih.gov/transcriptome/O_fasciatus/Sup_tab1/links/SMART\of-new-contig_76-SMART.txt","TLC")</f>
        <v>TLC</v>
      </c>
      <c r="AV162" s="2" t="str">
        <f>HYPERLINK("http://smart.embl-heidelberg.de/smart/do_annotation.pl?DOMAIN=TLC&amp;BLAST=DUMMY","0.061")</f>
        <v>0.061</v>
      </c>
      <c r="AW162" s="3" t="s">
        <v>547</v>
      </c>
      <c r="AX162" s="2" t="s">
        <v>547</v>
      </c>
      <c r="AY162" s="3" t="s">
        <v>547</v>
      </c>
      <c r="AZ162" s="2" t="s">
        <v>547</v>
      </c>
    </row>
    <row r="163" spans="1:52" ht="11.25">
      <c r="A163" t="str">
        <f>HYPERLINK("http://exon.niaid.nih.gov/transcriptome/O_fasciatus/Sup_tab1/links/of-new\of-new-contig_78.txt","of-new-contig_78")</f>
        <v>of-new-contig_78</v>
      </c>
      <c r="B163" t="str">
        <f>HYPERLINK("http://exon.niaid.nih.gov/transcriptome/O_fasciatus/Sup_tab1/links/of-new\of-new-5-64-64-asb-78.txt","Contig-78")</f>
        <v>Contig-78</v>
      </c>
      <c r="C163" t="str">
        <f>HYPERLINK("http://exon.niaid.nih.gov/transcriptome/O_fasciatus/Sup_tab1/links/of-new\of-new-5-64-64-78-CLU.txt","Contig78")</f>
        <v>Contig78</v>
      </c>
      <c r="D163">
        <v>2</v>
      </c>
      <c r="E163">
        <v>531</v>
      </c>
      <c r="F163" t="str">
        <f>HYPERLINK("http://exon.niaid.nih.gov/transcriptome/O_fasciatus/Sup_tab1/links/of-new\of-new-5-64-64-78-qual.txt","72.7")</f>
        <v>72.7</v>
      </c>
      <c r="G163" t="s">
        <v>541</v>
      </c>
      <c r="H163">
        <v>74.4</v>
      </c>
      <c r="I163">
        <v>512</v>
      </c>
      <c r="J163">
        <v>78</v>
      </c>
      <c r="K163" t="s">
        <v>619</v>
      </c>
      <c r="L163">
        <v>513</v>
      </c>
      <c r="M163" s="3" t="str">
        <f>HYPERLINK("http://exon.niaid.nih.gov/transcriptome/O_fasciatus/Sup_tab1/links/NR\of-new-contig_78-NR.txt","hypothetical protein PF14_0376 [Plasmodium falciparum 3D7]")</f>
        <v>hypothetical protein PF14_0376 [Plasmodium falciparum 3D7]</v>
      </c>
      <c r="N163" s="2" t="str">
        <f>HYPERLINK("http://www.ncbi.nlm.nih.gov/sutils/blink.cgi?pid=23509598","3.4")</f>
        <v>3.4</v>
      </c>
      <c r="O163" t="s">
        <v>1563</v>
      </c>
      <c r="P163">
        <v>59</v>
      </c>
      <c r="Q163">
        <v>279</v>
      </c>
      <c r="R163">
        <v>30</v>
      </c>
      <c r="S163">
        <v>21</v>
      </c>
      <c r="T163">
        <v>21</v>
      </c>
      <c r="U163">
        <v>68</v>
      </c>
      <c r="V163">
        <v>1</v>
      </c>
      <c r="W163" t="s">
        <v>1412</v>
      </c>
      <c r="X163" t="s">
        <v>648</v>
      </c>
      <c r="Y163" t="s">
        <v>1564</v>
      </c>
      <c r="Z163" s="4" t="s">
        <v>1025</v>
      </c>
      <c r="AA163" t="s">
        <v>1015</v>
      </c>
      <c r="AB163" s="3" t="s">
        <v>547</v>
      </c>
      <c r="AC163" s="2" t="s">
        <v>547</v>
      </c>
      <c r="AD163" s="4" t="s">
        <v>547</v>
      </c>
      <c r="AE163" t="s">
        <v>547</v>
      </c>
      <c r="AF163" t="s">
        <v>547</v>
      </c>
      <c r="AG163" s="4" t="s">
        <v>547</v>
      </c>
      <c r="AH163" t="s">
        <v>547</v>
      </c>
      <c r="AI163" t="s">
        <v>547</v>
      </c>
      <c r="AJ163" s="4" t="s">
        <v>547</v>
      </c>
      <c r="AK163" t="s">
        <v>547</v>
      </c>
      <c r="AL163" t="s">
        <v>547</v>
      </c>
      <c r="AM163" s="3" t="str">
        <f>HYPERLINK("http://exon.niaid.nih.gov/transcriptome/O_fasciatus/Sup_tab1/links/KOG\of-new-contig_78-KOG.txt","Inositol polyphosphate 5-phosphatase, type I")</f>
        <v>Inositol polyphosphate 5-phosphatase, type I</v>
      </c>
      <c r="AN163" s="2" t="str">
        <f>HYPERLINK("http://www.ncbi.nlm.nih.gov/COG/new/shokog.cgi?KOG1976","0.29")</f>
        <v>0.29</v>
      </c>
      <c r="AO163" t="s">
        <v>1469</v>
      </c>
      <c r="AP163" s="3" t="s">
        <v>547</v>
      </c>
      <c r="AQ163" s="2" t="s">
        <v>547</v>
      </c>
      <c r="AR163" t="s">
        <v>547</v>
      </c>
      <c r="AS163" s="3" t="str">
        <f>HYPERLINK("http://exon.niaid.nih.gov/transcriptome/O_fasciatus/Sup_tab1/links/PFAM\of-new-contig_78-PFAM.txt","Arena_RNA_pol")</f>
        <v>Arena_RNA_pol</v>
      </c>
      <c r="AT163" s="2" t="str">
        <f>HYPERLINK("http://pfam.wustl.edu/cgi-bin/getdesc?acc=PF06317","0.40")</f>
        <v>0.40</v>
      </c>
      <c r="AU163" s="3" t="s">
        <v>547</v>
      </c>
      <c r="AV163" s="2" t="s">
        <v>547</v>
      </c>
      <c r="AW163" s="3" t="s">
        <v>547</v>
      </c>
      <c r="AX163" s="2" t="s">
        <v>547</v>
      </c>
      <c r="AY163" s="3" t="s">
        <v>547</v>
      </c>
      <c r="AZ163" s="2" t="s">
        <v>547</v>
      </c>
    </row>
    <row r="164" spans="1:52" ht="11.25">
      <c r="A164" t="str">
        <f>HYPERLINK("http://exon.niaid.nih.gov/transcriptome/O_fasciatus/Sup_tab1/links/of-new\of-new-contig_79.txt","of-new-contig_79")</f>
        <v>of-new-contig_79</v>
      </c>
      <c r="B164" t="str">
        <f>HYPERLINK("http://exon.niaid.nih.gov/transcriptome/O_fasciatus/Sup_tab1/links/of-new\of-new-5-64-64-asb-79.txt","Contig-79")</f>
        <v>Contig-79</v>
      </c>
      <c r="C164" t="str">
        <f>HYPERLINK("http://exon.niaid.nih.gov/transcriptome/O_fasciatus/Sup_tab1/links/of-new\of-new-5-64-64-79-CLU.txt","Contig79")</f>
        <v>Contig79</v>
      </c>
      <c r="D164">
        <v>2</v>
      </c>
      <c r="E164">
        <v>704</v>
      </c>
      <c r="F164" t="str">
        <f>HYPERLINK("http://exon.niaid.nih.gov/transcriptome/O_fasciatus/Sup_tab1/links/of-new\of-new-5-64-64-79-qual.txt","69.7")</f>
        <v>69.7</v>
      </c>
      <c r="G164" t="s">
        <v>541</v>
      </c>
      <c r="H164">
        <v>67.2</v>
      </c>
      <c r="I164" t="s">
        <v>547</v>
      </c>
      <c r="J164">
        <v>79</v>
      </c>
      <c r="K164" t="s">
        <v>620</v>
      </c>
      <c r="L164" t="s">
        <v>547</v>
      </c>
      <c r="M164" s="3" t="str">
        <f>HYPERLINK("http://exon.niaid.nih.gov/transcriptome/O_fasciatus/Sup_tab1/links/NR\of-new-contig_79-NR.txt","PREDICTED: similar to olfactory receptor, family 10, subfamily R, member 2")</f>
        <v>PREDICTED: similar to olfactory receptor, family 10, subfamily R, member 2</v>
      </c>
      <c r="N164" s="2" t="str">
        <f>HYPERLINK("http://www.ncbi.nlm.nih.gov/sutils/blink.cgi?pid=109017583","1.0")</f>
        <v>1.0</v>
      </c>
      <c r="O164" t="s">
        <v>1565</v>
      </c>
      <c r="P164">
        <v>131</v>
      </c>
      <c r="Q164">
        <v>351</v>
      </c>
      <c r="R164">
        <v>26</v>
      </c>
      <c r="S164">
        <v>37</v>
      </c>
      <c r="T164">
        <v>9</v>
      </c>
      <c r="U164">
        <v>324</v>
      </c>
      <c r="V164">
        <v>1</v>
      </c>
      <c r="W164" t="s">
        <v>1412</v>
      </c>
      <c r="X164" t="s">
        <v>1566</v>
      </c>
      <c r="Y164" t="s">
        <v>1567</v>
      </c>
      <c r="Z164" s="4" t="s">
        <v>1025</v>
      </c>
      <c r="AA164" t="s">
        <v>1015</v>
      </c>
      <c r="AB164" s="3" t="s">
        <v>547</v>
      </c>
      <c r="AC164" s="2" t="s">
        <v>547</v>
      </c>
      <c r="AD164" s="4" t="s">
        <v>547</v>
      </c>
      <c r="AE164" t="s">
        <v>547</v>
      </c>
      <c r="AF164" t="s">
        <v>547</v>
      </c>
      <c r="AG164" s="4" t="s">
        <v>547</v>
      </c>
      <c r="AH164" t="s">
        <v>547</v>
      </c>
      <c r="AI164" t="s">
        <v>547</v>
      </c>
      <c r="AJ164" s="4" t="s">
        <v>547</v>
      </c>
      <c r="AK164" t="s">
        <v>547</v>
      </c>
      <c r="AL164" t="s">
        <v>547</v>
      </c>
      <c r="AM164" s="3" t="str">
        <f>HYPERLINK("http://exon.niaid.nih.gov/transcriptome/O_fasciatus/Sup_tab1/links/KOG\of-new-contig_79-KOG.txt","Ferric reductase, NADH/NADPH oxidase and related proteins")</f>
        <v>Ferric reductase, NADH/NADPH oxidase and related proteins</v>
      </c>
      <c r="AN164" s="2" t="str">
        <f>HYPERLINK("http://www.ncbi.nlm.nih.gov/COG/new/shokog.cgi?KOG0039","0.52")</f>
        <v>0.52</v>
      </c>
      <c r="AO164" t="s">
        <v>1568</v>
      </c>
      <c r="AP164" s="3" t="str">
        <f>HYPERLINK("http://exon.niaid.nih.gov/transcriptome/O_fasciatus/Sup_tab1/links/CDD\of-new-contig_79-CDD.txt","ComEC")</f>
        <v>ComEC</v>
      </c>
      <c r="AQ164" s="2" t="str">
        <f>HYPERLINK("http://www.ncbi.nlm.nih.gov/Structure/cdd/cddsrv.cgi?uid=COG0658&amp;version=v4.0","0.064")</f>
        <v>0.064</v>
      </c>
      <c r="AR164" t="s">
        <v>1569</v>
      </c>
      <c r="AS164" s="3" t="str">
        <f>HYPERLINK("http://exon.niaid.nih.gov/transcriptome/O_fasciatus/Sup_tab1/links/PFAM\of-new-contig_79-PFAM.txt","Sre")</f>
        <v>Sre</v>
      </c>
      <c r="AT164" s="2" t="str">
        <f>HYPERLINK("http://pfam.wustl.edu/cgi-bin/getdesc?acc=PF03125","0.050")</f>
        <v>0.050</v>
      </c>
      <c r="AU164" s="3" t="str">
        <f>HYPERLINK("http://exon.niaid.nih.gov/transcriptome/O_fasciatus/Sup_tab1/links/SMART\of-new-contig_79-SMART.txt","PSN")</f>
        <v>PSN</v>
      </c>
      <c r="AV164" s="2" t="str">
        <f>HYPERLINK("http://smart.embl-heidelberg.de/smart/do_annotation.pl?DOMAIN=PSN&amp;BLAST=DUMMY","0.63")</f>
        <v>0.63</v>
      </c>
      <c r="AW164" s="3" t="s">
        <v>547</v>
      </c>
      <c r="AX164" s="2" t="s">
        <v>547</v>
      </c>
      <c r="AY164" s="3" t="s">
        <v>547</v>
      </c>
      <c r="AZ164" s="2" t="s">
        <v>547</v>
      </c>
    </row>
    <row r="165" spans="1:52" ht="11.25">
      <c r="A165" t="str">
        <f>HYPERLINK("http://exon.niaid.nih.gov/transcriptome/O_fasciatus/Sup_tab1/links/of-new\of-new-contig_81.txt","of-new-contig_81")</f>
        <v>of-new-contig_81</v>
      </c>
      <c r="B165" t="str">
        <f>HYPERLINK("http://exon.niaid.nih.gov/transcriptome/O_fasciatus/Sup_tab1/links/of-new\of-new-5-64-64-asb-81.txt","Contig-81")</f>
        <v>Contig-81</v>
      </c>
      <c r="C165" t="str">
        <f>HYPERLINK("http://exon.niaid.nih.gov/transcriptome/O_fasciatus/Sup_tab1/links/of-new\of-new-5-64-64-81-CLU.txt","Contig81")</f>
        <v>Contig81</v>
      </c>
      <c r="D165">
        <v>2</v>
      </c>
      <c r="E165">
        <v>347</v>
      </c>
      <c r="F165" t="str">
        <f>HYPERLINK("http://exon.niaid.nih.gov/transcriptome/O_fasciatus/Sup_tab1/links/of-new\of-new-5-64-64-81-qual.txt","36.6")</f>
        <v>36.6</v>
      </c>
      <c r="G165" t="s">
        <v>541</v>
      </c>
      <c r="H165">
        <v>70.3</v>
      </c>
      <c r="I165">
        <v>328</v>
      </c>
      <c r="J165">
        <v>81</v>
      </c>
      <c r="K165" t="s">
        <v>622</v>
      </c>
      <c r="L165">
        <v>344</v>
      </c>
      <c r="M165" s="3" t="str">
        <f>HYPERLINK("http://exon.niaid.nih.gov/transcriptome/O_fasciatus/Sup_tab1/links/NR\of-new-contig_81-NR.txt","hypothetical protein [Trypanosoma cruzi strain CL Brener]")</f>
        <v>hypothetical protein [Trypanosoma cruzi strain CL Brener]</v>
      </c>
      <c r="N165" s="2" t="str">
        <f>HYPERLINK("http://www.ncbi.nlm.nih.gov/sutils/blink.cgi?pid=71655134","2.5")</f>
        <v>2.5</v>
      </c>
      <c r="O165" t="s">
        <v>1573</v>
      </c>
      <c r="P165">
        <v>84</v>
      </c>
      <c r="Q165">
        <v>665</v>
      </c>
      <c r="R165">
        <v>28</v>
      </c>
      <c r="S165">
        <v>13</v>
      </c>
      <c r="T165">
        <v>69</v>
      </c>
      <c r="U165">
        <v>54</v>
      </c>
      <c r="V165">
        <v>1</v>
      </c>
      <c r="W165" t="s">
        <v>1412</v>
      </c>
      <c r="X165" t="s">
        <v>1574</v>
      </c>
      <c r="Y165" t="s">
        <v>1575</v>
      </c>
      <c r="Z165" s="4" t="s">
        <v>1025</v>
      </c>
      <c r="AA165" t="s">
        <v>1015</v>
      </c>
      <c r="AB165" s="3" t="s">
        <v>547</v>
      </c>
      <c r="AC165" s="2" t="s">
        <v>547</v>
      </c>
      <c r="AD165" s="4" t="s">
        <v>547</v>
      </c>
      <c r="AE165" t="s">
        <v>547</v>
      </c>
      <c r="AF165" t="s">
        <v>547</v>
      </c>
      <c r="AG165" s="4" t="s">
        <v>547</v>
      </c>
      <c r="AH165" t="s">
        <v>547</v>
      </c>
      <c r="AI165" t="s">
        <v>547</v>
      </c>
      <c r="AJ165" s="4" t="s">
        <v>547</v>
      </c>
      <c r="AK165" t="s">
        <v>547</v>
      </c>
      <c r="AL165" t="s">
        <v>547</v>
      </c>
      <c r="AM165" s="3" t="str">
        <f>HYPERLINK("http://exon.niaid.nih.gov/transcriptome/O_fasciatus/Sup_tab1/links/KOG\of-new-contig_81-KOG.txt","60S ribosomal protein L7")</f>
        <v>60S ribosomal protein L7</v>
      </c>
      <c r="AN165" s="2" t="str">
        <f>HYPERLINK("http://www.ncbi.nlm.nih.gov/COG/new/shokog.cgi?KOG3184","0.30")</f>
        <v>0.30</v>
      </c>
      <c r="AO165" t="s">
        <v>529</v>
      </c>
      <c r="AP165" s="3" t="str">
        <f>HYPERLINK("http://exon.niaid.nih.gov/transcriptome/O_fasciatus/Sup_tab1/links/CDD\of-new-contig_81-CDD.txt","COG5578")</f>
        <v>COG5578</v>
      </c>
      <c r="AQ165" s="2" t="str">
        <f>HYPERLINK("http://www.ncbi.nlm.nih.gov/Structure/cdd/cddsrv.cgi?uid=COG5578&amp;version=v4.0","0.038")</f>
        <v>0.038</v>
      </c>
      <c r="AR165" t="s">
        <v>1576</v>
      </c>
      <c r="AS165" s="3" t="str">
        <f>HYPERLINK("http://exon.niaid.nih.gov/transcriptome/O_fasciatus/Sup_tab1/links/PFAM\of-new-contig_81-PFAM.txt","zf-like")</f>
        <v>zf-like</v>
      </c>
      <c r="AT165" s="2" t="str">
        <f>HYPERLINK("http://pfam.wustl.edu/cgi-bin/getdesc?acc=PF04071","0.60")</f>
        <v>0.60</v>
      </c>
      <c r="AU165" s="3" t="str">
        <f>HYPERLINK("http://exon.niaid.nih.gov/transcriptome/O_fasciatus/Sup_tab1/links/SMART\of-new-contig_81-SMART.txt","14_3_3")</f>
        <v>14_3_3</v>
      </c>
      <c r="AV165" s="2" t="str">
        <f>HYPERLINK("http://smart.embl-heidelberg.de/smart/do_annotation.pl?DOMAIN=14_3_3&amp;BLAST=DUMMY","0.36")</f>
        <v>0.36</v>
      </c>
      <c r="AW165" s="3" t="s">
        <v>547</v>
      </c>
      <c r="AX165" s="2" t="s">
        <v>547</v>
      </c>
      <c r="AY165" s="3" t="s">
        <v>547</v>
      </c>
      <c r="AZ165" s="2" t="s">
        <v>547</v>
      </c>
    </row>
    <row r="166" spans="1:52" ht="11.25">
      <c r="A166" t="str">
        <f>HYPERLINK("http://exon.niaid.nih.gov/transcriptome/O_fasciatus/Sup_tab1/links/of-new\of-new-contig_82.txt","of-new-contig_82")</f>
        <v>of-new-contig_82</v>
      </c>
      <c r="B166" t="str">
        <f>HYPERLINK("http://exon.niaid.nih.gov/transcriptome/O_fasciatus/Sup_tab1/links/of-new\of-new-5-64-64-asb-82.txt","Contig-82")</f>
        <v>Contig-82</v>
      </c>
      <c r="C166" t="str">
        <f>HYPERLINK("http://exon.niaid.nih.gov/transcriptome/O_fasciatus/Sup_tab1/links/of-new\of-new-5-64-64-82-CLU.txt","Contig82")</f>
        <v>Contig82</v>
      </c>
      <c r="D166">
        <v>2</v>
      </c>
      <c r="E166">
        <v>241</v>
      </c>
      <c r="F166" t="str">
        <f>HYPERLINK("http://exon.niaid.nih.gov/transcriptome/O_fasciatus/Sup_tab1/links/of-new\of-new-5-64-64-82-qual.txt","76.9")</f>
        <v>76.9</v>
      </c>
      <c r="G166" t="s">
        <v>541</v>
      </c>
      <c r="H166">
        <v>70.1</v>
      </c>
      <c r="I166">
        <v>222</v>
      </c>
      <c r="J166">
        <v>82</v>
      </c>
      <c r="K166" t="s">
        <v>623</v>
      </c>
      <c r="L166">
        <v>227</v>
      </c>
      <c r="N166" s="2" t="s">
        <v>547</v>
      </c>
      <c r="O166" t="s">
        <v>547</v>
      </c>
      <c r="P166" t="s">
        <v>547</v>
      </c>
      <c r="Q166" t="s">
        <v>547</v>
      </c>
      <c r="R166" t="s">
        <v>547</v>
      </c>
      <c r="S166" t="s">
        <v>547</v>
      </c>
      <c r="T166" t="s">
        <v>547</v>
      </c>
      <c r="U166" t="s">
        <v>547</v>
      </c>
      <c r="V166" t="s">
        <v>547</v>
      </c>
      <c r="W166" t="s">
        <v>547</v>
      </c>
      <c r="X166" t="s">
        <v>547</v>
      </c>
      <c r="Y166" t="s">
        <v>547</v>
      </c>
      <c r="Z166" s="4" t="s">
        <v>1025</v>
      </c>
      <c r="AA166" t="s">
        <v>1015</v>
      </c>
      <c r="AB166" s="3" t="s">
        <v>547</v>
      </c>
      <c r="AC166" s="2" t="s">
        <v>547</v>
      </c>
      <c r="AD166" s="4" t="s">
        <v>547</v>
      </c>
      <c r="AE166" t="s">
        <v>547</v>
      </c>
      <c r="AF166" t="s">
        <v>547</v>
      </c>
      <c r="AG166" s="4" t="s">
        <v>547</v>
      </c>
      <c r="AH166" t="s">
        <v>547</v>
      </c>
      <c r="AI166" t="s">
        <v>547</v>
      </c>
      <c r="AJ166" s="4" t="s">
        <v>547</v>
      </c>
      <c r="AK166" t="s">
        <v>547</v>
      </c>
      <c r="AL166" t="s">
        <v>547</v>
      </c>
      <c r="AM166" s="3" t="s">
        <v>547</v>
      </c>
      <c r="AN166" s="2" t="s">
        <v>547</v>
      </c>
      <c r="AO166" t="s">
        <v>547</v>
      </c>
      <c r="AP166" s="3" t="s">
        <v>547</v>
      </c>
      <c r="AQ166" s="2" t="s">
        <v>547</v>
      </c>
      <c r="AR166" t="s">
        <v>547</v>
      </c>
      <c r="AS166" s="3" t="str">
        <f>HYPERLINK("http://exon.niaid.nih.gov/transcriptome/O_fasciatus/Sup_tab1/links/PFAM\of-new-contig_82-PFAM.txt","RTA1")</f>
        <v>RTA1</v>
      </c>
      <c r="AT166" s="2" t="str">
        <f>HYPERLINK("http://pfam.wustl.edu/cgi-bin/getdesc?acc=PF04479","0.57")</f>
        <v>0.57</v>
      </c>
      <c r="AU166" s="3" t="s">
        <v>547</v>
      </c>
      <c r="AV166" s="2" t="s">
        <v>547</v>
      </c>
      <c r="AW166" s="3" t="s">
        <v>547</v>
      </c>
      <c r="AX166" s="2" t="s">
        <v>547</v>
      </c>
      <c r="AY166" s="3" t="s">
        <v>547</v>
      </c>
      <c r="AZ166" s="2" t="s">
        <v>547</v>
      </c>
    </row>
    <row r="167" spans="1:52" ht="11.25">
      <c r="A167" t="str">
        <f>HYPERLINK("http://exon.niaid.nih.gov/transcriptome/O_fasciatus/Sup_tab1/links/of-new\of-new-contig_83.txt","of-new-contig_83")</f>
        <v>of-new-contig_83</v>
      </c>
      <c r="B167" t="str">
        <f>HYPERLINK("http://exon.niaid.nih.gov/transcriptome/O_fasciatus/Sup_tab1/links/of-new\of-new-5-64-64-asb-83.txt","Contig-83")</f>
        <v>Contig-83</v>
      </c>
      <c r="C167" t="str">
        <f>HYPERLINK("http://exon.niaid.nih.gov/transcriptome/O_fasciatus/Sup_tab1/links/of-new\of-new-5-64-64-83-CLU.txt","Contig83")</f>
        <v>Contig83</v>
      </c>
      <c r="D167">
        <v>2</v>
      </c>
      <c r="E167">
        <v>633</v>
      </c>
      <c r="F167" t="str">
        <f>HYPERLINK("http://exon.niaid.nih.gov/transcriptome/O_fasciatus/Sup_tab1/links/of-new\of-new-5-64-64-83-qual.txt","61.9")</f>
        <v>61.9</v>
      </c>
      <c r="G167" t="s">
        <v>541</v>
      </c>
      <c r="H167">
        <v>62.7</v>
      </c>
      <c r="I167">
        <v>614</v>
      </c>
      <c r="J167">
        <v>83</v>
      </c>
      <c r="K167" t="s">
        <v>624</v>
      </c>
      <c r="L167">
        <v>614</v>
      </c>
      <c r="N167" s="2" t="s">
        <v>547</v>
      </c>
      <c r="O167" t="s">
        <v>547</v>
      </c>
      <c r="P167" t="s">
        <v>547</v>
      </c>
      <c r="Q167" t="s">
        <v>547</v>
      </c>
      <c r="R167" t="s">
        <v>547</v>
      </c>
      <c r="S167" t="s">
        <v>547</v>
      </c>
      <c r="T167" t="s">
        <v>547</v>
      </c>
      <c r="U167" t="s">
        <v>547</v>
      </c>
      <c r="V167" t="s">
        <v>547</v>
      </c>
      <c r="W167" t="s">
        <v>547</v>
      </c>
      <c r="X167" t="s">
        <v>547</v>
      </c>
      <c r="Y167" t="s">
        <v>547</v>
      </c>
      <c r="Z167" s="4" t="s">
        <v>1025</v>
      </c>
      <c r="AA167" t="s">
        <v>1015</v>
      </c>
      <c r="AB167" s="3" t="s">
        <v>547</v>
      </c>
      <c r="AC167" s="2" t="s">
        <v>547</v>
      </c>
      <c r="AD167" s="4" t="s">
        <v>547</v>
      </c>
      <c r="AE167" t="s">
        <v>547</v>
      </c>
      <c r="AF167" t="s">
        <v>547</v>
      </c>
      <c r="AG167" s="4" t="s">
        <v>547</v>
      </c>
      <c r="AH167" t="s">
        <v>547</v>
      </c>
      <c r="AI167" t="s">
        <v>547</v>
      </c>
      <c r="AJ167" s="4" t="s">
        <v>547</v>
      </c>
      <c r="AK167" t="s">
        <v>547</v>
      </c>
      <c r="AL167" t="s">
        <v>547</v>
      </c>
      <c r="AM167" s="3" t="str">
        <f>HYPERLINK("http://exon.niaid.nih.gov/transcriptome/O_fasciatus/Sup_tab1/links/KOG\of-new-contig_83-KOG.txt","Cell differentiation regulator of the Headcase family")</f>
        <v>Cell differentiation regulator of the Headcase family</v>
      </c>
      <c r="AN167" s="2" t="str">
        <f>HYPERLINK("http://www.ncbi.nlm.nih.gov/COG/new/shokog.cgi?KOG3816","0.65")</f>
        <v>0.65</v>
      </c>
      <c r="AO167" t="s">
        <v>1521</v>
      </c>
      <c r="AP167" s="3" t="str">
        <f>HYPERLINK("http://exon.niaid.nih.gov/transcriptome/O_fasciatus/Sup_tab1/links/CDD\of-new-contig_83-CDD.txt","COG5643")</f>
        <v>COG5643</v>
      </c>
      <c r="AQ167" s="2" t="str">
        <f>HYPERLINK("http://www.ncbi.nlm.nih.gov/Structure/cdd/cddsrv.cgi?uid=COG5643&amp;version=v4.0","0.002")</f>
        <v>0.002</v>
      </c>
      <c r="AR167" t="s">
        <v>1577</v>
      </c>
      <c r="AS167" s="3" t="s">
        <v>547</v>
      </c>
      <c r="AT167" s="2" t="s">
        <v>547</v>
      </c>
      <c r="AU167" s="3" t="str">
        <f>HYPERLINK("http://exon.niaid.nih.gov/transcriptome/O_fasciatus/Sup_tab1/links/SMART\of-new-contig_83-SMART.txt","KU")</f>
        <v>KU</v>
      </c>
      <c r="AV167" s="2" t="str">
        <f>HYPERLINK("http://smart.embl-heidelberg.de/smart/do_annotation.pl?DOMAIN=KU&amp;BLAST=DUMMY","0.81")</f>
        <v>0.81</v>
      </c>
      <c r="AW167" s="3" t="s">
        <v>547</v>
      </c>
      <c r="AX167" s="2" t="s">
        <v>547</v>
      </c>
      <c r="AY167" s="3" t="s">
        <v>547</v>
      </c>
      <c r="AZ167" s="2" t="s">
        <v>547</v>
      </c>
    </row>
    <row r="168" spans="1:52" ht="11.25">
      <c r="A168" t="str">
        <f>HYPERLINK("http://exon.niaid.nih.gov/transcriptome/O_fasciatus/Sup_tab1/links/of-new\of-new-contig_86.txt","of-new-contig_86")</f>
        <v>of-new-contig_86</v>
      </c>
      <c r="B168" t="str">
        <f>HYPERLINK("http://exon.niaid.nih.gov/transcriptome/O_fasciatus/Sup_tab1/links/of-new\of-new-5-64-64-asb-86.txt","Contig-86")</f>
        <v>Contig-86</v>
      </c>
      <c r="C168" t="str">
        <f>HYPERLINK("http://exon.niaid.nih.gov/transcriptome/O_fasciatus/Sup_tab1/links/of-new\of-new-5-64-64-86-CLU.txt","Contig86")</f>
        <v>Contig86</v>
      </c>
      <c r="D168">
        <v>2</v>
      </c>
      <c r="E168">
        <v>685</v>
      </c>
      <c r="F168" t="str">
        <f>HYPERLINK("http://exon.niaid.nih.gov/transcriptome/O_fasciatus/Sup_tab1/links/of-new\of-new-5-64-64-86-qual.txt","83.5")</f>
        <v>83.5</v>
      </c>
      <c r="G168" t="s">
        <v>541</v>
      </c>
      <c r="H168">
        <v>69.9</v>
      </c>
      <c r="I168" t="s">
        <v>547</v>
      </c>
      <c r="J168">
        <v>86</v>
      </c>
      <c r="K168" t="s">
        <v>627</v>
      </c>
      <c r="L168" t="s">
        <v>547</v>
      </c>
      <c r="M168" s="3" t="str">
        <f>HYPERLINK("http://exon.niaid.nih.gov/transcriptome/O_fasciatus/Sup_tab1/links/NR\of-new-contig_86-NR.txt","hypothetical protein [Plasmodium chabaudi chabaudi]")</f>
        <v>hypothetical protein [Plasmodium chabaudi chabaudi]</v>
      </c>
      <c r="N168" s="2" t="str">
        <f>HYPERLINK("http://www.ncbi.nlm.nih.gov/sutils/blink.cgi?pid=70936057","4.8")</f>
        <v>4.8</v>
      </c>
      <c r="O168" t="s">
        <v>1599</v>
      </c>
      <c r="P168">
        <v>45</v>
      </c>
      <c r="Q168">
        <v>308</v>
      </c>
      <c r="R168">
        <v>37</v>
      </c>
      <c r="S168">
        <v>15</v>
      </c>
      <c r="T168">
        <v>206</v>
      </c>
      <c r="U168">
        <v>289</v>
      </c>
      <c r="V168">
        <v>1</v>
      </c>
      <c r="W168" t="s">
        <v>1412</v>
      </c>
      <c r="X168" t="s">
        <v>1600</v>
      </c>
      <c r="Y168" t="s">
        <v>1601</v>
      </c>
      <c r="Z168" s="4" t="s">
        <v>1025</v>
      </c>
      <c r="AA168" t="s">
        <v>1015</v>
      </c>
      <c r="AB168" s="3" t="s">
        <v>547</v>
      </c>
      <c r="AC168" s="2" t="s">
        <v>547</v>
      </c>
      <c r="AD168" s="4" t="s">
        <v>547</v>
      </c>
      <c r="AE168" t="s">
        <v>547</v>
      </c>
      <c r="AF168" t="s">
        <v>547</v>
      </c>
      <c r="AG168" s="4" t="s">
        <v>547</v>
      </c>
      <c r="AH168" t="s">
        <v>547</v>
      </c>
      <c r="AI168" t="s">
        <v>547</v>
      </c>
      <c r="AJ168" s="4" t="s">
        <v>547</v>
      </c>
      <c r="AK168" t="s">
        <v>547</v>
      </c>
      <c r="AL168" t="s">
        <v>547</v>
      </c>
      <c r="AM168" s="3" t="str">
        <f>HYPERLINK("http://exon.niaid.nih.gov/transcriptome/O_fasciatus/Sup_tab1/links/KOG\of-new-contig_86-KOG.txt","Uncharacterized conserved protein")</f>
        <v>Uncharacterized conserved protein</v>
      </c>
      <c r="AN168" s="2" t="str">
        <f>HYPERLINK("http://www.ncbi.nlm.nih.gov/COG/new/shokog.cgi?KOG2922","0.57")</f>
        <v>0.57</v>
      </c>
      <c r="AO168" t="s">
        <v>881</v>
      </c>
      <c r="AP168" s="3" t="str">
        <f>HYPERLINK("http://exon.niaid.nih.gov/transcriptome/O_fasciatus/Sup_tab1/links/CDD\of-new-contig_86-CDD.txt","TLC")</f>
        <v>TLC</v>
      </c>
      <c r="AQ168" s="2" t="str">
        <f>HYPERLINK("http://www.ncbi.nlm.nih.gov/Structure/cdd/cddsrv.cgi?uid=pfam03219&amp;version=v4.0","0.26")</f>
        <v>0.26</v>
      </c>
      <c r="AR168" t="s">
        <v>1602</v>
      </c>
      <c r="AS168" s="3" t="str">
        <f>HYPERLINK("http://exon.niaid.nih.gov/transcriptome/O_fasciatus/Sup_tab1/links/PFAM\of-new-contig_86-PFAM.txt","TLC")</f>
        <v>TLC</v>
      </c>
      <c r="AT168" s="2" t="str">
        <f>HYPERLINK("http://pfam.wustl.edu/cgi-bin/getdesc?acc=PF03219","0.13")</f>
        <v>0.13</v>
      </c>
      <c r="AU168" s="3" t="str">
        <f>HYPERLINK("http://exon.niaid.nih.gov/transcriptome/O_fasciatus/Sup_tab1/links/SMART\of-new-contig_86-SMART.txt","PLAc")</f>
        <v>PLAc</v>
      </c>
      <c r="AV168" s="2" t="str">
        <f>HYPERLINK("http://smart.embl-heidelberg.de/smart/do_annotation.pl?DOMAIN=PLAc&amp;BLAST=DUMMY","0.39")</f>
        <v>0.39</v>
      </c>
      <c r="AW168" s="3" t="s">
        <v>547</v>
      </c>
      <c r="AX168" s="2" t="s">
        <v>547</v>
      </c>
      <c r="AY168" s="3" t="s">
        <v>547</v>
      </c>
      <c r="AZ168" s="2" t="s">
        <v>547</v>
      </c>
    </row>
    <row r="169" spans="1:52" ht="11.25">
      <c r="A169" t="str">
        <f>HYPERLINK("http://exon.niaid.nih.gov/transcriptome/O_fasciatus/Sup_tab1/links/of-new\of-new-contig_87.txt","of-new-contig_87")</f>
        <v>of-new-contig_87</v>
      </c>
      <c r="B169" t="str">
        <f>HYPERLINK("http://exon.niaid.nih.gov/transcriptome/O_fasciatus/Sup_tab1/links/of-new\of-new-5-64-64-asb-87.txt","Contig-87")</f>
        <v>Contig-87</v>
      </c>
      <c r="C169" t="str">
        <f>HYPERLINK("http://exon.niaid.nih.gov/transcriptome/O_fasciatus/Sup_tab1/links/of-new\of-new-5-64-64-87-CLU.txt","Contig87")</f>
        <v>Contig87</v>
      </c>
      <c r="D169">
        <v>2</v>
      </c>
      <c r="E169">
        <v>905</v>
      </c>
      <c r="F169" t="str">
        <f>HYPERLINK("http://exon.niaid.nih.gov/transcriptome/O_fasciatus/Sup_tab1/links/of-new\of-new-5-64-64-87-qual.txt","69.8")</f>
        <v>69.8</v>
      </c>
      <c r="G169" t="s">
        <v>541</v>
      </c>
      <c r="H169">
        <v>72.2</v>
      </c>
      <c r="I169" t="s">
        <v>547</v>
      </c>
      <c r="J169">
        <v>87</v>
      </c>
      <c r="K169" t="s">
        <v>628</v>
      </c>
      <c r="L169" t="s">
        <v>547</v>
      </c>
      <c r="M169" s="3" t="str">
        <f>HYPERLINK("http://exon.niaid.nih.gov/transcriptome/O_fasciatus/Sup_tab1/links/NR\of-new-contig_87-NR.txt","putative phosphate ABC transporter")</f>
        <v>putative phosphate ABC transporter</v>
      </c>
      <c r="N169" s="2" t="str">
        <f>HYPERLINK("http://www.ncbi.nlm.nih.gov/sutils/blink.cgi?pid=112818724","0.96")</f>
        <v>0.96</v>
      </c>
      <c r="O169" t="s">
        <v>1603</v>
      </c>
      <c r="P169">
        <v>86</v>
      </c>
      <c r="Q169">
        <v>317</v>
      </c>
      <c r="R169">
        <v>33</v>
      </c>
      <c r="S169">
        <v>27</v>
      </c>
      <c r="T169">
        <v>33</v>
      </c>
      <c r="U169">
        <v>409</v>
      </c>
      <c r="V169">
        <v>1</v>
      </c>
      <c r="W169" t="s">
        <v>1412</v>
      </c>
      <c r="X169" t="s">
        <v>1604</v>
      </c>
      <c r="Y169" t="s">
        <v>1605</v>
      </c>
      <c r="Z169" s="4" t="s">
        <v>1025</v>
      </c>
      <c r="AA169" t="s">
        <v>1015</v>
      </c>
      <c r="AB169" s="3" t="s">
        <v>547</v>
      </c>
      <c r="AC169" s="2" t="s">
        <v>547</v>
      </c>
      <c r="AD169" s="4" t="s">
        <v>547</v>
      </c>
      <c r="AE169" t="s">
        <v>547</v>
      </c>
      <c r="AF169" t="s">
        <v>547</v>
      </c>
      <c r="AG169" s="4" t="s">
        <v>547</v>
      </c>
      <c r="AH169" t="s">
        <v>547</v>
      </c>
      <c r="AI169" t="s">
        <v>547</v>
      </c>
      <c r="AJ169" s="4" t="s">
        <v>547</v>
      </c>
      <c r="AK169" t="s">
        <v>547</v>
      </c>
      <c r="AL169" t="s">
        <v>547</v>
      </c>
      <c r="AM169" s="3" t="str">
        <f>HYPERLINK("http://exon.niaid.nih.gov/transcriptome/O_fasciatus/Sup_tab1/links/KOG\of-new-contig_87-KOG.txt","Sterol reductase/lamin B receptor")</f>
        <v>Sterol reductase/lamin B receptor</v>
      </c>
      <c r="AN169" s="2" t="str">
        <f>HYPERLINK("http://www.ncbi.nlm.nih.gov/COG/new/shokog.cgi?KOG1435","0.74")</f>
        <v>0.74</v>
      </c>
      <c r="AO169" t="s">
        <v>1606</v>
      </c>
      <c r="AP169" s="3" t="str">
        <f>HYPERLINK("http://exon.niaid.nih.gov/transcriptome/O_fasciatus/Sup_tab1/links/CDD\of-new-contig_87-CDD.txt","HRD1")</f>
        <v>HRD1</v>
      </c>
      <c r="AQ169" s="2" t="str">
        <f>HYPERLINK("http://www.ncbi.nlm.nih.gov/Structure/cdd/cddsrv.cgi?uid=COG5243&amp;version=v4.0","0.55")</f>
        <v>0.55</v>
      </c>
      <c r="AR169" t="s">
        <v>1607</v>
      </c>
      <c r="AS169" s="3" t="str">
        <f>HYPERLINK("http://exon.niaid.nih.gov/transcriptome/O_fasciatus/Sup_tab1/links/PFAM\of-new-contig_87-PFAM.txt","TAS2R")</f>
        <v>TAS2R</v>
      </c>
      <c r="AT169" s="2" t="str">
        <f>HYPERLINK("http://pfam.wustl.edu/cgi-bin/getdesc?acc=PF05296","0.39")</f>
        <v>0.39</v>
      </c>
      <c r="AU169" s="3" t="str">
        <f>HYPERLINK("http://exon.niaid.nih.gov/transcriptome/O_fasciatus/Sup_tab1/links/SMART\of-new-contig_87-SMART.txt","TBC")</f>
        <v>TBC</v>
      </c>
      <c r="AV169" s="2" t="str">
        <f>HYPERLINK("http://smart.embl-heidelberg.de/smart/do_annotation.pl?DOMAIN=TBC&amp;BLAST=DUMMY","0.11")</f>
        <v>0.11</v>
      </c>
      <c r="AW169" s="3" t="s">
        <v>547</v>
      </c>
      <c r="AX169" s="2" t="s">
        <v>547</v>
      </c>
      <c r="AY169" s="3" t="s">
        <v>547</v>
      </c>
      <c r="AZ169" s="2" t="s">
        <v>547</v>
      </c>
    </row>
    <row r="170" spans="1:52" ht="11.25">
      <c r="A170" t="str">
        <f>HYPERLINK("http://exon.niaid.nih.gov/transcriptome/O_fasciatus/Sup_tab1/links/of-new\of-new-contig_89.txt","of-new-contig_89")</f>
        <v>of-new-contig_89</v>
      </c>
      <c r="B170" t="str">
        <f>HYPERLINK("http://exon.niaid.nih.gov/transcriptome/O_fasciatus/Sup_tab1/links/of-new\of-new-5-64-64-asb-89.txt","Contig-89")</f>
        <v>Contig-89</v>
      </c>
      <c r="C170" t="str">
        <f>HYPERLINK("http://exon.niaid.nih.gov/transcriptome/O_fasciatus/Sup_tab1/links/of-new\of-new-5-64-64-89-CLU.txt","Contig89")</f>
        <v>Contig89</v>
      </c>
      <c r="D170">
        <v>2</v>
      </c>
      <c r="E170">
        <v>458</v>
      </c>
      <c r="F170" t="str">
        <f>HYPERLINK("http://exon.niaid.nih.gov/transcriptome/O_fasciatus/Sup_tab1/links/of-new\of-new-5-64-64-89-qual.txt","74.8")</f>
        <v>74.8</v>
      </c>
      <c r="G170" t="s">
        <v>541</v>
      </c>
      <c r="H170">
        <v>71.2</v>
      </c>
      <c r="I170">
        <v>439</v>
      </c>
      <c r="J170">
        <v>89</v>
      </c>
      <c r="K170" t="s">
        <v>630</v>
      </c>
      <c r="L170">
        <v>439</v>
      </c>
      <c r="N170" s="2" t="s">
        <v>547</v>
      </c>
      <c r="O170" t="s">
        <v>547</v>
      </c>
      <c r="P170" t="s">
        <v>547</v>
      </c>
      <c r="Q170" t="s">
        <v>547</v>
      </c>
      <c r="R170" t="s">
        <v>547</v>
      </c>
      <c r="S170" t="s">
        <v>547</v>
      </c>
      <c r="T170" t="s">
        <v>547</v>
      </c>
      <c r="U170" t="s">
        <v>547</v>
      </c>
      <c r="V170" t="s">
        <v>547</v>
      </c>
      <c r="W170" t="s">
        <v>547</v>
      </c>
      <c r="X170" t="s">
        <v>547</v>
      </c>
      <c r="Y170" t="s">
        <v>547</v>
      </c>
      <c r="Z170" s="4" t="s">
        <v>1025</v>
      </c>
      <c r="AA170" t="s">
        <v>1015</v>
      </c>
      <c r="AB170" s="3" t="s">
        <v>547</v>
      </c>
      <c r="AC170" s="2" t="s">
        <v>547</v>
      </c>
      <c r="AD170" s="4" t="s">
        <v>547</v>
      </c>
      <c r="AE170" t="s">
        <v>547</v>
      </c>
      <c r="AF170" t="s">
        <v>547</v>
      </c>
      <c r="AG170" s="4" t="s">
        <v>547</v>
      </c>
      <c r="AH170" t="s">
        <v>547</v>
      </c>
      <c r="AI170" t="s">
        <v>547</v>
      </c>
      <c r="AJ170" s="4" t="s">
        <v>547</v>
      </c>
      <c r="AK170" t="s">
        <v>547</v>
      </c>
      <c r="AL170" t="s">
        <v>547</v>
      </c>
      <c r="AM170" s="3" t="s">
        <v>547</v>
      </c>
      <c r="AN170" s="2" t="s">
        <v>547</v>
      </c>
      <c r="AO170" t="s">
        <v>547</v>
      </c>
      <c r="AP170" s="3" t="s">
        <v>547</v>
      </c>
      <c r="AQ170" s="2" t="s">
        <v>547</v>
      </c>
      <c r="AR170" t="s">
        <v>547</v>
      </c>
      <c r="AS170" s="3" t="s">
        <v>547</v>
      </c>
      <c r="AT170" s="2" t="s">
        <v>547</v>
      </c>
      <c r="AU170" s="3" t="s">
        <v>547</v>
      </c>
      <c r="AV170" s="2" t="s">
        <v>547</v>
      </c>
      <c r="AW170" s="3" t="s">
        <v>547</v>
      </c>
      <c r="AX170" s="2" t="s">
        <v>547</v>
      </c>
      <c r="AY170" s="3" t="s">
        <v>547</v>
      </c>
      <c r="AZ170" s="2" t="s">
        <v>547</v>
      </c>
    </row>
    <row r="171" spans="1:52" ht="11.25">
      <c r="A171" t="str">
        <f>HYPERLINK("http://exon.niaid.nih.gov/transcriptome/O_fasciatus/Sup_tab1/links/of-new\of-new-contig_90.txt","of-new-contig_90")</f>
        <v>of-new-contig_90</v>
      </c>
      <c r="B171" t="str">
        <f>HYPERLINK("http://exon.niaid.nih.gov/transcriptome/O_fasciatus/Sup_tab1/links/of-new\of-new-5-64-64-asb-90.txt","Contig-90")</f>
        <v>Contig-90</v>
      </c>
      <c r="C171" t="str">
        <f>HYPERLINK("http://exon.niaid.nih.gov/transcriptome/O_fasciatus/Sup_tab1/links/of-new\of-new-5-64-64-90-CLU.txt","Contig90")</f>
        <v>Contig90</v>
      </c>
      <c r="D171">
        <v>2</v>
      </c>
      <c r="E171">
        <v>856</v>
      </c>
      <c r="F171" t="str">
        <f>HYPERLINK("http://exon.niaid.nih.gov/transcriptome/O_fasciatus/Sup_tab1/links/of-new\of-new-5-64-64-90-qual.txt","64.6")</f>
        <v>64.6</v>
      </c>
      <c r="G171" t="s">
        <v>541</v>
      </c>
      <c r="H171">
        <v>69</v>
      </c>
      <c r="I171" t="s">
        <v>547</v>
      </c>
      <c r="J171">
        <v>90</v>
      </c>
      <c r="K171" t="s">
        <v>1169</v>
      </c>
      <c r="L171" t="s">
        <v>547</v>
      </c>
      <c r="M171" s="3" t="str">
        <f>HYPERLINK("http://exon.niaid.nih.gov/transcriptome/O_fasciatus/Sup_tab1/links/NR\of-new-contig_90-NR.txt","TOM71")</f>
        <v>TOM71</v>
      </c>
      <c r="N171" s="2" t="str">
        <f>HYPERLINK("http://www.ncbi.nlm.nih.gov/sutils/blink.cgi?pid=28564113","1.5")</f>
        <v>1.5</v>
      </c>
      <c r="O171" t="s">
        <v>1612</v>
      </c>
      <c r="P171">
        <v>38</v>
      </c>
      <c r="Q171">
        <v>595</v>
      </c>
      <c r="R171">
        <v>47</v>
      </c>
      <c r="S171">
        <v>6</v>
      </c>
      <c r="T171">
        <v>84</v>
      </c>
      <c r="U171">
        <v>20</v>
      </c>
      <c r="V171">
        <v>1</v>
      </c>
      <c r="W171" t="s">
        <v>1412</v>
      </c>
      <c r="X171" t="s">
        <v>1613</v>
      </c>
      <c r="Y171" t="s">
        <v>1614</v>
      </c>
      <c r="Z171" s="4" t="s">
        <v>1025</v>
      </c>
      <c r="AA171" t="s">
        <v>1015</v>
      </c>
      <c r="AB171" s="3" t="s">
        <v>547</v>
      </c>
      <c r="AC171" s="2" t="s">
        <v>547</v>
      </c>
      <c r="AD171" s="4" t="s">
        <v>547</v>
      </c>
      <c r="AE171" t="s">
        <v>547</v>
      </c>
      <c r="AF171" t="s">
        <v>547</v>
      </c>
      <c r="AG171" s="4" t="s">
        <v>547</v>
      </c>
      <c r="AH171" t="s">
        <v>547</v>
      </c>
      <c r="AI171" t="s">
        <v>547</v>
      </c>
      <c r="AJ171" s="4" t="s">
        <v>547</v>
      </c>
      <c r="AK171" t="s">
        <v>547</v>
      </c>
      <c r="AL171" t="s">
        <v>547</v>
      </c>
      <c r="AM171" s="3" t="str">
        <f>HYPERLINK("http://exon.niaid.nih.gov/transcriptome/O_fasciatus/Sup_tab1/links/KOG\of-new-contig_90-KOG.txt","Mannosyltransferase")</f>
        <v>Mannosyltransferase</v>
      </c>
      <c r="AN171" s="2" t="str">
        <f>HYPERLINK("http://www.ncbi.nlm.nih.gov/COG/new/shokog.cgi?KOG3893","0.48")</f>
        <v>0.48</v>
      </c>
      <c r="AO171" t="s">
        <v>513</v>
      </c>
      <c r="AP171" s="3" t="str">
        <f>HYPERLINK("http://exon.niaid.nih.gov/transcriptome/O_fasciatus/Sup_tab1/links/CDD\of-new-contig_90-CDD.txt","Ion_trans")</f>
        <v>Ion_trans</v>
      </c>
      <c r="AQ171" s="2" t="str">
        <f>HYPERLINK("http://www.ncbi.nlm.nih.gov/Structure/cdd/cddsrv.cgi?uid=pfam00520&amp;version=v4.0","0.15")</f>
        <v>0.15</v>
      </c>
      <c r="AR171" t="s">
        <v>1615</v>
      </c>
      <c r="AS171" s="3" t="str">
        <f>HYPERLINK("http://exon.niaid.nih.gov/transcriptome/O_fasciatus/Sup_tab1/links/PFAM\of-new-contig_90-PFAM.txt","Ion_trans")</f>
        <v>Ion_trans</v>
      </c>
      <c r="AT171" s="2" t="str">
        <f>HYPERLINK("http://pfam.wustl.edu/cgi-bin/getdesc?acc=PF00520","0.075")</f>
        <v>0.075</v>
      </c>
      <c r="AU171" s="3" t="str">
        <f>HYPERLINK("http://exon.niaid.nih.gov/transcriptome/O_fasciatus/Sup_tab1/links/SMART\of-new-contig_90-SMART.txt","LITAF")</f>
        <v>LITAF</v>
      </c>
      <c r="AV171" s="2" t="str">
        <f>HYPERLINK("http://smart.embl-heidelberg.de/smart/do_annotation.pl?DOMAIN=LITAF&amp;BLAST=DUMMY","0.52")</f>
        <v>0.52</v>
      </c>
      <c r="AW171" s="3" t="s">
        <v>547</v>
      </c>
      <c r="AX171" s="2" t="s">
        <v>547</v>
      </c>
      <c r="AY171" s="3" t="s">
        <v>547</v>
      </c>
      <c r="AZ171" s="2" t="s">
        <v>547</v>
      </c>
    </row>
    <row r="172" spans="1:52" ht="11.25">
      <c r="A172" t="str">
        <f>HYPERLINK("http://exon.niaid.nih.gov/transcriptome/O_fasciatus/Sup_tab1/links/of-new\of-new-contig_91.txt","of-new-contig_91")</f>
        <v>of-new-contig_91</v>
      </c>
      <c r="B172" t="str">
        <f>HYPERLINK("http://exon.niaid.nih.gov/transcriptome/O_fasciatus/Sup_tab1/links/of-new\of-new-5-64-64-asb-91.txt","Contig-91")</f>
        <v>Contig-91</v>
      </c>
      <c r="C172" t="str">
        <f>HYPERLINK("http://exon.niaid.nih.gov/transcriptome/O_fasciatus/Sup_tab1/links/of-new\of-new-5-64-64-91-CLU.txt","Contig91")</f>
        <v>Contig91</v>
      </c>
      <c r="D172">
        <v>2</v>
      </c>
      <c r="E172">
        <v>204</v>
      </c>
      <c r="F172" t="str">
        <f>HYPERLINK("http://exon.niaid.nih.gov/transcriptome/O_fasciatus/Sup_tab1/links/of-new\of-new-5-64-64-91-qual.txt","83.3")</f>
        <v>83.3</v>
      </c>
      <c r="G172" t="s">
        <v>541</v>
      </c>
      <c r="H172">
        <v>81.4</v>
      </c>
      <c r="I172">
        <v>185</v>
      </c>
      <c r="J172">
        <v>91</v>
      </c>
      <c r="K172" t="s">
        <v>1170</v>
      </c>
      <c r="L172">
        <v>185</v>
      </c>
      <c r="M172" s="3" t="str">
        <f>HYPERLINK("http://exon.niaid.nih.gov/transcriptome/O_fasciatus/Sup_tab1/links/NR\of-new-contig_91-NR.txt","Maturase K (Intron maturase) Maturase K (Intron maturase) maturase [Hordeum")</f>
        <v>Maturase K (Intron maturase) Maturase K (Intron maturase) maturase [Hordeum</v>
      </c>
      <c r="N172" s="2" t="str">
        <f>HYPERLINK("http://www.ncbi.nlm.nih.gov/sutils/blink.cgi?pid=68052726","1.4")</f>
        <v>1.4</v>
      </c>
      <c r="O172" t="s">
        <v>1616</v>
      </c>
      <c r="P172">
        <v>43</v>
      </c>
      <c r="Q172">
        <v>511</v>
      </c>
      <c r="R172">
        <v>37</v>
      </c>
      <c r="S172">
        <v>8</v>
      </c>
      <c r="T172">
        <v>178</v>
      </c>
      <c r="U172">
        <v>42</v>
      </c>
      <c r="V172">
        <v>1</v>
      </c>
      <c r="W172" t="s">
        <v>1412</v>
      </c>
      <c r="X172" t="s">
        <v>1617</v>
      </c>
      <c r="Y172" t="s">
        <v>779</v>
      </c>
      <c r="Z172" s="4" t="s">
        <v>1025</v>
      </c>
      <c r="AA172" t="s">
        <v>1015</v>
      </c>
      <c r="AB172" s="3" t="s">
        <v>547</v>
      </c>
      <c r="AC172" s="2" t="s">
        <v>547</v>
      </c>
      <c r="AD172" s="4" t="s">
        <v>547</v>
      </c>
      <c r="AE172" t="s">
        <v>547</v>
      </c>
      <c r="AF172" t="s">
        <v>547</v>
      </c>
      <c r="AG172" s="4" t="s">
        <v>547</v>
      </c>
      <c r="AH172" t="s">
        <v>547</v>
      </c>
      <c r="AI172" t="s">
        <v>547</v>
      </c>
      <c r="AJ172" s="4" t="s">
        <v>547</v>
      </c>
      <c r="AK172" t="s">
        <v>547</v>
      </c>
      <c r="AL172" t="s">
        <v>547</v>
      </c>
      <c r="AM172" s="3" t="str">
        <f>HYPERLINK("http://exon.niaid.nih.gov/transcriptome/O_fasciatus/Sup_tab1/links/KOG\of-new-contig_91-KOG.txt","Protein tyrosine kinase")</f>
        <v>Protein tyrosine kinase</v>
      </c>
      <c r="AN172" s="2" t="str">
        <f>HYPERLINK("http://www.ncbi.nlm.nih.gov/COG/new/shokog.cgi?KOG0194","0.83")</f>
        <v>0.83</v>
      </c>
      <c r="AO172" t="s">
        <v>1521</v>
      </c>
      <c r="AP172" s="3" t="str">
        <f>HYPERLINK("http://exon.niaid.nih.gov/transcriptome/O_fasciatus/Sup_tab1/links/CDD\of-new-contig_91-CDD.txt","ESP1")</f>
        <v>ESP1</v>
      </c>
      <c r="AQ172" s="2" t="str">
        <f>HYPERLINK("http://www.ncbi.nlm.nih.gov/Structure/cdd/cddsrv.cgi?uid=COG5155&amp;version=v4.0","0.063")</f>
        <v>0.063</v>
      </c>
      <c r="AR172" t="s">
        <v>780</v>
      </c>
      <c r="AS172" s="3" t="str">
        <f>HYPERLINK("http://exon.niaid.nih.gov/transcriptome/O_fasciatus/Sup_tab1/links/PFAM\of-new-contig_91-PFAM.txt","TAS2R")</f>
        <v>TAS2R</v>
      </c>
      <c r="AT172" s="2" t="str">
        <f>HYPERLINK("http://pfam.wustl.edu/cgi-bin/getdesc?acc=PF05296","0.25")</f>
        <v>0.25</v>
      </c>
      <c r="AU172" s="3" t="str">
        <f>HYPERLINK("http://exon.niaid.nih.gov/transcriptome/O_fasciatus/Sup_tab1/links/SMART\of-new-contig_91-SMART.txt","FH2")</f>
        <v>FH2</v>
      </c>
      <c r="AV172" s="2" t="str">
        <f>HYPERLINK("http://smart.embl-heidelberg.de/smart/do_annotation.pl?DOMAIN=FH2&amp;BLAST=DUMMY","0.68")</f>
        <v>0.68</v>
      </c>
      <c r="AW172" s="3" t="s">
        <v>547</v>
      </c>
      <c r="AX172" s="2" t="s">
        <v>547</v>
      </c>
      <c r="AY172" s="3" t="s">
        <v>547</v>
      </c>
      <c r="AZ172" s="2" t="s">
        <v>547</v>
      </c>
    </row>
    <row r="173" spans="1:52" ht="11.25">
      <c r="A173" t="str">
        <f>HYPERLINK("http://exon.niaid.nih.gov/transcriptome/O_fasciatus/Sup_tab1/links/of-new\of-new-contig_93.txt","of-new-contig_93")</f>
        <v>of-new-contig_93</v>
      </c>
      <c r="B173" t="str">
        <f>HYPERLINK("http://exon.niaid.nih.gov/transcriptome/O_fasciatus/Sup_tab1/links/of-new\of-new-5-64-64-asb-93.txt","Contig-93")</f>
        <v>Contig-93</v>
      </c>
      <c r="C173" t="str">
        <f>HYPERLINK("http://exon.niaid.nih.gov/transcriptome/O_fasciatus/Sup_tab1/links/of-new\of-new-5-64-64-93-CLU.txt","Contig93")</f>
        <v>Contig93</v>
      </c>
      <c r="D173">
        <v>2</v>
      </c>
      <c r="E173">
        <v>273</v>
      </c>
      <c r="F173" t="str">
        <f>HYPERLINK("http://exon.niaid.nih.gov/transcriptome/O_fasciatus/Sup_tab1/links/of-new\of-new-5-64-64-93-qual.txt","84.8")</f>
        <v>84.8</v>
      </c>
      <c r="G173" t="s">
        <v>541</v>
      </c>
      <c r="H173">
        <v>77.7</v>
      </c>
      <c r="I173">
        <v>254</v>
      </c>
      <c r="J173">
        <v>93</v>
      </c>
      <c r="K173" t="s">
        <v>1172</v>
      </c>
      <c r="L173">
        <v>254</v>
      </c>
      <c r="N173" s="2" t="s">
        <v>547</v>
      </c>
      <c r="O173" t="s">
        <v>547</v>
      </c>
      <c r="P173" t="s">
        <v>547</v>
      </c>
      <c r="Q173" t="s">
        <v>547</v>
      </c>
      <c r="R173" t="s">
        <v>547</v>
      </c>
      <c r="S173" t="s">
        <v>547</v>
      </c>
      <c r="T173" t="s">
        <v>547</v>
      </c>
      <c r="U173" t="s">
        <v>547</v>
      </c>
      <c r="V173" t="s">
        <v>547</v>
      </c>
      <c r="W173" t="s">
        <v>547</v>
      </c>
      <c r="X173" t="s">
        <v>547</v>
      </c>
      <c r="Y173" t="s">
        <v>547</v>
      </c>
      <c r="Z173" s="4" t="s">
        <v>1025</v>
      </c>
      <c r="AA173" t="s">
        <v>1015</v>
      </c>
      <c r="AB173" s="3" t="s">
        <v>547</v>
      </c>
      <c r="AC173" s="2" t="s">
        <v>547</v>
      </c>
      <c r="AD173" s="4" t="s">
        <v>547</v>
      </c>
      <c r="AE173" t="s">
        <v>547</v>
      </c>
      <c r="AF173" t="s">
        <v>547</v>
      </c>
      <c r="AG173" s="4" t="s">
        <v>547</v>
      </c>
      <c r="AH173" t="s">
        <v>547</v>
      </c>
      <c r="AI173" t="s">
        <v>547</v>
      </c>
      <c r="AJ173" s="4" t="s">
        <v>547</v>
      </c>
      <c r="AK173" t="s">
        <v>547</v>
      </c>
      <c r="AL173" t="s">
        <v>547</v>
      </c>
      <c r="AM173" s="3" t="str">
        <f>HYPERLINK("http://exon.niaid.nih.gov/transcriptome/O_fasciatus/Sup_tab1/links/KOG\of-new-contig_93-KOG.txt","Metalloprotease")</f>
        <v>Metalloprotease</v>
      </c>
      <c r="AN173" s="2" t="str">
        <f>HYPERLINK("http://www.ncbi.nlm.nih.gov/COG/new/shokog.cgi?KOG2719","0.054")</f>
        <v>0.054</v>
      </c>
      <c r="AO173" t="s">
        <v>1503</v>
      </c>
      <c r="AP173" s="3" t="str">
        <f>HYPERLINK("http://exon.niaid.nih.gov/transcriptome/O_fasciatus/Sup_tab1/links/CDD\of-new-contig_93-CDD.txt","PAP2_dolichyldi")</f>
        <v>PAP2_dolichyldi</v>
      </c>
      <c r="AQ173" s="2" t="str">
        <f>HYPERLINK("http://www.ncbi.nlm.nih.gov/Structure/cdd/cddsrv.cgi?uid=cd03382&amp;version=v4.0","0.13")</f>
        <v>0.13</v>
      </c>
      <c r="AR173" t="s">
        <v>791</v>
      </c>
      <c r="AS173" s="3" t="str">
        <f>HYPERLINK("http://exon.niaid.nih.gov/transcriptome/O_fasciatus/Sup_tab1/links/PFAM\of-new-contig_93-PFAM.txt","CLAG")</f>
        <v>CLAG</v>
      </c>
      <c r="AT173" s="2" t="str">
        <f>HYPERLINK("http://pfam.wustl.edu/cgi-bin/getdesc?acc=PF03805","0.18")</f>
        <v>0.18</v>
      </c>
      <c r="AU173" s="3" t="str">
        <f>HYPERLINK("http://exon.niaid.nih.gov/transcriptome/O_fasciatus/Sup_tab1/links/SMART\of-new-contig_93-SMART.txt","MYSc")</f>
        <v>MYSc</v>
      </c>
      <c r="AV173" s="2" t="str">
        <f>HYPERLINK("http://smart.embl-heidelberg.de/smart/do_annotation.pl?DOMAIN=MYSc&amp;BLAST=DUMMY","0.10")</f>
        <v>0.10</v>
      </c>
      <c r="AW173" s="3" t="s">
        <v>547</v>
      </c>
      <c r="AX173" s="2" t="s">
        <v>547</v>
      </c>
      <c r="AY173" s="3" t="s">
        <v>547</v>
      </c>
      <c r="AZ173" s="2" t="s">
        <v>547</v>
      </c>
    </row>
    <row r="174" spans="1:52" ht="11.25">
      <c r="A174" t="str">
        <f>HYPERLINK("http://exon.niaid.nih.gov/transcriptome/O_fasciatus/Sup_tab1/links/of-new\of-new-contig_95.txt","of-new-contig_95")</f>
        <v>of-new-contig_95</v>
      </c>
      <c r="B174" t="str">
        <f>HYPERLINK("http://exon.niaid.nih.gov/transcriptome/O_fasciatus/Sup_tab1/links/of-new\of-new-5-64-64-asb-95.txt","Contig-95")</f>
        <v>Contig-95</v>
      </c>
      <c r="C174" t="str">
        <f>HYPERLINK("http://exon.niaid.nih.gov/transcriptome/O_fasciatus/Sup_tab1/links/of-new\of-new-5-64-64-95-CLU.txt","Contig95")</f>
        <v>Contig95</v>
      </c>
      <c r="D174">
        <v>2</v>
      </c>
      <c r="E174">
        <v>96</v>
      </c>
      <c r="F174" t="str">
        <f>HYPERLINK("http://exon.niaid.nih.gov/transcriptome/O_fasciatus/Sup_tab1/links/of-new\of-new-5-64-64-95-qual.txt","72.")</f>
        <v>72.</v>
      </c>
      <c r="G174">
        <v>1</v>
      </c>
      <c r="H174">
        <v>83.3</v>
      </c>
      <c r="I174">
        <v>77</v>
      </c>
      <c r="J174">
        <v>95</v>
      </c>
      <c r="K174" t="s">
        <v>1174</v>
      </c>
      <c r="L174">
        <v>80</v>
      </c>
      <c r="M174" s="3" t="str">
        <f>HYPERLINK("http://exon.niaid.nih.gov/transcriptome/O_fasciatus/Sup_tab1/links/NR\of-new-contig_95-NR.txt","hypothetical protein K08F11.6 - Caenorhabditis elegans")</f>
        <v>hypothetical protein K08F11.6 - Caenorhabditis elegans</v>
      </c>
      <c r="N174" s="2" t="str">
        <f>HYPERLINK("http://www.ncbi.nlm.nih.gov/sutils/blink.cgi?pid=7505565","9.1")</f>
        <v>9.1</v>
      </c>
      <c r="O174" t="s">
        <v>798</v>
      </c>
      <c r="P174">
        <v>21</v>
      </c>
      <c r="Q174">
        <v>176</v>
      </c>
      <c r="R174">
        <v>61</v>
      </c>
      <c r="S174">
        <v>12</v>
      </c>
      <c r="T174">
        <v>130</v>
      </c>
      <c r="U174">
        <v>13</v>
      </c>
      <c r="V174">
        <v>1</v>
      </c>
      <c r="W174" t="s">
        <v>1412</v>
      </c>
      <c r="X174" t="s">
        <v>547</v>
      </c>
      <c r="Y174" t="s">
        <v>799</v>
      </c>
      <c r="Z174" s="4" t="s">
        <v>1025</v>
      </c>
      <c r="AA174" t="s">
        <v>1015</v>
      </c>
      <c r="AB174" s="3" t="s">
        <v>547</v>
      </c>
      <c r="AC174" s="2" t="s">
        <v>547</v>
      </c>
      <c r="AD174" s="4" t="s">
        <v>547</v>
      </c>
      <c r="AE174" t="s">
        <v>547</v>
      </c>
      <c r="AF174" t="s">
        <v>547</v>
      </c>
      <c r="AG174" s="4" t="s">
        <v>547</v>
      </c>
      <c r="AH174" t="s">
        <v>547</v>
      </c>
      <c r="AI174" t="s">
        <v>547</v>
      </c>
      <c r="AJ174" s="4" t="s">
        <v>547</v>
      </c>
      <c r="AK174" t="s">
        <v>547</v>
      </c>
      <c r="AL174" t="s">
        <v>547</v>
      </c>
      <c r="AM174" s="3" t="s">
        <v>547</v>
      </c>
      <c r="AN174" s="2" t="s">
        <v>547</v>
      </c>
      <c r="AO174" t="s">
        <v>547</v>
      </c>
      <c r="AP174" s="3" t="s">
        <v>547</v>
      </c>
      <c r="AQ174" s="2" t="s">
        <v>547</v>
      </c>
      <c r="AR174" t="s">
        <v>547</v>
      </c>
      <c r="AS174" s="3" t="s">
        <v>547</v>
      </c>
      <c r="AT174" s="2" t="s">
        <v>547</v>
      </c>
      <c r="AU174" s="3" t="s">
        <v>547</v>
      </c>
      <c r="AV174" s="2" t="s">
        <v>547</v>
      </c>
      <c r="AW174" s="3" t="s">
        <v>547</v>
      </c>
      <c r="AX174" s="2" t="s">
        <v>547</v>
      </c>
      <c r="AY174" s="3" t="s">
        <v>547</v>
      </c>
      <c r="AZ174" s="2" t="s">
        <v>547</v>
      </c>
    </row>
    <row r="175" spans="1:52" ht="11.25">
      <c r="A175" t="str">
        <f>HYPERLINK("http://exon.niaid.nih.gov/transcriptome/O_fasciatus/Sup_tab1/links/of-new\of-new-contig_96.txt","of-new-contig_96")</f>
        <v>of-new-contig_96</v>
      </c>
      <c r="B175" t="str">
        <f>HYPERLINK("http://exon.niaid.nih.gov/transcriptome/O_fasciatus/Sup_tab1/links/of-new\of-new-5-64-64-asb-96.txt","Contig-96")</f>
        <v>Contig-96</v>
      </c>
      <c r="C175" t="str">
        <f>HYPERLINK("http://exon.niaid.nih.gov/transcriptome/O_fasciatus/Sup_tab1/links/of-new\of-new-5-64-64-96-CLU.txt","Contig96")</f>
        <v>Contig96</v>
      </c>
      <c r="D175">
        <v>2</v>
      </c>
      <c r="E175">
        <v>434</v>
      </c>
      <c r="F175" t="str">
        <f>HYPERLINK("http://exon.niaid.nih.gov/transcriptome/O_fasciatus/Sup_tab1/links/of-new\of-new-5-64-64-96-qual.txt","92.6")</f>
        <v>92.6</v>
      </c>
      <c r="G175" t="s">
        <v>541</v>
      </c>
      <c r="H175">
        <v>65.9</v>
      </c>
      <c r="I175">
        <v>415</v>
      </c>
      <c r="J175">
        <v>96</v>
      </c>
      <c r="K175" t="s">
        <v>1175</v>
      </c>
      <c r="L175">
        <v>425</v>
      </c>
      <c r="M175" s="3" t="str">
        <f>HYPERLINK("http://exon.niaid.nih.gov/transcriptome/O_fasciatus/Sup_tab1/links/NR\of-new-contig_96-NR.txt","yabusame-2")</f>
        <v>yabusame-2</v>
      </c>
      <c r="N175" s="2" t="str">
        <f>HYPERLINK("http://www.ncbi.nlm.nih.gov/sutils/blink.cgi?pid=42600556","1E-004")</f>
        <v>1E-004</v>
      </c>
      <c r="O175" t="s">
        <v>800</v>
      </c>
      <c r="P175">
        <v>52</v>
      </c>
      <c r="Q175">
        <v>178</v>
      </c>
      <c r="R175">
        <v>36</v>
      </c>
      <c r="S175">
        <v>29</v>
      </c>
      <c r="T175">
        <v>70</v>
      </c>
      <c r="U175">
        <v>20</v>
      </c>
      <c r="V175">
        <v>2</v>
      </c>
      <c r="W175" t="s">
        <v>1412</v>
      </c>
      <c r="X175" t="s">
        <v>1579</v>
      </c>
      <c r="Y175" t="s">
        <v>801</v>
      </c>
      <c r="Z175" s="4" t="s">
        <v>1025</v>
      </c>
      <c r="AA175" t="s">
        <v>1015</v>
      </c>
      <c r="AB175" s="3" t="s">
        <v>547</v>
      </c>
      <c r="AC175" s="2" t="s">
        <v>547</v>
      </c>
      <c r="AD175" s="4" t="s">
        <v>547</v>
      </c>
      <c r="AE175" t="s">
        <v>547</v>
      </c>
      <c r="AF175" t="s">
        <v>547</v>
      </c>
      <c r="AG175" s="4" t="s">
        <v>547</v>
      </c>
      <c r="AH175" t="s">
        <v>547</v>
      </c>
      <c r="AI175" t="s">
        <v>547</v>
      </c>
      <c r="AJ175" s="4" t="s">
        <v>547</v>
      </c>
      <c r="AK175" t="s">
        <v>547</v>
      </c>
      <c r="AL175" t="s">
        <v>547</v>
      </c>
      <c r="AM175" s="3" t="s">
        <v>547</v>
      </c>
      <c r="AN175" s="2" t="s">
        <v>547</v>
      </c>
      <c r="AO175" t="s">
        <v>547</v>
      </c>
      <c r="AP175" s="3" t="str">
        <f>HYPERLINK("http://exon.niaid.nih.gov/transcriptome/O_fasciatus/Sup_tab1/links/CDD\of-new-contig_96-CDD.txt","DRG")</f>
        <v>DRG</v>
      </c>
      <c r="AQ175" s="2" t="str">
        <f>HYPERLINK("http://www.ncbi.nlm.nih.gov/Structure/cdd/cddsrv.cgi?uid=cd01896&amp;version=v4.0","0.71")</f>
        <v>0.71</v>
      </c>
      <c r="AR175" t="s">
        <v>802</v>
      </c>
      <c r="AS175" s="3" t="str">
        <f>HYPERLINK("http://exon.niaid.nih.gov/transcriptome/O_fasciatus/Sup_tab1/links/PFAM\of-new-contig_96-PFAM.txt","APG6")</f>
        <v>APG6</v>
      </c>
      <c r="AT175" s="2" t="str">
        <f>HYPERLINK("http://pfam.wustl.edu/cgi-bin/getdesc?acc=PF04111","0.41")</f>
        <v>0.41</v>
      </c>
      <c r="AU175" s="3" t="str">
        <f>HYPERLINK("http://exon.niaid.nih.gov/transcriptome/O_fasciatus/Sup_tab1/links/SMART\of-new-contig_96-SMART.txt","WH1")</f>
        <v>WH1</v>
      </c>
      <c r="AV175" s="2" t="str">
        <f>HYPERLINK("http://smart.embl-heidelberg.de/smart/do_annotation.pl?DOMAIN=WH1&amp;BLAST=DUMMY","0.14")</f>
        <v>0.14</v>
      </c>
      <c r="AW175" s="3" t="s">
        <v>547</v>
      </c>
      <c r="AX175" s="2" t="s">
        <v>547</v>
      </c>
      <c r="AY175" s="3" t="s">
        <v>547</v>
      </c>
      <c r="AZ175" s="2" t="s">
        <v>547</v>
      </c>
    </row>
    <row r="176" spans="1:52" ht="11.25">
      <c r="A176" t="str">
        <f>HYPERLINK("http://exon.niaid.nih.gov/transcriptome/O_fasciatus/Sup_tab1/links/of-new\of-new-contig_99.txt","of-new-contig_99")</f>
        <v>of-new-contig_99</v>
      </c>
      <c r="B176" t="str">
        <f>HYPERLINK("http://exon.niaid.nih.gov/transcriptome/O_fasciatus/Sup_tab1/links/of-new\of-new-5-64-64-asb-99.txt","Contig-99")</f>
        <v>Contig-99</v>
      </c>
      <c r="C176" t="str">
        <f>HYPERLINK("http://exon.niaid.nih.gov/transcriptome/O_fasciatus/Sup_tab1/links/of-new\of-new-5-64-64-99-CLU.txt","Contig99")</f>
        <v>Contig99</v>
      </c>
      <c r="D176">
        <v>2</v>
      </c>
      <c r="E176">
        <v>163</v>
      </c>
      <c r="F176" t="str">
        <f>HYPERLINK("http://exon.niaid.nih.gov/transcriptome/O_fasciatus/Sup_tab1/links/of-new\of-new-5-64-64-99-qual.txt","79.5")</f>
        <v>79.5</v>
      </c>
      <c r="G176" t="s">
        <v>541</v>
      </c>
      <c r="H176">
        <v>75.5</v>
      </c>
      <c r="I176">
        <v>144</v>
      </c>
      <c r="J176">
        <v>99</v>
      </c>
      <c r="K176" t="s">
        <v>1178</v>
      </c>
      <c r="L176">
        <v>145</v>
      </c>
      <c r="N176" s="2" t="s">
        <v>547</v>
      </c>
      <c r="O176" t="s">
        <v>547</v>
      </c>
      <c r="P176" t="s">
        <v>547</v>
      </c>
      <c r="Q176" t="s">
        <v>547</v>
      </c>
      <c r="R176" t="s">
        <v>547</v>
      </c>
      <c r="S176" t="s">
        <v>547</v>
      </c>
      <c r="T176" t="s">
        <v>547</v>
      </c>
      <c r="U176" t="s">
        <v>547</v>
      </c>
      <c r="V176" t="s">
        <v>547</v>
      </c>
      <c r="W176" t="s">
        <v>547</v>
      </c>
      <c r="X176" t="s">
        <v>547</v>
      </c>
      <c r="Y176" t="s">
        <v>547</v>
      </c>
      <c r="Z176" s="4" t="s">
        <v>1025</v>
      </c>
      <c r="AA176" t="s">
        <v>1015</v>
      </c>
      <c r="AB176" s="3" t="s">
        <v>547</v>
      </c>
      <c r="AC176" s="2" t="s">
        <v>547</v>
      </c>
      <c r="AD176" s="4" t="s">
        <v>547</v>
      </c>
      <c r="AE176" t="s">
        <v>547</v>
      </c>
      <c r="AF176" t="s">
        <v>547</v>
      </c>
      <c r="AG176" s="4" t="s">
        <v>547</v>
      </c>
      <c r="AH176" t="s">
        <v>547</v>
      </c>
      <c r="AI176" t="s">
        <v>547</v>
      </c>
      <c r="AJ176" s="4" t="s">
        <v>547</v>
      </c>
      <c r="AK176" t="s">
        <v>547</v>
      </c>
      <c r="AL176" t="s">
        <v>547</v>
      </c>
      <c r="AM176" s="3" t="s">
        <v>547</v>
      </c>
      <c r="AN176" s="2" t="s">
        <v>547</v>
      </c>
      <c r="AO176" t="s">
        <v>547</v>
      </c>
      <c r="AP176" s="3" t="s">
        <v>547</v>
      </c>
      <c r="AQ176" s="2" t="s">
        <v>547</v>
      </c>
      <c r="AR176" t="s">
        <v>547</v>
      </c>
      <c r="AS176" s="3" t="s">
        <v>547</v>
      </c>
      <c r="AT176" s="2" t="s">
        <v>547</v>
      </c>
      <c r="AU176" s="3" t="s">
        <v>547</v>
      </c>
      <c r="AV176" s="2" t="s">
        <v>547</v>
      </c>
      <c r="AW176" s="3" t="s">
        <v>547</v>
      </c>
      <c r="AX176" s="2" t="s">
        <v>547</v>
      </c>
      <c r="AY176" s="3" t="s">
        <v>547</v>
      </c>
      <c r="AZ176" s="2" t="s">
        <v>547</v>
      </c>
    </row>
    <row r="177" spans="1:52" ht="11.25">
      <c r="A177" t="str">
        <f>HYPERLINK("http://exon.niaid.nih.gov/transcriptome/O_fasciatus/Sup_tab1/links/of-new\of-new-contig_101.txt","of-new-contig_101")</f>
        <v>of-new-contig_101</v>
      </c>
      <c r="B177" t="str">
        <f>HYPERLINK("http://exon.niaid.nih.gov/transcriptome/O_fasciatus/Sup_tab1/links/of-new\of-new-5-64-64-asb-101.txt","Contig-101")</f>
        <v>Contig-101</v>
      </c>
      <c r="C177" t="str">
        <f>HYPERLINK("http://exon.niaid.nih.gov/transcriptome/O_fasciatus/Sup_tab1/links/of-new\of-new-5-64-64-101-CLU.txt","Contig101")</f>
        <v>Contig101</v>
      </c>
      <c r="D177">
        <v>2</v>
      </c>
      <c r="E177">
        <v>113</v>
      </c>
      <c r="F177" t="str">
        <f>HYPERLINK("http://exon.niaid.nih.gov/transcriptome/O_fasciatus/Sup_tab1/links/of-new\of-new-5-64-64-101-qual.txt","69.7")</f>
        <v>69.7</v>
      </c>
      <c r="G177" t="s">
        <v>541</v>
      </c>
      <c r="H177">
        <v>68.1</v>
      </c>
      <c r="I177">
        <v>94</v>
      </c>
      <c r="J177">
        <v>101</v>
      </c>
      <c r="K177" t="s">
        <v>1180</v>
      </c>
      <c r="L177">
        <v>95</v>
      </c>
      <c r="N177" s="2" t="s">
        <v>547</v>
      </c>
      <c r="O177" t="s">
        <v>547</v>
      </c>
      <c r="P177" t="s">
        <v>547</v>
      </c>
      <c r="Q177" t="s">
        <v>547</v>
      </c>
      <c r="R177" t="s">
        <v>547</v>
      </c>
      <c r="S177" t="s">
        <v>547</v>
      </c>
      <c r="T177" t="s">
        <v>547</v>
      </c>
      <c r="U177" t="s">
        <v>547</v>
      </c>
      <c r="V177" t="s">
        <v>547</v>
      </c>
      <c r="W177" t="s">
        <v>547</v>
      </c>
      <c r="X177" t="s">
        <v>547</v>
      </c>
      <c r="Y177" t="s">
        <v>547</v>
      </c>
      <c r="Z177" s="4" t="s">
        <v>1051</v>
      </c>
      <c r="AA177" t="s">
        <v>1015</v>
      </c>
      <c r="AB177" s="3" t="s">
        <v>547</v>
      </c>
      <c r="AC177" s="2" t="s">
        <v>547</v>
      </c>
      <c r="AD177" s="4" t="s">
        <v>547</v>
      </c>
      <c r="AE177" t="s">
        <v>547</v>
      </c>
      <c r="AF177" t="s">
        <v>547</v>
      </c>
      <c r="AG177" s="4" t="s">
        <v>547</v>
      </c>
      <c r="AH177" t="s">
        <v>547</v>
      </c>
      <c r="AI177" t="s">
        <v>547</v>
      </c>
      <c r="AJ177" s="4" t="s">
        <v>547</v>
      </c>
      <c r="AK177" t="s">
        <v>547</v>
      </c>
      <c r="AL177" t="s">
        <v>547</v>
      </c>
      <c r="AM177" s="3" t="s">
        <v>547</v>
      </c>
      <c r="AN177" s="2" t="s">
        <v>547</v>
      </c>
      <c r="AO177" t="s">
        <v>547</v>
      </c>
      <c r="AP177" s="3" t="s">
        <v>547</v>
      </c>
      <c r="AQ177" s="2" t="s">
        <v>547</v>
      </c>
      <c r="AR177" t="s">
        <v>547</v>
      </c>
      <c r="AS177" s="3" t="s">
        <v>547</v>
      </c>
      <c r="AT177" s="2" t="s">
        <v>547</v>
      </c>
      <c r="AU177" s="3" t="s">
        <v>547</v>
      </c>
      <c r="AV177" s="2" t="s">
        <v>547</v>
      </c>
      <c r="AW177" s="3" t="s">
        <v>547</v>
      </c>
      <c r="AX177" s="2" t="s">
        <v>547</v>
      </c>
      <c r="AY177" s="3" t="s">
        <v>547</v>
      </c>
      <c r="AZ177" s="2" t="s">
        <v>547</v>
      </c>
    </row>
    <row r="178" spans="1:52" ht="11.25">
      <c r="A178" t="str">
        <f>HYPERLINK("http://exon.niaid.nih.gov/transcriptome/O_fasciatus/Sup_tab1/links/of-new\of-new-contig_104.txt","of-new-contig_104")</f>
        <v>of-new-contig_104</v>
      </c>
      <c r="B178" t="str">
        <f>HYPERLINK("http://exon.niaid.nih.gov/transcriptome/O_fasciatus/Sup_tab1/links/of-new\of-new-5-64-64-asb-104.txt","Contig-104")</f>
        <v>Contig-104</v>
      </c>
      <c r="C178" t="str">
        <f>HYPERLINK("http://exon.niaid.nih.gov/transcriptome/O_fasciatus/Sup_tab1/links/of-new\of-new-5-64-64-104-CLU.txt","Contig104")</f>
        <v>Contig104</v>
      </c>
      <c r="D178">
        <v>2</v>
      </c>
      <c r="E178">
        <v>402</v>
      </c>
      <c r="F178" t="str">
        <f>HYPERLINK("http://exon.niaid.nih.gov/transcriptome/O_fasciatus/Sup_tab1/links/of-new\of-new-5-64-64-104-qual.txt","89.9")</f>
        <v>89.9</v>
      </c>
      <c r="G178" t="s">
        <v>541</v>
      </c>
      <c r="H178">
        <v>66.9</v>
      </c>
      <c r="I178">
        <v>380</v>
      </c>
      <c r="J178">
        <v>104</v>
      </c>
      <c r="K178" t="s">
        <v>1183</v>
      </c>
      <c r="L178">
        <v>380</v>
      </c>
      <c r="M178" s="3" t="str">
        <f>HYPERLINK("http://exon.niaid.nih.gov/transcriptome/O_fasciatus/Sup_tab1/links/NR\of-new-contig_104-NR.txt","protein gar2 [Plasmodium berghei strain ANKA]")</f>
        <v>protein gar2 [Plasmodium berghei strain ANKA]</v>
      </c>
      <c r="N178" s="2" t="str">
        <f>HYPERLINK("http://www.ncbi.nlm.nih.gov/sutils/blink.cgi?pid=68075567","0.13")</f>
        <v>0.13</v>
      </c>
      <c r="O178" t="s">
        <v>282</v>
      </c>
      <c r="P178">
        <v>98</v>
      </c>
      <c r="Q178">
        <v>509</v>
      </c>
      <c r="R178">
        <v>30</v>
      </c>
      <c r="S178">
        <v>19</v>
      </c>
      <c r="T178">
        <v>76</v>
      </c>
      <c r="U178">
        <v>12</v>
      </c>
      <c r="V178">
        <v>1</v>
      </c>
      <c r="W178" t="s">
        <v>1412</v>
      </c>
      <c r="X178" t="s">
        <v>887</v>
      </c>
      <c r="Y178" t="s">
        <v>283</v>
      </c>
      <c r="Z178" s="4" t="s">
        <v>1025</v>
      </c>
      <c r="AA178" t="s">
        <v>1015</v>
      </c>
      <c r="AB178" s="3" t="s">
        <v>284</v>
      </c>
      <c r="AC178" s="2">
        <f>HYPERLINK("http://exon.niaid.nih.gov/transcriptome/O_fasciatus/Sup_tab1/links/GO\of-new-contig_104-GO.txt",0.075)</f>
        <v>0</v>
      </c>
      <c r="AD178" s="4" t="s">
        <v>285</v>
      </c>
      <c r="AE178" t="s">
        <v>286</v>
      </c>
      <c r="AF178">
        <v>0.075</v>
      </c>
      <c r="AG178" s="4" t="s">
        <v>1137</v>
      </c>
      <c r="AH178" t="s">
        <v>1138</v>
      </c>
      <c r="AI178">
        <v>0.075</v>
      </c>
      <c r="AJ178" s="4" t="s">
        <v>1537</v>
      </c>
      <c r="AK178" t="s">
        <v>1538</v>
      </c>
      <c r="AL178">
        <v>0.075</v>
      </c>
      <c r="AM178" s="3" t="str">
        <f>HYPERLINK("http://exon.niaid.nih.gov/transcriptome/O_fasciatus/Sup_tab1/links/KOG\of-new-contig_104-KOG.txt","Uncharacterized conserved protein")</f>
        <v>Uncharacterized conserved protein</v>
      </c>
      <c r="AN178" s="2" t="str">
        <f>HYPERLINK("http://www.ncbi.nlm.nih.gov/COG/new/shokog.cgi?KOG1248","0.026")</f>
        <v>0.026</v>
      </c>
      <c r="AO178" t="s">
        <v>881</v>
      </c>
      <c r="AP178" s="3" t="str">
        <f>HYPERLINK("http://exon.niaid.nih.gov/transcriptome/O_fasciatus/Sup_tab1/links/CDD\of-new-contig_104-CDD.txt","ARE1")</f>
        <v>ARE1</v>
      </c>
      <c r="AQ178" s="2" t="str">
        <f>HYPERLINK("http://www.ncbi.nlm.nih.gov/Structure/cdd/cddsrv.cgi?uid=COG5056&amp;version=v4.0","0.018")</f>
        <v>0.018</v>
      </c>
      <c r="AR178" t="s">
        <v>287</v>
      </c>
      <c r="AS178" s="3" t="str">
        <f>HYPERLINK("http://exon.niaid.nih.gov/transcriptome/O_fasciatus/Sup_tab1/links/PFAM\of-new-contig_104-PFAM.txt","7tm_6")</f>
        <v>7tm_6</v>
      </c>
      <c r="AT178" s="2" t="str">
        <f>HYPERLINK("http://pfam.wustl.edu/cgi-bin/getdesc?acc=PF02949","0.24")</f>
        <v>0.24</v>
      </c>
      <c r="AU178" s="3" t="str">
        <f>HYPERLINK("http://exon.niaid.nih.gov/transcriptome/O_fasciatus/Sup_tab1/links/SMART\of-new-contig_104-SMART.txt","TLC")</f>
        <v>TLC</v>
      </c>
      <c r="AV178" s="2" t="str">
        <f>HYPERLINK("http://smart.embl-heidelberg.de/smart/do_annotation.pl?DOMAIN=TLC&amp;BLAST=DUMMY","0.11")</f>
        <v>0.11</v>
      </c>
      <c r="AW178" s="3" t="s">
        <v>547</v>
      </c>
      <c r="AX178" s="2" t="s">
        <v>547</v>
      </c>
      <c r="AY178" s="3" t="s">
        <v>547</v>
      </c>
      <c r="AZ178" s="2" t="s">
        <v>547</v>
      </c>
    </row>
    <row r="179" spans="1:52" ht="11.25">
      <c r="A179" t="str">
        <f>HYPERLINK("http://exon.niaid.nih.gov/transcriptome/O_fasciatus/Sup_tab1/links/of-new\of-new-contig_105.txt","of-new-contig_105")</f>
        <v>of-new-contig_105</v>
      </c>
      <c r="B179" t="str">
        <f>HYPERLINK("http://exon.niaid.nih.gov/transcriptome/O_fasciatus/Sup_tab1/links/of-new\of-new-5-64-64-asb-105.txt","Contig-105")</f>
        <v>Contig-105</v>
      </c>
      <c r="C179" t="str">
        <f>HYPERLINK("http://exon.niaid.nih.gov/transcriptome/O_fasciatus/Sup_tab1/links/of-new\of-new-5-64-64-105-CLU.txt","Contig105")</f>
        <v>Contig105</v>
      </c>
      <c r="D179">
        <v>2</v>
      </c>
      <c r="E179">
        <v>155</v>
      </c>
      <c r="F179" t="str">
        <f>HYPERLINK("http://exon.niaid.nih.gov/transcriptome/O_fasciatus/Sup_tab1/links/of-new\of-new-5-64-64-105-qual.txt","76.7")</f>
        <v>76.7</v>
      </c>
      <c r="G179" t="s">
        <v>541</v>
      </c>
      <c r="H179">
        <v>71</v>
      </c>
      <c r="I179">
        <v>136</v>
      </c>
      <c r="J179">
        <v>105</v>
      </c>
      <c r="K179" t="s">
        <v>1184</v>
      </c>
      <c r="L179">
        <v>144</v>
      </c>
      <c r="N179" s="2" t="s">
        <v>547</v>
      </c>
      <c r="O179" t="s">
        <v>547</v>
      </c>
      <c r="P179" t="s">
        <v>547</v>
      </c>
      <c r="Q179" t="s">
        <v>547</v>
      </c>
      <c r="R179" t="s">
        <v>547</v>
      </c>
      <c r="S179" t="s">
        <v>547</v>
      </c>
      <c r="T179" t="s">
        <v>547</v>
      </c>
      <c r="U179" t="s">
        <v>547</v>
      </c>
      <c r="V179" t="s">
        <v>547</v>
      </c>
      <c r="W179" t="s">
        <v>547</v>
      </c>
      <c r="X179" t="s">
        <v>547</v>
      </c>
      <c r="Y179" t="s">
        <v>547</v>
      </c>
      <c r="Z179" s="4" t="s">
        <v>1051</v>
      </c>
      <c r="AA179" t="s">
        <v>1015</v>
      </c>
      <c r="AB179" s="3" t="s">
        <v>547</v>
      </c>
      <c r="AC179" s="2" t="s">
        <v>547</v>
      </c>
      <c r="AD179" s="4" t="s">
        <v>547</v>
      </c>
      <c r="AE179" t="s">
        <v>547</v>
      </c>
      <c r="AF179" t="s">
        <v>547</v>
      </c>
      <c r="AG179" s="4" t="s">
        <v>547</v>
      </c>
      <c r="AH179" t="s">
        <v>547</v>
      </c>
      <c r="AI179" t="s">
        <v>547</v>
      </c>
      <c r="AJ179" s="4" t="s">
        <v>547</v>
      </c>
      <c r="AK179" t="s">
        <v>547</v>
      </c>
      <c r="AL179" t="s">
        <v>547</v>
      </c>
      <c r="AM179" s="3" t="str">
        <f>HYPERLINK("http://exon.niaid.nih.gov/transcriptome/O_fasciatus/Sup_tab1/links/KOG\of-new-contig_105-KOG.txt","Vacuolar sorting protein VPS36")</f>
        <v>Vacuolar sorting protein VPS36</v>
      </c>
      <c r="AN179" s="2" t="str">
        <f>HYPERLINK("http://www.ncbi.nlm.nih.gov/COG/new/shokog.cgi?KOG2760","0.16")</f>
        <v>0.16</v>
      </c>
      <c r="AO179" t="s">
        <v>300</v>
      </c>
      <c r="AP179" s="3" t="str">
        <f>HYPERLINK("http://exon.niaid.nih.gov/transcriptome/O_fasciatus/Sup_tab1/links/CDD\of-new-contig_105-CDD.txt","ATP-synt_A")</f>
        <v>ATP-synt_A</v>
      </c>
      <c r="AQ179" s="2" t="str">
        <f>HYPERLINK("http://www.ncbi.nlm.nih.gov/Structure/cdd/cddsrv.cgi?uid=pfam00119&amp;version=v4.0","0.92")</f>
        <v>0.92</v>
      </c>
      <c r="AR179" t="s">
        <v>288</v>
      </c>
      <c r="AS179" s="3" t="str">
        <f>HYPERLINK("http://exon.niaid.nih.gov/transcriptome/O_fasciatus/Sup_tab1/links/PFAM\of-new-contig_105-PFAM.txt","ATP-synt_A")</f>
        <v>ATP-synt_A</v>
      </c>
      <c r="AT179" s="2" t="str">
        <f>HYPERLINK("http://pfam.wustl.edu/cgi-bin/getdesc?acc=PF00119","0.46")</f>
        <v>0.46</v>
      </c>
      <c r="AU179" s="3" t="str">
        <f>HYPERLINK("http://exon.niaid.nih.gov/transcriptome/O_fasciatus/Sup_tab1/links/SMART\of-new-contig_105-SMART.txt","PSN")</f>
        <v>PSN</v>
      </c>
      <c r="AV179" s="2" t="str">
        <f>HYPERLINK("http://smart.embl-heidelberg.de/smart/do_annotation.pl?DOMAIN=PSN&amp;BLAST=DUMMY","0.16")</f>
        <v>0.16</v>
      </c>
      <c r="AW179" s="3" t="s">
        <v>547</v>
      </c>
      <c r="AX179" s="2" t="s">
        <v>547</v>
      </c>
      <c r="AY179" s="3" t="s">
        <v>547</v>
      </c>
      <c r="AZ179" s="2" t="s">
        <v>547</v>
      </c>
    </row>
    <row r="180" spans="1:52" ht="11.25">
      <c r="A180" t="str">
        <f>HYPERLINK("http://exon.niaid.nih.gov/transcriptome/O_fasciatus/Sup_tab1/links/of-new\of-new-contig_106.txt","of-new-contig_106")</f>
        <v>of-new-contig_106</v>
      </c>
      <c r="B180" t="str">
        <f>HYPERLINK("http://exon.niaid.nih.gov/transcriptome/O_fasciatus/Sup_tab1/links/of-new\of-new-5-64-64-asb-106.txt","Contig-106")</f>
        <v>Contig-106</v>
      </c>
      <c r="C180" t="str">
        <f>HYPERLINK("http://exon.niaid.nih.gov/transcriptome/O_fasciatus/Sup_tab1/links/of-new\of-new-5-64-64-106-CLU.txt","Contig106")</f>
        <v>Contig106</v>
      </c>
      <c r="D180">
        <v>2</v>
      </c>
      <c r="E180">
        <v>427</v>
      </c>
      <c r="F180" t="str">
        <f>HYPERLINK("http://exon.niaid.nih.gov/transcriptome/O_fasciatus/Sup_tab1/links/of-new\of-new-5-64-64-106-qual.txt","92.8")</f>
        <v>92.8</v>
      </c>
      <c r="G180" t="s">
        <v>541</v>
      </c>
      <c r="H180">
        <v>78.7</v>
      </c>
      <c r="I180">
        <v>408</v>
      </c>
      <c r="J180">
        <v>106</v>
      </c>
      <c r="K180" t="s">
        <v>1185</v>
      </c>
      <c r="L180">
        <v>418</v>
      </c>
      <c r="M180" s="3" t="str">
        <f>HYPERLINK("http://exon.niaid.nih.gov/transcriptome/O_fasciatus/Sup_tab1/links/NR\of-new-contig_106-NR.txt","hypothetical protein PB103919.00.0 [Plasmodium berghei strain ANKA]")</f>
        <v>hypothetical protein PB103919.00.0 [Plasmodium berghei strain ANKA]</v>
      </c>
      <c r="N180" s="2" t="str">
        <f>HYPERLINK("http://www.ncbi.nlm.nih.gov/sutils/blink.cgi?pid=68066591","0.29")</f>
        <v>0.29</v>
      </c>
      <c r="O180" t="s">
        <v>289</v>
      </c>
      <c r="P180">
        <v>76</v>
      </c>
      <c r="Q180">
        <v>110</v>
      </c>
      <c r="R180">
        <v>34</v>
      </c>
      <c r="S180">
        <v>69</v>
      </c>
      <c r="T180">
        <v>11</v>
      </c>
      <c r="U180">
        <v>151</v>
      </c>
      <c r="V180">
        <v>1</v>
      </c>
      <c r="W180" t="s">
        <v>1412</v>
      </c>
      <c r="X180" t="s">
        <v>887</v>
      </c>
      <c r="Y180" t="s">
        <v>370</v>
      </c>
      <c r="Z180" s="4" t="s">
        <v>1025</v>
      </c>
      <c r="AA180" t="s">
        <v>1015</v>
      </c>
      <c r="AB180" s="3" t="s">
        <v>547</v>
      </c>
      <c r="AC180" s="2" t="s">
        <v>547</v>
      </c>
      <c r="AD180" s="4" t="s">
        <v>547</v>
      </c>
      <c r="AE180" t="s">
        <v>547</v>
      </c>
      <c r="AF180" t="s">
        <v>547</v>
      </c>
      <c r="AG180" s="4" t="s">
        <v>547</v>
      </c>
      <c r="AH180" t="s">
        <v>547</v>
      </c>
      <c r="AI180" t="s">
        <v>547</v>
      </c>
      <c r="AJ180" s="4" t="s">
        <v>547</v>
      </c>
      <c r="AK180" t="s">
        <v>547</v>
      </c>
      <c r="AL180" t="s">
        <v>547</v>
      </c>
      <c r="AM180" s="3" t="str">
        <f>HYPERLINK("http://exon.niaid.nih.gov/transcriptome/O_fasciatus/Sup_tab1/links/KOG\of-new-contig_106-KOG.txt","Predicted membrane protein")</f>
        <v>Predicted membrane protein</v>
      </c>
      <c r="AN180" s="2" t="str">
        <f>HYPERLINK("http://www.ncbi.nlm.nih.gov/COG/new/shokog.cgi?KOG2890","0.28")</f>
        <v>0.28</v>
      </c>
      <c r="AO180" t="s">
        <v>881</v>
      </c>
      <c r="AP180" s="3" t="str">
        <f>HYPERLINK("http://exon.niaid.nih.gov/transcriptome/O_fasciatus/Sup_tab1/links/CDD\of-new-contig_106-CDD.txt","TatC")</f>
        <v>TatC</v>
      </c>
      <c r="AQ180" s="2" t="str">
        <f>HYPERLINK("http://www.ncbi.nlm.nih.gov/Structure/cdd/cddsrv.cgi?uid=pfam00902&amp;version=v4.0","0.023")</f>
        <v>0.023</v>
      </c>
      <c r="AR180" t="s">
        <v>371</v>
      </c>
      <c r="AS180" s="3" t="str">
        <f>HYPERLINK("http://exon.niaid.nih.gov/transcriptome/O_fasciatus/Sup_tab1/links/PFAM\of-new-contig_106-PFAM.txt","Borrelia_orfA")</f>
        <v>Borrelia_orfA</v>
      </c>
      <c r="AT180" s="2" t="str">
        <f>HYPERLINK("http://pfam.wustl.edu/cgi-bin/getdesc?acc=PF02414","0.004")</f>
        <v>0.004</v>
      </c>
      <c r="AU180" s="3" t="str">
        <f>HYPERLINK("http://exon.niaid.nih.gov/transcriptome/O_fasciatus/Sup_tab1/links/SMART\of-new-contig_106-SMART.txt","PSN")</f>
        <v>PSN</v>
      </c>
      <c r="AV180" s="2" t="str">
        <f>HYPERLINK("http://smart.embl-heidelberg.de/smart/do_annotation.pl?DOMAIN=PSN&amp;BLAST=DUMMY","0.040")</f>
        <v>0.040</v>
      </c>
      <c r="AW180" s="3" t="s">
        <v>547</v>
      </c>
      <c r="AX180" s="2" t="s">
        <v>547</v>
      </c>
      <c r="AY180" s="3" t="s">
        <v>547</v>
      </c>
      <c r="AZ180" s="2" t="s">
        <v>547</v>
      </c>
    </row>
    <row r="181" spans="1:52" ht="11.25">
      <c r="A181" t="str">
        <f>HYPERLINK("http://exon.niaid.nih.gov/transcriptome/O_fasciatus/Sup_tab1/links/of-new\of-new-contig_107.txt","of-new-contig_107")</f>
        <v>of-new-contig_107</v>
      </c>
      <c r="B181" t="str">
        <f>HYPERLINK("http://exon.niaid.nih.gov/transcriptome/O_fasciatus/Sup_tab1/links/of-new\of-new-5-64-64-asb-107.txt","Contig-107")</f>
        <v>Contig-107</v>
      </c>
      <c r="C181" t="str">
        <f>HYPERLINK("http://exon.niaid.nih.gov/transcriptome/O_fasciatus/Sup_tab1/links/of-new\of-new-5-64-64-107-CLU.txt","Contig107")</f>
        <v>Contig107</v>
      </c>
      <c r="D181">
        <v>2</v>
      </c>
      <c r="E181">
        <v>741</v>
      </c>
      <c r="F181" t="str">
        <f>HYPERLINK("http://exon.niaid.nih.gov/transcriptome/O_fasciatus/Sup_tab1/links/of-new\of-new-5-64-64-107-qual.txt","78.4")</f>
        <v>78.4</v>
      </c>
      <c r="G181" t="s">
        <v>541</v>
      </c>
      <c r="H181">
        <v>67.9</v>
      </c>
      <c r="I181">
        <v>719</v>
      </c>
      <c r="J181">
        <v>107</v>
      </c>
      <c r="K181" t="s">
        <v>1186</v>
      </c>
      <c r="L181">
        <v>724</v>
      </c>
      <c r="M181" s="3" t="str">
        <f>HYPERLINK("http://exon.niaid.nih.gov/transcriptome/O_fasciatus/Sup_tab1/links/NR\of-new-contig_107-NR.txt","hypothetical protein XF0391 [Xylella fastidiosa 9a5c]")</f>
        <v>hypothetical protein XF0391 [Xylella fastidiosa 9a5c]</v>
      </c>
      <c r="N181" s="2" t="str">
        <f>HYPERLINK("http://www.ncbi.nlm.nih.gov/sutils/blink.cgi?pid=15836993","9.8")</f>
        <v>9.8</v>
      </c>
      <c r="O181" t="s">
        <v>372</v>
      </c>
      <c r="P181">
        <v>36</v>
      </c>
      <c r="Q181">
        <v>85</v>
      </c>
      <c r="R181">
        <v>44</v>
      </c>
      <c r="S181">
        <v>42</v>
      </c>
      <c r="T181">
        <v>35</v>
      </c>
      <c r="U181">
        <v>503</v>
      </c>
      <c r="V181">
        <v>1</v>
      </c>
      <c r="W181" t="s">
        <v>1412</v>
      </c>
      <c r="X181" t="s">
        <v>373</v>
      </c>
      <c r="Y181" t="s">
        <v>374</v>
      </c>
      <c r="Z181" s="4" t="s">
        <v>1025</v>
      </c>
      <c r="AA181" t="s">
        <v>1015</v>
      </c>
      <c r="AB181" s="3" t="s">
        <v>547</v>
      </c>
      <c r="AC181" s="2" t="s">
        <v>547</v>
      </c>
      <c r="AD181" s="4" t="s">
        <v>547</v>
      </c>
      <c r="AE181" t="s">
        <v>547</v>
      </c>
      <c r="AF181" t="s">
        <v>547</v>
      </c>
      <c r="AG181" s="4" t="s">
        <v>547</v>
      </c>
      <c r="AH181" t="s">
        <v>547</v>
      </c>
      <c r="AI181" t="s">
        <v>547</v>
      </c>
      <c r="AJ181" s="4" t="s">
        <v>547</v>
      </c>
      <c r="AK181" t="s">
        <v>547</v>
      </c>
      <c r="AL181" t="s">
        <v>547</v>
      </c>
      <c r="AM181" s="3" t="s">
        <v>547</v>
      </c>
      <c r="AN181" s="2" t="s">
        <v>547</v>
      </c>
      <c r="AO181" t="s">
        <v>547</v>
      </c>
      <c r="AP181" s="3" t="str">
        <f>HYPERLINK("http://exon.niaid.nih.gov/transcriptome/O_fasciatus/Sup_tab1/links/CDD\of-new-contig_107-CDD.txt","MopB_Formate-Dh")</f>
        <v>MopB_Formate-Dh</v>
      </c>
      <c r="AQ181" s="2" t="str">
        <f>HYPERLINK("http://www.ncbi.nlm.nih.gov/Structure/cdd/cddsrv.cgi?uid=cd02752&amp;version=v4.0","0.84")</f>
        <v>0.84</v>
      </c>
      <c r="AR181" t="s">
        <v>375</v>
      </c>
      <c r="AS181" s="3" t="str">
        <f>HYPERLINK("http://exon.niaid.nih.gov/transcriptome/O_fasciatus/Sup_tab1/links/PFAM\of-new-contig_107-PFAM.txt","Dicty_REP")</f>
        <v>Dicty_REP</v>
      </c>
      <c r="AT181" s="2" t="str">
        <f>HYPERLINK("http://pfam.wustl.edu/cgi-bin/getdesc?acc=PF05086","0.75")</f>
        <v>0.75</v>
      </c>
      <c r="AU181" s="3" t="str">
        <f>HYPERLINK("http://exon.niaid.nih.gov/transcriptome/O_fasciatus/Sup_tab1/links/SMART\of-new-contig_107-SMART.txt","Aamy")</f>
        <v>Aamy</v>
      </c>
      <c r="AV181" s="2" t="str">
        <f>HYPERLINK("http://smart.embl-heidelberg.de/smart/do_annotation.pl?DOMAIN=Aamy&amp;BLAST=DUMMY","0.22")</f>
        <v>0.22</v>
      </c>
      <c r="AW181" s="3" t="s">
        <v>547</v>
      </c>
      <c r="AX181" s="2" t="s">
        <v>547</v>
      </c>
      <c r="AY181" s="3" t="s">
        <v>547</v>
      </c>
      <c r="AZ181" s="2" t="s">
        <v>547</v>
      </c>
    </row>
    <row r="182" spans="1:52" ht="11.25">
      <c r="A182" t="str">
        <f>HYPERLINK("http://exon.niaid.nih.gov/transcriptome/O_fasciatus/Sup_tab1/links/of-new\of-new-contig_108.txt","of-new-contig_108")</f>
        <v>of-new-contig_108</v>
      </c>
      <c r="B182" t="str">
        <f>HYPERLINK("http://exon.niaid.nih.gov/transcriptome/O_fasciatus/Sup_tab1/links/of-new\of-new-5-64-64-asb-108.txt","Contig-108")</f>
        <v>Contig-108</v>
      </c>
      <c r="C182" t="str">
        <f>HYPERLINK("http://exon.niaid.nih.gov/transcriptome/O_fasciatus/Sup_tab1/links/of-new\of-new-5-64-64-108-CLU.txt","Contig108")</f>
        <v>Contig108</v>
      </c>
      <c r="D182">
        <v>2</v>
      </c>
      <c r="E182">
        <v>356</v>
      </c>
      <c r="F182" t="str">
        <f>HYPERLINK("http://exon.niaid.nih.gov/transcriptome/O_fasciatus/Sup_tab1/links/of-new\of-new-5-64-64-108-qual.txt","90.5")</f>
        <v>90.5</v>
      </c>
      <c r="G182" t="s">
        <v>541</v>
      </c>
      <c r="H182">
        <v>75.8</v>
      </c>
      <c r="I182">
        <v>337</v>
      </c>
      <c r="J182">
        <v>108</v>
      </c>
      <c r="K182" t="s">
        <v>1187</v>
      </c>
      <c r="L182">
        <v>338</v>
      </c>
      <c r="M182" s="3" t="str">
        <f>HYPERLINK("http://exon.niaid.nih.gov/transcriptome/O_fasciatus/Sup_tab1/links/NR\of-new-contig_108-NR.txt","hypothetical protein lmo1079 [Listeria monocytogenes EGD-e]")</f>
        <v>hypothetical protein lmo1079 [Listeria monocytogenes EGD-e]</v>
      </c>
      <c r="N182" s="2" t="str">
        <f>HYPERLINK("http://www.ncbi.nlm.nih.gov/sutils/blink.cgi?pid=16803119","1.4")</f>
        <v>1.4</v>
      </c>
      <c r="O182" t="s">
        <v>376</v>
      </c>
      <c r="P182">
        <v>22</v>
      </c>
      <c r="Q182">
        <v>952</v>
      </c>
      <c r="R182">
        <v>59</v>
      </c>
      <c r="S182">
        <v>2</v>
      </c>
      <c r="T182">
        <v>192</v>
      </c>
      <c r="U182">
        <v>153</v>
      </c>
      <c r="V182">
        <v>1</v>
      </c>
      <c r="W182" t="s">
        <v>1412</v>
      </c>
      <c r="X182" t="s">
        <v>377</v>
      </c>
      <c r="Y182" t="s">
        <v>378</v>
      </c>
      <c r="Z182" s="4" t="s">
        <v>1025</v>
      </c>
      <c r="AA182" t="s">
        <v>1015</v>
      </c>
      <c r="AB182" s="3" t="s">
        <v>547</v>
      </c>
      <c r="AC182" s="2" t="s">
        <v>547</v>
      </c>
      <c r="AD182" s="4" t="s">
        <v>547</v>
      </c>
      <c r="AE182" t="s">
        <v>547</v>
      </c>
      <c r="AF182" t="s">
        <v>547</v>
      </c>
      <c r="AG182" s="4" t="s">
        <v>547</v>
      </c>
      <c r="AH182" t="s">
        <v>547</v>
      </c>
      <c r="AI182" t="s">
        <v>547</v>
      </c>
      <c r="AJ182" s="4" t="s">
        <v>547</v>
      </c>
      <c r="AK182" t="s">
        <v>547</v>
      </c>
      <c r="AL182" t="s">
        <v>547</v>
      </c>
      <c r="AM182" s="3" t="str">
        <f>HYPERLINK("http://exon.niaid.nih.gov/transcriptome/O_fasciatus/Sup_tab1/links/KOG\of-new-contig_108-KOG.txt","Uncharacterized conserved protein")</f>
        <v>Uncharacterized conserved protein</v>
      </c>
      <c r="AN182" s="2" t="str">
        <f>HYPERLINK("http://www.ncbi.nlm.nih.gov/COG/new/shokog.cgi?KOG4054","0.58")</f>
        <v>0.58</v>
      </c>
      <c r="AO182" t="s">
        <v>881</v>
      </c>
      <c r="AP182" s="3" t="s">
        <v>547</v>
      </c>
      <c r="AQ182" s="2" t="s">
        <v>547</v>
      </c>
      <c r="AR182" t="s">
        <v>547</v>
      </c>
      <c r="AS182" s="3" t="str">
        <f>HYPERLINK("http://exon.niaid.nih.gov/transcriptome/O_fasciatus/Sup_tab1/links/PFAM\of-new-contig_108-PFAM.txt","DUF1157")</f>
        <v>DUF1157</v>
      </c>
      <c r="AT182" s="2" t="str">
        <f>HYPERLINK("http://pfam.wustl.edu/cgi-bin/getdesc?acc=PF06636","0.37")</f>
        <v>0.37</v>
      </c>
      <c r="AU182" s="3" t="str">
        <f>HYPERLINK("http://exon.niaid.nih.gov/transcriptome/O_fasciatus/Sup_tab1/links/SMART\of-new-contig_108-SMART.txt","HECTc")</f>
        <v>HECTc</v>
      </c>
      <c r="AV182" s="2" t="str">
        <f>HYPERLINK("http://smart.embl-heidelberg.de/smart/do_annotation.pl?DOMAIN=HECTc&amp;BLAST=DUMMY","0.16")</f>
        <v>0.16</v>
      </c>
      <c r="AW182" s="3" t="s">
        <v>547</v>
      </c>
      <c r="AX182" s="2" t="s">
        <v>547</v>
      </c>
      <c r="AY182" s="3" t="s">
        <v>547</v>
      </c>
      <c r="AZ182" s="2" t="s">
        <v>547</v>
      </c>
    </row>
    <row r="183" spans="1:52" ht="11.25">
      <c r="A183" t="str">
        <f>HYPERLINK("http://exon.niaid.nih.gov/transcriptome/O_fasciatus/Sup_tab1/links/of-new\of-new-contig_111.txt","of-new-contig_111")</f>
        <v>of-new-contig_111</v>
      </c>
      <c r="B183" t="str">
        <f>HYPERLINK("http://exon.niaid.nih.gov/transcriptome/O_fasciatus/Sup_tab1/links/of-new\of-new-5-64-64-asb-111.txt","Contig-111")</f>
        <v>Contig-111</v>
      </c>
      <c r="C183" t="str">
        <f>HYPERLINK("http://exon.niaid.nih.gov/transcriptome/O_fasciatus/Sup_tab1/links/of-new\of-new-5-64-64-111-CLU.txt","Contig111")</f>
        <v>Contig111</v>
      </c>
      <c r="D183">
        <v>2</v>
      </c>
      <c r="E183">
        <v>318</v>
      </c>
      <c r="F183" t="str">
        <f>HYPERLINK("http://exon.niaid.nih.gov/transcriptome/O_fasciatus/Sup_tab1/links/of-new\of-new-5-64-64-111-qual.txt","89.4")</f>
        <v>89.4</v>
      </c>
      <c r="G183" t="s">
        <v>541</v>
      </c>
      <c r="H183">
        <v>75.8</v>
      </c>
      <c r="I183">
        <v>299</v>
      </c>
      <c r="J183">
        <v>111</v>
      </c>
      <c r="K183" t="s">
        <v>1190</v>
      </c>
      <c r="L183">
        <v>299</v>
      </c>
      <c r="M183" s="3" t="str">
        <f>HYPERLINK("http://exon.niaid.nih.gov/transcriptome/O_fasciatus/Sup_tab1/links/NR\of-new-contig_111-NR.txt","hypothetical protein CTC00799 [Clostridium tetani E88]")</f>
        <v>hypothetical protein CTC00799 [Clostridium tetani E88]</v>
      </c>
      <c r="N183" s="2" t="str">
        <f>HYPERLINK("http://www.ncbi.nlm.nih.gov/sutils/blink.cgi?pid=28210516","3.2")</f>
        <v>3.2</v>
      </c>
      <c r="O183" t="s">
        <v>384</v>
      </c>
      <c r="P183">
        <v>72</v>
      </c>
      <c r="Q183">
        <v>198</v>
      </c>
      <c r="R183">
        <v>33</v>
      </c>
      <c r="S183">
        <v>36</v>
      </c>
      <c r="T183">
        <v>118</v>
      </c>
      <c r="U183">
        <v>84</v>
      </c>
      <c r="V183">
        <v>1</v>
      </c>
      <c r="W183" t="s">
        <v>1412</v>
      </c>
      <c r="X183" t="s">
        <v>385</v>
      </c>
      <c r="Y183" t="s">
        <v>386</v>
      </c>
      <c r="Z183" s="4" t="s">
        <v>1025</v>
      </c>
      <c r="AA183" t="s">
        <v>1015</v>
      </c>
      <c r="AB183" s="3" t="s">
        <v>547</v>
      </c>
      <c r="AC183" s="2" t="s">
        <v>547</v>
      </c>
      <c r="AD183" s="4" t="s">
        <v>547</v>
      </c>
      <c r="AE183" t="s">
        <v>547</v>
      </c>
      <c r="AF183" t="s">
        <v>547</v>
      </c>
      <c r="AG183" s="4" t="s">
        <v>547</v>
      </c>
      <c r="AH183" t="s">
        <v>547</v>
      </c>
      <c r="AI183" t="s">
        <v>547</v>
      </c>
      <c r="AJ183" s="4" t="s">
        <v>547</v>
      </c>
      <c r="AK183" t="s">
        <v>547</v>
      </c>
      <c r="AL183" t="s">
        <v>547</v>
      </c>
      <c r="AM183" s="3" t="str">
        <f>HYPERLINK("http://exon.niaid.nih.gov/transcriptome/O_fasciatus/Sup_tab1/links/KOG\of-new-contig_111-KOG.txt","Endosomal membrane proteins, EMP70")</f>
        <v>Endosomal membrane proteins, EMP70</v>
      </c>
      <c r="AN183" s="2" t="str">
        <f>HYPERLINK("http://www.ncbi.nlm.nih.gov/COG/new/shokog.cgi?KOG1277","0.070")</f>
        <v>0.070</v>
      </c>
      <c r="AO183" t="s">
        <v>300</v>
      </c>
      <c r="AP183" s="3" t="str">
        <f>HYPERLINK("http://exon.niaid.nih.gov/transcriptome/O_fasciatus/Sup_tab1/links/CDD\of-new-contig_111-CDD.txt","Ubiquinol_oxida")</f>
        <v>Ubiquinol_oxida</v>
      </c>
      <c r="AQ183" s="2" t="str">
        <f>HYPERLINK("http://www.ncbi.nlm.nih.gov/Structure/cdd/cddsrv.cgi?uid=cd02863&amp;version=v4.0","0.33")</f>
        <v>0.33</v>
      </c>
      <c r="AR183" t="s">
        <v>387</v>
      </c>
      <c r="AS183" s="3" t="str">
        <f>HYPERLINK("http://exon.niaid.nih.gov/transcriptome/O_fasciatus/Sup_tab1/links/PFAM\of-new-contig_111-PFAM.txt","Tenui_PVC2")</f>
        <v>Tenui_PVC2</v>
      </c>
      <c r="AT183" s="2" t="str">
        <f>HYPERLINK("http://pfam.wustl.edu/cgi-bin/getdesc?acc=PF06656","0.48")</f>
        <v>0.48</v>
      </c>
      <c r="AU183" s="3" t="str">
        <f>HYPERLINK("http://exon.niaid.nih.gov/transcriptome/O_fasciatus/Sup_tab1/links/SMART\of-new-contig_111-SMART.txt","TLC")</f>
        <v>TLC</v>
      </c>
      <c r="AV183" s="2" t="str">
        <f>HYPERLINK("http://smart.embl-heidelberg.de/smart/do_annotation.pl?DOMAIN=TLC&amp;BLAST=DUMMY","0.075")</f>
        <v>0.075</v>
      </c>
      <c r="AW183" s="3" t="s">
        <v>547</v>
      </c>
      <c r="AX183" s="2" t="s">
        <v>547</v>
      </c>
      <c r="AY183" s="3" t="s">
        <v>547</v>
      </c>
      <c r="AZ183" s="2" t="s">
        <v>547</v>
      </c>
    </row>
    <row r="184" spans="1:52" ht="11.25">
      <c r="A184" t="str">
        <f>HYPERLINK("http://exon.niaid.nih.gov/transcriptome/O_fasciatus/Sup_tab1/links/of-new\of-new-contig_113.txt","of-new-contig_113")</f>
        <v>of-new-contig_113</v>
      </c>
      <c r="B184" t="str">
        <f>HYPERLINK("http://exon.niaid.nih.gov/transcriptome/O_fasciatus/Sup_tab1/links/of-new\of-new-5-64-64-asb-113.txt","Contig-113")</f>
        <v>Contig-113</v>
      </c>
      <c r="C184" t="str">
        <f>HYPERLINK("http://exon.niaid.nih.gov/transcriptome/O_fasciatus/Sup_tab1/links/of-new\of-new-5-64-64-113-CLU.txt","Contig113")</f>
        <v>Contig113</v>
      </c>
      <c r="D184">
        <v>2</v>
      </c>
      <c r="E184">
        <v>208</v>
      </c>
      <c r="F184" t="str">
        <f>HYPERLINK("http://exon.niaid.nih.gov/transcriptome/O_fasciatus/Sup_tab1/links/of-new\of-new-5-64-64-113-qual.txt","80.6")</f>
        <v>80.6</v>
      </c>
      <c r="G184" t="s">
        <v>541</v>
      </c>
      <c r="H184">
        <v>74</v>
      </c>
      <c r="I184">
        <v>189</v>
      </c>
      <c r="J184">
        <v>113</v>
      </c>
      <c r="K184" t="s">
        <v>1192</v>
      </c>
      <c r="L184">
        <v>195</v>
      </c>
      <c r="M184" s="3" t="str">
        <f>HYPERLINK("http://exon.niaid.nih.gov/transcriptome/O_fasciatus/Sup_tab1/links/NR\of-new-contig_113-NR.txt","Hypothetical protein CBG00982")</f>
        <v>Hypothetical protein CBG00982</v>
      </c>
      <c r="N184" s="2" t="str">
        <f>HYPERLINK("http://www.ncbi.nlm.nih.gov/sutils/blink.cgi?pid=39589196","7.0")</f>
        <v>7.0</v>
      </c>
      <c r="O184" t="s">
        <v>4</v>
      </c>
      <c r="P184">
        <v>46</v>
      </c>
      <c r="Q184">
        <v>397</v>
      </c>
      <c r="R184">
        <v>43</v>
      </c>
      <c r="S184">
        <v>12</v>
      </c>
      <c r="T184">
        <v>23</v>
      </c>
      <c r="U184">
        <v>53</v>
      </c>
      <c r="V184">
        <v>1</v>
      </c>
      <c r="W184" t="s">
        <v>1412</v>
      </c>
      <c r="X184" t="s">
        <v>5</v>
      </c>
      <c r="Y184" t="s">
        <v>6</v>
      </c>
      <c r="Z184" s="4" t="s">
        <v>1025</v>
      </c>
      <c r="AA184" t="s">
        <v>1015</v>
      </c>
      <c r="AB184" s="3" t="s">
        <v>547</v>
      </c>
      <c r="AC184" s="2" t="s">
        <v>547</v>
      </c>
      <c r="AD184" s="4" t="s">
        <v>547</v>
      </c>
      <c r="AE184" t="s">
        <v>547</v>
      </c>
      <c r="AF184" t="s">
        <v>547</v>
      </c>
      <c r="AG184" s="4" t="s">
        <v>547</v>
      </c>
      <c r="AH184" t="s">
        <v>547</v>
      </c>
      <c r="AI184" t="s">
        <v>547</v>
      </c>
      <c r="AJ184" s="4" t="s">
        <v>547</v>
      </c>
      <c r="AK184" t="s">
        <v>547</v>
      </c>
      <c r="AL184" t="s">
        <v>547</v>
      </c>
      <c r="AM184" s="3" t="s">
        <v>547</v>
      </c>
      <c r="AN184" s="2" t="s">
        <v>547</v>
      </c>
      <c r="AO184" t="s">
        <v>547</v>
      </c>
      <c r="AP184" s="3" t="s">
        <v>547</v>
      </c>
      <c r="AQ184" s="2" t="s">
        <v>547</v>
      </c>
      <c r="AR184" t="s">
        <v>547</v>
      </c>
      <c r="AS184" s="3" t="s">
        <v>547</v>
      </c>
      <c r="AT184" s="2" t="s">
        <v>547</v>
      </c>
      <c r="AU184" s="3" t="str">
        <f>HYPERLINK("http://exon.niaid.nih.gov/transcriptome/O_fasciatus/Sup_tab1/links/SMART\of-new-contig_113-SMART.txt","Sema")</f>
        <v>Sema</v>
      </c>
      <c r="AV184" s="2" t="str">
        <f>HYPERLINK("http://smart.embl-heidelberg.de/smart/do_annotation.pl?DOMAIN=Sema&amp;BLAST=DUMMY","0.75")</f>
        <v>0.75</v>
      </c>
      <c r="AW184" s="3" t="s">
        <v>547</v>
      </c>
      <c r="AX184" s="2" t="s">
        <v>547</v>
      </c>
      <c r="AY184" s="3" t="s">
        <v>547</v>
      </c>
      <c r="AZ184" s="2" t="s">
        <v>547</v>
      </c>
    </row>
    <row r="185" spans="1:52" ht="11.25">
      <c r="A185" t="str">
        <f>HYPERLINK("http://exon.niaid.nih.gov/transcriptome/O_fasciatus/Sup_tab1/links/of-new\of-new-contig_115.txt","of-new-contig_115")</f>
        <v>of-new-contig_115</v>
      </c>
      <c r="B185" t="str">
        <f>HYPERLINK("http://exon.niaid.nih.gov/transcriptome/O_fasciatus/Sup_tab1/links/of-new\of-new-5-64-64-asb-115.txt","Contig-115")</f>
        <v>Contig-115</v>
      </c>
      <c r="C185" t="str">
        <f>HYPERLINK("http://exon.niaid.nih.gov/transcriptome/O_fasciatus/Sup_tab1/links/of-new\of-new-5-64-64-115-CLU.txt","Contig115")</f>
        <v>Contig115</v>
      </c>
      <c r="D185">
        <v>2</v>
      </c>
      <c r="E185">
        <v>292</v>
      </c>
      <c r="F185" t="str">
        <f>HYPERLINK("http://exon.niaid.nih.gov/transcriptome/O_fasciatus/Sup_tab1/links/of-new\of-new-5-64-64-115-qual.txt","88.6")</f>
        <v>88.6</v>
      </c>
      <c r="G185" t="s">
        <v>541</v>
      </c>
      <c r="H185">
        <v>68.8</v>
      </c>
      <c r="I185">
        <v>273</v>
      </c>
      <c r="J185">
        <v>115</v>
      </c>
      <c r="K185" t="s">
        <v>1194</v>
      </c>
      <c r="L185">
        <v>273</v>
      </c>
      <c r="M185" s="3" t="str">
        <f>HYPERLINK("http://exon.niaid.nih.gov/transcriptome/O_fasciatus/Sup_tab1/links/NR\of-new-contig_115-NR.txt","hypothetical protein b3220 [Escherichia coli K12]")</f>
        <v>hypothetical protein b3220 [Escherichia coli K12]</v>
      </c>
      <c r="N185" s="2" t="str">
        <f>HYPERLINK("http://www.ncbi.nlm.nih.gov/sutils/blink.cgi?pid=16131110","0.66")</f>
        <v>0.66</v>
      </c>
      <c r="O185" t="s">
        <v>17</v>
      </c>
      <c r="P185">
        <v>33</v>
      </c>
      <c r="Q185">
        <v>375</v>
      </c>
      <c r="R185">
        <v>48</v>
      </c>
      <c r="S185">
        <v>9</v>
      </c>
      <c r="T185">
        <v>95</v>
      </c>
      <c r="U185">
        <v>78</v>
      </c>
      <c r="V185">
        <v>1</v>
      </c>
      <c r="W185" t="s">
        <v>1412</v>
      </c>
      <c r="X185" t="s">
        <v>18</v>
      </c>
      <c r="Y185" t="s">
        <v>19</v>
      </c>
      <c r="Z185" s="4" t="s">
        <v>1025</v>
      </c>
      <c r="AA185" t="s">
        <v>1015</v>
      </c>
      <c r="AB185" s="3" t="s">
        <v>547</v>
      </c>
      <c r="AC185" s="2" t="s">
        <v>547</v>
      </c>
      <c r="AD185" s="4" t="s">
        <v>547</v>
      </c>
      <c r="AE185" t="s">
        <v>547</v>
      </c>
      <c r="AF185" t="s">
        <v>547</v>
      </c>
      <c r="AG185" s="4" t="s">
        <v>547</v>
      </c>
      <c r="AH185" t="s">
        <v>547</v>
      </c>
      <c r="AI185" t="s">
        <v>547</v>
      </c>
      <c r="AJ185" s="4" t="s">
        <v>547</v>
      </c>
      <c r="AK185" t="s">
        <v>547</v>
      </c>
      <c r="AL185" t="s">
        <v>547</v>
      </c>
      <c r="AM185" s="3" t="str">
        <f>HYPERLINK("http://exon.niaid.nih.gov/transcriptome/O_fasciatus/Sup_tab1/links/KOG\of-new-contig_115-KOG.txt","ATP synthase F0 subunit 6 and related proteins")</f>
        <v>ATP synthase F0 subunit 6 and related proteins</v>
      </c>
      <c r="AN185" s="2" t="str">
        <f>HYPERLINK("http://www.ncbi.nlm.nih.gov/COG/new/shokog.cgi?KOG4665","0.53")</f>
        <v>0.53</v>
      </c>
      <c r="AO185" t="s">
        <v>1430</v>
      </c>
      <c r="AP185" s="3" t="s">
        <v>547</v>
      </c>
      <c r="AQ185" s="2" t="s">
        <v>547</v>
      </c>
      <c r="AR185" t="s">
        <v>547</v>
      </c>
      <c r="AS185" s="3" t="str">
        <f>HYPERLINK("http://exon.niaid.nih.gov/transcriptome/O_fasciatus/Sup_tab1/links/PFAM\of-new-contig_115-PFAM.txt","OPT")</f>
        <v>OPT</v>
      </c>
      <c r="AT185" s="2" t="str">
        <f>HYPERLINK("http://pfam.wustl.edu/cgi-bin/getdesc?acc=PF03169","0.99")</f>
        <v>0.99</v>
      </c>
      <c r="AU185" s="3" t="str">
        <f>HYPERLINK("http://exon.niaid.nih.gov/transcriptome/O_fasciatus/Sup_tab1/links/SMART\of-new-contig_115-SMART.txt","PSN")</f>
        <v>PSN</v>
      </c>
      <c r="AV185" s="2" t="str">
        <f>HYPERLINK("http://smart.embl-heidelberg.de/smart/do_annotation.pl?DOMAIN=PSN&amp;BLAST=DUMMY","0.93")</f>
        <v>0.93</v>
      </c>
      <c r="AW185" s="3" t="s">
        <v>547</v>
      </c>
      <c r="AX185" s="2" t="s">
        <v>547</v>
      </c>
      <c r="AY185" s="3" t="s">
        <v>547</v>
      </c>
      <c r="AZ185" s="2" t="s">
        <v>547</v>
      </c>
    </row>
    <row r="186" spans="1:52" ht="11.25">
      <c r="A186" t="str">
        <f>HYPERLINK("http://exon.niaid.nih.gov/transcriptome/O_fasciatus/Sup_tab1/links/of-new\of-new-contig_116.txt","of-new-contig_116")</f>
        <v>of-new-contig_116</v>
      </c>
      <c r="B186" t="str">
        <f>HYPERLINK("http://exon.niaid.nih.gov/transcriptome/O_fasciatus/Sup_tab1/links/of-new\of-new-5-64-64-asb-116.txt","Contig-116")</f>
        <v>Contig-116</v>
      </c>
      <c r="C186" t="str">
        <f>HYPERLINK("http://exon.niaid.nih.gov/transcriptome/O_fasciatus/Sup_tab1/links/of-new\of-new-5-64-64-116-CLU.txt","Contig116")</f>
        <v>Contig116</v>
      </c>
      <c r="D186">
        <v>2</v>
      </c>
      <c r="E186">
        <v>133</v>
      </c>
      <c r="F186" t="str">
        <f>HYPERLINK("http://exon.niaid.nih.gov/transcriptome/O_fasciatus/Sup_tab1/links/of-new\of-new-5-64-64-116-qual.txt","74.")</f>
        <v>74.</v>
      </c>
      <c r="G186" t="s">
        <v>541</v>
      </c>
      <c r="H186">
        <v>79.7</v>
      </c>
      <c r="I186">
        <v>114</v>
      </c>
      <c r="J186">
        <v>116</v>
      </c>
      <c r="K186" t="s">
        <v>1195</v>
      </c>
      <c r="L186">
        <v>114</v>
      </c>
      <c r="N186" s="2" t="s">
        <v>547</v>
      </c>
      <c r="O186" t="s">
        <v>547</v>
      </c>
      <c r="P186" t="s">
        <v>547</v>
      </c>
      <c r="Q186" t="s">
        <v>547</v>
      </c>
      <c r="R186" t="s">
        <v>547</v>
      </c>
      <c r="S186" t="s">
        <v>547</v>
      </c>
      <c r="T186" t="s">
        <v>547</v>
      </c>
      <c r="U186" t="s">
        <v>547</v>
      </c>
      <c r="V186" t="s">
        <v>547</v>
      </c>
      <c r="W186" t="s">
        <v>547</v>
      </c>
      <c r="X186" t="s">
        <v>547</v>
      </c>
      <c r="Y186" t="s">
        <v>547</v>
      </c>
      <c r="Z186" s="4" t="s">
        <v>1051</v>
      </c>
      <c r="AA186" t="s">
        <v>1015</v>
      </c>
      <c r="AB186" s="3" t="s">
        <v>547</v>
      </c>
      <c r="AC186" s="2" t="s">
        <v>547</v>
      </c>
      <c r="AD186" s="4" t="s">
        <v>547</v>
      </c>
      <c r="AE186" t="s">
        <v>547</v>
      </c>
      <c r="AF186" t="s">
        <v>547</v>
      </c>
      <c r="AG186" s="4" t="s">
        <v>547</v>
      </c>
      <c r="AH186" t="s">
        <v>547</v>
      </c>
      <c r="AI186" t="s">
        <v>547</v>
      </c>
      <c r="AJ186" s="4" t="s">
        <v>547</v>
      </c>
      <c r="AK186" t="s">
        <v>547</v>
      </c>
      <c r="AL186" t="s">
        <v>547</v>
      </c>
      <c r="AM186" s="3" t="s">
        <v>547</v>
      </c>
      <c r="AN186" s="2" t="s">
        <v>547</v>
      </c>
      <c r="AO186" t="s">
        <v>547</v>
      </c>
      <c r="AP186" s="3" t="s">
        <v>547</v>
      </c>
      <c r="AQ186" s="2" t="s">
        <v>547</v>
      </c>
      <c r="AR186" t="s">
        <v>547</v>
      </c>
      <c r="AS186" s="3" t="s">
        <v>547</v>
      </c>
      <c r="AT186" s="2" t="s">
        <v>547</v>
      </c>
      <c r="AU186" s="3" t="s">
        <v>547</v>
      </c>
      <c r="AV186" s="2" t="s">
        <v>547</v>
      </c>
      <c r="AW186" s="3" t="s">
        <v>547</v>
      </c>
      <c r="AX186" s="2" t="s">
        <v>547</v>
      </c>
      <c r="AY186" s="3" t="s">
        <v>547</v>
      </c>
      <c r="AZ186" s="2" t="s">
        <v>547</v>
      </c>
    </row>
    <row r="187" spans="1:52" ht="11.25">
      <c r="A187" t="str">
        <f>HYPERLINK("http://exon.niaid.nih.gov/transcriptome/O_fasciatus/Sup_tab1/links/of-new\of-new-contig_118.txt","of-new-contig_118")</f>
        <v>of-new-contig_118</v>
      </c>
      <c r="B187" t="str">
        <f>HYPERLINK("http://exon.niaid.nih.gov/transcriptome/O_fasciatus/Sup_tab1/links/of-new\of-new-5-64-64-asb-118.txt","Contig-118")</f>
        <v>Contig-118</v>
      </c>
      <c r="C187" t="str">
        <f>HYPERLINK("http://exon.niaid.nih.gov/transcriptome/O_fasciatus/Sup_tab1/links/of-new\of-new-5-64-64-118-CLU.txt","Contig118")</f>
        <v>Contig118</v>
      </c>
      <c r="D187">
        <v>2</v>
      </c>
      <c r="E187">
        <v>330</v>
      </c>
      <c r="F187" t="str">
        <f>HYPERLINK("http://exon.niaid.nih.gov/transcriptome/O_fasciatus/Sup_tab1/links/of-new\of-new-5-64-64-118-qual.txt","89.")</f>
        <v>89.</v>
      </c>
      <c r="G187" t="s">
        <v>541</v>
      </c>
      <c r="H187">
        <v>71.2</v>
      </c>
      <c r="I187">
        <v>311</v>
      </c>
      <c r="J187">
        <v>118</v>
      </c>
      <c r="K187" t="s">
        <v>1197</v>
      </c>
      <c r="L187">
        <v>311</v>
      </c>
      <c r="M187" s="3" t="str">
        <f>HYPERLINK("http://exon.niaid.nih.gov/transcriptome/O_fasciatus/Sup_tab1/links/NR\of-new-contig_118-NR.txt","PREDICTED: similar to von Hippel-Lindau disease tumor suppressor, putative")</f>
        <v>PREDICTED: similar to von Hippel-Lindau disease tumor suppressor, putative</v>
      </c>
      <c r="N187" s="2" t="str">
        <f>HYPERLINK("http://www.ncbi.nlm.nih.gov/sutils/blink.cgi?pid=115765036","8E-004")</f>
        <v>8E-004</v>
      </c>
      <c r="O187" t="s">
        <v>24</v>
      </c>
      <c r="P187">
        <v>42</v>
      </c>
      <c r="Q187">
        <v>162</v>
      </c>
      <c r="R187">
        <v>54</v>
      </c>
      <c r="S187">
        <v>26</v>
      </c>
      <c r="T187">
        <v>113</v>
      </c>
      <c r="U187">
        <v>1</v>
      </c>
      <c r="V187">
        <v>1</v>
      </c>
      <c r="W187" t="s">
        <v>1412</v>
      </c>
      <c r="X187" t="s">
        <v>1662</v>
      </c>
      <c r="Y187" t="s">
        <v>25</v>
      </c>
      <c r="Z187" s="4" t="s">
        <v>1025</v>
      </c>
      <c r="AA187" t="s">
        <v>1015</v>
      </c>
      <c r="AB187" s="3" t="s">
        <v>547</v>
      </c>
      <c r="AC187" s="2" t="s">
        <v>547</v>
      </c>
      <c r="AD187" s="4" t="s">
        <v>547</v>
      </c>
      <c r="AE187" t="s">
        <v>547</v>
      </c>
      <c r="AF187" t="s">
        <v>547</v>
      </c>
      <c r="AG187" s="4" t="s">
        <v>547</v>
      </c>
      <c r="AH187" t="s">
        <v>547</v>
      </c>
      <c r="AI187" t="s">
        <v>547</v>
      </c>
      <c r="AJ187" s="4" t="s">
        <v>547</v>
      </c>
      <c r="AK187" t="s">
        <v>547</v>
      </c>
      <c r="AL187" t="s">
        <v>547</v>
      </c>
      <c r="AM187" s="3" t="str">
        <f>HYPERLINK("http://exon.niaid.nih.gov/transcriptome/O_fasciatus/Sup_tab1/links/KOG\of-new-contig_118-KOG.txt","E3 ubiquitin ligase, VHL component (von Hippel-Lindau tumor suppressor in humans)")</f>
        <v>E3 ubiquitin ligase, VHL component (von Hippel-Lindau tumor suppressor in humans)</v>
      </c>
      <c r="AN187" s="2" t="str">
        <f>HYPERLINK("http://www.ncbi.nlm.nih.gov/COG/new/shokog.cgi?KOG4710","6E-004")</f>
        <v>6E-004</v>
      </c>
      <c r="AO187" t="s">
        <v>653</v>
      </c>
      <c r="AP187" s="3" t="str">
        <f>HYPERLINK("http://exon.niaid.nih.gov/transcriptome/O_fasciatus/Sup_tab1/links/CDD\of-new-contig_118-CDD.txt","CRM1")</f>
        <v>CRM1</v>
      </c>
      <c r="AQ187" s="2" t="str">
        <f>HYPERLINK("http://www.ncbi.nlm.nih.gov/Structure/cdd/cddsrv.cgi?uid=COG5101&amp;version=v4.0","0.23")</f>
        <v>0.23</v>
      </c>
      <c r="AR187" t="s">
        <v>26</v>
      </c>
      <c r="AS187" s="3" t="str">
        <f>HYPERLINK("http://exon.niaid.nih.gov/transcriptome/O_fasciatus/Sup_tab1/links/PFAM\of-new-contig_118-PFAM.txt","VHL")</f>
        <v>VHL</v>
      </c>
      <c r="AT187" s="2" t="str">
        <f>HYPERLINK("http://pfam.wustl.edu/cgi-bin/getdesc?acc=PF01847","0.16")</f>
        <v>0.16</v>
      </c>
      <c r="AU187" s="3" t="str">
        <f>HYPERLINK("http://exon.niaid.nih.gov/transcriptome/O_fasciatus/Sup_tab1/links/SMART\of-new-contig_118-SMART.txt","TOP4c")</f>
        <v>TOP4c</v>
      </c>
      <c r="AV187" s="2" t="str">
        <f>HYPERLINK("http://smart.embl-heidelberg.de/smart/do_annotation.pl?DOMAIN=TOP4c&amp;BLAST=DUMMY","0.13")</f>
        <v>0.13</v>
      </c>
      <c r="AW187" s="3" t="s">
        <v>547</v>
      </c>
      <c r="AX187" s="2" t="s">
        <v>547</v>
      </c>
      <c r="AY187" s="3" t="s">
        <v>547</v>
      </c>
      <c r="AZ187" s="2" t="s">
        <v>547</v>
      </c>
    </row>
    <row r="188" spans="1:52" ht="11.25">
      <c r="A188" t="str">
        <f>HYPERLINK("http://exon.niaid.nih.gov/transcriptome/O_fasciatus/Sup_tab1/links/of-new\of-new-contig_120.txt","of-new-contig_120")</f>
        <v>of-new-contig_120</v>
      </c>
      <c r="B188" t="str">
        <f>HYPERLINK("http://exon.niaid.nih.gov/transcriptome/O_fasciatus/Sup_tab1/links/of-new\of-new-5-64-64-asb-120.txt","Contig-120")</f>
        <v>Contig-120</v>
      </c>
      <c r="C188" t="str">
        <f>HYPERLINK("http://exon.niaid.nih.gov/transcriptome/O_fasciatus/Sup_tab1/links/of-new\of-new-5-64-64-120-CLU.txt","Contig120")</f>
        <v>Contig120</v>
      </c>
      <c r="D188">
        <v>2</v>
      </c>
      <c r="E188">
        <v>135</v>
      </c>
      <c r="F188" t="str">
        <f>HYPERLINK("http://exon.niaid.nih.gov/transcriptome/O_fasciatus/Sup_tab1/links/of-new\of-new-5-64-64-120-qual.txt","77.5")</f>
        <v>77.5</v>
      </c>
      <c r="G188" t="s">
        <v>541</v>
      </c>
      <c r="H188">
        <v>68.9</v>
      </c>
      <c r="I188">
        <v>116</v>
      </c>
      <c r="J188">
        <v>120</v>
      </c>
      <c r="K188" t="s">
        <v>1199</v>
      </c>
      <c r="L188">
        <v>122</v>
      </c>
      <c r="N188" s="2" t="s">
        <v>547</v>
      </c>
      <c r="O188" t="s">
        <v>547</v>
      </c>
      <c r="P188" t="s">
        <v>547</v>
      </c>
      <c r="Q188" t="s">
        <v>547</v>
      </c>
      <c r="R188" t="s">
        <v>547</v>
      </c>
      <c r="S188" t="s">
        <v>547</v>
      </c>
      <c r="T188" t="s">
        <v>547</v>
      </c>
      <c r="U188" t="s">
        <v>547</v>
      </c>
      <c r="V188" t="s">
        <v>547</v>
      </c>
      <c r="W188" t="s">
        <v>547</v>
      </c>
      <c r="X188" t="s">
        <v>547</v>
      </c>
      <c r="Y188" t="s">
        <v>547</v>
      </c>
      <c r="Z188" s="4" t="s">
        <v>1051</v>
      </c>
      <c r="AA188" t="s">
        <v>1015</v>
      </c>
      <c r="AB188" s="3" t="s">
        <v>547</v>
      </c>
      <c r="AC188" s="2" t="s">
        <v>547</v>
      </c>
      <c r="AD188" s="4" t="s">
        <v>547</v>
      </c>
      <c r="AE188" t="s">
        <v>547</v>
      </c>
      <c r="AF188" t="s">
        <v>547</v>
      </c>
      <c r="AG188" s="4" t="s">
        <v>547</v>
      </c>
      <c r="AH188" t="s">
        <v>547</v>
      </c>
      <c r="AI188" t="s">
        <v>547</v>
      </c>
      <c r="AJ188" s="4" t="s">
        <v>547</v>
      </c>
      <c r="AK188" t="s">
        <v>547</v>
      </c>
      <c r="AL188" t="s">
        <v>547</v>
      </c>
      <c r="AM188" s="3" t="s">
        <v>547</v>
      </c>
      <c r="AN188" s="2" t="s">
        <v>547</v>
      </c>
      <c r="AO188" t="s">
        <v>547</v>
      </c>
      <c r="AP188" s="3" t="s">
        <v>547</v>
      </c>
      <c r="AQ188" s="2" t="s">
        <v>547</v>
      </c>
      <c r="AR188" t="s">
        <v>547</v>
      </c>
      <c r="AS188" s="3" t="s">
        <v>547</v>
      </c>
      <c r="AT188" s="2" t="s">
        <v>547</v>
      </c>
      <c r="AU188" s="3" t="s">
        <v>547</v>
      </c>
      <c r="AV188" s="2" t="s">
        <v>547</v>
      </c>
      <c r="AW188" s="3" t="s">
        <v>547</v>
      </c>
      <c r="AX188" s="2" t="s">
        <v>547</v>
      </c>
      <c r="AY188" s="3" t="s">
        <v>547</v>
      </c>
      <c r="AZ188" s="2" t="s">
        <v>547</v>
      </c>
    </row>
    <row r="189" spans="1:52" ht="11.25">
      <c r="A189" t="str">
        <f>HYPERLINK("http://exon.niaid.nih.gov/transcriptome/O_fasciatus/Sup_tab1/links/of-new\of-new-contig_121.txt","of-new-contig_121")</f>
        <v>of-new-contig_121</v>
      </c>
      <c r="B189" t="str">
        <f>HYPERLINK("http://exon.niaid.nih.gov/transcriptome/O_fasciatus/Sup_tab1/links/of-new\of-new-5-64-64-asb-121.txt","Contig-121")</f>
        <v>Contig-121</v>
      </c>
      <c r="C189" t="str">
        <f>HYPERLINK("http://exon.niaid.nih.gov/transcriptome/O_fasciatus/Sup_tab1/links/of-new\of-new-5-64-64-121-CLU.txt","Contig121")</f>
        <v>Contig121</v>
      </c>
      <c r="D189">
        <v>2</v>
      </c>
      <c r="E189">
        <v>706</v>
      </c>
      <c r="F189" t="str">
        <f>HYPERLINK("http://exon.niaid.nih.gov/transcriptome/O_fasciatus/Sup_tab1/links/of-new\of-new-5-64-64-121-qual.txt","84.2")</f>
        <v>84.2</v>
      </c>
      <c r="G189">
        <v>1.1</v>
      </c>
      <c r="H189">
        <v>75.5</v>
      </c>
      <c r="I189" t="s">
        <v>547</v>
      </c>
      <c r="J189">
        <v>121</v>
      </c>
      <c r="K189" t="s">
        <v>1200</v>
      </c>
      <c r="L189" t="s">
        <v>547</v>
      </c>
      <c r="N189" s="2" t="s">
        <v>547</v>
      </c>
      <c r="O189" t="s">
        <v>547</v>
      </c>
      <c r="P189" t="s">
        <v>547</v>
      </c>
      <c r="Q189" t="s">
        <v>547</v>
      </c>
      <c r="R189" t="s">
        <v>547</v>
      </c>
      <c r="S189" t="s">
        <v>547</v>
      </c>
      <c r="T189" t="s">
        <v>547</v>
      </c>
      <c r="U189" t="s">
        <v>547</v>
      </c>
      <c r="V189" t="s">
        <v>547</v>
      </c>
      <c r="W189" t="s">
        <v>547</v>
      </c>
      <c r="X189" t="s">
        <v>547</v>
      </c>
      <c r="Y189" t="s">
        <v>547</v>
      </c>
      <c r="Z189" s="4" t="s">
        <v>1025</v>
      </c>
      <c r="AA189" t="s">
        <v>1015</v>
      </c>
      <c r="AB189" s="3" t="s">
        <v>547</v>
      </c>
      <c r="AC189" s="2" t="s">
        <v>547</v>
      </c>
      <c r="AD189" s="4" t="s">
        <v>547</v>
      </c>
      <c r="AE189" t="s">
        <v>547</v>
      </c>
      <c r="AF189" t="s">
        <v>547</v>
      </c>
      <c r="AG189" s="4" t="s">
        <v>547</v>
      </c>
      <c r="AH189" t="s">
        <v>547</v>
      </c>
      <c r="AI189" t="s">
        <v>547</v>
      </c>
      <c r="AJ189" s="4" t="s">
        <v>547</v>
      </c>
      <c r="AK189" t="s">
        <v>547</v>
      </c>
      <c r="AL189" t="s">
        <v>547</v>
      </c>
      <c r="AM189" s="3" t="str">
        <f>HYPERLINK("http://exon.niaid.nih.gov/transcriptome/O_fasciatus/Sup_tab1/links/KOG\of-new-contig_121-KOG.txt","COP9 signalosome, subunit CSN2")</f>
        <v>COP9 signalosome, subunit CSN2</v>
      </c>
      <c r="AN189" s="2" t="str">
        <f>HYPERLINK("http://www.ncbi.nlm.nih.gov/COG/new/shokog.cgi?KOG1464","0.87")</f>
        <v>0.87</v>
      </c>
      <c r="AO189" t="s">
        <v>37</v>
      </c>
      <c r="AP189" s="3" t="s">
        <v>547</v>
      </c>
      <c r="AQ189" s="2" t="s">
        <v>547</v>
      </c>
      <c r="AR189" t="s">
        <v>547</v>
      </c>
      <c r="AS189" s="3" t="str">
        <f>HYPERLINK("http://exon.niaid.nih.gov/transcriptome/O_fasciatus/Sup_tab1/links/PFAM\of-new-contig_121-PFAM.txt","Rotavirus_VP1")</f>
        <v>Rotavirus_VP1</v>
      </c>
      <c r="AT189" s="2" t="str">
        <f>HYPERLINK("http://pfam.wustl.edu/cgi-bin/getdesc?acc=PF05740","0.81")</f>
        <v>0.81</v>
      </c>
      <c r="AU189" s="3" t="s">
        <v>547</v>
      </c>
      <c r="AV189" s="2" t="s">
        <v>547</v>
      </c>
      <c r="AW189" s="3" t="s">
        <v>547</v>
      </c>
      <c r="AX189" s="2" t="s">
        <v>547</v>
      </c>
      <c r="AY189" s="3" t="s">
        <v>547</v>
      </c>
      <c r="AZ189" s="2" t="s">
        <v>547</v>
      </c>
    </row>
    <row r="190" spans="1:52" ht="11.25">
      <c r="A190" t="str">
        <f>HYPERLINK("http://exon.niaid.nih.gov/transcriptome/O_fasciatus/Sup_tab1/links/of-new\of-new-contig_122.txt","of-new-contig_122")</f>
        <v>of-new-contig_122</v>
      </c>
      <c r="B190" t="str">
        <f>HYPERLINK("http://exon.niaid.nih.gov/transcriptome/O_fasciatus/Sup_tab1/links/of-new\of-new-5-64-64-asb-122.txt","Contig-122")</f>
        <v>Contig-122</v>
      </c>
      <c r="C190" t="str">
        <f>HYPERLINK("http://exon.niaid.nih.gov/transcriptome/O_fasciatus/Sup_tab1/links/of-new\of-new-5-64-64-122-CLU.txt","Contig122")</f>
        <v>Contig122</v>
      </c>
      <c r="D190">
        <v>2</v>
      </c>
      <c r="E190">
        <v>415</v>
      </c>
      <c r="F190" t="str">
        <f>HYPERLINK("http://exon.niaid.nih.gov/transcriptome/O_fasciatus/Sup_tab1/links/of-new\of-new-5-64-64-122-qual.txt","46.3")</f>
        <v>46.3</v>
      </c>
      <c r="G190">
        <v>0.7</v>
      </c>
      <c r="H190">
        <v>65.5</v>
      </c>
      <c r="I190">
        <v>278</v>
      </c>
      <c r="J190">
        <v>122</v>
      </c>
      <c r="K190" t="s">
        <v>1201</v>
      </c>
      <c r="L190">
        <v>269</v>
      </c>
      <c r="M190" s="3" t="str">
        <f>HYPERLINK("http://exon.niaid.nih.gov/transcriptome/O_fasciatus/Sup_tab1/links/NR\of-new-contig_122-NR.txt","hypothetical ABC transporter permease protein [Sulfolobus tokodaii str. 7]")</f>
        <v>hypothetical ABC transporter permease protein [Sulfolobus tokodaii str. 7]</v>
      </c>
      <c r="N190" s="2" t="str">
        <f>HYPERLINK("http://www.ncbi.nlm.nih.gov/sutils/blink.cgi?pid=15921360","1.4")</f>
        <v>1.4</v>
      </c>
      <c r="O190" t="s">
        <v>38</v>
      </c>
      <c r="P190">
        <v>47</v>
      </c>
      <c r="Q190">
        <v>297</v>
      </c>
      <c r="R190">
        <v>42</v>
      </c>
      <c r="S190">
        <v>16</v>
      </c>
      <c r="T190">
        <v>14</v>
      </c>
      <c r="U190">
        <v>25</v>
      </c>
      <c r="V190">
        <v>1</v>
      </c>
      <c r="W190" t="s">
        <v>1412</v>
      </c>
      <c r="X190" t="s">
        <v>39</v>
      </c>
      <c r="Y190" t="s">
        <v>40</v>
      </c>
      <c r="Z190" s="4" t="s">
        <v>1025</v>
      </c>
      <c r="AA190" t="s">
        <v>1015</v>
      </c>
      <c r="AB190" s="3" t="s">
        <v>547</v>
      </c>
      <c r="AC190" s="2" t="s">
        <v>547</v>
      </c>
      <c r="AD190" s="4" t="s">
        <v>547</v>
      </c>
      <c r="AE190" t="s">
        <v>547</v>
      </c>
      <c r="AF190" t="s">
        <v>547</v>
      </c>
      <c r="AG190" s="4" t="s">
        <v>547</v>
      </c>
      <c r="AH190" t="s">
        <v>547</v>
      </c>
      <c r="AI190" t="s">
        <v>547</v>
      </c>
      <c r="AJ190" s="4" t="s">
        <v>547</v>
      </c>
      <c r="AK190" t="s">
        <v>547</v>
      </c>
      <c r="AL190" t="s">
        <v>547</v>
      </c>
      <c r="AM190" s="3" t="str">
        <f>HYPERLINK("http://exon.niaid.nih.gov/transcriptome/O_fasciatus/Sup_tab1/links/KOG\of-new-contig_122-KOG.txt","Predicted transporter")</f>
        <v>Predicted transporter</v>
      </c>
      <c r="AN190" s="2" t="str">
        <f>HYPERLINK("http://www.ncbi.nlm.nih.gov/COG/new/shokog.cgi?KOG3762","0.22")</f>
        <v>0.22</v>
      </c>
      <c r="AO190" t="s">
        <v>1503</v>
      </c>
      <c r="AP190" s="3" t="str">
        <f>HYPERLINK("http://exon.niaid.nih.gov/transcriptome/O_fasciatus/Sup_tab1/links/CDD\of-new-contig_122-CDD.txt","Gaa1")</f>
        <v>Gaa1</v>
      </c>
      <c r="AQ190" s="2" t="str">
        <f>HYPERLINK("http://www.ncbi.nlm.nih.gov/Structure/cdd/cddsrv.cgi?uid=pfam04114&amp;version=v4.0","0.091")</f>
        <v>0.091</v>
      </c>
      <c r="AR190" t="s">
        <v>41</v>
      </c>
      <c r="AS190" s="3" t="str">
        <f>HYPERLINK("http://exon.niaid.nih.gov/transcriptome/O_fasciatus/Sup_tab1/links/PFAM\of-new-contig_122-PFAM.txt","Gaa1")</f>
        <v>Gaa1</v>
      </c>
      <c r="AT190" s="2" t="str">
        <f>HYPERLINK("http://pfam.wustl.edu/cgi-bin/getdesc?acc=PF04114","0.048")</f>
        <v>0.048</v>
      </c>
      <c r="AU190" s="3" t="str">
        <f>HYPERLINK("http://exon.niaid.nih.gov/transcriptome/O_fasciatus/Sup_tab1/links/SMART\of-new-contig_122-SMART.txt","CysPc")</f>
        <v>CysPc</v>
      </c>
      <c r="AV190" s="2" t="str">
        <f>HYPERLINK("http://smart.embl-heidelberg.de/smart/do_annotation.pl?DOMAIN=CysPc&amp;BLAST=DUMMY","0.15")</f>
        <v>0.15</v>
      </c>
      <c r="AW190" s="3" t="s">
        <v>547</v>
      </c>
      <c r="AX190" s="2" t="s">
        <v>547</v>
      </c>
      <c r="AY190" s="3" t="s">
        <v>547</v>
      </c>
      <c r="AZ190" s="2" t="s">
        <v>547</v>
      </c>
    </row>
    <row r="191" spans="1:52" ht="11.25">
      <c r="A191" t="str">
        <f>HYPERLINK("http://exon.niaid.nih.gov/transcriptome/O_fasciatus/Sup_tab1/links/of-new\of-new-contig_123.txt","of-new-contig_123")</f>
        <v>of-new-contig_123</v>
      </c>
      <c r="B191" t="str">
        <f>HYPERLINK("http://exon.niaid.nih.gov/transcriptome/O_fasciatus/Sup_tab1/links/of-new\of-new-5-64-64-asb-123.txt","Contig-123")</f>
        <v>Contig-123</v>
      </c>
      <c r="C191" t="str">
        <f>HYPERLINK("http://exon.niaid.nih.gov/transcriptome/O_fasciatus/Sup_tab1/links/of-new\of-new-5-64-64-123-CLU.txt","Contig123")</f>
        <v>Contig123</v>
      </c>
      <c r="D191">
        <v>2</v>
      </c>
      <c r="E191">
        <v>248</v>
      </c>
      <c r="F191" t="str">
        <f>HYPERLINK("http://exon.niaid.nih.gov/transcriptome/O_fasciatus/Sup_tab1/links/of-new\of-new-5-64-64-123-qual.txt","82.3")</f>
        <v>82.3</v>
      </c>
      <c r="G191" t="s">
        <v>541</v>
      </c>
      <c r="H191">
        <v>62.9</v>
      </c>
      <c r="I191">
        <v>229</v>
      </c>
      <c r="J191">
        <v>123</v>
      </c>
      <c r="K191" t="s">
        <v>1202</v>
      </c>
      <c r="L191">
        <v>229</v>
      </c>
      <c r="M191" s="3" t="str">
        <f>HYPERLINK("http://exon.niaid.nih.gov/transcriptome/O_fasciatus/Sup_tab1/links/NR\of-new-contig_123-NR.txt","NADH dehydrogenase subunit 5 [Vargula hilgendorfii]")</f>
        <v>NADH dehydrogenase subunit 5 [Vargula hilgendorfii]</v>
      </c>
      <c r="N191" s="2" t="str">
        <f>HYPERLINK("http://www.ncbi.nlm.nih.gov/sutils/blink.cgi?pid=40458411","3.1")</f>
        <v>3.1</v>
      </c>
      <c r="O191" t="s">
        <v>42</v>
      </c>
      <c r="P191">
        <v>44</v>
      </c>
      <c r="Q191">
        <v>544</v>
      </c>
      <c r="R191">
        <v>43</v>
      </c>
      <c r="S191">
        <v>8</v>
      </c>
      <c r="T191">
        <v>431</v>
      </c>
      <c r="U191">
        <v>66</v>
      </c>
      <c r="V191">
        <v>1</v>
      </c>
      <c r="W191" t="s">
        <v>1412</v>
      </c>
      <c r="X191" t="s">
        <v>43</v>
      </c>
      <c r="Y191" t="s">
        <v>44</v>
      </c>
      <c r="Z191" s="4" t="s">
        <v>1025</v>
      </c>
      <c r="AA191" t="s">
        <v>1015</v>
      </c>
      <c r="AB191" s="3" t="s">
        <v>547</v>
      </c>
      <c r="AC191" s="2" t="s">
        <v>547</v>
      </c>
      <c r="AD191" s="4" t="s">
        <v>547</v>
      </c>
      <c r="AE191" t="s">
        <v>547</v>
      </c>
      <c r="AF191" t="s">
        <v>547</v>
      </c>
      <c r="AG191" s="4" t="s">
        <v>547</v>
      </c>
      <c r="AH191" t="s">
        <v>547</v>
      </c>
      <c r="AI191" t="s">
        <v>547</v>
      </c>
      <c r="AJ191" s="4" t="s">
        <v>547</v>
      </c>
      <c r="AK191" t="s">
        <v>547</v>
      </c>
      <c r="AL191" t="s">
        <v>547</v>
      </c>
      <c r="AM191" s="3" t="str">
        <f>HYPERLINK("http://exon.niaid.nih.gov/transcriptome/O_fasciatus/Sup_tab1/links/KOG\of-new-contig_123-KOG.txt","Uncharacterized conserved protein")</f>
        <v>Uncharacterized conserved protein</v>
      </c>
      <c r="AN191" s="2" t="str">
        <f>HYPERLINK("http://www.ncbi.nlm.nih.gov/COG/new/shokog.cgi?KOG2998","0.18")</f>
        <v>0.18</v>
      </c>
      <c r="AO191" t="s">
        <v>881</v>
      </c>
      <c r="AP191" s="3" t="str">
        <f>HYPERLINK("http://exon.niaid.nih.gov/transcriptome/O_fasciatus/Sup_tab1/links/CDD\of-new-contig_123-CDD.txt","DUF609")</f>
        <v>DUF609</v>
      </c>
      <c r="AQ191" s="2" t="str">
        <f>HYPERLINK("http://www.ncbi.nlm.nih.gov/Structure/cdd/cddsrv.cgi?uid=pfam04727&amp;version=v4.0","0.18")</f>
        <v>0.18</v>
      </c>
      <c r="AR191" t="s">
        <v>45</v>
      </c>
      <c r="AS191" s="3" t="str">
        <f>HYPERLINK("http://exon.niaid.nih.gov/transcriptome/O_fasciatus/Sup_tab1/links/PFAM\of-new-contig_123-PFAM.txt","DUF609")</f>
        <v>DUF609</v>
      </c>
      <c r="AT191" s="2" t="str">
        <f>HYPERLINK("http://pfam.wustl.edu/cgi-bin/getdesc?acc=PF04727","0.094")</f>
        <v>0.094</v>
      </c>
      <c r="AU191" s="3" t="str">
        <f>HYPERLINK("http://exon.niaid.nih.gov/transcriptome/O_fasciatus/Sup_tab1/links/SMART\of-new-contig_123-SMART.txt","VPS9")</f>
        <v>VPS9</v>
      </c>
      <c r="AV191" s="2" t="str">
        <f>HYPERLINK("http://smart.embl-heidelberg.de/smart/do_annotation.pl?DOMAIN=VPS9&amp;BLAST=DUMMY","0.22")</f>
        <v>0.22</v>
      </c>
      <c r="AW191" s="3" t="s">
        <v>547</v>
      </c>
      <c r="AX191" s="2" t="s">
        <v>547</v>
      </c>
      <c r="AY191" s="3" t="s">
        <v>547</v>
      </c>
      <c r="AZ191" s="2" t="s">
        <v>547</v>
      </c>
    </row>
    <row r="192" spans="1:52" ht="11.25">
      <c r="A192" t="str">
        <f>HYPERLINK("http://exon.niaid.nih.gov/transcriptome/O_fasciatus/Sup_tab1/links/of-new\of-new-contig_124.txt","of-new-contig_124")</f>
        <v>of-new-contig_124</v>
      </c>
      <c r="B192" t="str">
        <f>HYPERLINK("http://exon.niaid.nih.gov/transcriptome/O_fasciatus/Sup_tab1/links/of-new\of-new-5-64-64-asb-124.txt","Contig-124")</f>
        <v>Contig-124</v>
      </c>
      <c r="C192" t="str">
        <f>HYPERLINK("http://exon.niaid.nih.gov/transcriptome/O_fasciatus/Sup_tab1/links/of-new\of-new-5-64-64-124-CLU.txt","Contig124")</f>
        <v>Contig124</v>
      </c>
      <c r="D192">
        <v>2</v>
      </c>
      <c r="E192">
        <v>473</v>
      </c>
      <c r="F192" t="str">
        <f>HYPERLINK("http://exon.niaid.nih.gov/transcriptome/O_fasciatus/Sup_tab1/links/of-new\of-new-5-64-64-124-qual.txt","87.1")</f>
        <v>87.1</v>
      </c>
      <c r="G192" t="s">
        <v>541</v>
      </c>
      <c r="H192">
        <v>72.9</v>
      </c>
      <c r="I192">
        <v>452</v>
      </c>
      <c r="J192">
        <v>124</v>
      </c>
      <c r="K192" t="s">
        <v>1203</v>
      </c>
      <c r="L192">
        <v>456</v>
      </c>
      <c r="M192" s="3" t="str">
        <f>HYPERLINK("http://exon.niaid.nih.gov/transcriptome/O_fasciatus/Sup_tab1/links/NR\of-new-contig_124-NR.txt","conserved hypothetical protein")</f>
        <v>conserved hypothetical protein</v>
      </c>
      <c r="N192" s="2" t="str">
        <f>HYPERLINK("http://www.ncbi.nlm.nih.gov/sutils/blink.cgi?pid=108871878","1.9")</f>
        <v>1.9</v>
      </c>
      <c r="O192" t="s">
        <v>46</v>
      </c>
      <c r="P192">
        <v>67</v>
      </c>
      <c r="Q192">
        <v>759</v>
      </c>
      <c r="R192">
        <v>35</v>
      </c>
      <c r="S192">
        <v>9</v>
      </c>
      <c r="T192">
        <v>245</v>
      </c>
      <c r="U192">
        <v>36</v>
      </c>
      <c r="V192">
        <v>1</v>
      </c>
      <c r="W192" t="s">
        <v>1412</v>
      </c>
      <c r="X192" t="s">
        <v>1164</v>
      </c>
      <c r="Y192" t="s">
        <v>47</v>
      </c>
      <c r="Z192" s="4" t="s">
        <v>1025</v>
      </c>
      <c r="AA192" t="s">
        <v>1015</v>
      </c>
      <c r="AB192" s="3" t="s">
        <v>547</v>
      </c>
      <c r="AC192" s="2" t="s">
        <v>547</v>
      </c>
      <c r="AD192" s="4" t="s">
        <v>547</v>
      </c>
      <c r="AE192" t="s">
        <v>547</v>
      </c>
      <c r="AF192" t="s">
        <v>547</v>
      </c>
      <c r="AG192" s="4" t="s">
        <v>547</v>
      </c>
      <c r="AH192" t="s">
        <v>547</v>
      </c>
      <c r="AI192" t="s">
        <v>547</v>
      </c>
      <c r="AJ192" s="4" t="s">
        <v>547</v>
      </c>
      <c r="AK192" t="s">
        <v>547</v>
      </c>
      <c r="AL192" t="s">
        <v>547</v>
      </c>
      <c r="AM192" s="3" t="s">
        <v>547</v>
      </c>
      <c r="AN192" s="2" t="s">
        <v>547</v>
      </c>
      <c r="AO192" t="s">
        <v>547</v>
      </c>
      <c r="AP192" s="3" t="str">
        <f>HYPERLINK("http://exon.niaid.nih.gov/transcriptome/O_fasciatus/Sup_tab1/links/CDD\of-new-contig_124-CDD.txt","COG2152")</f>
        <v>COG2152</v>
      </c>
      <c r="AQ192" s="2" t="str">
        <f>HYPERLINK("http://www.ncbi.nlm.nih.gov/Structure/cdd/cddsrv.cgi?uid=COG2152&amp;version=v4.0","0.10")</f>
        <v>0.10</v>
      </c>
      <c r="AR192" t="s">
        <v>48</v>
      </c>
      <c r="AS192" s="3" t="str">
        <f>HYPERLINK("http://exon.niaid.nih.gov/transcriptome/O_fasciatus/Sup_tab1/links/PFAM\of-new-contig_124-PFAM.txt","SecY")</f>
        <v>SecY</v>
      </c>
      <c r="AT192" s="2" t="str">
        <f>HYPERLINK("http://pfam.wustl.edu/cgi-bin/getdesc?acc=PF00344","0.40")</f>
        <v>0.40</v>
      </c>
      <c r="AU192" s="3" t="str">
        <f>HYPERLINK("http://exon.niaid.nih.gov/transcriptome/O_fasciatus/Sup_tab1/links/SMART\of-new-contig_124-SMART.txt","XTALbg")</f>
        <v>XTALbg</v>
      </c>
      <c r="AV192" s="2" t="str">
        <f>HYPERLINK("http://smart.embl-heidelberg.de/smart/do_annotation.pl?DOMAIN=XTALbg&amp;BLAST=DUMMY","0.25")</f>
        <v>0.25</v>
      </c>
      <c r="AW192" s="3" t="s">
        <v>547</v>
      </c>
      <c r="AX192" s="2" t="s">
        <v>547</v>
      </c>
      <c r="AY192" s="3" t="s">
        <v>547</v>
      </c>
      <c r="AZ192" s="2" t="s">
        <v>547</v>
      </c>
    </row>
    <row r="193" spans="1:52" ht="11.25">
      <c r="A193" t="str">
        <f>HYPERLINK("http://exon.niaid.nih.gov/transcriptome/O_fasciatus/Sup_tab1/links/of-new\of-new-contig_125.txt","of-new-contig_125")</f>
        <v>of-new-contig_125</v>
      </c>
      <c r="B193" t="str">
        <f>HYPERLINK("http://exon.niaid.nih.gov/transcriptome/O_fasciatus/Sup_tab1/links/of-new\of-new-5-64-64-asb-125.txt","Contig-125")</f>
        <v>Contig-125</v>
      </c>
      <c r="C193" t="str">
        <f>HYPERLINK("http://exon.niaid.nih.gov/transcriptome/O_fasciatus/Sup_tab1/links/of-new\of-new-5-64-64-125-CLU.txt","Contig125")</f>
        <v>Contig125</v>
      </c>
      <c r="D193">
        <v>2</v>
      </c>
      <c r="E193">
        <v>675</v>
      </c>
      <c r="F193" t="str">
        <f>HYPERLINK("http://exon.niaid.nih.gov/transcriptome/O_fasciatus/Sup_tab1/links/of-new\of-new-5-64-64-125-qual.txt","71.7")</f>
        <v>71.7</v>
      </c>
      <c r="G193" t="s">
        <v>541</v>
      </c>
      <c r="H193">
        <v>71.6</v>
      </c>
      <c r="I193" t="s">
        <v>547</v>
      </c>
      <c r="J193">
        <v>125</v>
      </c>
      <c r="K193" t="s">
        <v>1204</v>
      </c>
      <c r="L193" t="s">
        <v>547</v>
      </c>
      <c r="M193" s="3" t="str">
        <f>HYPERLINK("http://exon.niaid.nih.gov/transcriptome/O_fasciatus/Sup_tab1/links/NR\of-new-contig_125-NR.txt","cytochrome oxidase I")</f>
        <v>cytochrome oxidase I</v>
      </c>
      <c r="N193" s="2" t="str">
        <f>HYPERLINK("http://www.ncbi.nlm.nih.gov/sutils/blink.cgi?pid=6166259","4.7")</f>
        <v>4.7</v>
      </c>
      <c r="O193" t="s">
        <v>49</v>
      </c>
      <c r="P193">
        <v>64</v>
      </c>
      <c r="Q193">
        <v>413</v>
      </c>
      <c r="R193">
        <v>31</v>
      </c>
      <c r="S193">
        <v>15</v>
      </c>
      <c r="T193">
        <v>342</v>
      </c>
      <c r="U193">
        <v>36</v>
      </c>
      <c r="V193">
        <v>1</v>
      </c>
      <c r="W193" t="s">
        <v>1412</v>
      </c>
      <c r="X193" t="s">
        <v>50</v>
      </c>
      <c r="Y193" t="s">
        <v>51</v>
      </c>
      <c r="Z193" s="4" t="s">
        <v>1025</v>
      </c>
      <c r="AA193" t="s">
        <v>1015</v>
      </c>
      <c r="AB193" s="3" t="s">
        <v>547</v>
      </c>
      <c r="AC193" s="2" t="s">
        <v>547</v>
      </c>
      <c r="AD193" s="4" t="s">
        <v>547</v>
      </c>
      <c r="AE193" t="s">
        <v>547</v>
      </c>
      <c r="AF193" t="s">
        <v>547</v>
      </c>
      <c r="AG193" s="4" t="s">
        <v>547</v>
      </c>
      <c r="AH193" t="s">
        <v>547</v>
      </c>
      <c r="AI193" t="s">
        <v>547</v>
      </c>
      <c r="AJ193" s="4" t="s">
        <v>547</v>
      </c>
      <c r="AK193" t="s">
        <v>547</v>
      </c>
      <c r="AL193" t="s">
        <v>547</v>
      </c>
      <c r="AM193" s="3" t="str">
        <f>HYPERLINK("http://exon.niaid.nih.gov/transcriptome/O_fasciatus/Sup_tab1/links/KOG\of-new-contig_125-KOG.txt","Sodium/hydrogen exchanger protein")</f>
        <v>Sodium/hydrogen exchanger protein</v>
      </c>
      <c r="AN193" s="2" t="str">
        <f>HYPERLINK("http://www.ncbi.nlm.nih.gov/COG/new/shokog.cgi?KOG1965","0.075")</f>
        <v>0.075</v>
      </c>
      <c r="AO193" t="s">
        <v>1518</v>
      </c>
      <c r="AP193" s="3" t="str">
        <f>HYPERLINK("http://exon.niaid.nih.gov/transcriptome/O_fasciatus/Sup_tab1/links/CDD\of-new-contig_125-CDD.txt","7tm_5")</f>
        <v>7tm_5</v>
      </c>
      <c r="AQ193" s="2" t="str">
        <f>HYPERLINK("http://www.ncbi.nlm.nih.gov/Structure/cdd/cddsrv.cgi?uid=pfam01604&amp;version=v4.0","0.35")</f>
        <v>0.35</v>
      </c>
      <c r="AR193" t="s">
        <v>52</v>
      </c>
      <c r="AS193" s="3" t="str">
        <f>HYPERLINK("http://exon.niaid.nih.gov/transcriptome/O_fasciatus/Sup_tab1/links/PFAM\of-new-contig_125-PFAM.txt","7tm_5")</f>
        <v>7tm_5</v>
      </c>
      <c r="AT193" s="2" t="str">
        <f>HYPERLINK("http://pfam.wustl.edu/cgi-bin/getdesc?acc=PF01604","0.18")</f>
        <v>0.18</v>
      </c>
      <c r="AU193" s="3" t="str">
        <f>HYPERLINK("http://exon.niaid.nih.gov/transcriptome/O_fasciatus/Sup_tab1/links/SMART\of-new-contig_125-SMART.txt","LITAF")</f>
        <v>LITAF</v>
      </c>
      <c r="AV193" s="2" t="str">
        <f>HYPERLINK("http://smart.embl-heidelberg.de/smart/do_annotation.pl?DOMAIN=LITAF&amp;BLAST=DUMMY","0.027")</f>
        <v>0.027</v>
      </c>
      <c r="AW193" s="3" t="s">
        <v>547</v>
      </c>
      <c r="AX193" s="2" t="s">
        <v>547</v>
      </c>
      <c r="AY193" s="3" t="s">
        <v>547</v>
      </c>
      <c r="AZ193" s="2" t="s">
        <v>547</v>
      </c>
    </row>
    <row r="194" spans="1:52" ht="11.25">
      <c r="A194" t="str">
        <f>HYPERLINK("http://exon.niaid.nih.gov/transcriptome/O_fasciatus/Sup_tab1/links/of-new\of-new-contig_127.txt","of-new-contig_127")</f>
        <v>of-new-contig_127</v>
      </c>
      <c r="B194" t="str">
        <f>HYPERLINK("http://exon.niaid.nih.gov/transcriptome/O_fasciatus/Sup_tab1/links/of-new\of-new-5-64-64-asb-127.txt","Contig-127")</f>
        <v>Contig-127</v>
      </c>
      <c r="C194" t="str">
        <f>HYPERLINK("http://exon.niaid.nih.gov/transcriptome/O_fasciatus/Sup_tab1/links/of-new\of-new-5-64-64-127-CLU.txt","Contig127")</f>
        <v>Contig127</v>
      </c>
      <c r="D194">
        <v>2</v>
      </c>
      <c r="E194">
        <v>356</v>
      </c>
      <c r="F194" t="str">
        <f>HYPERLINK("http://exon.niaid.nih.gov/transcriptome/O_fasciatus/Sup_tab1/links/of-new\of-new-5-64-64-127-qual.txt","92.")</f>
        <v>92.</v>
      </c>
      <c r="G194" t="s">
        <v>541</v>
      </c>
      <c r="H194">
        <v>74.7</v>
      </c>
      <c r="I194">
        <v>337</v>
      </c>
      <c r="J194">
        <v>127</v>
      </c>
      <c r="K194" t="s">
        <v>1206</v>
      </c>
      <c r="L194">
        <v>337</v>
      </c>
      <c r="N194" s="2" t="s">
        <v>547</v>
      </c>
      <c r="O194" t="s">
        <v>547</v>
      </c>
      <c r="P194" t="s">
        <v>547</v>
      </c>
      <c r="Q194" t="s">
        <v>547</v>
      </c>
      <c r="R194" t="s">
        <v>547</v>
      </c>
      <c r="S194" t="s">
        <v>547</v>
      </c>
      <c r="T194" t="s">
        <v>547</v>
      </c>
      <c r="U194" t="s">
        <v>547</v>
      </c>
      <c r="V194" t="s">
        <v>547</v>
      </c>
      <c r="W194" t="s">
        <v>547</v>
      </c>
      <c r="X194" t="s">
        <v>547</v>
      </c>
      <c r="Y194" t="s">
        <v>547</v>
      </c>
      <c r="Z194" s="4" t="s">
        <v>1025</v>
      </c>
      <c r="AA194" t="s">
        <v>1015</v>
      </c>
      <c r="AB194" s="3" t="s">
        <v>547</v>
      </c>
      <c r="AC194" s="2" t="s">
        <v>547</v>
      </c>
      <c r="AD194" s="4" t="s">
        <v>547</v>
      </c>
      <c r="AE194" t="s">
        <v>547</v>
      </c>
      <c r="AF194" t="s">
        <v>547</v>
      </c>
      <c r="AG194" s="4" t="s">
        <v>547</v>
      </c>
      <c r="AH194" t="s">
        <v>547</v>
      </c>
      <c r="AI194" t="s">
        <v>547</v>
      </c>
      <c r="AJ194" s="4" t="s">
        <v>547</v>
      </c>
      <c r="AK194" t="s">
        <v>547</v>
      </c>
      <c r="AL194" t="s">
        <v>547</v>
      </c>
      <c r="AM194" s="3" t="s">
        <v>547</v>
      </c>
      <c r="AN194" s="2" t="s">
        <v>547</v>
      </c>
      <c r="AO194" t="s">
        <v>547</v>
      </c>
      <c r="AP194" s="3" t="s">
        <v>547</v>
      </c>
      <c r="AQ194" s="2" t="s">
        <v>547</v>
      </c>
      <c r="AR194" t="s">
        <v>547</v>
      </c>
      <c r="AS194" s="3" t="s">
        <v>547</v>
      </c>
      <c r="AT194" s="2" t="s">
        <v>547</v>
      </c>
      <c r="AU194" s="3" t="str">
        <f>HYPERLINK("http://exon.niaid.nih.gov/transcriptome/O_fasciatus/Sup_tab1/links/SMART\of-new-contig_127-SMART.txt","PIPKc")</f>
        <v>PIPKc</v>
      </c>
      <c r="AV194" s="2" t="str">
        <f>HYPERLINK("http://smart.embl-heidelberg.de/smart/do_annotation.pl?DOMAIN=PIPKc&amp;BLAST=DUMMY","0.81")</f>
        <v>0.81</v>
      </c>
      <c r="AW194" s="3" t="s">
        <v>547</v>
      </c>
      <c r="AX194" s="2" t="s">
        <v>547</v>
      </c>
      <c r="AY194" s="3" t="s">
        <v>547</v>
      </c>
      <c r="AZ194" s="2" t="s">
        <v>547</v>
      </c>
    </row>
    <row r="195" spans="1:52" ht="11.25">
      <c r="A195" t="str">
        <f>HYPERLINK("http://exon.niaid.nih.gov/transcriptome/O_fasciatus/Sup_tab1/links/of-new\of-new-contig_128.txt","of-new-contig_128")</f>
        <v>of-new-contig_128</v>
      </c>
      <c r="B195" t="str">
        <f>HYPERLINK("http://exon.niaid.nih.gov/transcriptome/O_fasciatus/Sup_tab1/links/of-new\of-new-5-64-64-asb-128.txt","Contig-128")</f>
        <v>Contig-128</v>
      </c>
      <c r="C195" t="str">
        <f>HYPERLINK("http://exon.niaid.nih.gov/transcriptome/O_fasciatus/Sup_tab1/links/of-new\of-new-5-64-64-128-CLU.txt","Contig128")</f>
        <v>Contig128</v>
      </c>
      <c r="D195">
        <v>2</v>
      </c>
      <c r="E195">
        <v>256</v>
      </c>
      <c r="F195" t="str">
        <f>HYPERLINK("http://exon.niaid.nih.gov/transcriptome/O_fasciatus/Sup_tab1/links/of-new\of-new-5-64-64-128-qual.txt","92.")</f>
        <v>92.</v>
      </c>
      <c r="G195" t="s">
        <v>541</v>
      </c>
      <c r="H195">
        <v>78.1</v>
      </c>
      <c r="I195">
        <v>237</v>
      </c>
      <c r="J195">
        <v>128</v>
      </c>
      <c r="K195" t="s">
        <v>1207</v>
      </c>
      <c r="L195">
        <v>237</v>
      </c>
      <c r="M195" s="3" t="str">
        <f>HYPERLINK("http://exon.niaid.nih.gov/transcriptome/O_fasciatus/Sup_tab1/links/NR\of-new-contig_128-NR.txt","sensor protein comP [Bacillus thuringiensis serovar konkukian str. 97-27]")</f>
        <v>sensor protein comP [Bacillus thuringiensis serovar konkukian str. 97-27]</v>
      </c>
      <c r="N195" s="2" t="str">
        <f>HYPERLINK("http://www.ncbi.nlm.nih.gov/sutils/blink.cgi?pid=49477102","1.9")</f>
        <v>1.9</v>
      </c>
      <c r="O195" t="s">
        <v>894</v>
      </c>
      <c r="P195">
        <v>54</v>
      </c>
      <c r="Q195">
        <v>762</v>
      </c>
      <c r="R195">
        <v>35</v>
      </c>
      <c r="S195">
        <v>7</v>
      </c>
      <c r="T195">
        <v>365</v>
      </c>
      <c r="U195">
        <v>7</v>
      </c>
      <c r="V195">
        <v>1</v>
      </c>
      <c r="W195" t="s">
        <v>1412</v>
      </c>
      <c r="X195" t="s">
        <v>895</v>
      </c>
      <c r="Y195" t="s">
        <v>896</v>
      </c>
      <c r="Z195" s="4" t="s">
        <v>1025</v>
      </c>
      <c r="AA195" t="s">
        <v>1015</v>
      </c>
      <c r="AB195" s="3" t="s">
        <v>547</v>
      </c>
      <c r="AC195" s="2" t="s">
        <v>547</v>
      </c>
      <c r="AD195" s="4" t="s">
        <v>547</v>
      </c>
      <c r="AE195" t="s">
        <v>547</v>
      </c>
      <c r="AF195" t="s">
        <v>547</v>
      </c>
      <c r="AG195" s="4" t="s">
        <v>547</v>
      </c>
      <c r="AH195" t="s">
        <v>547</v>
      </c>
      <c r="AI195" t="s">
        <v>547</v>
      </c>
      <c r="AJ195" s="4" t="s">
        <v>547</v>
      </c>
      <c r="AK195" t="s">
        <v>547</v>
      </c>
      <c r="AL195" t="s">
        <v>547</v>
      </c>
      <c r="AM195" s="3" t="str">
        <f>HYPERLINK("http://exon.niaid.nih.gov/transcriptome/O_fasciatus/Sup_tab1/links/KOG\of-new-contig_128-KOG.txt","NADH dehydrogenase, subunit 4")</f>
        <v>NADH dehydrogenase, subunit 4</v>
      </c>
      <c r="AN195" s="2" t="str">
        <f>HYPERLINK("http://www.ncbi.nlm.nih.gov/COG/new/shokog.cgi?KOG4845","0.26")</f>
        <v>0.26</v>
      </c>
      <c r="AO195" t="s">
        <v>1430</v>
      </c>
      <c r="AP195" s="3" t="str">
        <f>HYPERLINK("http://exon.niaid.nih.gov/transcriptome/O_fasciatus/Sup_tab1/links/CDD\of-new-contig_128-CDD.txt","BacA")</f>
        <v>BacA</v>
      </c>
      <c r="AQ195" s="2" t="str">
        <f>HYPERLINK("http://www.ncbi.nlm.nih.gov/Structure/cdd/cddsrv.cgi?uid=pfam02673&amp;version=v4.0","0.42")</f>
        <v>0.42</v>
      </c>
      <c r="AR195" t="s">
        <v>897</v>
      </c>
      <c r="AS195" s="3" t="str">
        <f>HYPERLINK("http://exon.niaid.nih.gov/transcriptome/O_fasciatus/Sup_tab1/links/PFAM\of-new-contig_128-PFAM.txt","BacA")</f>
        <v>BacA</v>
      </c>
      <c r="AT195" s="2" t="str">
        <f>HYPERLINK("http://pfam.wustl.edu/cgi-bin/getdesc?acc=PF02673","0.21")</f>
        <v>0.21</v>
      </c>
      <c r="AU195" s="3" t="str">
        <f>HYPERLINK("http://exon.niaid.nih.gov/transcriptome/O_fasciatus/Sup_tab1/links/SMART\of-new-contig_128-SMART.txt","TOP2c")</f>
        <v>TOP2c</v>
      </c>
      <c r="AV195" s="2" t="str">
        <f>HYPERLINK("http://smart.embl-heidelberg.de/smart/do_annotation.pl?DOMAIN=TOP2c&amp;BLAST=DUMMY","0.24")</f>
        <v>0.24</v>
      </c>
      <c r="AW195" s="3" t="s">
        <v>547</v>
      </c>
      <c r="AX195" s="2" t="s">
        <v>547</v>
      </c>
      <c r="AY195" s="3" t="s">
        <v>547</v>
      </c>
      <c r="AZ195" s="2" t="s">
        <v>547</v>
      </c>
    </row>
    <row r="196" spans="1:52" ht="11.25">
      <c r="A196" t="str">
        <f>HYPERLINK("http://exon.niaid.nih.gov/transcriptome/O_fasciatus/Sup_tab1/links/of-new\of-new-contig_129.txt","of-new-contig_129")</f>
        <v>of-new-contig_129</v>
      </c>
      <c r="B196" t="str">
        <f>HYPERLINK("http://exon.niaid.nih.gov/transcriptome/O_fasciatus/Sup_tab1/links/of-new\of-new-5-64-64-asb-129.txt","Contig-129")</f>
        <v>Contig-129</v>
      </c>
      <c r="C196" t="str">
        <f>HYPERLINK("http://exon.niaid.nih.gov/transcriptome/O_fasciatus/Sup_tab1/links/of-new\of-new-5-64-64-129-CLU.txt","Contig129")</f>
        <v>Contig129</v>
      </c>
      <c r="D196">
        <v>2</v>
      </c>
      <c r="E196">
        <v>560</v>
      </c>
      <c r="F196" t="str">
        <f>HYPERLINK("http://exon.niaid.nih.gov/transcriptome/O_fasciatus/Sup_tab1/links/of-new\of-new-5-64-64-129-qual.txt","71.3")</f>
        <v>71.3</v>
      </c>
      <c r="G196" t="s">
        <v>541</v>
      </c>
      <c r="H196">
        <v>77.5</v>
      </c>
      <c r="I196">
        <v>541</v>
      </c>
      <c r="J196">
        <v>129</v>
      </c>
      <c r="K196" t="s">
        <v>1208</v>
      </c>
      <c r="L196">
        <v>541</v>
      </c>
      <c r="M196" s="3" t="str">
        <f>HYPERLINK("http://exon.niaid.nih.gov/transcriptome/O_fasciatus/Sup_tab1/links/NR\of-new-contig_129-NR.txt","aminopeptidase A/I [Buchnera aphidicola str. APS (Acyrthosiphon pisum)]")</f>
        <v>aminopeptidase A/I [Buchnera aphidicola str. APS (Acyrthosiphon pisum)]</v>
      </c>
      <c r="N196" s="2" t="str">
        <f>HYPERLINK("http://www.ncbi.nlm.nih.gov/sutils/blink.cgi?pid=15616972","6.9")</f>
        <v>6.9</v>
      </c>
      <c r="O196" t="s">
        <v>898</v>
      </c>
      <c r="P196">
        <v>80</v>
      </c>
      <c r="Q196">
        <v>499</v>
      </c>
      <c r="R196">
        <v>33</v>
      </c>
      <c r="S196">
        <v>16</v>
      </c>
      <c r="T196">
        <v>98</v>
      </c>
      <c r="U196">
        <v>156</v>
      </c>
      <c r="V196">
        <v>1</v>
      </c>
      <c r="W196" t="s">
        <v>1412</v>
      </c>
      <c r="X196" t="s">
        <v>899</v>
      </c>
      <c r="Y196" t="s">
        <v>900</v>
      </c>
      <c r="Z196" s="4" t="s">
        <v>1025</v>
      </c>
      <c r="AA196" t="s">
        <v>1015</v>
      </c>
      <c r="AB196" s="3" t="s">
        <v>547</v>
      </c>
      <c r="AC196" s="2" t="s">
        <v>547</v>
      </c>
      <c r="AD196" s="4" t="s">
        <v>547</v>
      </c>
      <c r="AE196" t="s">
        <v>547</v>
      </c>
      <c r="AF196" t="s">
        <v>547</v>
      </c>
      <c r="AG196" s="4" t="s">
        <v>547</v>
      </c>
      <c r="AH196" t="s">
        <v>547</v>
      </c>
      <c r="AI196" t="s">
        <v>547</v>
      </c>
      <c r="AJ196" s="4" t="s">
        <v>547</v>
      </c>
      <c r="AK196" t="s">
        <v>547</v>
      </c>
      <c r="AL196" t="s">
        <v>547</v>
      </c>
      <c r="AM196" s="3" t="s">
        <v>547</v>
      </c>
      <c r="AN196" s="2" t="s">
        <v>547</v>
      </c>
      <c r="AO196" t="s">
        <v>547</v>
      </c>
      <c r="AP196" s="3" t="s">
        <v>547</v>
      </c>
      <c r="AQ196" s="2" t="s">
        <v>547</v>
      </c>
      <c r="AR196" t="s">
        <v>547</v>
      </c>
      <c r="AS196" s="3" t="str">
        <f>HYPERLINK("http://exon.niaid.nih.gov/transcriptome/O_fasciatus/Sup_tab1/links/PFAM\of-new-contig_129-PFAM.txt","Herpes_UL92")</f>
        <v>Herpes_UL92</v>
      </c>
      <c r="AT196" s="2" t="str">
        <f>HYPERLINK("http://pfam.wustl.edu/cgi-bin/getdesc?acc=PF03048","0.63")</f>
        <v>0.63</v>
      </c>
      <c r="AU196" s="3" t="str">
        <f>HYPERLINK("http://exon.niaid.nih.gov/transcriptome/O_fasciatus/Sup_tab1/links/SMART\of-new-contig_129-SMART.txt","RPOL8c")</f>
        <v>RPOL8c</v>
      </c>
      <c r="AV196" s="2" t="str">
        <f>HYPERLINK("http://smart.embl-heidelberg.de/smart/do_annotation.pl?DOMAIN=RPOL8c&amp;BLAST=DUMMY","0.17")</f>
        <v>0.17</v>
      </c>
      <c r="AW196" s="3" t="s">
        <v>547</v>
      </c>
      <c r="AX196" s="2" t="s">
        <v>547</v>
      </c>
      <c r="AY196" s="3" t="s">
        <v>547</v>
      </c>
      <c r="AZ196" s="2" t="s">
        <v>547</v>
      </c>
    </row>
    <row r="197" spans="1:52" ht="11.25">
      <c r="A197" t="str">
        <f>HYPERLINK("http://exon.niaid.nih.gov/transcriptome/O_fasciatus/Sup_tab1/links/of-new\of-new-contig_131.txt","of-new-contig_131")</f>
        <v>of-new-contig_131</v>
      </c>
      <c r="B197" t="str">
        <f>HYPERLINK("http://exon.niaid.nih.gov/transcriptome/O_fasciatus/Sup_tab1/links/of-new\of-new-5-64-64-asb-131.txt","Contig-131")</f>
        <v>Contig-131</v>
      </c>
      <c r="C197" t="str">
        <f>HYPERLINK("http://exon.niaid.nih.gov/transcriptome/O_fasciatus/Sup_tab1/links/of-new\of-new-5-64-64-131-CLU.txt","Contig131")</f>
        <v>Contig131</v>
      </c>
      <c r="D197">
        <v>2</v>
      </c>
      <c r="E197">
        <v>369</v>
      </c>
      <c r="F197" t="str">
        <f>HYPERLINK("http://exon.niaid.nih.gov/transcriptome/O_fasciatus/Sup_tab1/links/of-new\of-new-5-64-64-131-qual.txt","68.4")</f>
        <v>68.4</v>
      </c>
      <c r="G197" t="s">
        <v>541</v>
      </c>
      <c r="H197">
        <v>76.4</v>
      </c>
      <c r="I197">
        <v>350</v>
      </c>
      <c r="J197">
        <v>131</v>
      </c>
      <c r="K197" t="s">
        <v>1210</v>
      </c>
      <c r="L197">
        <v>350</v>
      </c>
      <c r="M197" s="3" t="str">
        <f>HYPERLINK("http://exon.niaid.nih.gov/transcriptome/O_fasciatus/Sup_tab1/links/NR\of-new-contig_131-NR.txt","zinc finger protein [Entamoeba histolytica HM-1:IMSS]")</f>
        <v>zinc finger protein [Entamoeba histolytica HM-1:IMSS]</v>
      </c>
      <c r="N197" s="2" t="str">
        <f>HYPERLINK("http://www.ncbi.nlm.nih.gov/sutils/blink.cgi?pid=67472671","0.49")</f>
        <v>0.49</v>
      </c>
      <c r="O197" t="s">
        <v>905</v>
      </c>
      <c r="P197">
        <v>47</v>
      </c>
      <c r="Q197">
        <v>284</v>
      </c>
      <c r="R197">
        <v>38</v>
      </c>
      <c r="S197">
        <v>17</v>
      </c>
      <c r="T197">
        <v>42</v>
      </c>
      <c r="U197">
        <v>2</v>
      </c>
      <c r="V197">
        <v>1</v>
      </c>
      <c r="W197" t="s">
        <v>1412</v>
      </c>
      <c r="X197" t="s">
        <v>906</v>
      </c>
      <c r="Y197" t="s">
        <v>907</v>
      </c>
      <c r="Z197" s="4" t="s">
        <v>1025</v>
      </c>
      <c r="AA197" t="s">
        <v>1015</v>
      </c>
      <c r="AB197" s="3" t="s">
        <v>547</v>
      </c>
      <c r="AC197" s="2" t="s">
        <v>547</v>
      </c>
      <c r="AD197" s="4" t="s">
        <v>547</v>
      </c>
      <c r="AE197" t="s">
        <v>547</v>
      </c>
      <c r="AF197" t="s">
        <v>547</v>
      </c>
      <c r="AG197" s="4" t="s">
        <v>547</v>
      </c>
      <c r="AH197" t="s">
        <v>547</v>
      </c>
      <c r="AI197" t="s">
        <v>547</v>
      </c>
      <c r="AJ197" s="4" t="s">
        <v>547</v>
      </c>
      <c r="AK197" t="s">
        <v>547</v>
      </c>
      <c r="AL197" t="s">
        <v>547</v>
      </c>
      <c r="AM197" s="3" t="str">
        <f>HYPERLINK("http://exon.niaid.nih.gov/transcriptome/O_fasciatus/Sup_tab1/links/KOG\of-new-contig_131-KOG.txt","AAA+-type ATPase")</f>
        <v>AAA+-type ATPase</v>
      </c>
      <c r="AN197" s="2" t="str">
        <f>HYPERLINK("http://www.ncbi.nlm.nih.gov/COG/new/shokog.cgi?KOG0730","0.46")</f>
        <v>0.46</v>
      </c>
      <c r="AO197" t="s">
        <v>653</v>
      </c>
      <c r="AP197" s="3" t="str">
        <f>HYPERLINK("http://exon.niaid.nih.gov/transcriptome/O_fasciatus/Sup_tab1/links/CDD\of-new-contig_131-CDD.txt","SCFA_trans")</f>
        <v>SCFA_trans</v>
      </c>
      <c r="AQ197" s="2" t="str">
        <f>HYPERLINK("http://www.ncbi.nlm.nih.gov/Structure/cdd/cddsrv.cgi?uid=pfam02667&amp;version=v4.0","0.77")</f>
        <v>0.77</v>
      </c>
      <c r="AR197" t="s">
        <v>908</v>
      </c>
      <c r="AS197" s="3" t="str">
        <f>HYPERLINK("http://exon.niaid.nih.gov/transcriptome/O_fasciatus/Sup_tab1/links/PFAM\of-new-contig_131-PFAM.txt","Arena_RNA_pol")</f>
        <v>Arena_RNA_pol</v>
      </c>
      <c r="AT197" s="2" t="str">
        <f>HYPERLINK("http://pfam.wustl.edu/cgi-bin/getdesc?acc=PF06317","0.39")</f>
        <v>0.39</v>
      </c>
      <c r="AU197" s="3" t="s">
        <v>547</v>
      </c>
      <c r="AV197" s="2" t="s">
        <v>547</v>
      </c>
      <c r="AW197" s="3" t="s">
        <v>547</v>
      </c>
      <c r="AX197" s="2" t="s">
        <v>547</v>
      </c>
      <c r="AY197" s="3" t="s">
        <v>547</v>
      </c>
      <c r="AZ197" s="2" t="s">
        <v>547</v>
      </c>
    </row>
    <row r="198" spans="1:52" ht="11.25">
      <c r="A198" t="str">
        <f>HYPERLINK("http://exon.niaid.nih.gov/transcriptome/O_fasciatus/Sup_tab1/links/of-new\of-new-contig_132.txt","of-new-contig_132")</f>
        <v>of-new-contig_132</v>
      </c>
      <c r="B198" t="str">
        <f>HYPERLINK("http://exon.niaid.nih.gov/transcriptome/O_fasciatus/Sup_tab1/links/of-new\of-new-5-64-64-asb-132.txt","Contig-132")</f>
        <v>Contig-132</v>
      </c>
      <c r="C198" t="str">
        <f>HYPERLINK("http://exon.niaid.nih.gov/transcriptome/O_fasciatus/Sup_tab1/links/of-new\of-new-5-64-64-132-CLU.txt","Contig132")</f>
        <v>Contig132</v>
      </c>
      <c r="D198">
        <v>2</v>
      </c>
      <c r="E198">
        <v>225</v>
      </c>
      <c r="F198" t="str">
        <f>HYPERLINK("http://exon.niaid.nih.gov/transcriptome/O_fasciatus/Sup_tab1/links/of-new\of-new-5-64-64-132-qual.txt","83.1")</f>
        <v>83.1</v>
      </c>
      <c r="G198" t="s">
        <v>541</v>
      </c>
      <c r="H198">
        <v>71.1</v>
      </c>
      <c r="I198">
        <v>206</v>
      </c>
      <c r="J198">
        <v>132</v>
      </c>
      <c r="K198" t="s">
        <v>1211</v>
      </c>
      <c r="L198">
        <v>206</v>
      </c>
      <c r="M198" s="3" t="str">
        <f>HYPERLINK("http://exon.niaid.nih.gov/transcriptome/O_fasciatus/Sup_tab1/links/NR\of-new-contig_132-NR.txt","ENSANGP00000011510 [Anopheles gambiae str. PEST]")</f>
        <v>ENSANGP00000011510 [Anopheles gambiae str. PEST]</v>
      </c>
      <c r="N198" s="2" t="str">
        <f>HYPERLINK("http://www.ncbi.nlm.nih.gov/sutils/blink.cgi?pid=58388964","0.50")</f>
        <v>0.50</v>
      </c>
      <c r="O198" t="s">
        <v>909</v>
      </c>
      <c r="P198">
        <v>39</v>
      </c>
      <c r="Q198">
        <v>70</v>
      </c>
      <c r="R198">
        <v>53</v>
      </c>
      <c r="S198">
        <v>56</v>
      </c>
      <c r="T198">
        <v>33</v>
      </c>
      <c r="U198">
        <v>26</v>
      </c>
      <c r="V198">
        <v>1</v>
      </c>
      <c r="W198" t="s">
        <v>1412</v>
      </c>
      <c r="X198" t="s">
        <v>1628</v>
      </c>
      <c r="Y198" t="s">
        <v>910</v>
      </c>
      <c r="Z198" s="4" t="s">
        <v>1025</v>
      </c>
      <c r="AA198" t="s">
        <v>1015</v>
      </c>
      <c r="AB198" s="3" t="s">
        <v>547</v>
      </c>
      <c r="AC198" s="2" t="s">
        <v>547</v>
      </c>
      <c r="AD198" s="4" t="s">
        <v>547</v>
      </c>
      <c r="AE198" t="s">
        <v>547</v>
      </c>
      <c r="AF198" t="s">
        <v>547</v>
      </c>
      <c r="AG198" s="4" t="s">
        <v>547</v>
      </c>
      <c r="AH198" t="s">
        <v>547</v>
      </c>
      <c r="AI198" t="s">
        <v>547</v>
      </c>
      <c r="AJ198" s="4" t="s">
        <v>547</v>
      </c>
      <c r="AK198" t="s">
        <v>547</v>
      </c>
      <c r="AL198" t="s">
        <v>547</v>
      </c>
      <c r="AM198" s="3" t="str">
        <f>HYPERLINK("http://exon.niaid.nih.gov/transcriptome/O_fasciatus/Sup_tab1/links/KOG\of-new-contig_132-KOG.txt","Glycosylphosphatidylinositol anchor synthesis protein")</f>
        <v>Glycosylphosphatidylinositol anchor synthesis protein</v>
      </c>
      <c r="AN198" s="2" t="str">
        <f>HYPERLINK("http://www.ncbi.nlm.nih.gov/COG/new/shokog.cgi?KOG2125","0.28")</f>
        <v>0.28</v>
      </c>
      <c r="AO198" t="s">
        <v>1521</v>
      </c>
      <c r="AP198" s="3" t="s">
        <v>547</v>
      </c>
      <c r="AQ198" s="2" t="s">
        <v>547</v>
      </c>
      <c r="AR198" t="s">
        <v>547</v>
      </c>
      <c r="AS198" s="3" t="s">
        <v>547</v>
      </c>
      <c r="AT198" s="2" t="s">
        <v>547</v>
      </c>
      <c r="AU198" s="3" t="str">
        <f>HYPERLINK("http://exon.niaid.nih.gov/transcriptome/O_fasciatus/Sup_tab1/links/SMART\of-new-contig_132-SMART.txt","ZnF_U1")</f>
        <v>ZnF_U1</v>
      </c>
      <c r="AV198" s="2" t="str">
        <f>HYPERLINK("http://smart.embl-heidelberg.de/smart/do_annotation.pl?DOMAIN=ZnF_U1&amp;BLAST=DUMMY","0.93")</f>
        <v>0.93</v>
      </c>
      <c r="AW198" s="3" t="s">
        <v>547</v>
      </c>
      <c r="AX198" s="2" t="s">
        <v>547</v>
      </c>
      <c r="AY198" s="3" t="s">
        <v>547</v>
      </c>
      <c r="AZ198" s="2" t="s">
        <v>547</v>
      </c>
    </row>
    <row r="199" spans="1:52" ht="11.25">
      <c r="A199" t="str">
        <f>HYPERLINK("http://exon.niaid.nih.gov/transcriptome/O_fasciatus/Sup_tab1/links/of-new\of-new-contig_133.txt","of-new-contig_133")</f>
        <v>of-new-contig_133</v>
      </c>
      <c r="B199" t="str">
        <f>HYPERLINK("http://exon.niaid.nih.gov/transcriptome/O_fasciatus/Sup_tab1/links/of-new\of-new-5-64-64-asb-133.txt","Contig-133")</f>
        <v>Contig-133</v>
      </c>
      <c r="C199" t="str">
        <f>HYPERLINK("http://exon.niaid.nih.gov/transcriptome/O_fasciatus/Sup_tab1/links/of-new\of-new-5-64-64-133-CLU.txt","Contig133")</f>
        <v>Contig133</v>
      </c>
      <c r="D199">
        <v>2</v>
      </c>
      <c r="E199">
        <v>227</v>
      </c>
      <c r="F199" t="str">
        <f>HYPERLINK("http://exon.niaid.nih.gov/transcriptome/O_fasciatus/Sup_tab1/links/of-new\of-new-5-64-64-133-qual.txt","90.2")</f>
        <v>90.2</v>
      </c>
      <c r="G199" t="s">
        <v>541</v>
      </c>
      <c r="H199">
        <v>75.8</v>
      </c>
      <c r="I199">
        <v>208</v>
      </c>
      <c r="J199">
        <v>133</v>
      </c>
      <c r="K199" t="s">
        <v>1212</v>
      </c>
      <c r="L199">
        <v>208</v>
      </c>
      <c r="N199" s="2" t="s">
        <v>547</v>
      </c>
      <c r="O199" t="s">
        <v>547</v>
      </c>
      <c r="P199" t="s">
        <v>547</v>
      </c>
      <c r="Q199" t="s">
        <v>547</v>
      </c>
      <c r="R199" t="s">
        <v>547</v>
      </c>
      <c r="S199" t="s">
        <v>547</v>
      </c>
      <c r="T199" t="s">
        <v>547</v>
      </c>
      <c r="U199" t="s">
        <v>547</v>
      </c>
      <c r="V199" t="s">
        <v>547</v>
      </c>
      <c r="W199" t="s">
        <v>547</v>
      </c>
      <c r="X199" t="s">
        <v>547</v>
      </c>
      <c r="Y199" t="s">
        <v>547</v>
      </c>
      <c r="Z199" s="4" t="s">
        <v>1025</v>
      </c>
      <c r="AA199" t="s">
        <v>1015</v>
      </c>
      <c r="AB199" s="3" t="s">
        <v>547</v>
      </c>
      <c r="AC199" s="2" t="s">
        <v>547</v>
      </c>
      <c r="AD199" s="4" t="s">
        <v>547</v>
      </c>
      <c r="AE199" t="s">
        <v>547</v>
      </c>
      <c r="AF199" t="s">
        <v>547</v>
      </c>
      <c r="AG199" s="4" t="s">
        <v>547</v>
      </c>
      <c r="AH199" t="s">
        <v>547</v>
      </c>
      <c r="AI199" t="s">
        <v>547</v>
      </c>
      <c r="AJ199" s="4" t="s">
        <v>547</v>
      </c>
      <c r="AK199" t="s">
        <v>547</v>
      </c>
      <c r="AL199" t="s">
        <v>547</v>
      </c>
      <c r="AM199" s="3" t="str">
        <f>HYPERLINK("http://exon.niaid.nih.gov/transcriptome/O_fasciatus/Sup_tab1/links/KOG\of-new-contig_133-KOG.txt","PHD finger protein AF10")</f>
        <v>PHD finger protein AF10</v>
      </c>
      <c r="AN199" s="2" t="str">
        <f>HYPERLINK("http://www.ncbi.nlm.nih.gov/COG/new/shokog.cgi?KOG0956","0.30")</f>
        <v>0.30</v>
      </c>
      <c r="AO199" t="s">
        <v>1503</v>
      </c>
      <c r="AP199" s="3" t="str">
        <f>HYPERLINK("http://exon.niaid.nih.gov/transcriptome/O_fasciatus/Sup_tab1/links/CDD\of-new-contig_133-CDD.txt","COG1822")</f>
        <v>COG1822</v>
      </c>
      <c r="AQ199" s="2" t="str">
        <f>HYPERLINK("http://www.ncbi.nlm.nih.gov/Structure/cdd/cddsrv.cgi?uid=COG1822&amp;version=v4.0","0.73")</f>
        <v>0.73</v>
      </c>
      <c r="AR199" t="s">
        <v>911</v>
      </c>
      <c r="AS199" s="3" t="s">
        <v>547</v>
      </c>
      <c r="AT199" s="2" t="s">
        <v>547</v>
      </c>
      <c r="AU199" s="3" t="str">
        <f>HYPERLINK("http://exon.niaid.nih.gov/transcriptome/O_fasciatus/Sup_tab1/links/SMART\of-new-contig_133-SMART.txt","Amb_all")</f>
        <v>Amb_all</v>
      </c>
      <c r="AV199" s="2" t="str">
        <f>HYPERLINK("http://smart.embl-heidelberg.de/smart/do_annotation.pl?DOMAIN=Amb_all&amp;BLAST=DUMMY","0.77")</f>
        <v>0.77</v>
      </c>
      <c r="AW199" s="3" t="s">
        <v>547</v>
      </c>
      <c r="AX199" s="2" t="s">
        <v>547</v>
      </c>
      <c r="AY199" s="3" t="s">
        <v>547</v>
      </c>
      <c r="AZ199" s="2" t="s">
        <v>547</v>
      </c>
    </row>
    <row r="200" spans="1:52" ht="11.25">
      <c r="A200" t="str">
        <f>HYPERLINK("http://exon.niaid.nih.gov/transcriptome/O_fasciatus/Sup_tab1/links/of-new\of-new-contig_134.txt","of-new-contig_134")</f>
        <v>of-new-contig_134</v>
      </c>
      <c r="B200" t="str">
        <f>HYPERLINK("http://exon.niaid.nih.gov/transcriptome/O_fasciatus/Sup_tab1/links/of-new\of-new-5-64-64-asb-134.txt","Contig-134")</f>
        <v>Contig-134</v>
      </c>
      <c r="C200" t="str">
        <f>HYPERLINK("http://exon.niaid.nih.gov/transcriptome/O_fasciatus/Sup_tab1/links/of-new\of-new-5-64-64-134-CLU.txt","Contig134")</f>
        <v>Contig134</v>
      </c>
      <c r="D200">
        <v>2</v>
      </c>
      <c r="E200">
        <v>424</v>
      </c>
      <c r="F200" t="str">
        <f>HYPERLINK("http://exon.niaid.nih.gov/transcriptome/O_fasciatus/Sup_tab1/links/of-new\of-new-5-64-64-134-qual.txt","90.5")</f>
        <v>90.5</v>
      </c>
      <c r="G200" t="s">
        <v>541</v>
      </c>
      <c r="H200">
        <v>69.1</v>
      </c>
      <c r="I200">
        <v>405</v>
      </c>
      <c r="J200">
        <v>134</v>
      </c>
      <c r="K200" t="s">
        <v>1213</v>
      </c>
      <c r="L200">
        <v>405</v>
      </c>
      <c r="N200" s="2" t="s">
        <v>547</v>
      </c>
      <c r="O200" t="s">
        <v>547</v>
      </c>
      <c r="P200" t="s">
        <v>547</v>
      </c>
      <c r="Q200" t="s">
        <v>547</v>
      </c>
      <c r="R200" t="s">
        <v>547</v>
      </c>
      <c r="S200" t="s">
        <v>547</v>
      </c>
      <c r="T200" t="s">
        <v>547</v>
      </c>
      <c r="U200" t="s">
        <v>547</v>
      </c>
      <c r="V200" t="s">
        <v>547</v>
      </c>
      <c r="W200" t="s">
        <v>547</v>
      </c>
      <c r="X200" t="s">
        <v>547</v>
      </c>
      <c r="Y200" t="s">
        <v>547</v>
      </c>
      <c r="Z200" s="4" t="s">
        <v>1025</v>
      </c>
      <c r="AA200" t="s">
        <v>1015</v>
      </c>
      <c r="AB200" s="3" t="s">
        <v>547</v>
      </c>
      <c r="AC200" s="2" t="s">
        <v>547</v>
      </c>
      <c r="AD200" s="4" t="s">
        <v>547</v>
      </c>
      <c r="AE200" t="s">
        <v>547</v>
      </c>
      <c r="AF200" t="s">
        <v>547</v>
      </c>
      <c r="AG200" s="4" t="s">
        <v>547</v>
      </c>
      <c r="AH200" t="s">
        <v>547</v>
      </c>
      <c r="AI200" t="s">
        <v>547</v>
      </c>
      <c r="AJ200" s="4" t="s">
        <v>547</v>
      </c>
      <c r="AK200" t="s">
        <v>547</v>
      </c>
      <c r="AL200" t="s">
        <v>547</v>
      </c>
      <c r="AM200" s="3" t="str">
        <f>HYPERLINK("http://exon.niaid.nih.gov/transcriptome/O_fasciatus/Sup_tab1/links/KOG\of-new-contig_134-KOG.txt","Reticulon")</f>
        <v>Reticulon</v>
      </c>
      <c r="AN200" s="2" t="str">
        <f>HYPERLINK("http://www.ncbi.nlm.nih.gov/COG/new/shokog.cgi?KOG1792","0.97")</f>
        <v>0.97</v>
      </c>
      <c r="AO200" t="s">
        <v>300</v>
      </c>
      <c r="AP200" s="3" t="str">
        <f>HYPERLINK("http://exon.niaid.nih.gov/transcriptome/O_fasciatus/Sup_tab1/links/CDD\of-new-contig_134-CDD.txt","COG5594")</f>
        <v>COG5594</v>
      </c>
      <c r="AQ200" s="2" t="str">
        <f>HYPERLINK("http://www.ncbi.nlm.nih.gov/Structure/cdd/cddsrv.cgi?uid=COG5594&amp;version=v4.0","0.19")</f>
        <v>0.19</v>
      </c>
      <c r="AR200" t="s">
        <v>912</v>
      </c>
      <c r="AS200" s="3" t="str">
        <f>HYPERLINK("http://exon.niaid.nih.gov/transcriptome/O_fasciatus/Sup_tab1/links/PFAM\of-new-contig_134-PFAM.txt","DUF876")</f>
        <v>DUF876</v>
      </c>
      <c r="AT200" s="2" t="str">
        <f>HYPERLINK("http://pfam.wustl.edu/cgi-bin/getdesc?acc=PF05936","0.67")</f>
        <v>0.67</v>
      </c>
      <c r="AU200" s="3" t="str">
        <f>HYPERLINK("http://exon.niaid.nih.gov/transcriptome/O_fasciatus/Sup_tab1/links/SMART\of-new-contig_134-SMART.txt","LIGANc")</f>
        <v>LIGANc</v>
      </c>
      <c r="AV200" s="2" t="str">
        <f>HYPERLINK("http://smart.embl-heidelberg.de/smart/do_annotation.pl?DOMAIN=LIGANc&amp;BLAST=DUMMY","0.88")</f>
        <v>0.88</v>
      </c>
      <c r="AW200" s="3" t="s">
        <v>547</v>
      </c>
      <c r="AX200" s="2" t="s">
        <v>547</v>
      </c>
      <c r="AY200" s="3" t="s">
        <v>547</v>
      </c>
      <c r="AZ200" s="2" t="s">
        <v>547</v>
      </c>
    </row>
    <row r="201" spans="1:52" ht="11.25">
      <c r="A201" t="str">
        <f>HYPERLINK("http://exon.niaid.nih.gov/transcriptome/O_fasciatus/Sup_tab1/links/of-new\of-new-contig_136.txt","of-new-contig_136")</f>
        <v>of-new-contig_136</v>
      </c>
      <c r="B201" t="str">
        <f>HYPERLINK("http://exon.niaid.nih.gov/transcriptome/O_fasciatus/Sup_tab1/links/of-new\of-new-5-64-64-asb-136.txt","Contig-136")</f>
        <v>Contig-136</v>
      </c>
      <c r="C201" t="str">
        <f>HYPERLINK("http://exon.niaid.nih.gov/transcriptome/O_fasciatus/Sup_tab1/links/of-new\of-new-5-64-64-136-CLU.txt","Contig136")</f>
        <v>Contig136</v>
      </c>
      <c r="D201">
        <v>2</v>
      </c>
      <c r="E201">
        <v>829</v>
      </c>
      <c r="F201" t="str">
        <f>HYPERLINK("http://exon.niaid.nih.gov/transcriptome/O_fasciatus/Sup_tab1/links/of-new\of-new-5-64-64-136-qual.txt","69.6")</f>
        <v>69.6</v>
      </c>
      <c r="G201">
        <v>0.1</v>
      </c>
      <c r="H201">
        <v>67.2</v>
      </c>
      <c r="I201" t="s">
        <v>547</v>
      </c>
      <c r="J201">
        <v>136</v>
      </c>
      <c r="K201" t="s">
        <v>605</v>
      </c>
      <c r="L201" t="s">
        <v>547</v>
      </c>
      <c r="N201" s="2" t="s">
        <v>547</v>
      </c>
      <c r="O201" t="s">
        <v>547</v>
      </c>
      <c r="P201" t="s">
        <v>547</v>
      </c>
      <c r="Q201" t="s">
        <v>547</v>
      </c>
      <c r="R201" t="s">
        <v>547</v>
      </c>
      <c r="S201" t="s">
        <v>547</v>
      </c>
      <c r="T201" t="s">
        <v>547</v>
      </c>
      <c r="U201" t="s">
        <v>547</v>
      </c>
      <c r="V201" t="s">
        <v>547</v>
      </c>
      <c r="W201" t="s">
        <v>547</v>
      </c>
      <c r="X201" t="s">
        <v>547</v>
      </c>
      <c r="Y201" t="s">
        <v>547</v>
      </c>
      <c r="Z201" s="4" t="s">
        <v>1025</v>
      </c>
      <c r="AA201" t="s">
        <v>1015</v>
      </c>
      <c r="AB201" s="3" t="s">
        <v>547</v>
      </c>
      <c r="AC201" s="2" t="s">
        <v>547</v>
      </c>
      <c r="AD201" s="4" t="s">
        <v>547</v>
      </c>
      <c r="AE201" t="s">
        <v>547</v>
      </c>
      <c r="AF201" t="s">
        <v>547</v>
      </c>
      <c r="AG201" s="4" t="s">
        <v>547</v>
      </c>
      <c r="AH201" t="s">
        <v>547</v>
      </c>
      <c r="AI201" t="s">
        <v>547</v>
      </c>
      <c r="AJ201" s="4" t="s">
        <v>547</v>
      </c>
      <c r="AK201" t="s">
        <v>547</v>
      </c>
      <c r="AL201" t="s">
        <v>547</v>
      </c>
      <c r="AM201" s="3" t="str">
        <f>HYPERLINK("http://exon.niaid.nih.gov/transcriptome/O_fasciatus/Sup_tab1/links/KOG\of-new-contig_136-KOG.txt","Dolichol kinase")</f>
        <v>Dolichol kinase</v>
      </c>
      <c r="AN201" s="2" t="str">
        <f>HYPERLINK("http://www.ncbi.nlm.nih.gov/COG/new/shokog.cgi?KOG2468","0.008")</f>
        <v>0.008</v>
      </c>
      <c r="AO201" t="s">
        <v>1469</v>
      </c>
      <c r="AP201" s="3" t="str">
        <f>HYPERLINK("http://exon.niaid.nih.gov/transcriptome/O_fasciatus/Sup_tab1/links/CDD\of-new-contig_136-CDD.txt","COG5542")</f>
        <v>COG5542</v>
      </c>
      <c r="AQ201" s="2" t="str">
        <f>HYPERLINK("http://www.ncbi.nlm.nih.gov/Structure/cdd/cddsrv.cgi?uid=COG5542&amp;version=v4.0","0.12")</f>
        <v>0.12</v>
      </c>
      <c r="AR201" t="s">
        <v>924</v>
      </c>
      <c r="AS201" s="3" t="str">
        <f>HYPERLINK("http://exon.niaid.nih.gov/transcriptome/O_fasciatus/Sup_tab1/links/PFAM\of-new-contig_136-PFAM.txt","Baculo_ME53")</f>
        <v>Baculo_ME53</v>
      </c>
      <c r="AT201" s="2" t="str">
        <f>HYPERLINK("http://pfam.wustl.edu/cgi-bin/getdesc?acc=PF06061","0.27")</f>
        <v>0.27</v>
      </c>
      <c r="AU201" s="3" t="str">
        <f>HYPERLINK("http://exon.niaid.nih.gov/transcriptome/O_fasciatus/Sup_tab1/links/SMART\of-new-contig_136-SMART.txt","ChtBD1")</f>
        <v>ChtBD1</v>
      </c>
      <c r="AV201" s="2" t="str">
        <f>HYPERLINK("http://smart.embl-heidelberg.de/smart/do_annotation.pl?DOMAIN=ChtBD1&amp;BLAST=DUMMY","0.72")</f>
        <v>0.72</v>
      </c>
      <c r="AW201" s="3" t="s">
        <v>547</v>
      </c>
      <c r="AX201" s="2" t="s">
        <v>547</v>
      </c>
      <c r="AY201" s="3" t="s">
        <v>547</v>
      </c>
      <c r="AZ201" s="2" t="s">
        <v>547</v>
      </c>
    </row>
    <row r="202" spans="1:52" ht="11.25">
      <c r="A202" t="str">
        <f>HYPERLINK("http://exon.niaid.nih.gov/transcriptome/O_fasciatus/Sup_tab1/links/of-new\of-new-contig_137.txt","of-new-contig_137")</f>
        <v>of-new-contig_137</v>
      </c>
      <c r="B202" t="str">
        <f>HYPERLINK("http://exon.niaid.nih.gov/transcriptome/O_fasciatus/Sup_tab1/links/of-new\of-new-5-64-64-asb-137.txt","Contig-137")</f>
        <v>Contig-137</v>
      </c>
      <c r="C202" t="str">
        <f>HYPERLINK("http://exon.niaid.nih.gov/transcriptome/O_fasciatus/Sup_tab1/links/of-new\of-new-5-64-64-137-CLU.txt","Contig137")</f>
        <v>Contig137</v>
      </c>
      <c r="D202">
        <v>2</v>
      </c>
      <c r="E202">
        <v>258</v>
      </c>
      <c r="F202" t="str">
        <f>HYPERLINK("http://exon.niaid.nih.gov/transcriptome/O_fasciatus/Sup_tab1/links/of-new\of-new-5-64-64-137-qual.txt","85.7")</f>
        <v>85.7</v>
      </c>
      <c r="G202" t="s">
        <v>541</v>
      </c>
      <c r="H202">
        <v>69.8</v>
      </c>
      <c r="I202">
        <v>239</v>
      </c>
      <c r="J202">
        <v>137</v>
      </c>
      <c r="K202" t="s">
        <v>1215</v>
      </c>
      <c r="L202">
        <v>239</v>
      </c>
      <c r="M202" s="3" t="str">
        <f>HYPERLINK("http://exon.niaid.nih.gov/transcriptome/O_fasciatus/Sup_tab1/links/NR\of-new-contig_137-NR.txt","cystatin")</f>
        <v>cystatin</v>
      </c>
      <c r="N202" s="2" t="str">
        <f>HYPERLINK("http://www.ncbi.nlm.nih.gov/sutils/blink.cgi?pid=58293","5.5")</f>
        <v>5.5</v>
      </c>
      <c r="O202" t="s">
        <v>925</v>
      </c>
      <c r="P202">
        <v>41</v>
      </c>
      <c r="Q202">
        <v>116</v>
      </c>
      <c r="R202">
        <v>36</v>
      </c>
      <c r="S202">
        <v>35</v>
      </c>
      <c r="T202">
        <v>1</v>
      </c>
      <c r="U202">
        <v>118</v>
      </c>
      <c r="V202">
        <v>1</v>
      </c>
      <c r="W202" t="s">
        <v>1412</v>
      </c>
      <c r="X202" t="s">
        <v>926</v>
      </c>
      <c r="Y202" t="s">
        <v>927</v>
      </c>
      <c r="Z202" s="4" t="s">
        <v>1025</v>
      </c>
      <c r="AA202" t="s">
        <v>1015</v>
      </c>
      <c r="AB202" s="3" t="s">
        <v>547</v>
      </c>
      <c r="AC202" s="2" t="s">
        <v>547</v>
      </c>
      <c r="AD202" s="4" t="s">
        <v>547</v>
      </c>
      <c r="AE202" t="s">
        <v>547</v>
      </c>
      <c r="AF202" t="s">
        <v>547</v>
      </c>
      <c r="AG202" s="4" t="s">
        <v>547</v>
      </c>
      <c r="AH202" t="s">
        <v>547</v>
      </c>
      <c r="AI202" t="s">
        <v>547</v>
      </c>
      <c r="AJ202" s="4" t="s">
        <v>547</v>
      </c>
      <c r="AK202" t="s">
        <v>547</v>
      </c>
      <c r="AL202" t="s">
        <v>547</v>
      </c>
      <c r="AM202" s="3" t="str">
        <f>HYPERLINK("http://exon.niaid.nih.gov/transcriptome/O_fasciatus/Sup_tab1/links/KOG\of-new-contig_137-KOG.txt","Nuclear export receptor CSE1/CAS (importin beta superfamily)")</f>
        <v>Nuclear export receptor CSE1/CAS (importin beta superfamily)</v>
      </c>
      <c r="AN202" s="2" t="str">
        <f>HYPERLINK("http://www.ncbi.nlm.nih.gov/COG/new/shokog.cgi?KOG1992","0.032")</f>
        <v>0.032</v>
      </c>
      <c r="AO202" t="s">
        <v>1652</v>
      </c>
      <c r="AP202" s="3" t="s">
        <v>547</v>
      </c>
      <c r="AQ202" s="2" t="s">
        <v>547</v>
      </c>
      <c r="AR202" t="s">
        <v>547</v>
      </c>
      <c r="AS202" s="3" t="s">
        <v>547</v>
      </c>
      <c r="AT202" s="2" t="s">
        <v>547</v>
      </c>
      <c r="AU202" s="3" t="str">
        <f>HYPERLINK("http://exon.niaid.nih.gov/transcriptome/O_fasciatus/Sup_tab1/links/SMART\of-new-contig_137-SMART.txt","G_alpha")</f>
        <v>G_alpha</v>
      </c>
      <c r="AV202" s="2" t="str">
        <f>HYPERLINK("http://smart.embl-heidelberg.de/smart/do_annotation.pl?DOMAIN=G_alpha&amp;BLAST=DUMMY","0.78")</f>
        <v>0.78</v>
      </c>
      <c r="AW202" s="3" t="s">
        <v>547</v>
      </c>
      <c r="AX202" s="2" t="s">
        <v>547</v>
      </c>
      <c r="AY202" s="3" t="s">
        <v>547</v>
      </c>
      <c r="AZ202" s="2" t="s">
        <v>547</v>
      </c>
    </row>
    <row r="203" spans="1:52" ht="11.25">
      <c r="A203" t="str">
        <f>HYPERLINK("http://exon.niaid.nih.gov/transcriptome/O_fasciatus/Sup_tab1/links/of-new\of-new-contig_139.txt","of-new-contig_139")</f>
        <v>of-new-contig_139</v>
      </c>
      <c r="B203" t="str">
        <f>HYPERLINK("http://exon.niaid.nih.gov/transcriptome/O_fasciatus/Sup_tab1/links/of-new\of-new-5-64-64-asb-139.txt","Contig-139")</f>
        <v>Contig-139</v>
      </c>
      <c r="C203" t="str">
        <f>HYPERLINK("http://exon.niaid.nih.gov/transcriptome/O_fasciatus/Sup_tab1/links/of-new\of-new-5-64-64-139-CLU.txt","Contig139")</f>
        <v>Contig139</v>
      </c>
      <c r="D203">
        <v>2</v>
      </c>
      <c r="E203">
        <v>188</v>
      </c>
      <c r="F203" t="str">
        <f>HYPERLINK("http://exon.niaid.nih.gov/transcriptome/O_fasciatus/Sup_tab1/links/of-new\of-new-5-64-64-139-qual.txt","76.2")</f>
        <v>76.2</v>
      </c>
      <c r="G203" t="s">
        <v>541</v>
      </c>
      <c r="H203">
        <v>68.6</v>
      </c>
      <c r="I203">
        <v>168</v>
      </c>
      <c r="J203">
        <v>139</v>
      </c>
      <c r="K203" t="s">
        <v>1217</v>
      </c>
      <c r="L203">
        <v>171</v>
      </c>
      <c r="N203" s="2" t="s">
        <v>547</v>
      </c>
      <c r="O203" t="s">
        <v>547</v>
      </c>
      <c r="P203" t="s">
        <v>547</v>
      </c>
      <c r="Q203" t="s">
        <v>547</v>
      </c>
      <c r="R203" t="s">
        <v>547</v>
      </c>
      <c r="S203" t="s">
        <v>547</v>
      </c>
      <c r="T203" t="s">
        <v>547</v>
      </c>
      <c r="U203" t="s">
        <v>547</v>
      </c>
      <c r="V203" t="s">
        <v>547</v>
      </c>
      <c r="W203" t="s">
        <v>547</v>
      </c>
      <c r="X203" t="s">
        <v>547</v>
      </c>
      <c r="Y203" t="s">
        <v>547</v>
      </c>
      <c r="Z203" s="4" t="s">
        <v>1025</v>
      </c>
      <c r="AA203" t="s">
        <v>1015</v>
      </c>
      <c r="AB203" s="3" t="s">
        <v>547</v>
      </c>
      <c r="AC203" s="2" t="s">
        <v>547</v>
      </c>
      <c r="AD203" s="4" t="s">
        <v>547</v>
      </c>
      <c r="AE203" t="s">
        <v>547</v>
      </c>
      <c r="AF203" t="s">
        <v>547</v>
      </c>
      <c r="AG203" s="4" t="s">
        <v>547</v>
      </c>
      <c r="AH203" t="s">
        <v>547</v>
      </c>
      <c r="AI203" t="s">
        <v>547</v>
      </c>
      <c r="AJ203" s="4" t="s">
        <v>547</v>
      </c>
      <c r="AK203" t="s">
        <v>547</v>
      </c>
      <c r="AL203" t="s">
        <v>547</v>
      </c>
      <c r="AM203" s="3" t="s">
        <v>547</v>
      </c>
      <c r="AN203" s="2" t="s">
        <v>547</v>
      </c>
      <c r="AO203" t="s">
        <v>547</v>
      </c>
      <c r="AP203" s="3" t="s">
        <v>547</v>
      </c>
      <c r="AQ203" s="2" t="s">
        <v>547</v>
      </c>
      <c r="AR203" t="s">
        <v>547</v>
      </c>
      <c r="AS203" s="3" t="s">
        <v>547</v>
      </c>
      <c r="AT203" s="2" t="s">
        <v>547</v>
      </c>
      <c r="AU203" s="3" t="str">
        <f>HYPERLINK("http://exon.niaid.nih.gov/transcriptome/O_fasciatus/Sup_tab1/links/SMART\of-new-contig_139-SMART.txt","IBR")</f>
        <v>IBR</v>
      </c>
      <c r="AV203" s="2" t="str">
        <f>HYPERLINK("http://smart.embl-heidelberg.de/smart/do_annotation.pl?DOMAIN=IBR&amp;BLAST=DUMMY","0.11")</f>
        <v>0.11</v>
      </c>
      <c r="AW203" s="3" t="s">
        <v>547</v>
      </c>
      <c r="AX203" s="2" t="s">
        <v>547</v>
      </c>
      <c r="AY203" s="3" t="s">
        <v>547</v>
      </c>
      <c r="AZ203" s="2" t="s">
        <v>547</v>
      </c>
    </row>
    <row r="204" spans="1:52" ht="11.25">
      <c r="A204" t="str">
        <f>HYPERLINK("http://exon.niaid.nih.gov/transcriptome/O_fasciatus/Sup_tab1/links/of-new\of-new-contig_140.txt","of-new-contig_140")</f>
        <v>of-new-contig_140</v>
      </c>
      <c r="B204" t="str">
        <f>HYPERLINK("http://exon.niaid.nih.gov/transcriptome/O_fasciatus/Sup_tab1/links/of-new\of-new-5-64-64-asb-140.txt","Contig-140")</f>
        <v>Contig-140</v>
      </c>
      <c r="C204" t="str">
        <f>HYPERLINK("http://exon.niaid.nih.gov/transcriptome/O_fasciatus/Sup_tab1/links/of-new\of-new-5-64-64-140-CLU.txt","Contig140")</f>
        <v>Contig140</v>
      </c>
      <c r="D204">
        <v>2</v>
      </c>
      <c r="E204">
        <v>304</v>
      </c>
      <c r="F204" t="str">
        <f>HYPERLINK("http://exon.niaid.nih.gov/transcriptome/O_fasciatus/Sup_tab1/links/of-new\of-new-5-64-64-140-qual.txt","72.5")</f>
        <v>72.5</v>
      </c>
      <c r="G204" t="s">
        <v>541</v>
      </c>
      <c r="H204">
        <v>62.2</v>
      </c>
      <c r="I204">
        <v>285</v>
      </c>
      <c r="J204">
        <v>140</v>
      </c>
      <c r="K204" t="s">
        <v>1218</v>
      </c>
      <c r="L204">
        <v>285</v>
      </c>
      <c r="M204" s="3" t="str">
        <f>HYPERLINK("http://exon.niaid.nih.gov/transcriptome/O_fasciatus/Sup_tab1/links/NR\of-new-contig_140-NR.txt","PREDICTED: hypothetical protein [Rattus norvegicus]")</f>
        <v>PREDICTED: hypothetical protein [Rattus norvegicus]</v>
      </c>
      <c r="N204" s="2" t="str">
        <f>HYPERLINK("http://www.ncbi.nlm.nih.gov/sutils/blink.cgi?pid=109503268","0.026")</f>
        <v>0.026</v>
      </c>
      <c r="O204" t="s">
        <v>931</v>
      </c>
      <c r="P204">
        <v>72</v>
      </c>
      <c r="Q204">
        <v>80</v>
      </c>
      <c r="R204">
        <v>37</v>
      </c>
      <c r="S204">
        <v>90</v>
      </c>
      <c r="T204">
        <v>9</v>
      </c>
      <c r="U204">
        <v>24</v>
      </c>
      <c r="V204">
        <v>1</v>
      </c>
      <c r="W204" t="s">
        <v>1412</v>
      </c>
      <c r="X204" t="s">
        <v>1413</v>
      </c>
      <c r="Y204" t="s">
        <v>932</v>
      </c>
      <c r="Z204" s="4" t="s">
        <v>1025</v>
      </c>
      <c r="AA204" t="s">
        <v>1015</v>
      </c>
      <c r="AB204" s="3" t="s">
        <v>933</v>
      </c>
      <c r="AC204" s="2">
        <f>HYPERLINK("http://exon.niaid.nih.gov/transcriptome/O_fasciatus/Sup_tab1/links/GO\of-new-contig_140-GO.txt",0.017)</f>
        <v>0</v>
      </c>
      <c r="AD204" s="4" t="s">
        <v>934</v>
      </c>
      <c r="AE204" t="s">
        <v>935</v>
      </c>
      <c r="AF204">
        <v>0.017</v>
      </c>
      <c r="AG204" s="4" t="s">
        <v>12</v>
      </c>
      <c r="AH204" t="s">
        <v>13</v>
      </c>
      <c r="AI204">
        <v>0.017</v>
      </c>
      <c r="AJ204" s="4" t="s">
        <v>936</v>
      </c>
      <c r="AK204" t="s">
        <v>937</v>
      </c>
      <c r="AL204">
        <v>0.017</v>
      </c>
      <c r="AM204" s="3" t="str">
        <f>HYPERLINK("http://exon.niaid.nih.gov/transcriptome/O_fasciatus/Sup_tab1/links/KOG\of-new-contig_140-KOG.txt","Transcription elongation factor TAT-SF1")</f>
        <v>Transcription elongation factor TAT-SF1</v>
      </c>
      <c r="AN204" s="2" t="str">
        <f>HYPERLINK("http://www.ncbi.nlm.nih.gov/COG/new/shokog.cgi?KOG1548","0.010")</f>
        <v>0.010</v>
      </c>
      <c r="AO204" t="s">
        <v>1640</v>
      </c>
      <c r="AP204" s="3" t="str">
        <f>HYPERLINK("http://exon.niaid.nih.gov/transcriptome/O_fasciatus/Sup_tab1/links/CDD\of-new-contig_140-CDD.txt","COG3639")</f>
        <v>COG3639</v>
      </c>
      <c r="AQ204" s="2" t="str">
        <f>HYPERLINK("http://www.ncbi.nlm.nih.gov/Structure/cdd/cddsrv.cgi?uid=COG3639&amp;version=v4.0","0.016")</f>
        <v>0.016</v>
      </c>
      <c r="AR204" t="s">
        <v>938</v>
      </c>
      <c r="AS204" s="3" t="str">
        <f>HYPERLINK("http://exon.niaid.nih.gov/transcriptome/O_fasciatus/Sup_tab1/links/PFAM\of-new-contig_140-PFAM.txt","UPF0104")</f>
        <v>UPF0104</v>
      </c>
      <c r="AT204" s="2" t="str">
        <f>HYPERLINK("http://pfam.wustl.edu/cgi-bin/getdesc?acc=PF03706","0.023")</f>
        <v>0.023</v>
      </c>
      <c r="AU204" s="3" t="str">
        <f>HYPERLINK("http://exon.niaid.nih.gov/transcriptome/O_fasciatus/Sup_tab1/links/SMART\of-new-contig_140-SMART.txt","CLb")</f>
        <v>CLb</v>
      </c>
      <c r="AV204" s="2" t="str">
        <f>HYPERLINK("http://smart.embl-heidelberg.de/smart/do_annotation.pl?DOMAIN=CLb&amp;BLAST=DUMMY","0.009")</f>
        <v>0.009</v>
      </c>
      <c r="AW204" s="3" t="s">
        <v>547</v>
      </c>
      <c r="AX204" s="2" t="s">
        <v>547</v>
      </c>
      <c r="AY204" s="3" t="s">
        <v>547</v>
      </c>
      <c r="AZ204" s="2" t="s">
        <v>547</v>
      </c>
    </row>
    <row r="205" spans="1:52" ht="11.25">
      <c r="A205" t="str">
        <f>HYPERLINK("http://exon.niaid.nih.gov/transcriptome/O_fasciatus/Sup_tab1/links/of-new\of-new-contig_142.txt","of-new-contig_142")</f>
        <v>of-new-contig_142</v>
      </c>
      <c r="B205" t="str">
        <f>HYPERLINK("http://exon.niaid.nih.gov/transcriptome/O_fasciatus/Sup_tab1/links/of-new\of-new-5-64-64-asb-142.txt","Contig-142")</f>
        <v>Contig-142</v>
      </c>
      <c r="C205" t="str">
        <f>HYPERLINK("http://exon.niaid.nih.gov/transcriptome/O_fasciatus/Sup_tab1/links/of-new\of-new-5-64-64-142-CLU.txt","Contig142")</f>
        <v>Contig142</v>
      </c>
      <c r="D205">
        <v>2</v>
      </c>
      <c r="E205">
        <v>93</v>
      </c>
      <c r="F205" t="str">
        <f>HYPERLINK("http://exon.niaid.nih.gov/transcriptome/O_fasciatus/Sup_tab1/links/of-new\of-new-5-64-64-142-qual.txt","82.8")</f>
        <v>82.8</v>
      </c>
      <c r="G205" t="s">
        <v>541</v>
      </c>
      <c r="H205">
        <v>76.3</v>
      </c>
      <c r="I205">
        <v>74</v>
      </c>
      <c r="J205">
        <v>142</v>
      </c>
      <c r="K205" t="s">
        <v>1220</v>
      </c>
      <c r="L205">
        <v>79</v>
      </c>
      <c r="N205" s="2" t="s">
        <v>547</v>
      </c>
      <c r="O205" t="s">
        <v>547</v>
      </c>
      <c r="P205" t="s">
        <v>547</v>
      </c>
      <c r="Q205" t="s">
        <v>547</v>
      </c>
      <c r="R205" t="s">
        <v>547</v>
      </c>
      <c r="S205" t="s">
        <v>547</v>
      </c>
      <c r="T205" t="s">
        <v>547</v>
      </c>
      <c r="U205" t="s">
        <v>547</v>
      </c>
      <c r="V205" t="s">
        <v>547</v>
      </c>
      <c r="W205" t="s">
        <v>547</v>
      </c>
      <c r="X205" t="s">
        <v>547</v>
      </c>
      <c r="Y205" t="s">
        <v>547</v>
      </c>
      <c r="Z205" s="4" t="s">
        <v>1051</v>
      </c>
      <c r="AA205" t="s">
        <v>1015</v>
      </c>
      <c r="AB205" s="3" t="s">
        <v>547</v>
      </c>
      <c r="AC205" s="2" t="s">
        <v>547</v>
      </c>
      <c r="AD205" s="4" t="s">
        <v>547</v>
      </c>
      <c r="AE205" t="s">
        <v>547</v>
      </c>
      <c r="AF205" t="s">
        <v>547</v>
      </c>
      <c r="AG205" s="4" t="s">
        <v>547</v>
      </c>
      <c r="AH205" t="s">
        <v>547</v>
      </c>
      <c r="AI205" t="s">
        <v>547</v>
      </c>
      <c r="AJ205" s="4" t="s">
        <v>547</v>
      </c>
      <c r="AK205" t="s">
        <v>547</v>
      </c>
      <c r="AL205" t="s">
        <v>547</v>
      </c>
      <c r="AM205" s="3" t="s">
        <v>547</v>
      </c>
      <c r="AN205" s="2" t="s">
        <v>547</v>
      </c>
      <c r="AO205" t="s">
        <v>547</v>
      </c>
      <c r="AP205" s="3" t="s">
        <v>547</v>
      </c>
      <c r="AQ205" s="2" t="s">
        <v>547</v>
      </c>
      <c r="AR205" t="s">
        <v>547</v>
      </c>
      <c r="AS205" s="3" t="s">
        <v>547</v>
      </c>
      <c r="AT205" s="2" t="s">
        <v>547</v>
      </c>
      <c r="AU205" s="3" t="s">
        <v>547</v>
      </c>
      <c r="AV205" s="2" t="s">
        <v>547</v>
      </c>
      <c r="AW205" s="3" t="s">
        <v>547</v>
      </c>
      <c r="AX205" s="2" t="s">
        <v>547</v>
      </c>
      <c r="AY205" s="3" t="s">
        <v>547</v>
      </c>
      <c r="AZ205" s="2" t="s">
        <v>547</v>
      </c>
    </row>
    <row r="206" spans="1:52" ht="11.25">
      <c r="A206" t="str">
        <f>HYPERLINK("http://exon.niaid.nih.gov/transcriptome/O_fasciatus/Sup_tab1/links/of-new\of-new-contig_144.txt","of-new-contig_144")</f>
        <v>of-new-contig_144</v>
      </c>
      <c r="B206" t="str">
        <f>HYPERLINK("http://exon.niaid.nih.gov/transcriptome/O_fasciatus/Sup_tab1/links/of-new\of-new-5-64-64-asb-144.txt","Contig-144")</f>
        <v>Contig-144</v>
      </c>
      <c r="C206" t="str">
        <f>HYPERLINK("http://exon.niaid.nih.gov/transcriptome/O_fasciatus/Sup_tab1/links/of-new\of-new-5-64-64-144-CLU.txt","Contig144")</f>
        <v>Contig144</v>
      </c>
      <c r="D206">
        <v>2</v>
      </c>
      <c r="E206">
        <v>401</v>
      </c>
      <c r="F206" t="str">
        <f>HYPERLINK("http://exon.niaid.nih.gov/transcriptome/O_fasciatus/Sup_tab1/links/of-new\of-new-5-64-64-144-qual.txt","89.5")</f>
        <v>89.5</v>
      </c>
      <c r="G206" t="s">
        <v>541</v>
      </c>
      <c r="H206">
        <v>80.5</v>
      </c>
      <c r="I206">
        <v>382</v>
      </c>
      <c r="J206">
        <v>144</v>
      </c>
      <c r="K206" t="s">
        <v>1222</v>
      </c>
      <c r="L206">
        <v>382</v>
      </c>
      <c r="M206" s="3" t="str">
        <f>HYPERLINK("http://exon.niaid.nih.gov/transcriptome/O_fasciatus/Sup_tab1/links/NR\of-new-contig_144-NR.txt","hypothetical protein PC401526.00.0 [Plasmodium chabaudi chabaudi]")</f>
        <v>hypothetical protein PC401526.00.0 [Plasmodium chabaudi chabaudi]</v>
      </c>
      <c r="N206" s="2" t="str">
        <f>HYPERLINK("http://www.ncbi.nlm.nih.gov/sutils/blink.cgi?pid=70935360","0.020")</f>
        <v>0.020</v>
      </c>
      <c r="O206" t="s">
        <v>958</v>
      </c>
      <c r="P206">
        <v>78</v>
      </c>
      <c r="Q206">
        <v>228</v>
      </c>
      <c r="R206">
        <v>35</v>
      </c>
      <c r="S206">
        <v>34</v>
      </c>
      <c r="T206">
        <v>111</v>
      </c>
      <c r="U206">
        <v>100</v>
      </c>
      <c r="V206">
        <v>1</v>
      </c>
      <c r="W206" t="s">
        <v>1412</v>
      </c>
      <c r="X206" t="s">
        <v>1600</v>
      </c>
      <c r="Y206" t="s">
        <v>959</v>
      </c>
      <c r="Z206" s="4" t="s">
        <v>1025</v>
      </c>
      <c r="AA206" t="s">
        <v>1015</v>
      </c>
      <c r="AB206" s="3" t="s">
        <v>547</v>
      </c>
      <c r="AC206" s="2" t="s">
        <v>547</v>
      </c>
      <c r="AD206" s="4" t="s">
        <v>547</v>
      </c>
      <c r="AE206" t="s">
        <v>547</v>
      </c>
      <c r="AF206" t="s">
        <v>547</v>
      </c>
      <c r="AG206" s="4" t="s">
        <v>547</v>
      </c>
      <c r="AH206" t="s">
        <v>547</v>
      </c>
      <c r="AI206" t="s">
        <v>547</v>
      </c>
      <c r="AJ206" s="4" t="s">
        <v>547</v>
      </c>
      <c r="AK206" t="s">
        <v>547</v>
      </c>
      <c r="AL206" t="s">
        <v>547</v>
      </c>
      <c r="AM206" s="3" t="str">
        <f>HYPERLINK("http://exon.niaid.nih.gov/transcriptome/O_fasciatus/Sup_tab1/links/KOG\of-new-contig_144-KOG.txt","Predicted DHHC-type Zn-finger protein")</f>
        <v>Predicted DHHC-type Zn-finger protein</v>
      </c>
      <c r="AN206" s="2" t="str">
        <f>HYPERLINK("http://www.ncbi.nlm.nih.gov/COG/new/shokog.cgi?KOG1315","0.049")</f>
        <v>0.049</v>
      </c>
      <c r="AO206" t="s">
        <v>1503</v>
      </c>
      <c r="AP206" s="3" t="str">
        <f>HYPERLINK("http://exon.niaid.nih.gov/transcriptome/O_fasciatus/Sup_tab1/links/CDD\of-new-contig_144-CDD.txt","7tm_2")</f>
        <v>7tm_2</v>
      </c>
      <c r="AQ206" s="2" t="str">
        <f>HYPERLINK("http://www.ncbi.nlm.nih.gov/Structure/cdd/cddsrv.cgi?uid=pfam00002&amp;version=v4.0","0.035")</f>
        <v>0.035</v>
      </c>
      <c r="AR206" t="s">
        <v>960</v>
      </c>
      <c r="AS206" s="3" t="str">
        <f>HYPERLINK("http://exon.niaid.nih.gov/transcriptome/O_fasciatus/Sup_tab1/links/PFAM\of-new-contig_144-PFAM.txt","7tm_2")</f>
        <v>7tm_2</v>
      </c>
      <c r="AT206" s="2" t="str">
        <f>HYPERLINK("http://pfam.wustl.edu/cgi-bin/getdesc?acc=PF00002","0.018")</f>
        <v>0.018</v>
      </c>
      <c r="AU206" s="3" t="str">
        <f>HYPERLINK("http://exon.niaid.nih.gov/transcriptome/O_fasciatus/Sup_tab1/links/SMART\of-new-contig_144-SMART.txt","PSN")</f>
        <v>PSN</v>
      </c>
      <c r="AV206" s="2" t="str">
        <f>HYPERLINK("http://smart.embl-heidelberg.de/smart/do_annotation.pl?DOMAIN=PSN&amp;BLAST=DUMMY","0.002")</f>
        <v>0.002</v>
      </c>
      <c r="AW206" s="3" t="s">
        <v>547</v>
      </c>
      <c r="AX206" s="2" t="s">
        <v>547</v>
      </c>
      <c r="AY206" s="3" t="s">
        <v>547</v>
      </c>
      <c r="AZ206" s="2" t="s">
        <v>547</v>
      </c>
    </row>
    <row r="207" spans="1:52" ht="11.25">
      <c r="A207" t="str">
        <f>HYPERLINK("http://exon.niaid.nih.gov/transcriptome/O_fasciatus/Sup_tab1/links/of-new\of-new-contig_233.txt","of-new-contig_233")</f>
        <v>of-new-contig_233</v>
      </c>
      <c r="B207" t="str">
        <f>HYPERLINK("http://exon.niaid.nih.gov/transcriptome/O_fasciatus/Sup_tab1/links/of-new\of-new-5-64-64-asb-233.txt","Contig-233")</f>
        <v>Contig-233</v>
      </c>
      <c r="C207" t="str">
        <f>HYPERLINK("http://exon.niaid.nih.gov/transcriptome/O_fasciatus/Sup_tab1/links/of-new\of-new-5-64-64-233-CLU.txt","Contig233")</f>
        <v>Contig233</v>
      </c>
      <c r="D207">
        <v>1</v>
      </c>
      <c r="E207">
        <v>84</v>
      </c>
      <c r="F207" t="str">
        <f>HYPERLINK("http://exon.niaid.nih.gov/transcriptome/O_fasciatus/Sup_tab1/links/of-new\of-new-5-64-64-233-qual.txt","54.9")</f>
        <v>54.9</v>
      </c>
      <c r="G207" t="s">
        <v>541</v>
      </c>
      <c r="H207">
        <v>78.6</v>
      </c>
      <c r="I207">
        <v>65</v>
      </c>
      <c r="J207">
        <v>233</v>
      </c>
      <c r="K207" t="s">
        <v>1311</v>
      </c>
      <c r="L207">
        <v>65</v>
      </c>
      <c r="N207" s="2" t="s">
        <v>547</v>
      </c>
      <c r="O207" t="s">
        <v>547</v>
      </c>
      <c r="P207" t="s">
        <v>547</v>
      </c>
      <c r="Q207" t="s">
        <v>547</v>
      </c>
      <c r="R207" t="s">
        <v>547</v>
      </c>
      <c r="S207" t="s">
        <v>547</v>
      </c>
      <c r="T207" t="s">
        <v>547</v>
      </c>
      <c r="U207" t="s">
        <v>547</v>
      </c>
      <c r="V207" t="s">
        <v>547</v>
      </c>
      <c r="W207" t="s">
        <v>547</v>
      </c>
      <c r="X207" t="s">
        <v>547</v>
      </c>
      <c r="Y207" t="s">
        <v>547</v>
      </c>
      <c r="AB207" s="3" t="s">
        <v>547</v>
      </c>
      <c r="AC207" s="2" t="s">
        <v>547</v>
      </c>
      <c r="AD207" s="4" t="s">
        <v>547</v>
      </c>
      <c r="AE207" t="s">
        <v>547</v>
      </c>
      <c r="AF207" t="s">
        <v>547</v>
      </c>
      <c r="AG207" s="4" t="s">
        <v>547</v>
      </c>
      <c r="AH207" t="s">
        <v>547</v>
      </c>
      <c r="AI207" t="s">
        <v>547</v>
      </c>
      <c r="AJ207" s="4" t="s">
        <v>547</v>
      </c>
      <c r="AK207" t="s">
        <v>547</v>
      </c>
      <c r="AL207" t="s">
        <v>547</v>
      </c>
      <c r="AM207" s="3" t="s">
        <v>547</v>
      </c>
      <c r="AN207" s="2" t="s">
        <v>547</v>
      </c>
      <c r="AO207" t="s">
        <v>547</v>
      </c>
      <c r="AP207" s="3" t="s">
        <v>547</v>
      </c>
      <c r="AQ207" s="2" t="s">
        <v>547</v>
      </c>
      <c r="AR207" t="s">
        <v>547</v>
      </c>
      <c r="AS207" s="3" t="s">
        <v>547</v>
      </c>
      <c r="AT207" s="2" t="s">
        <v>547</v>
      </c>
      <c r="AU207" s="3" t="str">
        <f>HYPERLINK("http://exon.niaid.nih.gov/transcriptome/O_fasciatus/Sup_tab1/links/SMART\of-new-contig_233-SMART.txt","CNX")</f>
        <v>CNX</v>
      </c>
      <c r="AV207" s="2" t="str">
        <f>HYPERLINK("http://smart.embl-heidelberg.de/smart/do_annotation.pl?DOMAIN=CNX&amp;BLAST=DUMMY","0.82")</f>
        <v>0.82</v>
      </c>
      <c r="AW207" s="3" t="s">
        <v>547</v>
      </c>
      <c r="AX207" s="2" t="s">
        <v>547</v>
      </c>
      <c r="AY207" s="3" t="s">
        <v>547</v>
      </c>
      <c r="AZ207" s="2" t="s">
        <v>547</v>
      </c>
    </row>
    <row r="208" spans="1:52" ht="11.25">
      <c r="A208" t="str">
        <f>HYPERLINK("http://exon.niaid.nih.gov/transcriptome/O_fasciatus/Sup_tab1/links/of-new\of-new-contig_301.txt","of-new-contig_301")</f>
        <v>of-new-contig_301</v>
      </c>
      <c r="B208" t="str">
        <f>HYPERLINK("http://exon.niaid.nih.gov/transcriptome/O_fasciatus/Sup_tab1/links/of-new\of-new-5-64-64-asb-301.txt","Contig-301")</f>
        <v>Contig-301</v>
      </c>
      <c r="C208" t="str">
        <f>HYPERLINK("http://exon.niaid.nih.gov/transcriptome/O_fasciatus/Sup_tab1/links/of-new\of-new-5-64-64-301-CLU.txt","Contig301")</f>
        <v>Contig301</v>
      </c>
      <c r="D208">
        <v>1</v>
      </c>
      <c r="E208">
        <v>142</v>
      </c>
      <c r="F208" t="str">
        <f>HYPERLINK("http://exon.niaid.nih.gov/transcriptome/O_fasciatus/Sup_tab1/links/of-new\of-new-5-64-64-301-qual.txt","24.")</f>
        <v>24.</v>
      </c>
      <c r="G208" t="s">
        <v>541</v>
      </c>
      <c r="H208">
        <v>78.2</v>
      </c>
      <c r="I208">
        <v>123</v>
      </c>
      <c r="J208">
        <v>301</v>
      </c>
      <c r="K208" t="s">
        <v>1379</v>
      </c>
      <c r="L208">
        <v>123</v>
      </c>
      <c r="N208" s="2" t="s">
        <v>547</v>
      </c>
      <c r="O208" t="s">
        <v>547</v>
      </c>
      <c r="P208" t="s">
        <v>547</v>
      </c>
      <c r="Q208" t="s">
        <v>547</v>
      </c>
      <c r="R208" t="s">
        <v>547</v>
      </c>
      <c r="S208" t="s">
        <v>547</v>
      </c>
      <c r="T208" t="s">
        <v>547</v>
      </c>
      <c r="U208" t="s">
        <v>547</v>
      </c>
      <c r="V208" t="s">
        <v>547</v>
      </c>
      <c r="W208" t="s">
        <v>547</v>
      </c>
      <c r="X208" t="s">
        <v>547</v>
      </c>
      <c r="Y208" t="s">
        <v>547</v>
      </c>
      <c r="Z208" s="4" t="s">
        <v>1025</v>
      </c>
      <c r="AA208" t="s">
        <v>1015</v>
      </c>
      <c r="AB208" s="3" t="s">
        <v>547</v>
      </c>
      <c r="AC208" s="2" t="s">
        <v>547</v>
      </c>
      <c r="AD208" s="4" t="s">
        <v>547</v>
      </c>
      <c r="AE208" t="s">
        <v>547</v>
      </c>
      <c r="AF208" t="s">
        <v>547</v>
      </c>
      <c r="AG208" s="4" t="s">
        <v>547</v>
      </c>
      <c r="AH208" t="s">
        <v>547</v>
      </c>
      <c r="AI208" t="s">
        <v>547</v>
      </c>
      <c r="AJ208" s="4" t="s">
        <v>547</v>
      </c>
      <c r="AK208" t="s">
        <v>547</v>
      </c>
      <c r="AL208" t="s">
        <v>547</v>
      </c>
      <c r="AM208" s="3" t="str">
        <f>HYPERLINK("http://exon.niaid.nih.gov/transcriptome/O_fasciatus/Sup_tab1/links/KOG\of-new-contig_301-KOG.txt","UDP-glucuronosyl and UDP-glucosyl transferase")</f>
        <v>UDP-glucuronosyl and UDP-glucosyl transferase</v>
      </c>
      <c r="AN208" s="2" t="str">
        <f>HYPERLINK("http://www.ncbi.nlm.nih.gov/COG/new/shokog.cgi?KOG1192","0.87")</f>
        <v>0.87</v>
      </c>
      <c r="AO208" t="s">
        <v>693</v>
      </c>
      <c r="AP208" s="3" t="str">
        <f>HYPERLINK("http://exon.niaid.nih.gov/transcriptome/O_fasciatus/Sup_tab1/links/CDD\of-new-contig_301-CDD.txt","ARE1")</f>
        <v>ARE1</v>
      </c>
      <c r="AQ208" s="2" t="str">
        <f>HYPERLINK("http://www.ncbi.nlm.nih.gov/Structure/cdd/cddsrv.cgi?uid=COG5056&amp;version=v4.0","0.45")</f>
        <v>0.45</v>
      </c>
      <c r="AR208" t="s">
        <v>694</v>
      </c>
      <c r="AS208" s="3" t="str">
        <f>HYPERLINK("http://exon.niaid.nih.gov/transcriptome/O_fasciatus/Sup_tab1/links/PFAM\of-new-contig_301-PFAM.txt","AgrB")</f>
        <v>AgrB</v>
      </c>
      <c r="AT208" s="2" t="str">
        <f>HYPERLINK("http://pfam.wustl.edu/cgi-bin/getdesc?acc=PF04647","0.95")</f>
        <v>0.95</v>
      </c>
      <c r="AU208" s="3" t="str">
        <f>HYPERLINK("http://exon.niaid.nih.gov/transcriptome/O_fasciatus/Sup_tab1/links/SMART\of-new-contig_301-SMART.txt","PXA")</f>
        <v>PXA</v>
      </c>
      <c r="AV208" s="2" t="str">
        <f>HYPERLINK("http://smart.embl-heidelberg.de/smart/do_annotation.pl?DOMAIN=PXA&amp;BLAST=DUMMY","0.28")</f>
        <v>0.28</v>
      </c>
      <c r="AW208" s="3" t="s">
        <v>547</v>
      </c>
      <c r="AX208" s="2" t="s">
        <v>547</v>
      </c>
      <c r="AY208" s="3" t="s">
        <v>547</v>
      </c>
      <c r="AZ208" s="2" t="s">
        <v>547</v>
      </c>
    </row>
    <row r="209" spans="1:52" ht="11.25">
      <c r="A209" t="str">
        <f>HYPERLINK("http://exon.niaid.nih.gov/transcriptome/O_fasciatus/Sup_tab1/links/of-new\of-new-contig_192.txt","of-new-contig_192")</f>
        <v>of-new-contig_192</v>
      </c>
      <c r="B209" t="str">
        <f>HYPERLINK("http://exon.niaid.nih.gov/transcriptome/O_fasciatus/Sup_tab1/links/of-new\of-new-5-64-64-asb-192.txt","Contig-192")</f>
        <v>Contig-192</v>
      </c>
      <c r="C209" t="str">
        <f>HYPERLINK("http://exon.niaid.nih.gov/transcriptome/O_fasciatus/Sup_tab1/links/of-new\of-new-5-64-64-192-CLU.txt","Contig192")</f>
        <v>Contig192</v>
      </c>
      <c r="D209">
        <v>1</v>
      </c>
      <c r="E209">
        <v>223</v>
      </c>
      <c r="F209" t="str">
        <f>HYPERLINK("http://exon.niaid.nih.gov/transcriptome/O_fasciatus/Sup_tab1/links/of-new\of-new-5-64-64-192-qual.txt","60.7")</f>
        <v>60.7</v>
      </c>
      <c r="G209" t="s">
        <v>541</v>
      </c>
      <c r="H209">
        <v>69.1</v>
      </c>
      <c r="I209">
        <v>204</v>
      </c>
      <c r="J209">
        <v>192</v>
      </c>
      <c r="K209" t="s">
        <v>1270</v>
      </c>
      <c r="L209">
        <v>204</v>
      </c>
      <c r="M209" s="3" t="str">
        <f>HYPERLINK("http://exon.niaid.nih.gov/transcriptome/O_fasciatus/Sup_tab1/links/NR\of-new-contig_192-NR.txt","[NiFe]")</f>
        <v>[NiFe]</v>
      </c>
      <c r="N209" s="2" t="str">
        <f>HYPERLINK("http://www.ncbi.nlm.nih.gov/sutils/blink.cgi?pid=57238183","1.9")</f>
        <v>1.9</v>
      </c>
      <c r="O209" t="s">
        <v>344</v>
      </c>
      <c r="P209">
        <v>54</v>
      </c>
      <c r="Q209">
        <v>729</v>
      </c>
      <c r="R209">
        <v>38</v>
      </c>
      <c r="S209">
        <v>7</v>
      </c>
      <c r="T209">
        <v>418</v>
      </c>
      <c r="U209">
        <v>34</v>
      </c>
      <c r="V209">
        <v>1</v>
      </c>
      <c r="W209" t="s">
        <v>1412</v>
      </c>
      <c r="X209" t="s">
        <v>345</v>
      </c>
      <c r="Y209" t="s">
        <v>346</v>
      </c>
      <c r="Z209" s="4" t="s">
        <v>1017</v>
      </c>
      <c r="AA209" t="s">
        <v>1025</v>
      </c>
      <c r="AB209" s="3" t="s">
        <v>547</v>
      </c>
      <c r="AC209" s="2" t="s">
        <v>547</v>
      </c>
      <c r="AD209" s="4" t="s">
        <v>547</v>
      </c>
      <c r="AE209" t="s">
        <v>547</v>
      </c>
      <c r="AF209" t="s">
        <v>547</v>
      </c>
      <c r="AG209" s="4" t="s">
        <v>547</v>
      </c>
      <c r="AH209" t="s">
        <v>547</v>
      </c>
      <c r="AI209" t="s">
        <v>547</v>
      </c>
      <c r="AJ209" s="4" t="s">
        <v>547</v>
      </c>
      <c r="AK209" t="s">
        <v>547</v>
      </c>
      <c r="AL209" t="s">
        <v>547</v>
      </c>
      <c r="AM209" s="3" t="str">
        <f>HYPERLINK("http://exon.niaid.nih.gov/transcriptome/O_fasciatus/Sup_tab1/links/KOG\of-new-contig_192-KOG.txt","G2/Mitotic-specific cyclin A")</f>
        <v>G2/Mitotic-specific cyclin A</v>
      </c>
      <c r="AN209" s="2" t="str">
        <f>HYPERLINK("http://www.ncbi.nlm.nih.gov/COG/new/shokog.cgi?KOG0654","0.31")</f>
        <v>0.31</v>
      </c>
      <c r="AO209" t="s">
        <v>504</v>
      </c>
      <c r="AP209" s="3" t="str">
        <f>HYPERLINK("http://exon.niaid.nih.gov/transcriptome/O_fasciatus/Sup_tab1/links/CDD\of-new-contig_192-CDD.txt","COG3002")</f>
        <v>COG3002</v>
      </c>
      <c r="AQ209" s="2" t="str">
        <f>HYPERLINK("http://www.ncbi.nlm.nih.gov/Structure/cdd/cddsrv.cgi?uid=COG3002&amp;version=v4.0","0.89")</f>
        <v>0.89</v>
      </c>
      <c r="AR209" t="s">
        <v>347</v>
      </c>
      <c r="AS209" s="3" t="str">
        <f>HYPERLINK("http://exon.niaid.nih.gov/transcriptome/O_fasciatus/Sup_tab1/links/PFAM\of-new-contig_192-PFAM.txt","DUF587")</f>
        <v>DUF587</v>
      </c>
      <c r="AT209" s="2" t="str">
        <f>HYPERLINK("http://pfam.wustl.edu/cgi-bin/getdesc?acc=PF04532","0.65")</f>
        <v>0.65</v>
      </c>
      <c r="AU209" s="3" t="str">
        <f>HYPERLINK("http://exon.niaid.nih.gov/transcriptome/O_fasciatus/Sup_tab1/links/SMART\of-new-contig_192-SMART.txt","MYSc")</f>
        <v>MYSc</v>
      </c>
      <c r="AV209" s="2" t="str">
        <f>HYPERLINK("http://smart.embl-heidelberg.de/smart/do_annotation.pl?DOMAIN=MYSc&amp;BLAST=DUMMY","0.15")</f>
        <v>0.15</v>
      </c>
      <c r="AW209" s="3" t="s">
        <v>547</v>
      </c>
      <c r="AX209" s="2" t="s">
        <v>547</v>
      </c>
      <c r="AY209" s="3" t="s">
        <v>547</v>
      </c>
      <c r="AZ209" s="2" t="s">
        <v>547</v>
      </c>
    </row>
    <row r="210" spans="1:52" ht="11.25">
      <c r="A210" t="str">
        <f>HYPERLINK("http://exon.niaid.nih.gov/transcriptome/O_fasciatus/Sup_tab1/links/of-new\of-new-contig_207.txt","of-new-contig_207")</f>
        <v>of-new-contig_207</v>
      </c>
      <c r="B210" t="str">
        <f>HYPERLINK("http://exon.niaid.nih.gov/transcriptome/O_fasciatus/Sup_tab1/links/of-new\of-new-5-64-64-asb-207.txt","Contig-207")</f>
        <v>Contig-207</v>
      </c>
      <c r="C210" t="str">
        <f>HYPERLINK("http://exon.niaid.nih.gov/transcriptome/O_fasciatus/Sup_tab1/links/of-new\of-new-5-64-64-207-CLU.txt","Contig207")</f>
        <v>Contig207</v>
      </c>
      <c r="D210">
        <v>1</v>
      </c>
      <c r="E210">
        <v>555</v>
      </c>
      <c r="F210" t="str">
        <f>HYPERLINK("http://exon.niaid.nih.gov/transcriptome/O_fasciatus/Sup_tab1/links/of-new\of-new-5-64-64-207-qual.txt","60.9")</f>
        <v>60.9</v>
      </c>
      <c r="G210">
        <v>0.5</v>
      </c>
      <c r="H210">
        <v>73.5</v>
      </c>
      <c r="I210">
        <v>536</v>
      </c>
      <c r="J210">
        <v>207</v>
      </c>
      <c r="K210" t="s">
        <v>1285</v>
      </c>
      <c r="L210">
        <v>536</v>
      </c>
      <c r="M210" s="3" t="str">
        <f>HYPERLINK("http://exon.niaid.nih.gov/transcriptome/O_fasciatus/Sup_tab1/links/NR\of-new-contig_207-NR.txt","PREDICTED: similar to CG12263-PA")</f>
        <v>PREDICTED: similar to CG12263-PA</v>
      </c>
      <c r="N210" s="2" t="str">
        <f>HYPERLINK("http://www.ncbi.nlm.nih.gov/sutils/blink.cgi?pid=110749341","1.0")</f>
        <v>1.0</v>
      </c>
      <c r="O210" t="s">
        <v>744</v>
      </c>
      <c r="P210">
        <v>68</v>
      </c>
      <c r="Q210">
        <v>913</v>
      </c>
      <c r="R210">
        <v>29</v>
      </c>
      <c r="S210">
        <v>7</v>
      </c>
      <c r="T210">
        <v>419</v>
      </c>
      <c r="U210">
        <v>317</v>
      </c>
      <c r="V210">
        <v>1</v>
      </c>
      <c r="W210" t="s">
        <v>1412</v>
      </c>
      <c r="X210" t="s">
        <v>520</v>
      </c>
      <c r="Y210" t="s">
        <v>745</v>
      </c>
      <c r="Z210" s="4" t="s">
        <v>1017</v>
      </c>
      <c r="AA210" t="s">
        <v>1025</v>
      </c>
      <c r="AB210" s="3" t="s">
        <v>547</v>
      </c>
      <c r="AC210" s="2" t="s">
        <v>547</v>
      </c>
      <c r="AD210" s="4" t="s">
        <v>547</v>
      </c>
      <c r="AE210" t="s">
        <v>547</v>
      </c>
      <c r="AF210" t="s">
        <v>547</v>
      </c>
      <c r="AG210" s="4" t="s">
        <v>547</v>
      </c>
      <c r="AH210" t="s">
        <v>547</v>
      </c>
      <c r="AI210" t="s">
        <v>547</v>
      </c>
      <c r="AJ210" s="4" t="s">
        <v>547</v>
      </c>
      <c r="AK210" t="s">
        <v>547</v>
      </c>
      <c r="AL210" t="s">
        <v>547</v>
      </c>
      <c r="AM210" s="3" t="s">
        <v>547</v>
      </c>
      <c r="AN210" s="2" t="s">
        <v>547</v>
      </c>
      <c r="AO210" t="s">
        <v>547</v>
      </c>
      <c r="AP210" s="3" t="str">
        <f>HYPERLINK("http://exon.niaid.nih.gov/transcriptome/O_fasciatus/Sup_tab1/links/CDD\of-new-contig_207-CDD.txt","COG4089")</f>
        <v>COG4089</v>
      </c>
      <c r="AQ210" s="2" t="str">
        <f>HYPERLINK("http://www.ncbi.nlm.nih.gov/Structure/cdd/cddsrv.cgi?uid=COG4089&amp;version=v4.0","0.67")</f>
        <v>0.67</v>
      </c>
      <c r="AR210" t="s">
        <v>746</v>
      </c>
      <c r="AS210" s="3" t="str">
        <f>HYPERLINK("http://exon.niaid.nih.gov/transcriptome/O_fasciatus/Sup_tab1/links/PFAM\of-new-contig_207-PFAM.txt","DUF1443")</f>
        <v>DUF1443</v>
      </c>
      <c r="AT210" s="2" t="str">
        <f>HYPERLINK("http://pfam.wustl.edu/cgi-bin/getdesc?acc=PF07280","0.047")</f>
        <v>0.047</v>
      </c>
      <c r="AU210" s="3" t="str">
        <f>HYPERLINK("http://exon.niaid.nih.gov/transcriptome/O_fasciatus/Sup_tab1/links/SMART\of-new-contig_207-SMART.txt","DM11")</f>
        <v>DM11</v>
      </c>
      <c r="AV210" s="2" t="str">
        <f>HYPERLINK("http://smart.embl-heidelberg.de/smart/do_annotation.pl?DOMAIN=DM11&amp;BLAST=DUMMY","0.56")</f>
        <v>0.56</v>
      </c>
      <c r="AW210" s="3" t="s">
        <v>547</v>
      </c>
      <c r="AX210" s="2" t="s">
        <v>547</v>
      </c>
      <c r="AY210" s="3" t="s">
        <v>547</v>
      </c>
      <c r="AZ210" s="2" t="s">
        <v>547</v>
      </c>
    </row>
    <row r="211" spans="1:52" ht="11.25">
      <c r="A211" t="str">
        <f>HYPERLINK("http://exon.niaid.nih.gov/transcriptome/O_fasciatus/Sup_tab1/links/of-new\of-new-contig_274.txt","of-new-contig_274")</f>
        <v>of-new-contig_274</v>
      </c>
      <c r="B211" t="str">
        <f>HYPERLINK("http://exon.niaid.nih.gov/transcriptome/O_fasciatus/Sup_tab1/links/of-new\of-new-5-64-64-asb-274.txt","Contig-274")</f>
        <v>Contig-274</v>
      </c>
      <c r="C211" t="str">
        <f>HYPERLINK("http://exon.niaid.nih.gov/transcriptome/O_fasciatus/Sup_tab1/links/of-new\of-new-5-64-64-274-CLU.txt","Contig274")</f>
        <v>Contig274</v>
      </c>
      <c r="D211">
        <v>1</v>
      </c>
      <c r="E211">
        <v>435</v>
      </c>
      <c r="F211" t="str">
        <f>HYPERLINK("http://exon.niaid.nih.gov/transcriptome/O_fasciatus/Sup_tab1/links/of-new\of-new-5-64-64-274-qual.txt","64.1")</f>
        <v>64.1</v>
      </c>
      <c r="G211" t="s">
        <v>541</v>
      </c>
      <c r="H211">
        <v>65.7</v>
      </c>
      <c r="I211">
        <v>416</v>
      </c>
      <c r="J211">
        <v>274</v>
      </c>
      <c r="K211" t="s">
        <v>1352</v>
      </c>
      <c r="L211">
        <v>416</v>
      </c>
      <c r="M211" s="3" t="str">
        <f>HYPERLINK("http://exon.niaid.nih.gov/transcriptome/O_fasciatus/Sup_tab1/links/NR\of-new-contig_274-NR.txt","PREDICTED: similar to CG5543-PA")</f>
        <v>PREDICTED: similar to CG5543-PA</v>
      </c>
      <c r="N211" s="2" t="str">
        <f>HYPERLINK("http://www.ncbi.nlm.nih.gov/sutils/blink.cgi?pid=66517474","1E-046")</f>
        <v>1E-046</v>
      </c>
      <c r="O211" t="s">
        <v>103</v>
      </c>
      <c r="P211">
        <v>136</v>
      </c>
      <c r="Q211">
        <v>664</v>
      </c>
      <c r="R211">
        <v>61</v>
      </c>
      <c r="S211">
        <v>20</v>
      </c>
      <c r="T211">
        <v>316</v>
      </c>
      <c r="U211">
        <v>1</v>
      </c>
      <c r="V211">
        <v>1</v>
      </c>
      <c r="W211" t="s">
        <v>1412</v>
      </c>
      <c r="X211" t="s">
        <v>520</v>
      </c>
      <c r="Y211" t="s">
        <v>104</v>
      </c>
      <c r="Z211" s="4" t="s">
        <v>1119</v>
      </c>
      <c r="AA211" t="s">
        <v>1120</v>
      </c>
      <c r="AB211" s="3" t="s">
        <v>105</v>
      </c>
      <c r="AC211" s="2">
        <f>HYPERLINK("http://exon.niaid.nih.gov/transcriptome/O_fasciatus/Sup_tab1/links/GO\of-new-contig_274-GO.txt",0.0000000000000003)</f>
        <v>0</v>
      </c>
      <c r="AD211" s="4" t="s">
        <v>276</v>
      </c>
      <c r="AE211" t="s">
        <v>277</v>
      </c>
      <c r="AF211" s="1">
        <v>3E-16</v>
      </c>
      <c r="AG211" s="4" t="s">
        <v>1638</v>
      </c>
      <c r="AH211" t="s">
        <v>1639</v>
      </c>
      <c r="AI211" s="1">
        <v>3E-16</v>
      </c>
      <c r="AJ211" s="4" t="s">
        <v>1537</v>
      </c>
      <c r="AK211" t="s">
        <v>1538</v>
      </c>
      <c r="AL211" s="1">
        <v>3E-16</v>
      </c>
      <c r="AM211" s="3" t="str">
        <f>HYPERLINK("http://exon.niaid.nih.gov/transcriptome/O_fasciatus/Sup_tab1/links/KOG\of-new-contig_274-KOG.txt","Uncharacterized conserved protein, contains WD40 repeat")</f>
        <v>Uncharacterized conserved protein, contains WD40 repeat</v>
      </c>
      <c r="AN211" s="2" t="str">
        <f>HYPERLINK("http://www.ncbi.nlm.nih.gov/COG/new/shokog.cgi?KOG0772","3E-046")</f>
        <v>3E-046</v>
      </c>
      <c r="AO211" t="s">
        <v>881</v>
      </c>
      <c r="AP211" s="3" t="str">
        <f>HYPERLINK("http://exon.niaid.nih.gov/transcriptome/O_fasciatus/Sup_tab1/links/CDD\of-new-contig_274-CDD.txt","WD40")</f>
        <v>WD40</v>
      </c>
      <c r="AQ211" s="2" t="str">
        <f>HYPERLINK("http://www.ncbi.nlm.nih.gov/Structure/cdd/cddsrv.cgi?uid=cd00200&amp;version=v4.0","1E-014")</f>
        <v>1E-014</v>
      </c>
      <c r="AR211" t="s">
        <v>106</v>
      </c>
      <c r="AS211" s="3" t="str">
        <f>HYPERLINK("http://exon.niaid.nih.gov/transcriptome/O_fasciatus/Sup_tab1/links/PFAM\of-new-contig_274-PFAM.txt","WD40")</f>
        <v>WD40</v>
      </c>
      <c r="AT211" s="2" t="str">
        <f>HYPERLINK("http://pfam.wustl.edu/cgi-bin/getdesc?acc=PF00400","5E-004")</f>
        <v>5E-004</v>
      </c>
      <c r="AU211" s="3" t="str">
        <f>HYPERLINK("http://exon.niaid.nih.gov/transcriptome/O_fasciatus/Sup_tab1/links/SMART\of-new-contig_274-SMART.txt","WD40")</f>
        <v>WD40</v>
      </c>
      <c r="AV211" s="2" t="str">
        <f>HYPERLINK("http://smart.embl-heidelberg.de/smart/do_annotation.pl?DOMAIN=WD40&amp;BLAST=DUMMY","5E-005")</f>
        <v>5E-005</v>
      </c>
      <c r="AW211" s="3" t="s">
        <v>547</v>
      </c>
      <c r="AX211" s="2" t="s">
        <v>547</v>
      </c>
      <c r="AY211" s="3" t="s">
        <v>547</v>
      </c>
      <c r="AZ211" s="2" t="s">
        <v>547</v>
      </c>
    </row>
    <row r="212" spans="1:52" ht="11.25">
      <c r="A212" t="str">
        <f>HYPERLINK("http://exon.niaid.nih.gov/transcriptome/O_fasciatus/Sup_tab1/links/of-new\of-new-contig_24.txt","of-new-contig_24")</f>
        <v>of-new-contig_24</v>
      </c>
      <c r="B212" t="str">
        <f>HYPERLINK("http://exon.niaid.nih.gov/transcriptome/O_fasciatus/Sup_tab1/links/of-new\of-new-5-64-64-asb-24.txt","Contig-24")</f>
        <v>Contig-24</v>
      </c>
      <c r="C212" t="str">
        <f>HYPERLINK("http://exon.niaid.nih.gov/transcriptome/O_fasciatus/Sup_tab1/links/of-new\of-new-5-64-64-24-CLU.txt","Contig24")</f>
        <v>Contig24</v>
      </c>
      <c r="D212">
        <v>1</v>
      </c>
      <c r="E212">
        <v>482</v>
      </c>
      <c r="F212" t="str">
        <f>HYPERLINK("http://exon.niaid.nih.gov/transcriptome/O_fasciatus/Sup_tab1/links/of-new\of-new-5-64-64-24-qual.txt","62.2")</f>
        <v>62.2</v>
      </c>
      <c r="G212">
        <v>0.2</v>
      </c>
      <c r="H212">
        <v>61.8</v>
      </c>
      <c r="I212">
        <v>463</v>
      </c>
      <c r="J212">
        <v>24</v>
      </c>
      <c r="K212" t="s">
        <v>566</v>
      </c>
      <c r="L212">
        <v>463</v>
      </c>
      <c r="M212" s="3" t="str">
        <f>HYPERLINK("http://exon.niaid.nih.gov/transcriptome/O_fasciatus/Sup_tab1/links/NR\of-new-contig_24-NR.txt","conserved hypothetical protein [Marinobacter aquaeolei VT8]")</f>
        <v>conserved hypothetical protein [Marinobacter aquaeolei VT8]</v>
      </c>
      <c r="N212" s="2" t="str">
        <f>HYPERLINK("http://www.ncbi.nlm.nih.gov/sutils/blink.cgi?pid=77954703","3.3")</f>
        <v>3.3</v>
      </c>
      <c r="O212" t="s">
        <v>1001</v>
      </c>
      <c r="P212">
        <v>107</v>
      </c>
      <c r="Q212">
        <v>413</v>
      </c>
      <c r="R212">
        <v>27</v>
      </c>
      <c r="S212">
        <v>26</v>
      </c>
      <c r="T212">
        <v>257</v>
      </c>
      <c r="U212">
        <v>174</v>
      </c>
      <c r="V212">
        <v>1</v>
      </c>
      <c r="W212" t="s">
        <v>1412</v>
      </c>
      <c r="X212" t="s">
        <v>290</v>
      </c>
      <c r="Y212" t="s">
        <v>291</v>
      </c>
      <c r="Z212" s="4" t="s">
        <v>1025</v>
      </c>
      <c r="AA212" t="s">
        <v>1015</v>
      </c>
      <c r="AB212" s="3" t="s">
        <v>547</v>
      </c>
      <c r="AC212" s="2" t="s">
        <v>547</v>
      </c>
      <c r="AD212" s="4" t="s">
        <v>547</v>
      </c>
      <c r="AE212" t="s">
        <v>547</v>
      </c>
      <c r="AF212" t="s">
        <v>547</v>
      </c>
      <c r="AG212" s="4" t="s">
        <v>547</v>
      </c>
      <c r="AH212" t="s">
        <v>547</v>
      </c>
      <c r="AI212" t="s">
        <v>547</v>
      </c>
      <c r="AJ212" s="4" t="s">
        <v>547</v>
      </c>
      <c r="AK212" t="s">
        <v>547</v>
      </c>
      <c r="AL212" t="s">
        <v>547</v>
      </c>
      <c r="AM212" s="3" t="s">
        <v>547</v>
      </c>
      <c r="AN212" s="2" t="s">
        <v>547</v>
      </c>
      <c r="AO212" t="s">
        <v>547</v>
      </c>
      <c r="AP212" s="3" t="s">
        <v>547</v>
      </c>
      <c r="AQ212" s="2" t="s">
        <v>547</v>
      </c>
      <c r="AR212" t="s">
        <v>547</v>
      </c>
      <c r="AS212" s="3" t="str">
        <f>HYPERLINK("http://exon.niaid.nih.gov/transcriptome/O_fasciatus/Sup_tab1/links/PFAM\of-new-contig_24-PFAM.txt","Coatomer_WDAD")</f>
        <v>Coatomer_WDAD</v>
      </c>
      <c r="AT212" s="2" t="str">
        <f>HYPERLINK("http://pfam.wustl.edu/cgi-bin/getdesc?acc=PF04053","0.56")</f>
        <v>0.56</v>
      </c>
      <c r="AU212" s="3" t="str">
        <f>HYPERLINK("http://exon.niaid.nih.gov/transcriptome/O_fasciatus/Sup_tab1/links/SMART\of-new-contig_24-SMART.txt","Aamy")</f>
        <v>Aamy</v>
      </c>
      <c r="AV212" s="2" t="str">
        <f>HYPERLINK("http://smart.embl-heidelberg.de/smart/do_annotation.pl?DOMAIN=Aamy&amp;BLAST=DUMMY","0.32")</f>
        <v>0.32</v>
      </c>
      <c r="AW212" s="3" t="s">
        <v>547</v>
      </c>
      <c r="AX212" s="2" t="s">
        <v>547</v>
      </c>
      <c r="AY212" s="3" t="s">
        <v>547</v>
      </c>
      <c r="AZ212" s="2" t="s">
        <v>547</v>
      </c>
    </row>
    <row r="213" spans="1:52" ht="11.25">
      <c r="A213" t="str">
        <f>HYPERLINK("http://exon.niaid.nih.gov/transcriptome/O_fasciatus/Sup_tab1/links/of-new\of-new-contig_25.txt","of-new-contig_25")</f>
        <v>of-new-contig_25</v>
      </c>
      <c r="B213" t="str">
        <f>HYPERLINK("http://exon.niaid.nih.gov/transcriptome/O_fasciatus/Sup_tab1/links/of-new\of-new-5-64-64-asb-25.txt","Contig-25")</f>
        <v>Contig-25</v>
      </c>
      <c r="C213" t="str">
        <f>HYPERLINK("http://exon.niaid.nih.gov/transcriptome/O_fasciatus/Sup_tab1/links/of-new\of-new-5-64-64-25-CLU.txt","Contig25")</f>
        <v>Contig25</v>
      </c>
      <c r="D213">
        <v>1</v>
      </c>
      <c r="E213">
        <v>982</v>
      </c>
      <c r="F213" t="str">
        <f>HYPERLINK("http://exon.niaid.nih.gov/transcriptome/O_fasciatus/Sup_tab1/links/of-new\of-new-5-64-64-25-qual.txt","43.5")</f>
        <v>43.5</v>
      </c>
      <c r="G213">
        <v>3.4</v>
      </c>
      <c r="H213">
        <v>53</v>
      </c>
      <c r="I213" t="s">
        <v>547</v>
      </c>
      <c r="J213">
        <v>25</v>
      </c>
      <c r="K213" t="s">
        <v>567</v>
      </c>
      <c r="L213" t="s">
        <v>547</v>
      </c>
      <c r="M213" s="3" t="str">
        <f>HYPERLINK("http://exon.niaid.nih.gov/transcriptome/O_fasciatus/Sup_tab1/links/NR\of-new-contig_25-NR.txt","SJCHGC09076 protein")</f>
        <v>SJCHGC09076 protein</v>
      </c>
      <c r="N213" s="2" t="str">
        <f>HYPERLINK("http://www.ncbi.nlm.nih.gov/sutils/blink.cgi?pid=56756781","0.026")</f>
        <v>0.026</v>
      </c>
      <c r="O213" t="s">
        <v>1424</v>
      </c>
      <c r="P213">
        <v>47</v>
      </c>
      <c r="Q213">
        <v>109</v>
      </c>
      <c r="R213">
        <v>48</v>
      </c>
      <c r="S213">
        <v>43</v>
      </c>
      <c r="T213">
        <v>44</v>
      </c>
      <c r="U213">
        <v>743</v>
      </c>
      <c r="V213">
        <v>1</v>
      </c>
      <c r="W213" t="s">
        <v>1412</v>
      </c>
      <c r="X213" t="s">
        <v>1425</v>
      </c>
      <c r="Y213" t="s">
        <v>292</v>
      </c>
      <c r="Z213" s="4" t="s">
        <v>1025</v>
      </c>
      <c r="AA213" t="s">
        <v>1015</v>
      </c>
      <c r="AB213" s="3" t="s">
        <v>547</v>
      </c>
      <c r="AC213" s="2" t="s">
        <v>547</v>
      </c>
      <c r="AD213" s="4" t="s">
        <v>547</v>
      </c>
      <c r="AE213" t="s">
        <v>547</v>
      </c>
      <c r="AF213" t="s">
        <v>547</v>
      </c>
      <c r="AG213" s="4" t="s">
        <v>547</v>
      </c>
      <c r="AH213" t="s">
        <v>547</v>
      </c>
      <c r="AI213" t="s">
        <v>547</v>
      </c>
      <c r="AJ213" s="4" t="s">
        <v>547</v>
      </c>
      <c r="AK213" t="s">
        <v>547</v>
      </c>
      <c r="AL213" t="s">
        <v>547</v>
      </c>
      <c r="AM213" s="3" t="str">
        <f>HYPERLINK("http://exon.niaid.nih.gov/transcriptome/O_fasciatus/Sup_tab1/links/KOG\of-new-contig_25-KOG.txt","Collagens (type XV)")</f>
        <v>Collagens (type XV)</v>
      </c>
      <c r="AN213" s="2" t="str">
        <f>HYPERLINK("http://www.ncbi.nlm.nih.gov/COG/new/shokog.cgi?KOG3546","0.36")</f>
        <v>0.36</v>
      </c>
      <c r="AO213" t="s">
        <v>293</v>
      </c>
      <c r="AP213" s="3" t="s">
        <v>547</v>
      </c>
      <c r="AQ213" s="2" t="s">
        <v>547</v>
      </c>
      <c r="AR213" t="s">
        <v>547</v>
      </c>
      <c r="AS213" s="3" t="str">
        <f>HYPERLINK("http://exon.niaid.nih.gov/transcriptome/O_fasciatus/Sup_tab1/links/PFAM\of-new-contig_25-PFAM.txt","VP40")</f>
        <v>VP40</v>
      </c>
      <c r="AT213" s="2" t="str">
        <f>HYPERLINK("http://pfam.wustl.edu/cgi-bin/getdesc?acc=PF07447","0.13")</f>
        <v>0.13</v>
      </c>
      <c r="AU213" s="3" t="str">
        <f>HYPERLINK("http://exon.niaid.nih.gov/transcriptome/O_fasciatus/Sup_tab1/links/SMART\of-new-contig_25-SMART.txt","ALBUMIN")</f>
        <v>ALBUMIN</v>
      </c>
      <c r="AV213" s="2" t="str">
        <f>HYPERLINK("http://smart.embl-heidelberg.de/smart/do_annotation.pl?DOMAIN=ALBUMIN&amp;BLAST=DUMMY","0.42")</f>
        <v>0.42</v>
      </c>
      <c r="AW213" s="3" t="s">
        <v>547</v>
      </c>
      <c r="AX213" s="2" t="s">
        <v>547</v>
      </c>
      <c r="AY213" s="3" t="s">
        <v>547</v>
      </c>
      <c r="AZ213" s="2" t="s">
        <v>547</v>
      </c>
    </row>
    <row r="214" spans="1:52" ht="11.25">
      <c r="A214" t="str">
        <f>HYPERLINK("http://exon.niaid.nih.gov/transcriptome/O_fasciatus/Sup_tab1/links/of-new\of-new-contig_59.txt","of-new-contig_59")</f>
        <v>of-new-contig_59</v>
      </c>
      <c r="B214" t="str">
        <f>HYPERLINK("http://exon.niaid.nih.gov/transcriptome/O_fasciatus/Sup_tab1/links/of-new\of-new-5-64-64-asb-59.txt","Contig-59")</f>
        <v>Contig-59</v>
      </c>
      <c r="C214" t="str">
        <f>HYPERLINK("http://exon.niaid.nih.gov/transcriptome/O_fasciatus/Sup_tab1/links/of-new\of-new-5-64-64-59-CLU.txt","Contig59")</f>
        <v>Contig59</v>
      </c>
      <c r="D214">
        <v>1</v>
      </c>
      <c r="E214">
        <v>210</v>
      </c>
      <c r="F214" t="str">
        <f>HYPERLINK("http://exon.niaid.nih.gov/transcriptome/O_fasciatus/Sup_tab1/links/of-new\of-new-5-64-64-59-qual.txt","59.5")</f>
        <v>59.5</v>
      </c>
      <c r="G214" t="s">
        <v>541</v>
      </c>
      <c r="H214">
        <v>69.5</v>
      </c>
      <c r="I214">
        <v>191</v>
      </c>
      <c r="J214">
        <v>59</v>
      </c>
      <c r="K214" t="s">
        <v>600</v>
      </c>
      <c r="L214">
        <v>191</v>
      </c>
      <c r="N214" s="2" t="s">
        <v>547</v>
      </c>
      <c r="O214" t="s">
        <v>547</v>
      </c>
      <c r="P214" t="s">
        <v>547</v>
      </c>
      <c r="Q214" t="s">
        <v>547</v>
      </c>
      <c r="R214" t="s">
        <v>547</v>
      </c>
      <c r="S214" t="s">
        <v>547</v>
      </c>
      <c r="T214" t="s">
        <v>547</v>
      </c>
      <c r="U214" t="s">
        <v>547</v>
      </c>
      <c r="V214" t="s">
        <v>547</v>
      </c>
      <c r="W214" t="s">
        <v>547</v>
      </c>
      <c r="X214" t="s">
        <v>547</v>
      </c>
      <c r="Y214" t="s">
        <v>547</v>
      </c>
      <c r="Z214" s="4" t="s">
        <v>1025</v>
      </c>
      <c r="AA214" t="s">
        <v>1015</v>
      </c>
      <c r="AB214" s="3" t="s">
        <v>547</v>
      </c>
      <c r="AC214" s="2" t="s">
        <v>547</v>
      </c>
      <c r="AD214" s="4" t="s">
        <v>547</v>
      </c>
      <c r="AE214" t="s">
        <v>547</v>
      </c>
      <c r="AF214" t="s">
        <v>547</v>
      </c>
      <c r="AG214" s="4" t="s">
        <v>547</v>
      </c>
      <c r="AH214" t="s">
        <v>547</v>
      </c>
      <c r="AI214" t="s">
        <v>547</v>
      </c>
      <c r="AJ214" s="4" t="s">
        <v>547</v>
      </c>
      <c r="AK214" t="s">
        <v>547</v>
      </c>
      <c r="AL214" t="s">
        <v>547</v>
      </c>
      <c r="AM214" s="3" t="str">
        <f>HYPERLINK("http://exon.niaid.nih.gov/transcriptome/O_fasciatus/Sup_tab1/links/KOG\of-new-contig_59-KOG.txt","Amino acid transporters")</f>
        <v>Amino acid transporters</v>
      </c>
      <c r="AN214" s="2" t="str">
        <f>HYPERLINK("http://www.ncbi.nlm.nih.gov/COG/new/shokog.cgi?KOG1289","0.18")</f>
        <v>0.18</v>
      </c>
      <c r="AO214" t="s">
        <v>1688</v>
      </c>
      <c r="AP214" s="3" t="s">
        <v>547</v>
      </c>
      <c r="AQ214" s="2" t="s">
        <v>547</v>
      </c>
      <c r="AR214" t="s">
        <v>547</v>
      </c>
      <c r="AS214" s="3" t="s">
        <v>547</v>
      </c>
      <c r="AT214" s="2" t="s">
        <v>547</v>
      </c>
      <c r="AU214" s="3" t="str">
        <f>HYPERLINK("http://exon.niaid.nih.gov/transcriptome/O_fasciatus/Sup_tab1/links/SMART\of-new-contig_59-SMART.txt","CW")</f>
        <v>CW</v>
      </c>
      <c r="AV214" s="2" t="str">
        <f>HYPERLINK("http://smart.embl-heidelberg.de/smart/do_annotation.pl?DOMAIN=CW&amp;BLAST=DUMMY","0.34")</f>
        <v>0.34</v>
      </c>
      <c r="AW214" s="3" t="s">
        <v>547</v>
      </c>
      <c r="AX214" s="2" t="s">
        <v>547</v>
      </c>
      <c r="AY214" s="3" t="s">
        <v>547</v>
      </c>
      <c r="AZ214" s="2" t="s">
        <v>547</v>
      </c>
    </row>
    <row r="215" spans="1:52" ht="11.25">
      <c r="A215" t="str">
        <f>HYPERLINK("http://exon.niaid.nih.gov/transcriptome/O_fasciatus/Sup_tab1/links/of-new\of-new-contig_305.txt","of-new-contig_305")</f>
        <v>of-new-contig_305</v>
      </c>
      <c r="B215" t="str">
        <f>HYPERLINK("http://exon.niaid.nih.gov/transcriptome/O_fasciatus/Sup_tab1/links/of-new\of-new-5-64-64-asb-305.txt","Contig-305")</f>
        <v>Contig-305</v>
      </c>
      <c r="C215" t="str">
        <f>HYPERLINK("http://exon.niaid.nih.gov/transcriptome/O_fasciatus/Sup_tab1/links/of-new\of-new-5-64-64-305-CLU.txt","Contig305")</f>
        <v>Contig305</v>
      </c>
      <c r="D215">
        <v>1</v>
      </c>
      <c r="E215">
        <v>1118</v>
      </c>
      <c r="F215" t="str">
        <f>HYPERLINK("http://exon.niaid.nih.gov/transcriptome/O_fasciatus/Sup_tab1/links/of-new\of-new-5-64-64-305-qual.txt","40.7")</f>
        <v>40.7</v>
      </c>
      <c r="G215">
        <v>3.2</v>
      </c>
      <c r="H215">
        <v>63.4</v>
      </c>
      <c r="I215" t="s">
        <v>547</v>
      </c>
      <c r="J215">
        <v>305</v>
      </c>
      <c r="K215" t="s">
        <v>1383</v>
      </c>
      <c r="L215" t="s">
        <v>547</v>
      </c>
      <c r="M215" s="3" t="str">
        <f>HYPERLINK("http://exon.niaid.nih.gov/transcriptome/O_fasciatus/Sup_tab1/links/NR\of-new-contig_305-NR.txt","unnamed protein product")</f>
        <v>unnamed protein product</v>
      </c>
      <c r="N215" s="2" t="str">
        <f>HYPERLINK("http://www.ncbi.nlm.nih.gov/sutils/blink.cgi?pid=47211613","0.041")</f>
        <v>0.041</v>
      </c>
      <c r="O215" t="s">
        <v>701</v>
      </c>
      <c r="P215">
        <v>105</v>
      </c>
      <c r="Q215">
        <v>1415</v>
      </c>
      <c r="R215">
        <v>37</v>
      </c>
      <c r="S215">
        <v>7</v>
      </c>
      <c r="T215">
        <v>1248</v>
      </c>
      <c r="U215">
        <v>824</v>
      </c>
      <c r="V215">
        <v>1</v>
      </c>
      <c r="W215" t="s">
        <v>1412</v>
      </c>
      <c r="X215" t="s">
        <v>144</v>
      </c>
      <c r="Y215" t="s">
        <v>702</v>
      </c>
      <c r="Z215" s="4" t="s">
        <v>1025</v>
      </c>
      <c r="AA215" t="s">
        <v>1015</v>
      </c>
      <c r="AB215" s="3" t="s">
        <v>547</v>
      </c>
      <c r="AC215" s="2" t="s">
        <v>547</v>
      </c>
      <c r="AD215" s="4" t="s">
        <v>547</v>
      </c>
      <c r="AE215" t="s">
        <v>547</v>
      </c>
      <c r="AF215" t="s">
        <v>547</v>
      </c>
      <c r="AG215" s="4" t="s">
        <v>547</v>
      </c>
      <c r="AH215" t="s">
        <v>547</v>
      </c>
      <c r="AI215" t="s">
        <v>547</v>
      </c>
      <c r="AJ215" s="4" t="s">
        <v>547</v>
      </c>
      <c r="AK215" t="s">
        <v>547</v>
      </c>
      <c r="AL215" t="s">
        <v>547</v>
      </c>
      <c r="AM215" s="3" t="str">
        <f>HYPERLINK("http://exon.niaid.nih.gov/transcriptome/O_fasciatus/Sup_tab1/links/KOG\of-new-contig_305-KOG.txt","Uncharacterized conserved protein")</f>
        <v>Uncharacterized conserved protein</v>
      </c>
      <c r="AN215" s="2" t="str">
        <f>HYPERLINK("http://www.ncbi.nlm.nih.gov/COG/new/shokog.cgi?KOG4740","0.37")</f>
        <v>0.37</v>
      </c>
      <c r="AO215" t="s">
        <v>881</v>
      </c>
      <c r="AP215" s="3" t="str">
        <f>HYPERLINK("http://exon.niaid.nih.gov/transcriptome/O_fasciatus/Sup_tab1/links/CDD\of-new-contig_305-CDD.txt","RplO")</f>
        <v>RplO</v>
      </c>
      <c r="AQ215" s="2" t="str">
        <f>HYPERLINK("http://www.ncbi.nlm.nih.gov/Structure/cdd/cddsrv.cgi?uid=COG0200&amp;version=v4.0","0.28")</f>
        <v>0.28</v>
      </c>
      <c r="AR215" t="s">
        <v>703</v>
      </c>
      <c r="AS215" s="3" t="str">
        <f>HYPERLINK("http://exon.niaid.nih.gov/transcriptome/O_fasciatus/Sup_tab1/links/PFAM\of-new-contig_305-PFAM.txt","Rota_NS53")</f>
        <v>Rota_NS53</v>
      </c>
      <c r="AT215" s="2" t="str">
        <f>HYPERLINK("http://pfam.wustl.edu/cgi-bin/getdesc?acc=PF00981","0.16")</f>
        <v>0.16</v>
      </c>
      <c r="AU215" s="3" t="str">
        <f>HYPERLINK("http://exon.niaid.nih.gov/transcriptome/O_fasciatus/Sup_tab1/links/SMART\of-new-contig_305-SMART.txt","Aamy")</f>
        <v>Aamy</v>
      </c>
      <c r="AV215" s="2" t="str">
        <f>HYPERLINK("http://smart.embl-heidelberg.de/smart/do_annotation.pl?DOMAIN=Aamy&amp;BLAST=DUMMY","0.21")</f>
        <v>0.21</v>
      </c>
      <c r="AW215" s="3" t="s">
        <v>547</v>
      </c>
      <c r="AX215" s="2" t="s">
        <v>547</v>
      </c>
      <c r="AY215" s="3" t="s">
        <v>547</v>
      </c>
      <c r="AZ215" s="2" t="s">
        <v>547</v>
      </c>
    </row>
    <row r="216" spans="1:52" ht="11.25">
      <c r="A216" t="str">
        <f>HYPERLINK("http://exon.niaid.nih.gov/transcriptome/O_fasciatus/Sup_tab1/links/of-new\of-new-contig_174.txt","of-new-contig_174")</f>
        <v>of-new-contig_174</v>
      </c>
      <c r="B216" t="str">
        <f>HYPERLINK("http://exon.niaid.nih.gov/transcriptome/O_fasciatus/Sup_tab1/links/of-new\of-new-5-64-64-asb-174.txt","Contig-174")</f>
        <v>Contig-174</v>
      </c>
      <c r="C216" t="str">
        <f>HYPERLINK("http://exon.niaid.nih.gov/transcriptome/O_fasciatus/Sup_tab1/links/of-new\of-new-5-64-64-174-CLU.txt","Contig174")</f>
        <v>Contig174</v>
      </c>
      <c r="D216">
        <v>1</v>
      </c>
      <c r="E216">
        <v>1011</v>
      </c>
      <c r="F216" t="str">
        <f>HYPERLINK("http://exon.niaid.nih.gov/transcriptome/O_fasciatus/Sup_tab1/links/of-new\of-new-5-64-64-174-qual.txt","42.7")</f>
        <v>42.7</v>
      </c>
      <c r="G216">
        <v>4.5</v>
      </c>
      <c r="H216">
        <v>56.9</v>
      </c>
      <c r="I216" t="s">
        <v>547</v>
      </c>
      <c r="J216">
        <v>174</v>
      </c>
      <c r="K216" t="s">
        <v>1252</v>
      </c>
      <c r="L216" t="s">
        <v>547</v>
      </c>
      <c r="M216" s="3" t="str">
        <f>HYPERLINK("http://exon.niaid.nih.gov/transcriptome/O_fasciatus/Sup_tab1/links/NR\of-new-contig_174-NR.txt","SJCHGC09076 protein")</f>
        <v>SJCHGC09076 protein</v>
      </c>
      <c r="N216" s="2" t="str">
        <f>HYPERLINK("http://www.ncbi.nlm.nih.gov/sutils/blink.cgi?pid=56756781","0.88")</f>
        <v>0.88</v>
      </c>
      <c r="O216" t="s">
        <v>1424</v>
      </c>
      <c r="P216">
        <v>47</v>
      </c>
      <c r="Q216">
        <v>109</v>
      </c>
      <c r="R216">
        <v>44</v>
      </c>
      <c r="S216">
        <v>43</v>
      </c>
      <c r="T216">
        <v>44</v>
      </c>
      <c r="U216">
        <v>766</v>
      </c>
      <c r="V216">
        <v>1</v>
      </c>
      <c r="W216" t="s">
        <v>1412</v>
      </c>
      <c r="X216" t="s">
        <v>1425</v>
      </c>
      <c r="Y216" t="s">
        <v>179</v>
      </c>
      <c r="Z216" s="4" t="s">
        <v>1025</v>
      </c>
      <c r="AA216" t="s">
        <v>1015</v>
      </c>
      <c r="AB216" s="3" t="s">
        <v>547</v>
      </c>
      <c r="AC216" s="2" t="s">
        <v>547</v>
      </c>
      <c r="AD216" s="4" t="s">
        <v>547</v>
      </c>
      <c r="AE216" t="s">
        <v>547</v>
      </c>
      <c r="AF216" t="s">
        <v>547</v>
      </c>
      <c r="AG216" s="4" t="s">
        <v>547</v>
      </c>
      <c r="AH216" t="s">
        <v>547</v>
      </c>
      <c r="AI216" t="s">
        <v>547</v>
      </c>
      <c r="AJ216" s="4" t="s">
        <v>547</v>
      </c>
      <c r="AK216" t="s">
        <v>547</v>
      </c>
      <c r="AL216" t="s">
        <v>547</v>
      </c>
      <c r="AM216" s="3" t="str">
        <f>HYPERLINK("http://exon.niaid.nih.gov/transcriptome/O_fasciatus/Sup_tab1/links/KOG\of-new-contig_174-KOG.txt","Predicted helicase, DEAD-box superfamily")</f>
        <v>Predicted helicase, DEAD-box superfamily</v>
      </c>
      <c r="AN216" s="2" t="str">
        <f>HYPERLINK("http://www.ncbi.nlm.nih.gov/COG/new/shokog.cgi?KOG0949","0.58")</f>
        <v>0.58</v>
      </c>
      <c r="AO216" t="s">
        <v>1503</v>
      </c>
      <c r="AP216" s="3" t="str">
        <f>HYPERLINK("http://exon.niaid.nih.gov/transcriptome/O_fasciatus/Sup_tab1/links/CDD\of-new-contig_174-CDD.txt","DAG1")</f>
        <v>DAG1</v>
      </c>
      <c r="AQ216" s="2" t="str">
        <f>HYPERLINK("http://www.ncbi.nlm.nih.gov/Structure/cdd/cddsrv.cgi?uid=pfam05454&amp;version=v4.0","0.023")</f>
        <v>0.023</v>
      </c>
      <c r="AR216" t="s">
        <v>180</v>
      </c>
      <c r="AS216" s="3" t="str">
        <f>HYPERLINK("http://exon.niaid.nih.gov/transcriptome/O_fasciatus/Sup_tab1/links/PFAM\of-new-contig_174-PFAM.txt","DAG1")</f>
        <v>DAG1</v>
      </c>
      <c r="AT216" s="2" t="str">
        <f>HYPERLINK("http://pfam.wustl.edu/cgi-bin/getdesc?acc=PF05454","0.011")</f>
        <v>0.011</v>
      </c>
      <c r="AU216" s="3" t="str">
        <f>HYPERLINK("http://exon.niaid.nih.gov/transcriptome/O_fasciatus/Sup_tab1/links/SMART\of-new-contig_174-SMART.txt","WNT1")</f>
        <v>WNT1</v>
      </c>
      <c r="AV216" s="2" t="str">
        <f>HYPERLINK("http://smart.embl-heidelberg.de/smart/do_annotation.pl?DOMAIN=WNT1&amp;BLAST=DUMMY","0.54")</f>
        <v>0.54</v>
      </c>
      <c r="AW216" s="3" t="s">
        <v>547</v>
      </c>
      <c r="AX216" s="2" t="s">
        <v>547</v>
      </c>
      <c r="AY216" s="3" t="s">
        <v>547</v>
      </c>
      <c r="AZ216" s="2" t="s">
        <v>547</v>
      </c>
    </row>
    <row r="217" spans="1:52" ht="11.25">
      <c r="A217" t="str">
        <f>HYPERLINK("http://exon.niaid.nih.gov/transcriptome/O_fasciatus/Sup_tab1/links/of-new\of-new-contig_148.txt","of-new-contig_148")</f>
        <v>of-new-contig_148</v>
      </c>
      <c r="B217" t="str">
        <f>HYPERLINK("http://exon.niaid.nih.gov/transcriptome/O_fasciatus/Sup_tab1/links/of-new\of-new-5-64-64-asb-148.txt","Contig-148")</f>
        <v>Contig-148</v>
      </c>
      <c r="C217" t="str">
        <f>HYPERLINK("http://exon.niaid.nih.gov/transcriptome/O_fasciatus/Sup_tab1/links/of-new\of-new-5-64-64-148-CLU.txt","Contig148")</f>
        <v>Contig148</v>
      </c>
      <c r="D217">
        <v>1</v>
      </c>
      <c r="E217">
        <v>792</v>
      </c>
      <c r="F217" t="str">
        <f>HYPERLINK("http://exon.niaid.nih.gov/transcriptome/O_fasciatus/Sup_tab1/links/of-new\of-new-5-64-64-148-qual.txt","28.")</f>
        <v>28.</v>
      </c>
      <c r="G217">
        <v>0.1</v>
      </c>
      <c r="H217">
        <v>69.2</v>
      </c>
      <c r="I217" t="s">
        <v>547</v>
      </c>
      <c r="J217">
        <v>148</v>
      </c>
      <c r="K217" t="s">
        <v>1226</v>
      </c>
      <c r="L217" t="s">
        <v>547</v>
      </c>
      <c r="M217" s="3" t="str">
        <f>HYPERLINK("http://exon.niaid.nih.gov/transcriptome/O_fasciatus/Sup_tab1/links/NR\of-new-contig_148-NR.txt","Sodium:solute symporter family [Mycoplasma mycoides subsp. mycoides SC str. PG1]")</f>
        <v>Sodium:solute symporter family [Mycoplasma mycoides subsp. mycoides SC str. PG1]</v>
      </c>
      <c r="N217" s="2" t="str">
        <f>HYPERLINK("http://www.ncbi.nlm.nih.gov/sutils/blink.cgi?pid=42561091","1.3")</f>
        <v>1.3</v>
      </c>
      <c r="O217" t="s">
        <v>976</v>
      </c>
      <c r="P217">
        <v>43</v>
      </c>
      <c r="Q217">
        <v>567</v>
      </c>
      <c r="R217">
        <v>44</v>
      </c>
      <c r="S217">
        <v>8</v>
      </c>
      <c r="T217">
        <v>446</v>
      </c>
      <c r="U217">
        <v>433</v>
      </c>
      <c r="V217">
        <v>1</v>
      </c>
      <c r="W217" t="s">
        <v>1412</v>
      </c>
      <c r="X217" t="s">
        <v>977</v>
      </c>
      <c r="Y217" t="s">
        <v>978</v>
      </c>
      <c r="Z217" s="4" t="s">
        <v>1025</v>
      </c>
      <c r="AA217" t="s">
        <v>1015</v>
      </c>
      <c r="AB217" s="3" t="s">
        <v>547</v>
      </c>
      <c r="AC217" s="2" t="s">
        <v>547</v>
      </c>
      <c r="AD217" s="4" t="s">
        <v>547</v>
      </c>
      <c r="AE217" t="s">
        <v>547</v>
      </c>
      <c r="AF217" t="s">
        <v>547</v>
      </c>
      <c r="AG217" s="4" t="s">
        <v>547</v>
      </c>
      <c r="AH217" t="s">
        <v>547</v>
      </c>
      <c r="AI217" t="s">
        <v>547</v>
      </c>
      <c r="AJ217" s="4" t="s">
        <v>547</v>
      </c>
      <c r="AK217" t="s">
        <v>547</v>
      </c>
      <c r="AL217" t="s">
        <v>547</v>
      </c>
      <c r="AM217" s="3" t="s">
        <v>547</v>
      </c>
      <c r="AN217" s="2" t="s">
        <v>547</v>
      </c>
      <c r="AO217" t="s">
        <v>547</v>
      </c>
      <c r="AP217" s="3" t="str">
        <f>HYPERLINK("http://exon.niaid.nih.gov/transcriptome/O_fasciatus/Sup_tab1/links/CDD\of-new-contig_148-CDD.txt","DUF887")</f>
        <v>DUF887</v>
      </c>
      <c r="AQ217" s="2" t="str">
        <f>HYPERLINK("http://www.ncbi.nlm.nih.gov/Structure/cdd/cddsrv.cgi?uid=pfam05967&amp;version=v4.0","0.30")</f>
        <v>0.30</v>
      </c>
      <c r="AR217" t="s">
        <v>979</v>
      </c>
      <c r="AS217" s="3" t="str">
        <f>HYPERLINK("http://exon.niaid.nih.gov/transcriptome/O_fasciatus/Sup_tab1/links/PFAM\of-new-contig_148-PFAM.txt","DUF887")</f>
        <v>DUF887</v>
      </c>
      <c r="AT217" s="2" t="str">
        <f>HYPERLINK("http://pfam.wustl.edu/cgi-bin/getdesc?acc=PF05967","0.15")</f>
        <v>0.15</v>
      </c>
      <c r="AU217" s="3" t="str">
        <f>HYPERLINK("http://exon.niaid.nih.gov/transcriptome/O_fasciatus/Sup_tab1/links/SMART\of-new-contig_148-SMART.txt","PBPb")</f>
        <v>PBPb</v>
      </c>
      <c r="AV217" s="2" t="str">
        <f>HYPERLINK("http://smart.embl-heidelberg.de/smart/do_annotation.pl?DOMAIN=PBPb&amp;BLAST=DUMMY","0.10")</f>
        <v>0.10</v>
      </c>
      <c r="AW217" s="3" t="s">
        <v>547</v>
      </c>
      <c r="AX217" s="2" t="s">
        <v>547</v>
      </c>
      <c r="AY217" s="3" t="s">
        <v>547</v>
      </c>
      <c r="AZ217" s="2" t="s">
        <v>547</v>
      </c>
    </row>
    <row r="218" spans="1:52" ht="11.25">
      <c r="A218" t="str">
        <f>HYPERLINK("http://exon.niaid.nih.gov/transcriptome/O_fasciatus/Sup_tab1/links/of-new\of-new-contig_258.txt","of-new-contig_258")</f>
        <v>of-new-contig_258</v>
      </c>
      <c r="B218" t="str">
        <f>HYPERLINK("http://exon.niaid.nih.gov/transcriptome/O_fasciatus/Sup_tab1/links/of-new\of-new-5-64-64-asb-258.txt","Contig-258")</f>
        <v>Contig-258</v>
      </c>
      <c r="C218" t="str">
        <f>HYPERLINK("http://exon.niaid.nih.gov/transcriptome/O_fasciatus/Sup_tab1/links/of-new\of-new-5-64-64-258-CLU.txt","Contig258")</f>
        <v>Contig258</v>
      </c>
      <c r="D218">
        <v>1</v>
      </c>
      <c r="E218">
        <v>257</v>
      </c>
      <c r="F218" t="str">
        <f>HYPERLINK("http://exon.niaid.nih.gov/transcriptome/O_fasciatus/Sup_tab1/links/of-new\of-new-5-64-64-258-qual.txt","62.1")</f>
        <v>62.1</v>
      </c>
      <c r="G218" t="s">
        <v>541</v>
      </c>
      <c r="H218">
        <v>76.3</v>
      </c>
      <c r="I218">
        <v>238</v>
      </c>
      <c r="J218">
        <v>258</v>
      </c>
      <c r="K218" t="s">
        <v>1336</v>
      </c>
      <c r="L218">
        <v>238</v>
      </c>
      <c r="N218" s="2" t="s">
        <v>547</v>
      </c>
      <c r="O218" t="s">
        <v>547</v>
      </c>
      <c r="P218" t="s">
        <v>547</v>
      </c>
      <c r="Q218" t="s">
        <v>547</v>
      </c>
      <c r="R218" t="s">
        <v>547</v>
      </c>
      <c r="S218" t="s">
        <v>547</v>
      </c>
      <c r="T218" t="s">
        <v>547</v>
      </c>
      <c r="U218" t="s">
        <v>547</v>
      </c>
      <c r="V218" t="s">
        <v>547</v>
      </c>
      <c r="W218" t="s">
        <v>547</v>
      </c>
      <c r="X218" t="s">
        <v>547</v>
      </c>
      <c r="Y218" t="s">
        <v>547</v>
      </c>
      <c r="Z218" s="4" t="s">
        <v>1025</v>
      </c>
      <c r="AA218" t="s">
        <v>1015</v>
      </c>
      <c r="AB218" s="3" t="s">
        <v>547</v>
      </c>
      <c r="AC218" s="2" t="s">
        <v>547</v>
      </c>
      <c r="AD218" s="4" t="s">
        <v>547</v>
      </c>
      <c r="AE218" t="s">
        <v>547</v>
      </c>
      <c r="AF218" t="s">
        <v>547</v>
      </c>
      <c r="AG218" s="4" t="s">
        <v>547</v>
      </c>
      <c r="AH218" t="s">
        <v>547</v>
      </c>
      <c r="AI218" t="s">
        <v>547</v>
      </c>
      <c r="AJ218" s="4" t="s">
        <v>547</v>
      </c>
      <c r="AK218" t="s">
        <v>547</v>
      </c>
      <c r="AL218" t="s">
        <v>547</v>
      </c>
      <c r="AM218" s="3" t="s">
        <v>547</v>
      </c>
      <c r="AN218" s="2" t="s">
        <v>547</v>
      </c>
      <c r="AO218" t="s">
        <v>547</v>
      </c>
      <c r="AP218" s="3" t="str">
        <f>HYPERLINK("http://exon.niaid.nih.gov/transcriptome/O_fasciatus/Sup_tab1/links/CDD\of-new-contig_258-CDD.txt","COG1284")</f>
        <v>COG1284</v>
      </c>
      <c r="AQ218" s="2" t="str">
        <f>HYPERLINK("http://www.ncbi.nlm.nih.gov/Structure/cdd/cddsrv.cgi?uid=COG1284&amp;version=v4.0","0.70")</f>
        <v>0.70</v>
      </c>
      <c r="AR218" t="s">
        <v>431</v>
      </c>
      <c r="AS218" s="3" t="s">
        <v>547</v>
      </c>
      <c r="AT218" s="2" t="s">
        <v>547</v>
      </c>
      <c r="AU218" s="3" t="str">
        <f>HYPERLINK("http://exon.niaid.nih.gov/transcriptome/O_fasciatus/Sup_tab1/links/SMART\of-new-contig_258-SMART.txt","PSN")</f>
        <v>PSN</v>
      </c>
      <c r="AV218" s="2" t="str">
        <f>HYPERLINK("http://smart.embl-heidelberg.de/smart/do_annotation.pl?DOMAIN=PSN&amp;BLAST=DUMMY","0.22")</f>
        <v>0.22</v>
      </c>
      <c r="AW218" s="3" t="s">
        <v>547</v>
      </c>
      <c r="AX218" s="2" t="s">
        <v>547</v>
      </c>
      <c r="AY218" s="3" t="s">
        <v>547</v>
      </c>
      <c r="AZ218" s="2" t="s">
        <v>547</v>
      </c>
    </row>
    <row r="219" spans="1:52" ht="11.25">
      <c r="A219" t="str">
        <f>HYPERLINK("http://exon.niaid.nih.gov/transcriptome/O_fasciatus/Sup_tab1/links/of-new\of-new-contig_195.txt","of-new-contig_195")</f>
        <v>of-new-contig_195</v>
      </c>
      <c r="B219" t="str">
        <f>HYPERLINK("http://exon.niaid.nih.gov/transcriptome/O_fasciatus/Sup_tab1/links/of-new\of-new-5-64-64-asb-195.txt","Contig-195")</f>
        <v>Contig-195</v>
      </c>
      <c r="C219" t="str">
        <f>HYPERLINK("http://exon.niaid.nih.gov/transcriptome/O_fasciatus/Sup_tab1/links/of-new\of-new-5-64-64-195-CLU.txt","Contig195")</f>
        <v>Contig195</v>
      </c>
      <c r="D219">
        <v>1</v>
      </c>
      <c r="E219">
        <v>247</v>
      </c>
      <c r="F219" t="str">
        <f>HYPERLINK("http://exon.niaid.nih.gov/transcriptome/O_fasciatus/Sup_tab1/links/of-new\of-new-5-64-64-195-qual.txt","60.3")</f>
        <v>60.3</v>
      </c>
      <c r="G219" t="s">
        <v>541</v>
      </c>
      <c r="H219">
        <v>76.5</v>
      </c>
      <c r="I219">
        <v>228</v>
      </c>
      <c r="J219">
        <v>195</v>
      </c>
      <c r="K219" t="s">
        <v>1273</v>
      </c>
      <c r="L219">
        <v>228</v>
      </c>
      <c r="N219" s="2" t="s">
        <v>547</v>
      </c>
      <c r="O219" t="s">
        <v>547</v>
      </c>
      <c r="P219" t="s">
        <v>547</v>
      </c>
      <c r="Q219" t="s">
        <v>547</v>
      </c>
      <c r="R219" t="s">
        <v>547</v>
      </c>
      <c r="S219" t="s">
        <v>547</v>
      </c>
      <c r="T219" t="s">
        <v>547</v>
      </c>
      <c r="U219" t="s">
        <v>547</v>
      </c>
      <c r="V219" t="s">
        <v>547</v>
      </c>
      <c r="W219" t="s">
        <v>547</v>
      </c>
      <c r="X219" t="s">
        <v>547</v>
      </c>
      <c r="Y219" t="s">
        <v>547</v>
      </c>
      <c r="Z219" s="4" t="s">
        <v>1025</v>
      </c>
      <c r="AA219" t="s">
        <v>1015</v>
      </c>
      <c r="AB219" s="3" t="s">
        <v>547</v>
      </c>
      <c r="AC219" s="2" t="s">
        <v>547</v>
      </c>
      <c r="AD219" s="4" t="s">
        <v>547</v>
      </c>
      <c r="AE219" t="s">
        <v>547</v>
      </c>
      <c r="AF219" t="s">
        <v>547</v>
      </c>
      <c r="AG219" s="4" t="s">
        <v>547</v>
      </c>
      <c r="AH219" t="s">
        <v>547</v>
      </c>
      <c r="AI219" t="s">
        <v>547</v>
      </c>
      <c r="AJ219" s="4" t="s">
        <v>547</v>
      </c>
      <c r="AK219" t="s">
        <v>547</v>
      </c>
      <c r="AL219" t="s">
        <v>547</v>
      </c>
      <c r="AM219" s="3" t="s">
        <v>547</v>
      </c>
      <c r="AN219" s="2" t="s">
        <v>547</v>
      </c>
      <c r="AO219" t="s">
        <v>547</v>
      </c>
      <c r="AP219" s="3" t="str">
        <f>HYPERLINK("http://exon.niaid.nih.gov/transcriptome/O_fasciatus/Sup_tab1/links/CDD\of-new-contig_195-CDD.txt","FH2")</f>
        <v>FH2</v>
      </c>
      <c r="AQ219" s="2" t="str">
        <f>HYPERLINK("http://www.ncbi.nlm.nih.gov/Structure/cdd/cddsrv.cgi?uid=smart00498&amp;version=v4.0","0.78")</f>
        <v>0.78</v>
      </c>
      <c r="AR219" t="s">
        <v>352</v>
      </c>
      <c r="AS219" s="3" t="str">
        <f>HYPERLINK("http://exon.niaid.nih.gov/transcriptome/O_fasciatus/Sup_tab1/links/PFAM\of-new-contig_195-PFAM.txt","ATS3")</f>
        <v>ATS3</v>
      </c>
      <c r="AT219" s="2" t="str">
        <f>HYPERLINK("http://pfam.wustl.edu/cgi-bin/getdesc?acc=PF06232","0.53")</f>
        <v>0.53</v>
      </c>
      <c r="AU219" s="3" t="str">
        <f>HYPERLINK("http://exon.niaid.nih.gov/transcriptome/O_fasciatus/Sup_tab1/links/SMART\of-new-contig_195-SMART.txt","FH2")</f>
        <v>FH2</v>
      </c>
      <c r="AV219" s="2" t="str">
        <f>HYPERLINK("http://smart.embl-heidelberg.de/smart/do_annotation.pl?DOMAIN=FH2&amp;BLAST=DUMMY","0.020")</f>
        <v>0.020</v>
      </c>
      <c r="AW219" s="3" t="s">
        <v>547</v>
      </c>
      <c r="AX219" s="2" t="s">
        <v>547</v>
      </c>
      <c r="AY219" s="3" t="s">
        <v>547</v>
      </c>
      <c r="AZ219" s="2" t="s">
        <v>547</v>
      </c>
    </row>
    <row r="220" spans="1:52" ht="11.25">
      <c r="A220" t="str">
        <f>HYPERLINK("http://exon.niaid.nih.gov/transcriptome/O_fasciatus/Sup_tab1/links/of-new\of-new-contig_266.txt","of-new-contig_266")</f>
        <v>of-new-contig_266</v>
      </c>
      <c r="B220" t="str">
        <f>HYPERLINK("http://exon.niaid.nih.gov/transcriptome/O_fasciatus/Sup_tab1/links/of-new\of-new-5-64-64-asb-266.txt","Contig-266")</f>
        <v>Contig-266</v>
      </c>
      <c r="C220" t="str">
        <f>HYPERLINK("http://exon.niaid.nih.gov/transcriptome/O_fasciatus/Sup_tab1/links/of-new\of-new-5-64-64-266-CLU.txt","Contig266")</f>
        <v>Contig266</v>
      </c>
      <c r="D220">
        <v>1</v>
      </c>
      <c r="E220">
        <v>772</v>
      </c>
      <c r="F220" t="str">
        <f>HYPERLINK("http://exon.niaid.nih.gov/transcriptome/O_fasciatus/Sup_tab1/links/of-new\of-new-5-64-64-266-qual.txt","44.3")</f>
        <v>44.3</v>
      </c>
      <c r="G220" t="s">
        <v>541</v>
      </c>
      <c r="H220">
        <v>66.1</v>
      </c>
      <c r="I220">
        <v>753</v>
      </c>
      <c r="J220">
        <v>266</v>
      </c>
      <c r="K220" t="s">
        <v>1344</v>
      </c>
      <c r="L220">
        <v>753</v>
      </c>
      <c r="N220" s="2" t="s">
        <v>547</v>
      </c>
      <c r="O220" t="s">
        <v>547</v>
      </c>
      <c r="P220" t="s">
        <v>547</v>
      </c>
      <c r="Q220" t="s">
        <v>547</v>
      </c>
      <c r="R220" t="s">
        <v>547</v>
      </c>
      <c r="S220" t="s">
        <v>547</v>
      </c>
      <c r="T220" t="s">
        <v>547</v>
      </c>
      <c r="U220" t="s">
        <v>547</v>
      </c>
      <c r="V220" t="s">
        <v>547</v>
      </c>
      <c r="W220" t="s">
        <v>547</v>
      </c>
      <c r="X220" t="s">
        <v>547</v>
      </c>
      <c r="Y220" t="s">
        <v>547</v>
      </c>
      <c r="Z220" s="4" t="s">
        <v>1025</v>
      </c>
      <c r="AA220" t="s">
        <v>1015</v>
      </c>
      <c r="AB220" s="3" t="s">
        <v>547</v>
      </c>
      <c r="AC220" s="2" t="s">
        <v>547</v>
      </c>
      <c r="AD220" s="4" t="s">
        <v>547</v>
      </c>
      <c r="AE220" t="s">
        <v>547</v>
      </c>
      <c r="AF220" t="s">
        <v>547</v>
      </c>
      <c r="AG220" s="4" t="s">
        <v>547</v>
      </c>
      <c r="AH220" t="s">
        <v>547</v>
      </c>
      <c r="AI220" t="s">
        <v>547</v>
      </c>
      <c r="AJ220" s="4" t="s">
        <v>547</v>
      </c>
      <c r="AK220" t="s">
        <v>547</v>
      </c>
      <c r="AL220" t="s">
        <v>547</v>
      </c>
      <c r="AM220" s="3" t="str">
        <f>HYPERLINK("http://exon.niaid.nih.gov/transcriptome/O_fasciatus/Sup_tab1/links/KOG\of-new-contig_266-KOG.txt","DNA polymerase epsilon, catalytic subunit A")</f>
        <v>DNA polymerase epsilon, catalytic subunit A</v>
      </c>
      <c r="AN220" s="2" t="str">
        <f>HYPERLINK("http://www.ncbi.nlm.nih.gov/COG/new/shokog.cgi?KOG1798","0.73")</f>
        <v>0.73</v>
      </c>
      <c r="AO220" t="s">
        <v>1597</v>
      </c>
      <c r="AP220" s="3" t="s">
        <v>547</v>
      </c>
      <c r="AQ220" s="2" t="s">
        <v>547</v>
      </c>
      <c r="AR220" t="s">
        <v>547</v>
      </c>
      <c r="AS220" s="3" t="str">
        <f>HYPERLINK("http://exon.niaid.nih.gov/transcriptome/O_fasciatus/Sup_tab1/links/PFAM\of-new-contig_266-PFAM.txt","Dynamin_M")</f>
        <v>Dynamin_M</v>
      </c>
      <c r="AT220" s="2" t="str">
        <f>HYPERLINK("http://pfam.wustl.edu/cgi-bin/getdesc?acc=PF01031","0.72")</f>
        <v>0.72</v>
      </c>
      <c r="AU220" s="3" t="str">
        <f>HYPERLINK("http://exon.niaid.nih.gov/transcriptome/O_fasciatus/Sup_tab1/links/SMART\of-new-contig_266-SMART.txt","TFIIE")</f>
        <v>TFIIE</v>
      </c>
      <c r="AV220" s="2" t="str">
        <f>HYPERLINK("http://smart.embl-heidelberg.de/smart/do_annotation.pl?DOMAIN=TFIIE&amp;BLAST=DUMMY","0.57")</f>
        <v>0.57</v>
      </c>
      <c r="AW220" s="3" t="s">
        <v>547</v>
      </c>
      <c r="AX220" s="2" t="s">
        <v>547</v>
      </c>
      <c r="AY220" s="3" t="s">
        <v>547</v>
      </c>
      <c r="AZ220" s="2" t="s">
        <v>547</v>
      </c>
    </row>
    <row r="221" spans="1:52" ht="11.25">
      <c r="A221" t="str">
        <f>HYPERLINK("http://exon.niaid.nih.gov/transcriptome/O_fasciatus/Sup_tab1/links/of-new\of-new-contig_166.txt","of-new-contig_166")</f>
        <v>of-new-contig_166</v>
      </c>
      <c r="B221" t="str">
        <f>HYPERLINK("http://exon.niaid.nih.gov/transcriptome/O_fasciatus/Sup_tab1/links/of-new\of-new-5-64-64-asb-166.txt","Contig-166")</f>
        <v>Contig-166</v>
      </c>
      <c r="C221" t="str">
        <f>HYPERLINK("http://exon.niaid.nih.gov/transcriptome/O_fasciatus/Sup_tab1/links/of-new\of-new-5-64-64-166-CLU.txt","Contig166")</f>
        <v>Contig166</v>
      </c>
      <c r="D221">
        <v>1</v>
      </c>
      <c r="E221">
        <v>760</v>
      </c>
      <c r="F221" t="str">
        <f>HYPERLINK("http://exon.niaid.nih.gov/transcriptome/O_fasciatus/Sup_tab1/links/of-new\of-new-5-64-64-166-qual.txt","34.3")</f>
        <v>34.3</v>
      </c>
      <c r="G221">
        <v>0.1</v>
      </c>
      <c r="H221">
        <v>70.9</v>
      </c>
      <c r="I221" t="s">
        <v>547</v>
      </c>
      <c r="J221">
        <v>166</v>
      </c>
      <c r="K221" t="s">
        <v>1244</v>
      </c>
      <c r="L221" t="s">
        <v>547</v>
      </c>
      <c r="N221" s="2" t="s">
        <v>547</v>
      </c>
      <c r="O221" t="s">
        <v>547</v>
      </c>
      <c r="P221" t="s">
        <v>547</v>
      </c>
      <c r="Q221" t="s">
        <v>547</v>
      </c>
      <c r="R221" t="s">
        <v>547</v>
      </c>
      <c r="S221" t="s">
        <v>547</v>
      </c>
      <c r="T221" t="s">
        <v>547</v>
      </c>
      <c r="U221" t="s">
        <v>547</v>
      </c>
      <c r="V221" t="s">
        <v>547</v>
      </c>
      <c r="W221" t="s">
        <v>547</v>
      </c>
      <c r="X221" t="s">
        <v>547</v>
      </c>
      <c r="Y221" t="s">
        <v>547</v>
      </c>
      <c r="Z221" s="4" t="s">
        <v>1025</v>
      </c>
      <c r="AA221" t="s">
        <v>1015</v>
      </c>
      <c r="AB221" s="3" t="s">
        <v>547</v>
      </c>
      <c r="AC221" s="2" t="s">
        <v>547</v>
      </c>
      <c r="AD221" s="4" t="s">
        <v>547</v>
      </c>
      <c r="AE221" t="s">
        <v>547</v>
      </c>
      <c r="AF221" t="s">
        <v>547</v>
      </c>
      <c r="AG221" s="4" t="s">
        <v>547</v>
      </c>
      <c r="AH221" t="s">
        <v>547</v>
      </c>
      <c r="AI221" t="s">
        <v>547</v>
      </c>
      <c r="AJ221" s="4" t="s">
        <v>547</v>
      </c>
      <c r="AK221" t="s">
        <v>547</v>
      </c>
      <c r="AL221" t="s">
        <v>547</v>
      </c>
      <c r="AM221" s="3" t="str">
        <f>HYPERLINK("http://exon.niaid.nih.gov/transcriptome/O_fasciatus/Sup_tab1/links/KOG\of-new-contig_166-KOG.txt","Muscarinic acetylcholine receptor")</f>
        <v>Muscarinic acetylcholine receptor</v>
      </c>
      <c r="AN221" s="2" t="str">
        <f>HYPERLINK("http://www.ncbi.nlm.nih.gov/COG/new/shokog.cgi?KOG4220","0.73")</f>
        <v>0.73</v>
      </c>
      <c r="AO221" t="s">
        <v>1521</v>
      </c>
      <c r="AP221" s="3" t="str">
        <f>HYPERLINK("http://exon.niaid.nih.gov/transcriptome/O_fasciatus/Sup_tab1/links/CDD\of-new-contig_166-CDD.txt","VanZ")</f>
        <v>VanZ</v>
      </c>
      <c r="AQ221" s="2" t="str">
        <f>HYPERLINK("http://www.ncbi.nlm.nih.gov/Structure/cdd/cddsrv.cgi?uid=COG4767&amp;version=v4.0","0.89")</f>
        <v>0.89</v>
      </c>
      <c r="AR221" t="s">
        <v>501</v>
      </c>
      <c r="AS221" s="3" t="str">
        <f>HYPERLINK("http://exon.niaid.nih.gov/transcriptome/O_fasciatus/Sup_tab1/links/PFAM\of-new-contig_166-PFAM.txt","DUF70")</f>
        <v>DUF70</v>
      </c>
      <c r="AT221" s="2" t="str">
        <f>HYPERLINK("http://pfam.wustl.edu/cgi-bin/getdesc?acc=PF01901","0.71")</f>
        <v>0.71</v>
      </c>
      <c r="AU221" s="3" t="str">
        <f>HYPERLINK("http://exon.niaid.nih.gov/transcriptome/O_fasciatus/Sup_tab1/links/SMART\of-new-contig_166-SMART.txt","GRAM")</f>
        <v>GRAM</v>
      </c>
      <c r="AV221" s="2" t="str">
        <f>HYPERLINK("http://smart.embl-heidelberg.de/smart/do_annotation.pl?DOMAIN=GRAM&amp;BLAST=DUMMY","0.72")</f>
        <v>0.72</v>
      </c>
      <c r="AW221" s="3" t="s">
        <v>547</v>
      </c>
      <c r="AX221" s="2" t="s">
        <v>547</v>
      </c>
      <c r="AY221" s="3" t="s">
        <v>547</v>
      </c>
      <c r="AZ221" s="2" t="s">
        <v>547</v>
      </c>
    </row>
    <row r="222" spans="1:52" ht="11.25">
      <c r="A222" t="str">
        <f>HYPERLINK("http://exon.niaid.nih.gov/transcriptome/O_fasciatus/Sup_tab1/links/of-new\of-new-contig_149.txt","of-new-contig_149")</f>
        <v>of-new-contig_149</v>
      </c>
      <c r="B222" t="str">
        <f>HYPERLINK("http://exon.niaid.nih.gov/transcriptome/O_fasciatus/Sup_tab1/links/of-new\of-new-5-64-64-asb-149.txt","Contig-149")</f>
        <v>Contig-149</v>
      </c>
      <c r="C222" t="str">
        <f>HYPERLINK("http://exon.niaid.nih.gov/transcriptome/O_fasciatus/Sup_tab1/links/of-new\of-new-5-64-64-149-CLU.txt","Contig149")</f>
        <v>Contig149</v>
      </c>
      <c r="D222">
        <v>1</v>
      </c>
      <c r="E222">
        <v>682</v>
      </c>
      <c r="F222" t="str">
        <f>HYPERLINK("http://exon.niaid.nih.gov/transcriptome/O_fasciatus/Sup_tab1/links/of-new\of-new-5-64-64-149-qual.txt","35.4")</f>
        <v>35.4</v>
      </c>
      <c r="G222" t="s">
        <v>541</v>
      </c>
      <c r="H222">
        <v>73.2</v>
      </c>
      <c r="I222" t="s">
        <v>547</v>
      </c>
      <c r="J222">
        <v>149</v>
      </c>
      <c r="K222" t="s">
        <v>1227</v>
      </c>
      <c r="L222" t="s">
        <v>547</v>
      </c>
      <c r="M222" s="3" t="str">
        <f>HYPERLINK("http://exon.niaid.nih.gov/transcriptome/O_fasciatus/Sup_tab1/links/NR\of-new-contig_149-NR.txt","hypothetical protein PAM312 [Onion yellows phytoplasma OY-M]")</f>
        <v>hypothetical protein PAM312 [Onion yellows phytoplasma OY-M]</v>
      </c>
      <c r="N222" s="2" t="str">
        <f>HYPERLINK("http://www.ncbi.nlm.nih.gov/sutils/blink.cgi?pid=39938798","4.8")</f>
        <v>4.8</v>
      </c>
      <c r="O222" t="s">
        <v>980</v>
      </c>
      <c r="P222">
        <v>42</v>
      </c>
      <c r="Q222">
        <v>156</v>
      </c>
      <c r="R222">
        <v>47</v>
      </c>
      <c r="S222">
        <v>27</v>
      </c>
      <c r="T222">
        <v>23</v>
      </c>
      <c r="U222">
        <v>495</v>
      </c>
      <c r="V222">
        <v>1</v>
      </c>
      <c r="W222" t="s">
        <v>1412</v>
      </c>
      <c r="X222" t="s">
        <v>981</v>
      </c>
      <c r="Y222" t="s">
        <v>982</v>
      </c>
      <c r="Z222" s="4" t="s">
        <v>1025</v>
      </c>
      <c r="AA222" t="s">
        <v>1015</v>
      </c>
      <c r="AB222" s="3" t="s">
        <v>547</v>
      </c>
      <c r="AC222" s="2" t="s">
        <v>547</v>
      </c>
      <c r="AD222" s="4" t="s">
        <v>547</v>
      </c>
      <c r="AE222" t="s">
        <v>547</v>
      </c>
      <c r="AF222" t="s">
        <v>547</v>
      </c>
      <c r="AG222" s="4" t="s">
        <v>547</v>
      </c>
      <c r="AH222" t="s">
        <v>547</v>
      </c>
      <c r="AI222" t="s">
        <v>547</v>
      </c>
      <c r="AJ222" s="4" t="s">
        <v>547</v>
      </c>
      <c r="AK222" t="s">
        <v>547</v>
      </c>
      <c r="AL222" t="s">
        <v>547</v>
      </c>
      <c r="AM222" s="3" t="s">
        <v>547</v>
      </c>
      <c r="AN222" s="2" t="s">
        <v>547</v>
      </c>
      <c r="AO222" t="s">
        <v>547</v>
      </c>
      <c r="AP222" s="3" t="str">
        <f>HYPERLINK("http://exon.niaid.nih.gov/transcriptome/O_fasciatus/Sup_tab1/links/CDD\of-new-contig_149-CDD.txt","Aa_trans")</f>
        <v>Aa_trans</v>
      </c>
      <c r="AQ222" s="2" t="str">
        <f>HYPERLINK("http://www.ncbi.nlm.nih.gov/Structure/cdd/cddsrv.cgi?uid=pfam01490&amp;version=v4.0","0.59")</f>
        <v>0.59</v>
      </c>
      <c r="AR222" t="s">
        <v>983</v>
      </c>
      <c r="AS222" s="3" t="str">
        <f>HYPERLINK("http://exon.niaid.nih.gov/transcriptome/O_fasciatus/Sup_tab1/links/PFAM\of-new-contig_149-PFAM.txt","Aa_trans")</f>
        <v>Aa_trans</v>
      </c>
      <c r="AT222" s="2" t="str">
        <f>HYPERLINK("http://pfam.wustl.edu/cgi-bin/getdesc?acc=PF01490","0.30")</f>
        <v>0.30</v>
      </c>
      <c r="AU222" s="3" t="str">
        <f>HYPERLINK("http://exon.niaid.nih.gov/transcriptome/O_fasciatus/Sup_tab1/links/SMART\of-new-contig_149-SMART.txt","BPI2")</f>
        <v>BPI2</v>
      </c>
      <c r="AV222" s="2" t="str">
        <f>HYPERLINK("http://smart.embl-heidelberg.de/smart/do_annotation.pl?DOMAIN=BPI2&amp;BLAST=DUMMY","0.27")</f>
        <v>0.27</v>
      </c>
      <c r="AW222" s="3" t="s">
        <v>547</v>
      </c>
      <c r="AX222" s="2" t="s">
        <v>547</v>
      </c>
      <c r="AY222" s="3" t="s">
        <v>547</v>
      </c>
      <c r="AZ222" s="2" t="s">
        <v>547</v>
      </c>
    </row>
    <row r="223" spans="1:52" ht="11.25">
      <c r="A223" t="str">
        <f>HYPERLINK("http://exon.niaid.nih.gov/transcriptome/O_fasciatus/Sup_tab1/links/of-new\of-new-contig_158.txt","of-new-contig_158")</f>
        <v>of-new-contig_158</v>
      </c>
      <c r="B223" t="str">
        <f>HYPERLINK("http://exon.niaid.nih.gov/transcriptome/O_fasciatus/Sup_tab1/links/of-new\of-new-5-64-64-asb-158.txt","Contig-158")</f>
        <v>Contig-158</v>
      </c>
      <c r="C223" t="str">
        <f>HYPERLINK("http://exon.niaid.nih.gov/transcriptome/O_fasciatus/Sup_tab1/links/of-new\of-new-5-64-64-158-CLU.txt","Contig158")</f>
        <v>Contig158</v>
      </c>
      <c r="D223">
        <v>1</v>
      </c>
      <c r="E223">
        <v>656</v>
      </c>
      <c r="F223" t="str">
        <f>HYPERLINK("http://exon.niaid.nih.gov/transcriptome/O_fasciatus/Sup_tab1/links/of-new\of-new-5-64-64-158-qual.txt","34.2")</f>
        <v>34.2</v>
      </c>
      <c r="G223" t="s">
        <v>541</v>
      </c>
      <c r="H223">
        <v>68</v>
      </c>
      <c r="I223" t="s">
        <v>547</v>
      </c>
      <c r="J223">
        <v>158</v>
      </c>
      <c r="K223" t="s">
        <v>1236</v>
      </c>
      <c r="L223" t="s">
        <v>547</v>
      </c>
      <c r="M223" s="3" t="str">
        <f>HYPERLINK("http://exon.niaid.nih.gov/transcriptome/O_fasciatus/Sup_tab1/links/NR\of-new-contig_158-NR.txt","hypothetical protein DDBDRAFT_0206173 [Dictyostelium discoideum AX4]")</f>
        <v>hypothetical protein DDBDRAFT_0206173 [Dictyostelium discoideum AX4]</v>
      </c>
      <c r="N223" s="2" t="str">
        <f>HYPERLINK("http://www.ncbi.nlm.nih.gov/sutils/blink.cgi?pid=66815805","1.1")</f>
        <v>1.1</v>
      </c>
      <c r="O223" t="s">
        <v>464</v>
      </c>
      <c r="P223">
        <v>42</v>
      </c>
      <c r="Q223">
        <v>1343</v>
      </c>
      <c r="R223">
        <v>47</v>
      </c>
      <c r="S223">
        <v>3</v>
      </c>
      <c r="T223">
        <v>226</v>
      </c>
      <c r="U223">
        <v>506</v>
      </c>
      <c r="V223">
        <v>1</v>
      </c>
      <c r="W223" t="s">
        <v>1412</v>
      </c>
      <c r="X223" t="s">
        <v>295</v>
      </c>
      <c r="Y223" t="s">
        <v>465</v>
      </c>
      <c r="Z223" s="4" t="s">
        <v>1025</v>
      </c>
      <c r="AA223" t="s">
        <v>1015</v>
      </c>
      <c r="AB223" s="3" t="s">
        <v>547</v>
      </c>
      <c r="AC223" s="2" t="s">
        <v>547</v>
      </c>
      <c r="AD223" s="4" t="s">
        <v>547</v>
      </c>
      <c r="AE223" t="s">
        <v>547</v>
      </c>
      <c r="AF223" t="s">
        <v>547</v>
      </c>
      <c r="AG223" s="4" t="s">
        <v>547</v>
      </c>
      <c r="AH223" t="s">
        <v>547</v>
      </c>
      <c r="AI223" t="s">
        <v>547</v>
      </c>
      <c r="AJ223" s="4" t="s">
        <v>547</v>
      </c>
      <c r="AK223" t="s">
        <v>547</v>
      </c>
      <c r="AL223" t="s">
        <v>547</v>
      </c>
      <c r="AM223" s="3" t="str">
        <f>HYPERLINK("http://exon.niaid.nih.gov/transcriptome/O_fasciatus/Sup_tab1/links/KOG\of-new-contig_158-KOG.txt","Uncharacterized conserved protein")</f>
        <v>Uncharacterized conserved protein</v>
      </c>
      <c r="AN223" s="2" t="str">
        <f>HYPERLINK("http://www.ncbi.nlm.nih.gov/COG/new/shokog.cgi?KOG4740","0.094")</f>
        <v>0.094</v>
      </c>
      <c r="AO223" t="s">
        <v>881</v>
      </c>
      <c r="AP223" s="3" t="str">
        <f>HYPERLINK("http://exon.niaid.nih.gov/transcriptome/O_fasciatus/Sup_tab1/links/CDD\of-new-contig_158-CDD.txt","Ferric_reduct")</f>
        <v>Ferric_reduct</v>
      </c>
      <c r="AQ223" s="2" t="str">
        <f>HYPERLINK("http://www.ncbi.nlm.nih.gov/Structure/cdd/cddsrv.cgi?uid=pfam01794&amp;version=v4.0","0.010")</f>
        <v>0.010</v>
      </c>
      <c r="AR223" t="s">
        <v>466</v>
      </c>
      <c r="AS223" s="3" t="str">
        <f>HYPERLINK("http://exon.niaid.nih.gov/transcriptome/O_fasciatus/Sup_tab1/links/PFAM\of-new-contig_158-PFAM.txt","Ferric_reduct")</f>
        <v>Ferric_reduct</v>
      </c>
      <c r="AT223" s="2" t="str">
        <f>HYPERLINK("http://pfam.wustl.edu/cgi-bin/getdesc?acc=PF01794","0.005")</f>
        <v>0.005</v>
      </c>
      <c r="AU223" s="3" t="str">
        <f>HYPERLINK("http://exon.niaid.nih.gov/transcriptome/O_fasciatus/Sup_tab1/links/SMART\of-new-contig_158-SMART.txt","LITAF")</f>
        <v>LITAF</v>
      </c>
      <c r="AV223" s="2" t="str">
        <f>HYPERLINK("http://smart.embl-heidelberg.de/smart/do_annotation.pl?DOMAIN=LITAF&amp;BLAST=DUMMY","0.12")</f>
        <v>0.12</v>
      </c>
      <c r="AW223" s="3" t="s">
        <v>547</v>
      </c>
      <c r="AX223" s="2" t="s">
        <v>547</v>
      </c>
      <c r="AY223" s="3" t="s">
        <v>547</v>
      </c>
      <c r="AZ223" s="2" t="s">
        <v>547</v>
      </c>
    </row>
    <row r="224" spans="1:52" ht="11.25">
      <c r="A224" t="str">
        <f>HYPERLINK("http://exon.niaid.nih.gov/transcriptome/O_fasciatus/Sup_tab1/links/of-new\of-new-contig_190.txt","of-new-contig_190")</f>
        <v>of-new-contig_190</v>
      </c>
      <c r="B224" t="str">
        <f>HYPERLINK("http://exon.niaid.nih.gov/transcriptome/O_fasciatus/Sup_tab1/links/of-new\of-new-5-64-64-asb-190.txt","Contig-190")</f>
        <v>Contig-190</v>
      </c>
      <c r="C224" t="str">
        <f>HYPERLINK("http://exon.niaid.nih.gov/transcriptome/O_fasciatus/Sup_tab1/links/of-new\of-new-5-64-64-190-CLU.txt","Contig190")</f>
        <v>Contig190</v>
      </c>
      <c r="D224">
        <v>1</v>
      </c>
      <c r="E224">
        <v>586</v>
      </c>
      <c r="F224" t="str">
        <f>HYPERLINK("http://exon.niaid.nih.gov/transcriptome/O_fasciatus/Sup_tab1/links/of-new\of-new-5-64-64-190-qual.txt","35.1")</f>
        <v>35.1</v>
      </c>
      <c r="G224">
        <v>0.7</v>
      </c>
      <c r="H224">
        <v>81.4</v>
      </c>
      <c r="I224">
        <v>563</v>
      </c>
      <c r="J224">
        <v>190</v>
      </c>
      <c r="K224" t="s">
        <v>1268</v>
      </c>
      <c r="L224">
        <v>563</v>
      </c>
      <c r="M224" s="3" t="str">
        <f>HYPERLINK("http://exon.niaid.nih.gov/transcriptome/O_fasciatus/Sup_tab1/links/NR\of-new-contig_190-NR.txt","AgrC")</f>
        <v>AgrC</v>
      </c>
      <c r="N224" s="2" t="str">
        <f>HYPERLINK("http://www.ncbi.nlm.nih.gov/sutils/blink.cgi?pid=18250997","0.006")</f>
        <v>0.006</v>
      </c>
      <c r="O224" t="s">
        <v>340</v>
      </c>
      <c r="P224">
        <v>126</v>
      </c>
      <c r="Q224">
        <v>224</v>
      </c>
      <c r="R224">
        <v>27</v>
      </c>
      <c r="S224">
        <v>56</v>
      </c>
      <c r="T224">
        <v>36</v>
      </c>
      <c r="U224">
        <v>39</v>
      </c>
      <c r="V224">
        <v>1</v>
      </c>
      <c r="W224" t="s">
        <v>1412</v>
      </c>
      <c r="X224" t="s">
        <v>341</v>
      </c>
      <c r="Y224" t="s">
        <v>342</v>
      </c>
      <c r="Z224" s="4" t="s">
        <v>1025</v>
      </c>
      <c r="AA224" t="s">
        <v>1015</v>
      </c>
      <c r="AB224" s="3" t="s">
        <v>547</v>
      </c>
      <c r="AC224" s="2" t="s">
        <v>547</v>
      </c>
      <c r="AD224" s="4" t="s">
        <v>547</v>
      </c>
      <c r="AE224" t="s">
        <v>547</v>
      </c>
      <c r="AF224" t="s">
        <v>547</v>
      </c>
      <c r="AG224" s="4" t="s">
        <v>547</v>
      </c>
      <c r="AH224" t="s">
        <v>547</v>
      </c>
      <c r="AI224" t="s">
        <v>547</v>
      </c>
      <c r="AJ224" s="4" t="s">
        <v>547</v>
      </c>
      <c r="AK224" t="s">
        <v>547</v>
      </c>
      <c r="AL224" t="s">
        <v>547</v>
      </c>
      <c r="AM224" s="3" t="s">
        <v>547</v>
      </c>
      <c r="AN224" s="2" t="s">
        <v>547</v>
      </c>
      <c r="AO224" t="s">
        <v>547</v>
      </c>
      <c r="AP224" s="3" t="str">
        <f>HYPERLINK("http://exon.niaid.nih.gov/transcriptome/O_fasciatus/Sup_tab1/links/CDD\of-new-contig_190-CDD.txt","TagG")</f>
        <v>TagG</v>
      </c>
      <c r="AQ224" s="2" t="str">
        <f>HYPERLINK("http://www.ncbi.nlm.nih.gov/Structure/cdd/cddsrv.cgi?uid=COG1682&amp;version=v4.0","0.088")</f>
        <v>0.088</v>
      </c>
      <c r="AR224" t="s">
        <v>343</v>
      </c>
      <c r="AS224" s="3" t="str">
        <f>HYPERLINK("http://exon.niaid.nih.gov/transcriptome/O_fasciatus/Sup_tab1/links/PFAM\of-new-contig_190-PFAM.txt","EcsB")</f>
        <v>EcsB</v>
      </c>
      <c r="AT224" s="2" t="str">
        <f>HYPERLINK("http://pfam.wustl.edu/cgi-bin/getdesc?acc=PF05975","0.009")</f>
        <v>0.009</v>
      </c>
      <c r="AU224" s="3" t="str">
        <f>HYPERLINK("http://exon.niaid.nih.gov/transcriptome/O_fasciatus/Sup_tab1/links/SMART\of-new-contig_190-SMART.txt","PSN")</f>
        <v>PSN</v>
      </c>
      <c r="AV224" s="2" t="str">
        <f>HYPERLINK("http://smart.embl-heidelberg.de/smart/do_annotation.pl?DOMAIN=PSN&amp;BLAST=DUMMY","0.11")</f>
        <v>0.11</v>
      </c>
      <c r="AW224" s="3" t="s">
        <v>547</v>
      </c>
      <c r="AX224" s="2" t="s">
        <v>547</v>
      </c>
      <c r="AY224" s="3" t="s">
        <v>547</v>
      </c>
      <c r="AZ224" s="2" t="s">
        <v>547</v>
      </c>
    </row>
    <row r="225" spans="1:52" ht="11.25">
      <c r="A225" t="str">
        <f>HYPERLINK("http://exon.niaid.nih.gov/transcriptome/O_fasciatus/Sup_tab1/links/of-new\of-new-contig_171.txt","of-new-contig_171")</f>
        <v>of-new-contig_171</v>
      </c>
      <c r="B225" t="str">
        <f>HYPERLINK("http://exon.niaid.nih.gov/transcriptome/O_fasciatus/Sup_tab1/links/of-new\of-new-5-64-64-asb-171.txt","Contig-171")</f>
        <v>Contig-171</v>
      </c>
      <c r="C225" t="str">
        <f>HYPERLINK("http://exon.niaid.nih.gov/transcriptome/O_fasciatus/Sup_tab1/links/of-new\of-new-5-64-64-171-CLU.txt","Contig171")</f>
        <v>Contig171</v>
      </c>
      <c r="D225">
        <v>1</v>
      </c>
      <c r="E225">
        <v>568</v>
      </c>
      <c r="F225" t="str">
        <f>HYPERLINK("http://exon.niaid.nih.gov/transcriptome/O_fasciatus/Sup_tab1/links/of-new\of-new-5-64-64-171-qual.txt","24.3")</f>
        <v>24.3</v>
      </c>
      <c r="G225" t="s">
        <v>541</v>
      </c>
      <c r="H225">
        <v>72.7</v>
      </c>
      <c r="I225" t="s">
        <v>547</v>
      </c>
      <c r="J225">
        <v>171</v>
      </c>
      <c r="K225" t="s">
        <v>1249</v>
      </c>
      <c r="L225" t="s">
        <v>547</v>
      </c>
      <c r="M225" s="3" t="str">
        <f>HYPERLINK("http://exon.niaid.nih.gov/transcriptome/O_fasciatus/Sup_tab1/links/NR\of-new-contig_171-NR.txt","hypothetical protein [Plasmodium falciparum 3D7]")</f>
        <v>hypothetical protein [Plasmodium falciparum 3D7]</v>
      </c>
      <c r="N225" s="2" t="str">
        <f>HYPERLINK("http://www.ncbi.nlm.nih.gov/sutils/blink.cgi?pid=23612794","1.8")</f>
        <v>1.8</v>
      </c>
      <c r="O225" t="s">
        <v>164</v>
      </c>
      <c r="P225">
        <v>64</v>
      </c>
      <c r="Q225">
        <v>1466</v>
      </c>
      <c r="R225">
        <v>29</v>
      </c>
      <c r="S225">
        <v>4</v>
      </c>
      <c r="T225">
        <v>28</v>
      </c>
      <c r="U225">
        <v>38</v>
      </c>
      <c r="V225">
        <v>2</v>
      </c>
      <c r="W225" t="s">
        <v>1412</v>
      </c>
      <c r="X225" t="s">
        <v>648</v>
      </c>
      <c r="Y225" t="s">
        <v>165</v>
      </c>
      <c r="Z225" s="4" t="s">
        <v>1025</v>
      </c>
      <c r="AA225" t="s">
        <v>1015</v>
      </c>
      <c r="AB225" s="3" t="s">
        <v>547</v>
      </c>
      <c r="AC225" s="2" t="s">
        <v>547</v>
      </c>
      <c r="AD225" s="4" t="s">
        <v>547</v>
      </c>
      <c r="AE225" t="s">
        <v>547</v>
      </c>
      <c r="AF225" t="s">
        <v>547</v>
      </c>
      <c r="AG225" s="4" t="s">
        <v>547</v>
      </c>
      <c r="AH225" t="s">
        <v>547</v>
      </c>
      <c r="AI225" t="s">
        <v>547</v>
      </c>
      <c r="AJ225" s="4" t="s">
        <v>547</v>
      </c>
      <c r="AK225" t="s">
        <v>547</v>
      </c>
      <c r="AL225" t="s">
        <v>547</v>
      </c>
      <c r="AM225" s="3" t="str">
        <f>HYPERLINK("http://exon.niaid.nih.gov/transcriptome/O_fasciatus/Sup_tab1/links/KOG\of-new-contig_171-KOG.txt","G protein-coupled receptors")</f>
        <v>G protein-coupled receptors</v>
      </c>
      <c r="AN225" s="2" t="str">
        <f>HYPERLINK("http://www.ncbi.nlm.nih.gov/COG/new/shokog.cgi?KOG4193","0.84")</f>
        <v>0.84</v>
      </c>
      <c r="AO225" t="s">
        <v>1521</v>
      </c>
      <c r="AP225" s="3" t="str">
        <f>HYPERLINK("http://exon.niaid.nih.gov/transcriptome/O_fasciatus/Sup_tab1/links/CDD\of-new-contig_171-CDD.txt","DUF280")</f>
        <v>DUF280</v>
      </c>
      <c r="AQ225" s="2" t="str">
        <f>HYPERLINK("http://www.ncbi.nlm.nih.gov/Structure/cdd/cddsrv.cgi?uid=pfam03375&amp;version=v4.0","0.75")</f>
        <v>0.75</v>
      </c>
      <c r="AR225" t="s">
        <v>166</v>
      </c>
      <c r="AS225" s="3" t="str">
        <f>HYPERLINK("http://exon.niaid.nih.gov/transcriptome/O_fasciatus/Sup_tab1/links/PFAM\of-new-contig_171-PFAM.txt","DUF280")</f>
        <v>DUF280</v>
      </c>
      <c r="AT225" s="2" t="str">
        <f>HYPERLINK("http://pfam.wustl.edu/cgi-bin/getdesc?acc=PF03375","0.38")</f>
        <v>0.38</v>
      </c>
      <c r="AU225" s="3" t="str">
        <f>HYPERLINK("http://exon.niaid.nih.gov/transcriptome/O_fasciatus/Sup_tab1/links/SMART\of-new-contig_171-SMART.txt","ZP")</f>
        <v>ZP</v>
      </c>
      <c r="AV225" s="2" t="str">
        <f>HYPERLINK("http://smart.embl-heidelberg.de/smart/do_annotation.pl?DOMAIN=ZP&amp;BLAST=DUMMY","0.074")</f>
        <v>0.074</v>
      </c>
      <c r="AW225" s="3" t="s">
        <v>547</v>
      </c>
      <c r="AX225" s="2" t="s">
        <v>547</v>
      </c>
      <c r="AY225" s="3" t="s">
        <v>547</v>
      </c>
      <c r="AZ225" s="2" t="s">
        <v>547</v>
      </c>
    </row>
    <row r="226" spans="1:52" ht="11.25">
      <c r="A226" t="str">
        <f>HYPERLINK("http://exon.niaid.nih.gov/transcriptome/O_fasciatus/Sup_tab1/links/of-new\of-new-contig_109.txt","of-new-contig_109")</f>
        <v>of-new-contig_109</v>
      </c>
      <c r="B226" t="str">
        <f>HYPERLINK("http://exon.niaid.nih.gov/transcriptome/O_fasciatus/Sup_tab1/links/of-new\of-new-5-64-64-asb-109.txt","Contig-109")</f>
        <v>Contig-109</v>
      </c>
      <c r="C226" t="str">
        <f>HYPERLINK("http://exon.niaid.nih.gov/transcriptome/O_fasciatus/Sup_tab1/links/of-new\of-new-5-64-64-109-CLU.txt","Contig109")</f>
        <v>Contig109</v>
      </c>
      <c r="D226">
        <v>1</v>
      </c>
      <c r="E226">
        <v>565</v>
      </c>
      <c r="F226" t="str">
        <f>HYPERLINK("http://exon.niaid.nih.gov/transcriptome/O_fasciatus/Sup_tab1/links/of-new\of-new-5-64-64-109-qual.txt","40.9")</f>
        <v>40.9</v>
      </c>
      <c r="G226">
        <v>0.2</v>
      </c>
      <c r="H226">
        <v>77.5</v>
      </c>
      <c r="I226">
        <v>546</v>
      </c>
      <c r="J226">
        <v>109</v>
      </c>
      <c r="K226" t="s">
        <v>1188</v>
      </c>
      <c r="L226">
        <v>546</v>
      </c>
      <c r="M226" s="3" t="str">
        <f>HYPERLINK("http://exon.niaid.nih.gov/transcriptome/O_fasciatus/Sup_tab1/links/NR\of-new-contig_109-NR.txt","hypothetical protein [Fusobacterium nucleatum subsp. vincentii ATCC 49256]")</f>
        <v>hypothetical protein [Fusobacterium nucleatum subsp. vincentii ATCC 49256]</v>
      </c>
      <c r="N226" s="2" t="str">
        <f>HYPERLINK("http://www.ncbi.nlm.nih.gov/sutils/blink.cgi?pid=34762784","0.034")</f>
        <v>0.034</v>
      </c>
      <c r="O226" t="s">
        <v>510</v>
      </c>
      <c r="P226">
        <v>105</v>
      </c>
      <c r="Q226">
        <v>559</v>
      </c>
      <c r="R226">
        <v>27</v>
      </c>
      <c r="S226">
        <v>19</v>
      </c>
      <c r="T226">
        <v>89</v>
      </c>
      <c r="U226">
        <v>214</v>
      </c>
      <c r="V226">
        <v>1</v>
      </c>
      <c r="W226" t="s">
        <v>1412</v>
      </c>
      <c r="X226" t="s">
        <v>511</v>
      </c>
      <c r="Y226" t="s">
        <v>379</v>
      </c>
      <c r="Z226" s="4" t="s">
        <v>1025</v>
      </c>
      <c r="AA226" t="s">
        <v>1015</v>
      </c>
      <c r="AB226" s="3" t="s">
        <v>547</v>
      </c>
      <c r="AC226" s="2" t="s">
        <v>547</v>
      </c>
      <c r="AD226" s="4" t="s">
        <v>547</v>
      </c>
      <c r="AE226" t="s">
        <v>547</v>
      </c>
      <c r="AF226" t="s">
        <v>547</v>
      </c>
      <c r="AG226" s="4" t="s">
        <v>547</v>
      </c>
      <c r="AH226" t="s">
        <v>547</v>
      </c>
      <c r="AI226" t="s">
        <v>547</v>
      </c>
      <c r="AJ226" s="4" t="s">
        <v>547</v>
      </c>
      <c r="AK226" t="s">
        <v>547</v>
      </c>
      <c r="AL226" t="s">
        <v>547</v>
      </c>
      <c r="AM226" s="3" t="str">
        <f>HYPERLINK("http://exon.niaid.nih.gov/transcriptome/O_fasciatus/Sup_tab1/links/KOG\of-new-contig_109-KOG.txt","Protein required for actin cytoskeleton organization and cell cycle progression")</f>
        <v>Protein required for actin cytoskeleton organization and cell cycle progression</v>
      </c>
      <c r="AN226" s="2" t="str">
        <f>HYPERLINK("http://www.ncbi.nlm.nih.gov/COG/new/shokog.cgi?KOG2229","0.19")</f>
        <v>0.19</v>
      </c>
      <c r="AO226" t="s">
        <v>380</v>
      </c>
      <c r="AP226" s="3" t="str">
        <f>HYPERLINK("http://exon.niaid.nih.gov/transcriptome/O_fasciatus/Sup_tab1/links/CDD\of-new-contig_109-CDD.txt","cytochrome_b_C")</f>
        <v>cytochrome_b_C</v>
      </c>
      <c r="AQ226" s="2" t="str">
        <f>HYPERLINK("http://www.ncbi.nlm.nih.gov/Structure/cdd/cddsrv.cgi?uid=cd00290&amp;version=v4.0","0.11")</f>
        <v>0.11</v>
      </c>
      <c r="AR226" t="s">
        <v>381</v>
      </c>
      <c r="AS226" s="3" t="str">
        <f>HYPERLINK("http://exon.niaid.nih.gov/transcriptome/O_fasciatus/Sup_tab1/links/PFAM\of-new-contig_109-PFAM.txt","7tm_5")</f>
        <v>7tm_5</v>
      </c>
      <c r="AT226" s="2" t="str">
        <f>HYPERLINK("http://pfam.wustl.edu/cgi-bin/getdesc?acc=PF01604","0.56")</f>
        <v>0.56</v>
      </c>
      <c r="AU226" s="3" t="s">
        <v>547</v>
      </c>
      <c r="AV226" s="2" t="s">
        <v>547</v>
      </c>
      <c r="AW226" s="3" t="s">
        <v>547</v>
      </c>
      <c r="AX226" s="2" t="s">
        <v>547</v>
      </c>
      <c r="AY226" s="3" t="s">
        <v>547</v>
      </c>
      <c r="AZ226" s="2" t="s">
        <v>547</v>
      </c>
    </row>
    <row r="227" spans="1:52" ht="11.25">
      <c r="A227" t="str">
        <f>HYPERLINK("http://exon.niaid.nih.gov/transcriptome/O_fasciatus/Sup_tab1/links/of-new\of-new-contig_110.txt","of-new-contig_110")</f>
        <v>of-new-contig_110</v>
      </c>
      <c r="B227" t="str">
        <f>HYPERLINK("http://exon.niaid.nih.gov/transcriptome/O_fasciatus/Sup_tab1/links/of-new\of-new-5-64-64-asb-110.txt","Contig-110")</f>
        <v>Contig-110</v>
      </c>
      <c r="C227" t="str">
        <f>HYPERLINK("http://exon.niaid.nih.gov/transcriptome/O_fasciatus/Sup_tab1/links/of-new\of-new-5-64-64-110-CLU.txt","Contig110")</f>
        <v>Contig110</v>
      </c>
      <c r="D227">
        <v>1</v>
      </c>
      <c r="E227">
        <v>561</v>
      </c>
      <c r="F227" t="str">
        <f>HYPERLINK("http://exon.niaid.nih.gov/transcriptome/O_fasciatus/Sup_tab1/links/of-new\of-new-5-64-64-110-qual.txt","49.2")</f>
        <v>49.2</v>
      </c>
      <c r="G227">
        <v>0.2</v>
      </c>
      <c r="H227">
        <v>80.6</v>
      </c>
      <c r="I227">
        <v>542</v>
      </c>
      <c r="J227">
        <v>110</v>
      </c>
      <c r="K227" t="s">
        <v>1189</v>
      </c>
      <c r="L227">
        <v>542</v>
      </c>
      <c r="M227" s="3" t="str">
        <f>HYPERLINK("http://exon.niaid.nih.gov/transcriptome/O_fasciatus/Sup_tab1/links/NR\of-new-contig_110-NR.txt","hypothetical protein [Fusobacterium nucleatum subsp. vincentii ATCC 49256]")</f>
        <v>hypothetical protein [Fusobacterium nucleatum subsp. vincentii ATCC 49256]</v>
      </c>
      <c r="N227" s="2" t="str">
        <f>HYPERLINK("http://www.ncbi.nlm.nih.gov/sutils/blink.cgi?pid=34762784","0.033")</f>
        <v>0.033</v>
      </c>
      <c r="O227" t="s">
        <v>510</v>
      </c>
      <c r="P227">
        <v>105</v>
      </c>
      <c r="Q227">
        <v>559</v>
      </c>
      <c r="R227">
        <v>27</v>
      </c>
      <c r="S227">
        <v>19</v>
      </c>
      <c r="T227">
        <v>89</v>
      </c>
      <c r="U227">
        <v>210</v>
      </c>
      <c r="V227">
        <v>1</v>
      </c>
      <c r="W227" t="s">
        <v>1412</v>
      </c>
      <c r="X227" t="s">
        <v>511</v>
      </c>
      <c r="Y227" t="s">
        <v>382</v>
      </c>
      <c r="Z227" s="4" t="s">
        <v>1025</v>
      </c>
      <c r="AA227" t="s">
        <v>1015</v>
      </c>
      <c r="AB227" s="3" t="s">
        <v>547</v>
      </c>
      <c r="AC227" s="2" t="s">
        <v>547</v>
      </c>
      <c r="AD227" s="4" t="s">
        <v>547</v>
      </c>
      <c r="AE227" t="s">
        <v>547</v>
      </c>
      <c r="AF227" t="s">
        <v>547</v>
      </c>
      <c r="AG227" s="4" t="s">
        <v>547</v>
      </c>
      <c r="AH227" t="s">
        <v>547</v>
      </c>
      <c r="AI227" t="s">
        <v>547</v>
      </c>
      <c r="AJ227" s="4" t="s">
        <v>547</v>
      </c>
      <c r="AK227" t="s">
        <v>547</v>
      </c>
      <c r="AL227" t="s">
        <v>547</v>
      </c>
      <c r="AM227" s="3" t="s">
        <v>547</v>
      </c>
      <c r="AN227" s="2" t="s">
        <v>547</v>
      </c>
      <c r="AO227" t="s">
        <v>547</v>
      </c>
      <c r="AP227" s="3" t="str">
        <f>HYPERLINK("http://exon.niaid.nih.gov/transcriptome/O_fasciatus/Sup_tab1/links/CDD\of-new-contig_110-CDD.txt","7tm_5")</f>
        <v>7tm_5</v>
      </c>
      <c r="AQ227" s="2" t="str">
        <f>HYPERLINK("http://www.ncbi.nlm.nih.gov/Structure/cdd/cddsrv.cgi?uid=pfam01604&amp;version=v4.0","0.85")</f>
        <v>0.85</v>
      </c>
      <c r="AR227" t="s">
        <v>383</v>
      </c>
      <c r="AS227" s="3" t="str">
        <f>HYPERLINK("http://exon.niaid.nih.gov/transcriptome/O_fasciatus/Sup_tab1/links/PFAM\of-new-contig_110-PFAM.txt","7tm_5")</f>
        <v>7tm_5</v>
      </c>
      <c r="AT227" s="2" t="str">
        <f>HYPERLINK("http://pfam.wustl.edu/cgi-bin/getdesc?acc=PF01604","0.43")</f>
        <v>0.43</v>
      </c>
      <c r="AU227" s="3" t="s">
        <v>547</v>
      </c>
      <c r="AV227" s="2" t="s">
        <v>547</v>
      </c>
      <c r="AW227" s="3" t="s">
        <v>547</v>
      </c>
      <c r="AX227" s="2" t="s">
        <v>547</v>
      </c>
      <c r="AY227" s="3" t="s">
        <v>547</v>
      </c>
      <c r="AZ227" s="2" t="s">
        <v>547</v>
      </c>
    </row>
    <row r="228" spans="1:52" ht="11.25">
      <c r="A228" t="str">
        <f>HYPERLINK("http://exon.niaid.nih.gov/transcriptome/O_fasciatus/Sup_tab1/links/of-new\of-new-contig_226.txt","of-new-contig_226")</f>
        <v>of-new-contig_226</v>
      </c>
      <c r="B228" t="str">
        <f>HYPERLINK("http://exon.niaid.nih.gov/transcriptome/O_fasciatus/Sup_tab1/links/of-new\of-new-5-64-64-asb-226.txt","Contig-226")</f>
        <v>Contig-226</v>
      </c>
      <c r="C228" t="str">
        <f>HYPERLINK("http://exon.niaid.nih.gov/transcriptome/O_fasciatus/Sup_tab1/links/of-new\of-new-5-64-64-226-CLU.txt","Contig226")</f>
        <v>Contig226</v>
      </c>
      <c r="D228">
        <v>1</v>
      </c>
      <c r="E228">
        <v>550</v>
      </c>
      <c r="F228" t="str">
        <f>HYPERLINK("http://exon.niaid.nih.gov/transcriptome/O_fasciatus/Sup_tab1/links/of-new\of-new-5-64-64-226-qual.txt","64.3")</f>
        <v>64.3</v>
      </c>
      <c r="G228" t="s">
        <v>541</v>
      </c>
      <c r="H228">
        <v>70.9</v>
      </c>
      <c r="I228">
        <v>531</v>
      </c>
      <c r="J228">
        <v>226</v>
      </c>
      <c r="K228" t="s">
        <v>1304</v>
      </c>
      <c r="L228">
        <v>531</v>
      </c>
      <c r="M228" s="3" t="str">
        <f>HYPERLINK("http://exon.niaid.nih.gov/transcriptome/O_fasciatus/Sup_tab1/links/NR\of-new-contig_226-NR.txt","IP12365p")</f>
        <v>IP12365p</v>
      </c>
      <c r="N228" s="2" t="str">
        <f>HYPERLINK("http://www.ncbi.nlm.nih.gov/sutils/blink.cgi?pid=108383562","0.99")</f>
        <v>0.99</v>
      </c>
      <c r="O228" t="s">
        <v>239</v>
      </c>
      <c r="P228">
        <v>40</v>
      </c>
      <c r="Q228">
        <v>436</v>
      </c>
      <c r="R228">
        <v>45</v>
      </c>
      <c r="S228">
        <v>9</v>
      </c>
      <c r="T228">
        <v>214</v>
      </c>
      <c r="U228">
        <v>154</v>
      </c>
      <c r="V228">
        <v>1</v>
      </c>
      <c r="W228" t="s">
        <v>1412</v>
      </c>
      <c r="X228" t="s">
        <v>940</v>
      </c>
      <c r="Y228" t="s">
        <v>240</v>
      </c>
      <c r="Z228" s="4" t="s">
        <v>1025</v>
      </c>
      <c r="AA228" t="s">
        <v>1015</v>
      </c>
      <c r="AB228" s="3" t="s">
        <v>547</v>
      </c>
      <c r="AC228" s="2" t="s">
        <v>547</v>
      </c>
      <c r="AD228" s="4" t="s">
        <v>547</v>
      </c>
      <c r="AE228" t="s">
        <v>547</v>
      </c>
      <c r="AF228" t="s">
        <v>547</v>
      </c>
      <c r="AG228" s="4" t="s">
        <v>547</v>
      </c>
      <c r="AH228" t="s">
        <v>547</v>
      </c>
      <c r="AI228" t="s">
        <v>547</v>
      </c>
      <c r="AJ228" s="4" t="s">
        <v>547</v>
      </c>
      <c r="AK228" t="s">
        <v>547</v>
      </c>
      <c r="AL228" t="s">
        <v>547</v>
      </c>
      <c r="AM228" s="3" t="str">
        <f>HYPERLINK("http://exon.niaid.nih.gov/transcriptome/O_fasciatus/Sup_tab1/links/KOG\of-new-contig_226-KOG.txt","N-methyl-D-aspartate receptor glutamate-binding subunit")</f>
        <v>N-methyl-D-aspartate receptor glutamate-binding subunit</v>
      </c>
      <c r="AN228" s="2" t="str">
        <f>HYPERLINK("http://www.ncbi.nlm.nih.gov/COG/new/shokog.cgi?KOG2322","0.51")</f>
        <v>0.51</v>
      </c>
      <c r="AO228" t="s">
        <v>1521</v>
      </c>
      <c r="AP228" s="3" t="str">
        <f>HYPERLINK("http://exon.niaid.nih.gov/transcriptome/O_fasciatus/Sup_tab1/links/CDD\of-new-contig_226-CDD.txt","TAS2R")</f>
        <v>TAS2R</v>
      </c>
      <c r="AQ228" s="2" t="str">
        <f>HYPERLINK("http://www.ncbi.nlm.nih.gov/Structure/cdd/cddsrv.cgi?uid=pfam05296&amp;version=v4.0","0.058")</f>
        <v>0.058</v>
      </c>
      <c r="AR228" t="s">
        <v>241</v>
      </c>
      <c r="AS228" s="3" t="str">
        <f>HYPERLINK("http://exon.niaid.nih.gov/transcriptome/O_fasciatus/Sup_tab1/links/PFAM\of-new-contig_226-PFAM.txt","TAS2R")</f>
        <v>TAS2R</v>
      </c>
      <c r="AT228" s="2" t="str">
        <f>HYPERLINK("http://pfam.wustl.edu/cgi-bin/getdesc?acc=PF05296","0.029")</f>
        <v>0.029</v>
      </c>
      <c r="AU228" s="3" t="s">
        <v>547</v>
      </c>
      <c r="AV228" s="2" t="s">
        <v>547</v>
      </c>
      <c r="AW228" s="3" t="s">
        <v>547</v>
      </c>
      <c r="AX228" s="2" t="s">
        <v>547</v>
      </c>
      <c r="AY228" s="3" t="s">
        <v>547</v>
      </c>
      <c r="AZ228" s="2" t="s">
        <v>547</v>
      </c>
    </row>
    <row r="229" spans="1:52" ht="11.25">
      <c r="A229" t="str">
        <f>HYPERLINK("http://exon.niaid.nih.gov/transcriptome/O_fasciatus/Sup_tab1/links/of-new\of-new-contig_162.txt","of-new-contig_162")</f>
        <v>of-new-contig_162</v>
      </c>
      <c r="B229" t="str">
        <f>HYPERLINK("http://exon.niaid.nih.gov/transcriptome/O_fasciatus/Sup_tab1/links/of-new\of-new-5-64-64-asb-162.txt","Contig-162")</f>
        <v>Contig-162</v>
      </c>
      <c r="C229" t="str">
        <f>HYPERLINK("http://exon.niaid.nih.gov/transcriptome/O_fasciatus/Sup_tab1/links/of-new\of-new-5-64-64-162-CLU.txt","Contig162")</f>
        <v>Contig162</v>
      </c>
      <c r="D229">
        <v>1</v>
      </c>
      <c r="E229">
        <v>545</v>
      </c>
      <c r="F229" t="str">
        <f>HYPERLINK("http://exon.niaid.nih.gov/transcriptome/O_fasciatus/Sup_tab1/links/of-new\of-new-5-64-64-162-qual.txt","30.4")</f>
        <v>30.4</v>
      </c>
      <c r="G229" t="s">
        <v>541</v>
      </c>
      <c r="H229">
        <v>74.9</v>
      </c>
      <c r="I229">
        <v>526</v>
      </c>
      <c r="J229">
        <v>162</v>
      </c>
      <c r="K229" t="s">
        <v>1240</v>
      </c>
      <c r="L229">
        <v>526</v>
      </c>
      <c r="M229" s="3" t="str">
        <f>HYPERLINK("http://exon.niaid.nih.gov/transcriptome/O_fasciatus/Sup_tab1/links/NR\of-new-contig_162-NR.txt","aspartyl/glutamyl-tRNA amidotransferase B subunit [Candidatus Carsonella ruddii")</f>
        <v>aspartyl/glutamyl-tRNA amidotransferase B subunit [Candidatus Carsonella ruddii</v>
      </c>
      <c r="N229" s="2" t="str">
        <f>HYPERLINK("http://www.ncbi.nlm.nih.gov/sutils/blink.cgi?pid=116334944","2.9")</f>
        <v>2.9</v>
      </c>
      <c r="O229" t="s">
        <v>479</v>
      </c>
      <c r="P229">
        <v>73</v>
      </c>
      <c r="Q229">
        <v>365</v>
      </c>
      <c r="R229">
        <v>32</v>
      </c>
      <c r="S229">
        <v>20</v>
      </c>
      <c r="T229">
        <v>59</v>
      </c>
      <c r="U229">
        <v>340</v>
      </c>
      <c r="V229">
        <v>1</v>
      </c>
      <c r="W229" t="s">
        <v>1412</v>
      </c>
      <c r="X229" t="s">
        <v>480</v>
      </c>
      <c r="Y229" t="s">
        <v>481</v>
      </c>
      <c r="Z229" s="4" t="s">
        <v>1025</v>
      </c>
      <c r="AA229" t="s">
        <v>1015</v>
      </c>
      <c r="AB229" s="3" t="s">
        <v>547</v>
      </c>
      <c r="AC229" s="2" t="s">
        <v>547</v>
      </c>
      <c r="AD229" s="4" t="s">
        <v>547</v>
      </c>
      <c r="AE229" t="s">
        <v>547</v>
      </c>
      <c r="AF229" t="s">
        <v>547</v>
      </c>
      <c r="AG229" s="4" t="s">
        <v>547</v>
      </c>
      <c r="AH229" t="s">
        <v>547</v>
      </c>
      <c r="AI229" t="s">
        <v>547</v>
      </c>
      <c r="AJ229" s="4" t="s">
        <v>547</v>
      </c>
      <c r="AK229" t="s">
        <v>547</v>
      </c>
      <c r="AL229" t="s">
        <v>547</v>
      </c>
      <c r="AM229" s="3" t="s">
        <v>547</v>
      </c>
      <c r="AN229" s="2" t="s">
        <v>547</v>
      </c>
      <c r="AO229" t="s">
        <v>547</v>
      </c>
      <c r="AP229" s="3" t="str">
        <f>HYPERLINK("http://exon.niaid.nih.gov/transcriptome/O_fasciatus/Sup_tab1/links/CDD\of-new-contig_162-CDD.txt","MopB_Res-Cmplx1")</f>
        <v>MopB_Res-Cmplx1</v>
      </c>
      <c r="AQ229" s="2" t="str">
        <f>HYPERLINK("http://www.ncbi.nlm.nih.gov/Structure/cdd/cddsrv.cgi?uid=cd02774&amp;version=v4.0","0.60")</f>
        <v>0.60</v>
      </c>
      <c r="AR229" t="s">
        <v>482</v>
      </c>
      <c r="AS229" s="3" t="str">
        <f>HYPERLINK("http://exon.niaid.nih.gov/transcriptome/O_fasciatus/Sup_tab1/links/PFAM\of-new-contig_162-PFAM.txt","DUF1157")</f>
        <v>DUF1157</v>
      </c>
      <c r="AT229" s="2" t="str">
        <f>HYPERLINK("http://pfam.wustl.edu/cgi-bin/getdesc?acc=PF06636","0.21")</f>
        <v>0.21</v>
      </c>
      <c r="AU229" s="3" t="str">
        <f>HYPERLINK("http://exon.niaid.nih.gov/transcriptome/O_fasciatus/Sup_tab1/links/SMART\of-new-contig_162-SMART.txt","TLC")</f>
        <v>TLC</v>
      </c>
      <c r="AV229" s="2" t="str">
        <f>HYPERLINK("http://smart.embl-heidelberg.de/smart/do_annotation.pl?DOMAIN=TLC&amp;BLAST=DUMMY","0.38")</f>
        <v>0.38</v>
      </c>
      <c r="AW229" s="3" t="s">
        <v>547</v>
      </c>
      <c r="AX229" s="2" t="s">
        <v>547</v>
      </c>
      <c r="AY229" s="3" t="s">
        <v>547</v>
      </c>
      <c r="AZ229" s="2" t="s">
        <v>547</v>
      </c>
    </row>
    <row r="230" spans="1:52" ht="11.25">
      <c r="A230" t="str">
        <f>HYPERLINK("http://exon.niaid.nih.gov/transcriptome/O_fasciatus/Sup_tab1/links/of-new\of-new-contig_156.txt","of-new-contig_156")</f>
        <v>of-new-contig_156</v>
      </c>
      <c r="B230" t="str">
        <f>HYPERLINK("http://exon.niaid.nih.gov/transcriptome/O_fasciatus/Sup_tab1/links/of-new\of-new-5-64-64-asb-156.txt","Contig-156")</f>
        <v>Contig-156</v>
      </c>
      <c r="C230" t="str">
        <f>HYPERLINK("http://exon.niaid.nih.gov/transcriptome/O_fasciatus/Sup_tab1/links/of-new\of-new-5-64-64-156-CLU.txt","Contig156")</f>
        <v>Contig156</v>
      </c>
      <c r="D230">
        <v>1</v>
      </c>
      <c r="E230">
        <v>533</v>
      </c>
      <c r="F230" t="str">
        <f>HYPERLINK("http://exon.niaid.nih.gov/transcriptome/O_fasciatus/Sup_tab1/links/of-new\of-new-5-64-64-156-qual.txt","35.1")</f>
        <v>35.1</v>
      </c>
      <c r="G230" t="s">
        <v>541</v>
      </c>
      <c r="H230">
        <v>68.7</v>
      </c>
      <c r="I230" t="s">
        <v>547</v>
      </c>
      <c r="J230">
        <v>156</v>
      </c>
      <c r="K230" t="s">
        <v>1234</v>
      </c>
      <c r="L230" t="s">
        <v>547</v>
      </c>
      <c r="N230" s="2" t="s">
        <v>547</v>
      </c>
      <c r="O230" t="s">
        <v>547</v>
      </c>
      <c r="P230" t="s">
        <v>547</v>
      </c>
      <c r="Q230" t="s">
        <v>547</v>
      </c>
      <c r="R230" t="s">
        <v>547</v>
      </c>
      <c r="S230" t="s">
        <v>547</v>
      </c>
      <c r="T230" t="s">
        <v>547</v>
      </c>
      <c r="U230" t="s">
        <v>547</v>
      </c>
      <c r="V230" t="s">
        <v>547</v>
      </c>
      <c r="W230" t="s">
        <v>547</v>
      </c>
      <c r="X230" t="s">
        <v>547</v>
      </c>
      <c r="Y230" t="s">
        <v>547</v>
      </c>
      <c r="Z230" s="4" t="s">
        <v>1025</v>
      </c>
      <c r="AA230" t="s">
        <v>1015</v>
      </c>
      <c r="AB230" s="3" t="s">
        <v>547</v>
      </c>
      <c r="AC230" s="2" t="s">
        <v>547</v>
      </c>
      <c r="AD230" s="4" t="s">
        <v>547</v>
      </c>
      <c r="AE230" t="s">
        <v>547</v>
      </c>
      <c r="AF230" t="s">
        <v>547</v>
      </c>
      <c r="AG230" s="4" t="s">
        <v>547</v>
      </c>
      <c r="AH230" t="s">
        <v>547</v>
      </c>
      <c r="AI230" t="s">
        <v>547</v>
      </c>
      <c r="AJ230" s="4" t="s">
        <v>547</v>
      </c>
      <c r="AK230" t="s">
        <v>547</v>
      </c>
      <c r="AL230" t="s">
        <v>547</v>
      </c>
      <c r="AM230" s="3" t="str">
        <f>HYPERLINK("http://exon.niaid.nih.gov/transcriptome/O_fasciatus/Sup_tab1/links/KOG\of-new-contig_156-KOG.txt","Uncharacterized conserved protein")</f>
        <v>Uncharacterized conserved protein</v>
      </c>
      <c r="AN230" s="2" t="str">
        <f>HYPERLINK("http://www.ncbi.nlm.nih.gov/COG/new/shokog.cgi?KOG3131","0.32")</f>
        <v>0.32</v>
      </c>
      <c r="AO230" t="s">
        <v>881</v>
      </c>
      <c r="AP230" s="3" t="str">
        <f>HYPERLINK("http://exon.niaid.nih.gov/transcriptome/O_fasciatus/Sup_tab1/links/CDD\of-new-contig_156-CDD.txt","BCCT")</f>
        <v>BCCT</v>
      </c>
      <c r="AQ230" s="2" t="str">
        <f>HYPERLINK("http://www.ncbi.nlm.nih.gov/Structure/cdd/cddsrv.cgi?uid=pfam02028&amp;version=v4.0","0.65")</f>
        <v>0.65</v>
      </c>
      <c r="AR230" t="s">
        <v>459</v>
      </c>
      <c r="AS230" s="3" t="str">
        <f>HYPERLINK("http://exon.niaid.nih.gov/transcriptome/O_fasciatus/Sup_tab1/links/PFAM\of-new-contig_156-PFAM.txt","BCCT")</f>
        <v>BCCT</v>
      </c>
      <c r="AT230" s="2" t="str">
        <f>HYPERLINK("http://pfam.wustl.edu/cgi-bin/getdesc?acc=PF02028","0.33")</f>
        <v>0.33</v>
      </c>
      <c r="AU230" s="3" t="str">
        <f>HYPERLINK("http://exon.niaid.nih.gov/transcriptome/O_fasciatus/Sup_tab1/links/SMART\of-new-contig_156-SMART.txt","TOP2c")</f>
        <v>TOP2c</v>
      </c>
      <c r="AV230" s="2" t="str">
        <f>HYPERLINK("http://smart.embl-heidelberg.de/smart/do_annotation.pl?DOMAIN=TOP2c&amp;BLAST=DUMMY","0.78")</f>
        <v>0.78</v>
      </c>
      <c r="AW230" s="3" t="s">
        <v>547</v>
      </c>
      <c r="AX230" s="2" t="s">
        <v>547</v>
      </c>
      <c r="AY230" s="3" t="s">
        <v>547</v>
      </c>
      <c r="AZ230" s="2" t="s">
        <v>547</v>
      </c>
    </row>
    <row r="231" spans="1:52" ht="11.25">
      <c r="A231" t="str">
        <f>HYPERLINK("http://exon.niaid.nih.gov/transcriptome/O_fasciatus/Sup_tab1/links/of-new\of-new-contig_169.txt","of-new-contig_169")</f>
        <v>of-new-contig_169</v>
      </c>
      <c r="B231" t="str">
        <f>HYPERLINK("http://exon.niaid.nih.gov/transcriptome/O_fasciatus/Sup_tab1/links/of-new\of-new-5-64-64-asb-169.txt","Contig-169")</f>
        <v>Contig-169</v>
      </c>
      <c r="C231" t="str">
        <f>HYPERLINK("http://exon.niaid.nih.gov/transcriptome/O_fasciatus/Sup_tab1/links/of-new\of-new-5-64-64-169-CLU.txt","Contig169")</f>
        <v>Contig169</v>
      </c>
      <c r="D231">
        <v>1</v>
      </c>
      <c r="E231">
        <v>514</v>
      </c>
      <c r="F231" t="str">
        <f>HYPERLINK("http://exon.niaid.nih.gov/transcriptome/O_fasciatus/Sup_tab1/links/of-new\of-new-5-64-64-169-qual.txt","41.3")</f>
        <v>41.3</v>
      </c>
      <c r="G231" t="s">
        <v>541</v>
      </c>
      <c r="H231">
        <v>70.6</v>
      </c>
      <c r="I231">
        <v>495</v>
      </c>
      <c r="J231">
        <v>169</v>
      </c>
      <c r="K231" t="s">
        <v>1247</v>
      </c>
      <c r="L231">
        <v>495</v>
      </c>
      <c r="M231" s="3" t="str">
        <f>HYPERLINK("http://exon.niaid.nih.gov/transcriptome/O_fasciatus/Sup_tab1/links/NR\of-new-contig_169-NR.txt","hypothetical protein, conserved")</f>
        <v>hypothetical protein, conserved</v>
      </c>
      <c r="N231" s="2" t="str">
        <f>HYPERLINK("http://www.ncbi.nlm.nih.gov/sutils/blink.cgi?pid=109238416","0.37")</f>
        <v>0.37</v>
      </c>
      <c r="O231" t="s">
        <v>139</v>
      </c>
      <c r="P231">
        <v>58</v>
      </c>
      <c r="Q231">
        <v>1486</v>
      </c>
      <c r="R231">
        <v>36</v>
      </c>
      <c r="S231">
        <v>4</v>
      </c>
      <c r="T231">
        <v>473</v>
      </c>
      <c r="U231">
        <v>192</v>
      </c>
      <c r="V231">
        <v>5</v>
      </c>
      <c r="W231" t="s">
        <v>1412</v>
      </c>
      <c r="X231" t="s">
        <v>140</v>
      </c>
      <c r="Y231" t="s">
        <v>141</v>
      </c>
      <c r="Z231" s="4" t="s">
        <v>1025</v>
      </c>
      <c r="AA231" t="s">
        <v>1015</v>
      </c>
      <c r="AB231" s="3" t="s">
        <v>547</v>
      </c>
      <c r="AC231" s="2" t="s">
        <v>547</v>
      </c>
      <c r="AD231" s="4" t="s">
        <v>547</v>
      </c>
      <c r="AE231" t="s">
        <v>547</v>
      </c>
      <c r="AF231" t="s">
        <v>547</v>
      </c>
      <c r="AG231" s="4" t="s">
        <v>547</v>
      </c>
      <c r="AH231" t="s">
        <v>547</v>
      </c>
      <c r="AI231" t="s">
        <v>547</v>
      </c>
      <c r="AJ231" s="4" t="s">
        <v>547</v>
      </c>
      <c r="AK231" t="s">
        <v>547</v>
      </c>
      <c r="AL231" t="s">
        <v>547</v>
      </c>
      <c r="AM231" s="3" t="str">
        <f>HYPERLINK("http://exon.niaid.nih.gov/transcriptome/O_fasciatus/Sup_tab1/links/KOG\of-new-contig_169-KOG.txt","Prenylated rab acceptor 1")</f>
        <v>Prenylated rab acceptor 1</v>
      </c>
      <c r="AN231" s="2" t="str">
        <f>HYPERLINK("http://www.ncbi.nlm.nih.gov/COG/new/shokog.cgi?KOG3142","0.046")</f>
        <v>0.046</v>
      </c>
      <c r="AO231" t="s">
        <v>300</v>
      </c>
      <c r="AP231" s="3" t="str">
        <f>HYPERLINK("http://exon.niaid.nih.gov/transcriptome/O_fasciatus/Sup_tab1/links/CDD\of-new-contig_169-CDD.txt","DIE2_ALG10")</f>
        <v>DIE2_ALG10</v>
      </c>
      <c r="AQ231" s="2" t="str">
        <f>HYPERLINK("http://www.ncbi.nlm.nih.gov/Structure/cdd/cddsrv.cgi?uid=pfam04922&amp;version=v4.0","0.037")</f>
        <v>0.037</v>
      </c>
      <c r="AR231" t="s">
        <v>142</v>
      </c>
      <c r="AS231" s="3" t="str">
        <f>HYPERLINK("http://exon.niaid.nih.gov/transcriptome/O_fasciatus/Sup_tab1/links/PFAM\of-new-contig_169-PFAM.txt","DIE2_ALG10")</f>
        <v>DIE2_ALG10</v>
      </c>
      <c r="AT231" s="2" t="str">
        <f>HYPERLINK("http://pfam.wustl.edu/cgi-bin/getdesc?acc=PF04922","0.019")</f>
        <v>0.019</v>
      </c>
      <c r="AU231" s="3" t="str">
        <f>HYPERLINK("http://exon.niaid.nih.gov/transcriptome/O_fasciatus/Sup_tab1/links/SMART\of-new-contig_169-SMART.txt","PSN")</f>
        <v>PSN</v>
      </c>
      <c r="AV231" s="2" t="str">
        <f>HYPERLINK("http://smart.embl-heidelberg.de/smart/do_annotation.pl?DOMAIN=PSN&amp;BLAST=DUMMY","0.26")</f>
        <v>0.26</v>
      </c>
      <c r="AW231" s="3" t="s">
        <v>547</v>
      </c>
      <c r="AX231" s="2" t="s">
        <v>547</v>
      </c>
      <c r="AY231" s="3" t="s">
        <v>547</v>
      </c>
      <c r="AZ231" s="2" t="s">
        <v>547</v>
      </c>
    </row>
    <row r="232" spans="1:52" ht="11.25">
      <c r="A232" t="str">
        <f>HYPERLINK("http://exon.niaid.nih.gov/transcriptome/O_fasciatus/Sup_tab1/links/of-new\of-new-contig_197.txt","of-new-contig_197")</f>
        <v>of-new-contig_197</v>
      </c>
      <c r="B232" t="str">
        <f>HYPERLINK("http://exon.niaid.nih.gov/transcriptome/O_fasciatus/Sup_tab1/links/of-new\of-new-5-64-64-asb-197.txt","Contig-197")</f>
        <v>Contig-197</v>
      </c>
      <c r="C232" t="str">
        <f>HYPERLINK("http://exon.niaid.nih.gov/transcriptome/O_fasciatus/Sup_tab1/links/of-new\of-new-5-64-64-197-CLU.txt","Contig197")</f>
        <v>Contig197</v>
      </c>
      <c r="D232">
        <v>1</v>
      </c>
      <c r="E232">
        <v>511</v>
      </c>
      <c r="F232" t="str">
        <f>HYPERLINK("http://exon.niaid.nih.gov/transcriptome/O_fasciatus/Sup_tab1/links/of-new\of-new-5-64-64-197-qual.txt","60.6")</f>
        <v>60.6</v>
      </c>
      <c r="G232">
        <v>0.2</v>
      </c>
      <c r="H232">
        <v>70.5</v>
      </c>
      <c r="I232">
        <v>492</v>
      </c>
      <c r="J232">
        <v>197</v>
      </c>
      <c r="K232" t="s">
        <v>1275</v>
      </c>
      <c r="L232">
        <v>492</v>
      </c>
      <c r="M232" s="3" t="str">
        <f>HYPERLINK("http://exon.niaid.nih.gov/transcriptome/O_fasciatus/Sup_tab1/links/NR\of-new-contig_197-NR.txt","PUTATIVE TRANSPORTER TRANSMEMBRANE PROTEIN [Ralstonia solanacearum GMI1000]")</f>
        <v>PUTATIVE TRANSPORTER TRANSMEMBRANE PROTEIN [Ralstonia solanacearum GMI1000]</v>
      </c>
      <c r="N232" s="2" t="str">
        <f>HYPERLINK("http://www.ncbi.nlm.nih.gov/sutils/blink.cgi?pid=17549615","5.3")</f>
        <v>5.3</v>
      </c>
      <c r="O232" t="s">
        <v>353</v>
      </c>
      <c r="P232">
        <v>28</v>
      </c>
      <c r="Q232">
        <v>441</v>
      </c>
      <c r="R232">
        <v>39</v>
      </c>
      <c r="S232">
        <v>6</v>
      </c>
      <c r="T232">
        <v>402</v>
      </c>
      <c r="U232">
        <v>50</v>
      </c>
      <c r="V232">
        <v>1</v>
      </c>
      <c r="W232" t="s">
        <v>1412</v>
      </c>
      <c r="X232" t="s">
        <v>354</v>
      </c>
      <c r="Y232" t="s">
        <v>714</v>
      </c>
      <c r="Z232" s="4" t="s">
        <v>1025</v>
      </c>
      <c r="AA232" t="s">
        <v>1015</v>
      </c>
      <c r="AB232" s="3" t="s">
        <v>547</v>
      </c>
      <c r="AC232" s="2" t="s">
        <v>547</v>
      </c>
      <c r="AD232" s="4" t="s">
        <v>547</v>
      </c>
      <c r="AE232" t="s">
        <v>547</v>
      </c>
      <c r="AF232" t="s">
        <v>547</v>
      </c>
      <c r="AG232" s="4" t="s">
        <v>547</v>
      </c>
      <c r="AH232" t="s">
        <v>547</v>
      </c>
      <c r="AI232" t="s">
        <v>547</v>
      </c>
      <c r="AJ232" s="4" t="s">
        <v>547</v>
      </c>
      <c r="AK232" t="s">
        <v>547</v>
      </c>
      <c r="AL232" t="s">
        <v>547</v>
      </c>
      <c r="AM232" s="3" t="s">
        <v>547</v>
      </c>
      <c r="AN232" s="2" t="s">
        <v>547</v>
      </c>
      <c r="AO232" t="s">
        <v>547</v>
      </c>
      <c r="AP232" s="3" t="str">
        <f>HYPERLINK("http://exon.niaid.nih.gov/transcriptome/O_fasciatus/Sup_tab1/links/CDD\of-new-contig_197-CDD.txt","SecY")</f>
        <v>SecY</v>
      </c>
      <c r="AQ232" s="2" t="str">
        <f>HYPERLINK("http://www.ncbi.nlm.nih.gov/Structure/cdd/cddsrv.cgi?uid=pfam00344&amp;version=v4.0","0.90")</f>
        <v>0.90</v>
      </c>
      <c r="AR232" t="s">
        <v>715</v>
      </c>
      <c r="AS232" s="3" t="str">
        <f>HYPERLINK("http://exon.niaid.nih.gov/transcriptome/O_fasciatus/Sup_tab1/links/PFAM\of-new-contig_197-PFAM.txt","Sre")</f>
        <v>Sre</v>
      </c>
      <c r="AT232" s="2" t="str">
        <f>HYPERLINK("http://pfam.wustl.edu/cgi-bin/getdesc?acc=PF03125","0.038")</f>
        <v>0.038</v>
      </c>
      <c r="AU232" s="3" t="str">
        <f>HYPERLINK("http://exon.niaid.nih.gov/transcriptome/O_fasciatus/Sup_tab1/links/SMART\of-new-contig_197-SMART.txt","Glyco_32")</f>
        <v>Glyco_32</v>
      </c>
      <c r="AV232" s="2" t="str">
        <f>HYPERLINK("http://smart.embl-heidelberg.de/smart/do_annotation.pl?DOMAIN=Glyco_32&amp;BLAST=DUMMY","0.085")</f>
        <v>0.085</v>
      </c>
      <c r="AW232" s="3" t="s">
        <v>547</v>
      </c>
      <c r="AX232" s="2" t="s">
        <v>547</v>
      </c>
      <c r="AY232" s="3" t="s">
        <v>547</v>
      </c>
      <c r="AZ232" s="2" t="s">
        <v>547</v>
      </c>
    </row>
    <row r="233" spans="1:52" ht="11.25">
      <c r="A233" t="str">
        <f>HYPERLINK("http://exon.niaid.nih.gov/transcriptome/O_fasciatus/Sup_tab1/links/of-new\of-new-contig_234.txt","of-new-contig_234")</f>
        <v>of-new-contig_234</v>
      </c>
      <c r="B233" t="str">
        <f>HYPERLINK("http://exon.niaid.nih.gov/transcriptome/O_fasciatus/Sup_tab1/links/of-new\of-new-5-64-64-asb-234.txt","Contig-234")</f>
        <v>Contig-234</v>
      </c>
      <c r="C233" t="str">
        <f>HYPERLINK("http://exon.niaid.nih.gov/transcriptome/O_fasciatus/Sup_tab1/links/of-new\of-new-5-64-64-234-CLU.txt","Contig234")</f>
        <v>Contig234</v>
      </c>
      <c r="D233">
        <v>1</v>
      </c>
      <c r="E233">
        <v>463</v>
      </c>
      <c r="F233" t="str">
        <f>HYPERLINK("http://exon.niaid.nih.gov/transcriptome/O_fasciatus/Sup_tab1/links/of-new\of-new-5-64-64-234-qual.txt","44.7")</f>
        <v>44.7</v>
      </c>
      <c r="G233" t="s">
        <v>541</v>
      </c>
      <c r="H233">
        <v>67.2</v>
      </c>
      <c r="I233">
        <v>444</v>
      </c>
      <c r="J233">
        <v>234</v>
      </c>
      <c r="K233" t="s">
        <v>1312</v>
      </c>
      <c r="L233">
        <v>444</v>
      </c>
      <c r="M233" s="3" t="str">
        <f>HYPERLINK("http://exon.niaid.nih.gov/transcriptome/O_fasciatus/Sup_tab1/links/NR\of-new-contig_234-NR.txt","orf265_2")</f>
        <v>orf265_2</v>
      </c>
      <c r="N233" s="2" t="str">
        <f>HYPERLINK("http://www.ncbi.nlm.nih.gov/sutils/blink.cgi?pid=8928584","0.64")</f>
        <v>0.64</v>
      </c>
      <c r="O233" t="s">
        <v>257</v>
      </c>
      <c r="P233">
        <v>70</v>
      </c>
      <c r="Q233">
        <v>265</v>
      </c>
      <c r="R233">
        <v>37</v>
      </c>
      <c r="S233">
        <v>26</v>
      </c>
      <c r="T233">
        <v>158</v>
      </c>
      <c r="U233">
        <v>198</v>
      </c>
      <c r="V233">
        <v>1</v>
      </c>
      <c r="W233" t="s">
        <v>1412</v>
      </c>
      <c r="X233" t="s">
        <v>258</v>
      </c>
      <c r="Y233" t="s">
        <v>259</v>
      </c>
      <c r="Z233" s="4" t="s">
        <v>1025</v>
      </c>
      <c r="AA233" t="s">
        <v>1015</v>
      </c>
      <c r="AB233" s="3" t="s">
        <v>547</v>
      </c>
      <c r="AC233" s="2" t="s">
        <v>547</v>
      </c>
      <c r="AD233" s="4" t="s">
        <v>547</v>
      </c>
      <c r="AE233" t="s">
        <v>547</v>
      </c>
      <c r="AF233" t="s">
        <v>547</v>
      </c>
      <c r="AG233" s="4" t="s">
        <v>547</v>
      </c>
      <c r="AH233" t="s">
        <v>547</v>
      </c>
      <c r="AI233" t="s">
        <v>547</v>
      </c>
      <c r="AJ233" s="4" t="s">
        <v>547</v>
      </c>
      <c r="AK233" t="s">
        <v>547</v>
      </c>
      <c r="AL233" t="s">
        <v>547</v>
      </c>
      <c r="AM233" s="3" t="str">
        <f>HYPERLINK("http://exon.niaid.nih.gov/transcriptome/O_fasciatus/Sup_tab1/links/KOG\of-new-contig_234-KOG.txt","P-type ATPase")</f>
        <v>P-type ATPase</v>
      </c>
      <c r="AN233" s="2" t="str">
        <f>HYPERLINK("http://www.ncbi.nlm.nih.gov/COG/new/shokog.cgi?KOG0206","0.34")</f>
        <v>0.34</v>
      </c>
      <c r="AO233" t="s">
        <v>1503</v>
      </c>
      <c r="AP233" s="3" t="str">
        <f>HYPERLINK("http://exon.niaid.nih.gov/transcriptome/O_fasciatus/Sup_tab1/links/CDD\of-new-contig_234-CDD.txt","PulO")</f>
        <v>PulO</v>
      </c>
      <c r="AQ233" s="2" t="str">
        <f>HYPERLINK("http://www.ncbi.nlm.nih.gov/Structure/cdd/cddsrv.cgi?uid=COG1989&amp;version=v4.0","0.033")</f>
        <v>0.033</v>
      </c>
      <c r="AR233" t="s">
        <v>260</v>
      </c>
      <c r="AS233" s="3" t="str">
        <f>HYPERLINK("http://exon.niaid.nih.gov/transcriptome/O_fasciatus/Sup_tab1/links/PFAM\of-new-contig_234-PFAM.txt","YMF19")</f>
        <v>YMF19</v>
      </c>
      <c r="AT233" s="2" t="str">
        <f>HYPERLINK("http://pfam.wustl.edu/cgi-bin/getdesc?acc=PF02326","0.047")</f>
        <v>0.047</v>
      </c>
      <c r="AU233" s="3" t="str">
        <f>HYPERLINK("http://exon.niaid.nih.gov/transcriptome/O_fasciatus/Sup_tab1/links/SMART\of-new-contig_234-SMART.txt","GIYc")</f>
        <v>GIYc</v>
      </c>
      <c r="AV233" s="2" t="str">
        <f>HYPERLINK("http://smart.embl-heidelberg.de/smart/do_annotation.pl?DOMAIN=GIYc&amp;BLAST=DUMMY","0.50")</f>
        <v>0.50</v>
      </c>
      <c r="AW233" s="3" t="s">
        <v>547</v>
      </c>
      <c r="AX233" s="2" t="s">
        <v>547</v>
      </c>
      <c r="AY233" s="3" t="s">
        <v>547</v>
      </c>
      <c r="AZ233" s="2" t="s">
        <v>547</v>
      </c>
    </row>
    <row r="234" spans="1:52" ht="11.25">
      <c r="A234" t="str">
        <f>HYPERLINK("http://exon.niaid.nih.gov/transcriptome/O_fasciatus/Sup_tab1/links/of-new\of-new-contig_209.txt","of-new-contig_209")</f>
        <v>of-new-contig_209</v>
      </c>
      <c r="B234" t="str">
        <f>HYPERLINK("http://exon.niaid.nih.gov/transcriptome/O_fasciatus/Sup_tab1/links/of-new\of-new-5-64-64-asb-209.txt","Contig-209")</f>
        <v>Contig-209</v>
      </c>
      <c r="C234" t="str">
        <f>HYPERLINK("http://exon.niaid.nih.gov/transcriptome/O_fasciatus/Sup_tab1/links/of-new\of-new-5-64-64-209-CLU.txt","Contig209")</f>
        <v>Contig209</v>
      </c>
      <c r="D234">
        <v>1</v>
      </c>
      <c r="E234">
        <v>446</v>
      </c>
      <c r="F234" t="str">
        <f>HYPERLINK("http://exon.niaid.nih.gov/transcriptome/O_fasciatus/Sup_tab1/links/of-new\of-new-5-64-64-209-qual.txt","63.6")</f>
        <v>63.6</v>
      </c>
      <c r="G234" t="s">
        <v>541</v>
      </c>
      <c r="H234">
        <v>76.5</v>
      </c>
      <c r="I234">
        <v>427</v>
      </c>
      <c r="J234">
        <v>209</v>
      </c>
      <c r="K234" t="s">
        <v>1287</v>
      </c>
      <c r="L234">
        <v>427</v>
      </c>
      <c r="M234" s="3" t="str">
        <f>HYPERLINK("http://exon.niaid.nih.gov/transcriptome/O_fasciatus/Sup_tab1/links/NR\of-new-contig_209-NR.txt","Polymorphic Outer Membrane Protein G Family [Chlamydophila pneumoniae CWL029]")</f>
        <v>Polymorphic Outer Membrane Protein G Family [Chlamydophila pneumoniae CWL029]</v>
      </c>
      <c r="N234" s="2" t="str">
        <f>HYPERLINK("http://www.ncbi.nlm.nih.gov/sutils/blink.cgi?pid=15618360","5.5")</f>
        <v>5.5</v>
      </c>
      <c r="O234" t="s">
        <v>750</v>
      </c>
      <c r="P234">
        <v>49</v>
      </c>
      <c r="Q234">
        <v>936</v>
      </c>
      <c r="R234">
        <v>40</v>
      </c>
      <c r="S234">
        <v>5</v>
      </c>
      <c r="T234">
        <v>270</v>
      </c>
      <c r="U234">
        <v>267</v>
      </c>
      <c r="V234">
        <v>1</v>
      </c>
      <c r="W234" t="s">
        <v>1412</v>
      </c>
      <c r="X234" t="s">
        <v>751</v>
      </c>
      <c r="Y234" t="s">
        <v>752</v>
      </c>
      <c r="Z234" s="4" t="s">
        <v>1025</v>
      </c>
      <c r="AA234" t="s">
        <v>1015</v>
      </c>
      <c r="AB234" s="3" t="s">
        <v>547</v>
      </c>
      <c r="AC234" s="2" t="s">
        <v>547</v>
      </c>
      <c r="AD234" s="4" t="s">
        <v>547</v>
      </c>
      <c r="AE234" t="s">
        <v>547</v>
      </c>
      <c r="AF234" t="s">
        <v>547</v>
      </c>
      <c r="AG234" s="4" t="s">
        <v>547</v>
      </c>
      <c r="AH234" t="s">
        <v>547</v>
      </c>
      <c r="AI234" t="s">
        <v>547</v>
      </c>
      <c r="AJ234" s="4" t="s">
        <v>547</v>
      </c>
      <c r="AK234" t="s">
        <v>547</v>
      </c>
      <c r="AL234" t="s">
        <v>547</v>
      </c>
      <c r="AM234" s="3" t="s">
        <v>547</v>
      </c>
      <c r="AN234" s="2" t="s">
        <v>547</v>
      </c>
      <c r="AO234" t="s">
        <v>547</v>
      </c>
      <c r="AP234" s="3" t="str">
        <f>HYPERLINK("http://exon.niaid.nih.gov/transcriptome/O_fasciatus/Sup_tab1/links/CDD\of-new-contig_209-CDD.txt","PstC")</f>
        <v>PstC</v>
      </c>
      <c r="AQ234" s="2" t="str">
        <f>HYPERLINK("http://www.ncbi.nlm.nih.gov/Structure/cdd/cddsrv.cgi?uid=COG0573&amp;version=v4.0","0.14")</f>
        <v>0.14</v>
      </c>
      <c r="AR234" t="s">
        <v>753</v>
      </c>
      <c r="AS234" s="3" t="str">
        <f>HYPERLINK("http://exon.niaid.nih.gov/transcriptome/O_fasciatus/Sup_tab1/links/PFAM\of-new-contig_209-PFAM.txt","GPI2")</f>
        <v>GPI2</v>
      </c>
      <c r="AT234" s="2" t="str">
        <f>HYPERLINK("http://pfam.wustl.edu/cgi-bin/getdesc?acc=PF06432","0.57")</f>
        <v>0.57</v>
      </c>
      <c r="AU234" s="3" t="str">
        <f>HYPERLINK("http://exon.niaid.nih.gov/transcriptome/O_fasciatus/Sup_tab1/links/SMART\of-new-contig_209-SMART.txt","PSN")</f>
        <v>PSN</v>
      </c>
      <c r="AV234" s="2" t="str">
        <f>HYPERLINK("http://smart.embl-heidelberg.de/smart/do_annotation.pl?DOMAIN=PSN&amp;BLAST=DUMMY","0.13")</f>
        <v>0.13</v>
      </c>
      <c r="AW234" s="3" t="s">
        <v>547</v>
      </c>
      <c r="AX234" s="2" t="s">
        <v>547</v>
      </c>
      <c r="AY234" s="3" t="s">
        <v>547</v>
      </c>
      <c r="AZ234" s="2" t="s">
        <v>547</v>
      </c>
    </row>
    <row r="235" spans="1:52" ht="11.25">
      <c r="A235" t="str">
        <f>HYPERLINK("http://exon.niaid.nih.gov/transcriptome/O_fasciatus/Sup_tab1/links/of-new\of-new-contig_217.txt","of-new-contig_217")</f>
        <v>of-new-contig_217</v>
      </c>
      <c r="B235" t="str">
        <f>HYPERLINK("http://exon.niaid.nih.gov/transcriptome/O_fasciatus/Sup_tab1/links/of-new\of-new-5-64-64-asb-217.txt","Contig-217")</f>
        <v>Contig-217</v>
      </c>
      <c r="C235" t="str">
        <f>HYPERLINK("http://exon.niaid.nih.gov/transcriptome/O_fasciatus/Sup_tab1/links/of-new\of-new-5-64-64-217-CLU.txt","Contig217")</f>
        <v>Contig217</v>
      </c>
      <c r="D235">
        <v>1</v>
      </c>
      <c r="E235">
        <v>437</v>
      </c>
      <c r="F235" t="str">
        <f>HYPERLINK("http://exon.niaid.nih.gov/transcriptome/O_fasciatus/Sup_tab1/links/of-new\of-new-5-64-64-217-qual.txt","63.4")</f>
        <v>63.4</v>
      </c>
      <c r="G235" t="s">
        <v>541</v>
      </c>
      <c r="H235">
        <v>75.7</v>
      </c>
      <c r="I235">
        <v>418</v>
      </c>
      <c r="J235">
        <v>217</v>
      </c>
      <c r="K235" t="s">
        <v>1295</v>
      </c>
      <c r="L235">
        <v>418</v>
      </c>
      <c r="M235" s="3" t="str">
        <f>HYPERLINK("http://exon.niaid.nih.gov/transcriptome/O_fasciatus/Sup_tab1/links/NR\of-new-contig_217-NR.txt","PREDICTED: similar to MARVEL domain containing 3")</f>
        <v>PREDICTED: similar to MARVEL domain containing 3</v>
      </c>
      <c r="N235" s="2" t="str">
        <f>HYPERLINK("http://www.ncbi.nlm.nih.gov/sutils/blink.cgi?pid=114663527","1.9")</f>
        <v>1.9</v>
      </c>
      <c r="O235" t="s">
        <v>773</v>
      </c>
      <c r="P235">
        <v>57</v>
      </c>
      <c r="Q235">
        <v>392</v>
      </c>
      <c r="R235">
        <v>33</v>
      </c>
      <c r="S235">
        <v>15</v>
      </c>
      <c r="T235">
        <v>157</v>
      </c>
      <c r="U235">
        <v>31</v>
      </c>
      <c r="V235">
        <v>1</v>
      </c>
      <c r="W235" t="s">
        <v>1412</v>
      </c>
      <c r="X235" t="s">
        <v>774</v>
      </c>
      <c r="Y235" t="s">
        <v>775</v>
      </c>
      <c r="Z235" s="4" t="s">
        <v>1025</v>
      </c>
      <c r="AA235" t="s">
        <v>1015</v>
      </c>
      <c r="AB235" s="3" t="s">
        <v>547</v>
      </c>
      <c r="AC235" s="2" t="s">
        <v>547</v>
      </c>
      <c r="AD235" s="4" t="s">
        <v>547</v>
      </c>
      <c r="AE235" t="s">
        <v>547</v>
      </c>
      <c r="AF235" t="s">
        <v>547</v>
      </c>
      <c r="AG235" s="4" t="s">
        <v>547</v>
      </c>
      <c r="AH235" t="s">
        <v>547</v>
      </c>
      <c r="AI235" t="s">
        <v>547</v>
      </c>
      <c r="AJ235" s="4" t="s">
        <v>547</v>
      </c>
      <c r="AK235" t="s">
        <v>547</v>
      </c>
      <c r="AL235" t="s">
        <v>547</v>
      </c>
      <c r="AM235" s="3" t="str">
        <f>HYPERLINK("http://exon.niaid.nih.gov/transcriptome/O_fasciatus/Sup_tab1/links/KOG\of-new-contig_217-KOG.txt","Predicted steroid reductase")</f>
        <v>Predicted steroid reductase</v>
      </c>
      <c r="AN235" s="2" t="str">
        <f>HYPERLINK("http://www.ncbi.nlm.nih.gov/COG/new/shokog.cgi?KOG4650","0.21")</f>
        <v>0.21</v>
      </c>
      <c r="AO235" t="s">
        <v>1503</v>
      </c>
      <c r="AP235" s="3" t="str">
        <f>HYPERLINK("http://exon.niaid.nih.gov/transcriptome/O_fasciatus/Sup_tab1/links/CDD\of-new-contig_217-CDD.txt","COG3274")</f>
        <v>COG3274</v>
      </c>
      <c r="AQ235" s="2" t="str">
        <f>HYPERLINK("http://www.ncbi.nlm.nih.gov/Structure/cdd/cddsrv.cgi?uid=COG3274&amp;version=v4.0","0.11")</f>
        <v>0.11</v>
      </c>
      <c r="AR235" t="s">
        <v>776</v>
      </c>
      <c r="AS235" s="3" t="str">
        <f>HYPERLINK("http://exon.niaid.nih.gov/transcriptome/O_fasciatus/Sup_tab1/links/PFAM\of-new-contig_217-PFAM.txt","CD47")</f>
        <v>CD47</v>
      </c>
      <c r="AT235" s="2" t="str">
        <f>HYPERLINK("http://pfam.wustl.edu/cgi-bin/getdesc?acc=PF04549","0.14")</f>
        <v>0.14</v>
      </c>
      <c r="AU235" s="3" t="str">
        <f>HYPERLINK("http://exon.niaid.nih.gov/transcriptome/O_fasciatus/Sup_tab1/links/SMART\of-new-contig_217-SMART.txt","BROMO")</f>
        <v>BROMO</v>
      </c>
      <c r="AV235" s="2" t="str">
        <f>HYPERLINK("http://smart.embl-heidelberg.de/smart/do_annotation.pl?DOMAIN=BROMO&amp;BLAST=DUMMY","0.36")</f>
        <v>0.36</v>
      </c>
      <c r="AW235" s="3" t="s">
        <v>547</v>
      </c>
      <c r="AX235" s="2" t="s">
        <v>547</v>
      </c>
      <c r="AY235" s="3" t="s">
        <v>547</v>
      </c>
      <c r="AZ235" s="2" t="s">
        <v>547</v>
      </c>
    </row>
    <row r="236" spans="1:52" ht="11.25">
      <c r="A236" t="str">
        <f>HYPERLINK("http://exon.niaid.nih.gov/transcriptome/O_fasciatus/Sup_tab1/links/of-new\of-new-contig_159.txt","of-new-contig_159")</f>
        <v>of-new-contig_159</v>
      </c>
      <c r="B236" t="str">
        <f>HYPERLINK("http://exon.niaid.nih.gov/transcriptome/O_fasciatus/Sup_tab1/links/of-new\of-new-5-64-64-asb-159.txt","Contig-159")</f>
        <v>Contig-159</v>
      </c>
      <c r="C236" t="str">
        <f>HYPERLINK("http://exon.niaid.nih.gov/transcriptome/O_fasciatus/Sup_tab1/links/of-new\of-new-5-64-64-159-CLU.txt","Contig159")</f>
        <v>Contig159</v>
      </c>
      <c r="D236">
        <v>1</v>
      </c>
      <c r="E236">
        <v>417</v>
      </c>
      <c r="F236" t="str">
        <f>HYPERLINK("http://exon.niaid.nih.gov/transcriptome/O_fasciatus/Sup_tab1/links/of-new\of-new-5-64-64-159-qual.txt","28.")</f>
        <v>28.</v>
      </c>
      <c r="G236" t="s">
        <v>541</v>
      </c>
      <c r="H236">
        <v>71.9</v>
      </c>
      <c r="I236">
        <v>398</v>
      </c>
      <c r="J236">
        <v>159</v>
      </c>
      <c r="K236" t="s">
        <v>1237</v>
      </c>
      <c r="L236">
        <v>398</v>
      </c>
      <c r="M236" s="3" t="str">
        <f>HYPERLINK("http://exon.niaid.nih.gov/transcriptome/O_fasciatus/Sup_tab1/links/NR\of-new-contig_159-NR.txt","polysaccharide biosynthesis protein [Idiomarina baltica OS145]")</f>
        <v>polysaccharide biosynthesis protein [Idiomarina baltica OS145]</v>
      </c>
      <c r="N236" s="2" t="str">
        <f>HYPERLINK("http://www.ncbi.nlm.nih.gov/sutils/blink.cgi?pid=85712143","1.4")</f>
        <v>1.4</v>
      </c>
      <c r="O236" t="s">
        <v>467</v>
      </c>
      <c r="P236">
        <v>64</v>
      </c>
      <c r="Q236">
        <v>432</v>
      </c>
      <c r="R236">
        <v>29</v>
      </c>
      <c r="S236">
        <v>15</v>
      </c>
      <c r="T236">
        <v>352</v>
      </c>
      <c r="U236">
        <v>148</v>
      </c>
      <c r="V236">
        <v>1</v>
      </c>
      <c r="W236" t="s">
        <v>1412</v>
      </c>
      <c r="X236" t="s">
        <v>468</v>
      </c>
      <c r="Y236" t="s">
        <v>469</v>
      </c>
      <c r="Z236" s="4" t="s">
        <v>1025</v>
      </c>
      <c r="AA236" t="s">
        <v>1015</v>
      </c>
      <c r="AB236" s="3" t="s">
        <v>547</v>
      </c>
      <c r="AC236" s="2" t="s">
        <v>547</v>
      </c>
      <c r="AD236" s="4" t="s">
        <v>547</v>
      </c>
      <c r="AE236" t="s">
        <v>547</v>
      </c>
      <c r="AF236" t="s">
        <v>547</v>
      </c>
      <c r="AG236" s="4" t="s">
        <v>547</v>
      </c>
      <c r="AH236" t="s">
        <v>547</v>
      </c>
      <c r="AI236" t="s">
        <v>547</v>
      </c>
      <c r="AJ236" s="4" t="s">
        <v>547</v>
      </c>
      <c r="AK236" t="s">
        <v>547</v>
      </c>
      <c r="AL236" t="s">
        <v>547</v>
      </c>
      <c r="AM236" s="3" t="str">
        <f>HYPERLINK("http://exon.niaid.nih.gov/transcriptome/O_fasciatus/Sup_tab1/links/KOG\of-new-contig_159-KOG.txt","Uncharacterized conserved protein")</f>
        <v>Uncharacterized conserved protein</v>
      </c>
      <c r="AN236" s="2" t="str">
        <f>HYPERLINK("http://www.ncbi.nlm.nih.gov/COG/new/shokog.cgi?KOG3098","0.19")</f>
        <v>0.19</v>
      </c>
      <c r="AO236" t="s">
        <v>881</v>
      </c>
      <c r="AP236" s="3" t="str">
        <f>HYPERLINK("http://exon.niaid.nih.gov/transcriptome/O_fasciatus/Sup_tab1/links/CDD\of-new-contig_159-CDD.txt","COG3859")</f>
        <v>COG3859</v>
      </c>
      <c r="AQ236" s="2" t="str">
        <f>HYPERLINK("http://www.ncbi.nlm.nih.gov/Structure/cdd/cddsrv.cgi?uid=COG3859&amp;version=v4.0","0.54")</f>
        <v>0.54</v>
      </c>
      <c r="AR236" t="s">
        <v>470</v>
      </c>
      <c r="AS236" s="3" t="str">
        <f>HYPERLINK("http://exon.niaid.nih.gov/transcriptome/O_fasciatus/Sup_tab1/links/PFAM\of-new-contig_159-PFAM.txt","TAS2R")</f>
        <v>TAS2R</v>
      </c>
      <c r="AT236" s="2" t="str">
        <f>HYPERLINK("http://pfam.wustl.edu/cgi-bin/getdesc?acc=PF05296","0.50")</f>
        <v>0.50</v>
      </c>
      <c r="AU236" s="3" t="str">
        <f>HYPERLINK("http://exon.niaid.nih.gov/transcriptome/O_fasciatus/Sup_tab1/links/SMART\of-new-contig_159-SMART.txt","PSN")</f>
        <v>PSN</v>
      </c>
      <c r="AV236" s="2" t="str">
        <f>HYPERLINK("http://smart.embl-heidelberg.de/smart/do_annotation.pl?DOMAIN=PSN&amp;BLAST=DUMMY","0.19")</f>
        <v>0.19</v>
      </c>
      <c r="AW236" s="3" t="s">
        <v>547</v>
      </c>
      <c r="AX236" s="2" t="s">
        <v>547</v>
      </c>
      <c r="AY236" s="3" t="s">
        <v>547</v>
      </c>
      <c r="AZ236" s="2" t="s">
        <v>547</v>
      </c>
    </row>
    <row r="237" spans="1:52" ht="11.25">
      <c r="A237" t="str">
        <f>HYPERLINK("http://exon.niaid.nih.gov/transcriptome/O_fasciatus/Sup_tab1/links/of-new\of-new-contig_204.txt","of-new-contig_204")</f>
        <v>of-new-contig_204</v>
      </c>
      <c r="B237" t="str">
        <f>HYPERLINK("http://exon.niaid.nih.gov/transcriptome/O_fasciatus/Sup_tab1/links/of-new\of-new-5-64-64-asb-204.txt","Contig-204")</f>
        <v>Contig-204</v>
      </c>
      <c r="C237" t="str">
        <f>HYPERLINK("http://exon.niaid.nih.gov/transcriptome/O_fasciatus/Sup_tab1/links/of-new\of-new-5-64-64-204-CLU.txt","Contig204")</f>
        <v>Contig204</v>
      </c>
      <c r="D237">
        <v>1</v>
      </c>
      <c r="E237">
        <v>416</v>
      </c>
      <c r="F237" t="str">
        <f>HYPERLINK("http://exon.niaid.nih.gov/transcriptome/O_fasciatus/Sup_tab1/links/of-new\of-new-5-64-64-204-qual.txt","49.3")</f>
        <v>49.3</v>
      </c>
      <c r="G237" t="s">
        <v>541</v>
      </c>
      <c r="H237">
        <v>70</v>
      </c>
      <c r="I237">
        <v>397</v>
      </c>
      <c r="J237">
        <v>204</v>
      </c>
      <c r="K237" t="s">
        <v>1282</v>
      </c>
      <c r="L237">
        <v>397</v>
      </c>
      <c r="M237" s="3" t="str">
        <f>HYPERLINK("http://exon.niaid.nih.gov/transcriptome/O_fasciatus/Sup_tab1/links/NR\of-new-contig_204-NR.txt","hypothetical chloroplast RF1 [Glycine max]")</f>
        <v>hypothetical chloroplast RF1 [Glycine max]</v>
      </c>
      <c r="N237" s="2" t="str">
        <f>HYPERLINK("http://www.ncbi.nlm.nih.gov/sutils/blink.cgi?pid=91214187","5.4")</f>
        <v>5.4</v>
      </c>
      <c r="O237" t="s">
        <v>733</v>
      </c>
      <c r="P237">
        <v>84</v>
      </c>
      <c r="Q237">
        <v>1792</v>
      </c>
      <c r="R237">
        <v>32</v>
      </c>
      <c r="S237">
        <v>5</v>
      </c>
      <c r="T237">
        <v>1122</v>
      </c>
      <c r="U237">
        <v>106</v>
      </c>
      <c r="V237">
        <v>1</v>
      </c>
      <c r="W237" t="s">
        <v>1412</v>
      </c>
      <c r="X237" t="s">
        <v>734</v>
      </c>
      <c r="Y237" t="s">
        <v>735</v>
      </c>
      <c r="Z237" s="4" t="s">
        <v>1025</v>
      </c>
      <c r="AA237" t="s">
        <v>1015</v>
      </c>
      <c r="AB237" s="3" t="s">
        <v>547</v>
      </c>
      <c r="AC237" s="2" t="s">
        <v>547</v>
      </c>
      <c r="AD237" s="4" t="s">
        <v>547</v>
      </c>
      <c r="AE237" t="s">
        <v>547</v>
      </c>
      <c r="AF237" t="s">
        <v>547</v>
      </c>
      <c r="AG237" s="4" t="s">
        <v>547</v>
      </c>
      <c r="AH237" t="s">
        <v>547</v>
      </c>
      <c r="AI237" t="s">
        <v>547</v>
      </c>
      <c r="AJ237" s="4" t="s">
        <v>547</v>
      </c>
      <c r="AK237" t="s">
        <v>547</v>
      </c>
      <c r="AL237" t="s">
        <v>547</v>
      </c>
      <c r="AM237" s="3" t="s">
        <v>547</v>
      </c>
      <c r="AN237" s="2" t="s">
        <v>547</v>
      </c>
      <c r="AO237" t="s">
        <v>547</v>
      </c>
      <c r="AP237" s="3" t="str">
        <f>HYPERLINK("http://exon.niaid.nih.gov/transcriptome/O_fasciatus/Sup_tab1/links/CDD\of-new-contig_204-CDD.txt","NhaB")</f>
        <v>NhaB</v>
      </c>
      <c r="AQ237" s="2" t="str">
        <f>HYPERLINK("http://www.ncbi.nlm.nih.gov/Structure/cdd/cddsrv.cgi?uid=pfam06450&amp;version=v4.0","0.003")</f>
        <v>0.003</v>
      </c>
      <c r="AR237" t="s">
        <v>736</v>
      </c>
      <c r="AS237" s="3" t="str">
        <f>HYPERLINK("http://exon.niaid.nih.gov/transcriptome/O_fasciatus/Sup_tab1/links/PFAM\of-new-contig_204-PFAM.txt","NhaB")</f>
        <v>NhaB</v>
      </c>
      <c r="AT237" s="2" t="str">
        <f>HYPERLINK("http://pfam.wustl.edu/cgi-bin/getdesc?acc=PF06450","0.002")</f>
        <v>0.002</v>
      </c>
      <c r="AU237" s="3" t="str">
        <f>HYPERLINK("http://exon.niaid.nih.gov/transcriptome/O_fasciatus/Sup_tab1/links/SMART\of-new-contig_204-SMART.txt","PSN")</f>
        <v>PSN</v>
      </c>
      <c r="AV237" s="2" t="str">
        <f>HYPERLINK("http://smart.embl-heidelberg.de/smart/do_annotation.pl?DOMAIN=PSN&amp;BLAST=DUMMY","0.23")</f>
        <v>0.23</v>
      </c>
      <c r="AW237" s="3" t="s">
        <v>547</v>
      </c>
      <c r="AX237" s="2" t="s">
        <v>547</v>
      </c>
      <c r="AY237" s="3" t="s">
        <v>547</v>
      </c>
      <c r="AZ237" s="2" t="s">
        <v>547</v>
      </c>
    </row>
    <row r="238" spans="1:52" ht="11.25">
      <c r="A238" t="str">
        <f>HYPERLINK("http://exon.niaid.nih.gov/transcriptome/O_fasciatus/Sup_tab1/links/of-new\of-new-contig_290.txt","of-new-contig_290")</f>
        <v>of-new-contig_290</v>
      </c>
      <c r="B238" t="str">
        <f>HYPERLINK("http://exon.niaid.nih.gov/transcriptome/O_fasciatus/Sup_tab1/links/of-new\of-new-5-64-64-asb-290.txt","Contig-290")</f>
        <v>Contig-290</v>
      </c>
      <c r="C238" t="str">
        <f>HYPERLINK("http://exon.niaid.nih.gov/transcriptome/O_fasciatus/Sup_tab1/links/of-new\of-new-5-64-64-290-CLU.txt","Contig290")</f>
        <v>Contig290</v>
      </c>
      <c r="D238">
        <v>1</v>
      </c>
      <c r="E238">
        <v>413</v>
      </c>
      <c r="F238" t="str">
        <f>HYPERLINK("http://exon.niaid.nih.gov/transcriptome/O_fasciatus/Sup_tab1/links/of-new\of-new-5-64-64-290-qual.txt","63.4")</f>
        <v>63.4</v>
      </c>
      <c r="G238" t="s">
        <v>541</v>
      </c>
      <c r="H238">
        <v>72.6</v>
      </c>
      <c r="I238">
        <v>394</v>
      </c>
      <c r="J238">
        <v>290</v>
      </c>
      <c r="K238" t="s">
        <v>1368</v>
      </c>
      <c r="L238">
        <v>394</v>
      </c>
      <c r="M238" s="3" t="str">
        <f>HYPERLINK("http://exon.niaid.nih.gov/transcriptome/O_fasciatus/Sup_tab1/links/NR\of-new-contig_290-NR.txt","hypothetical protein [Plasmodium falciparum 3D7]")</f>
        <v>hypothetical protein [Plasmodium falciparum 3D7]</v>
      </c>
      <c r="N238" s="2" t="str">
        <f>HYPERLINK("http://www.ncbi.nlm.nih.gov/sutils/blink.cgi?pid=23612933","9.3")</f>
        <v>9.3</v>
      </c>
      <c r="O238" t="s">
        <v>688</v>
      </c>
      <c r="P238">
        <v>91</v>
      </c>
      <c r="Q238">
        <v>1421</v>
      </c>
      <c r="R238">
        <v>30</v>
      </c>
      <c r="S238">
        <v>6</v>
      </c>
      <c r="T238">
        <v>483</v>
      </c>
      <c r="U238">
        <v>111</v>
      </c>
      <c r="V238">
        <v>1</v>
      </c>
      <c r="W238" t="s">
        <v>1412</v>
      </c>
      <c r="X238" t="s">
        <v>648</v>
      </c>
      <c r="Y238" t="s">
        <v>761</v>
      </c>
      <c r="Z238" s="4" t="s">
        <v>1025</v>
      </c>
      <c r="AA238" t="s">
        <v>1015</v>
      </c>
      <c r="AB238" s="3" t="s">
        <v>547</v>
      </c>
      <c r="AC238" s="2" t="s">
        <v>547</v>
      </c>
      <c r="AD238" s="4" t="s">
        <v>547</v>
      </c>
      <c r="AE238" t="s">
        <v>547</v>
      </c>
      <c r="AF238" t="s">
        <v>547</v>
      </c>
      <c r="AG238" s="4" t="s">
        <v>547</v>
      </c>
      <c r="AH238" t="s">
        <v>547</v>
      </c>
      <c r="AI238" t="s">
        <v>547</v>
      </c>
      <c r="AJ238" s="4" t="s">
        <v>547</v>
      </c>
      <c r="AK238" t="s">
        <v>547</v>
      </c>
      <c r="AL238" t="s">
        <v>547</v>
      </c>
      <c r="AM238" s="3" t="str">
        <f>HYPERLINK("http://exon.niaid.nih.gov/transcriptome/O_fasciatus/Sup_tab1/links/KOG\of-new-contig_290-KOG.txt","Dopey and related predicted leucine zipper transcription factors")</f>
        <v>Dopey and related predicted leucine zipper transcription factors</v>
      </c>
      <c r="AN238" s="2" t="str">
        <f>HYPERLINK("http://www.ncbi.nlm.nih.gov/COG/new/shokog.cgi?KOG3613","0.97")</f>
        <v>0.97</v>
      </c>
      <c r="AO238" t="s">
        <v>1640</v>
      </c>
      <c r="AP238" s="3" t="s">
        <v>547</v>
      </c>
      <c r="AQ238" s="2" t="s">
        <v>547</v>
      </c>
      <c r="AR238" t="s">
        <v>547</v>
      </c>
      <c r="AS238" s="3" t="s">
        <v>547</v>
      </c>
      <c r="AT238" s="2" t="s">
        <v>547</v>
      </c>
      <c r="AU238" s="3" t="str">
        <f>HYPERLINK("http://exon.niaid.nih.gov/transcriptome/O_fasciatus/Sup_tab1/links/SMART\of-new-contig_290-SMART.txt","UBCc")</f>
        <v>UBCc</v>
      </c>
      <c r="AV238" s="2" t="str">
        <f>HYPERLINK("http://smart.embl-heidelberg.de/smart/do_annotation.pl?DOMAIN=UBCc&amp;BLAST=DUMMY","0.17")</f>
        <v>0.17</v>
      </c>
      <c r="AW238" s="3" t="s">
        <v>547</v>
      </c>
      <c r="AX238" s="2" t="s">
        <v>547</v>
      </c>
      <c r="AY238" s="3" t="s">
        <v>547</v>
      </c>
      <c r="AZ238" s="2" t="s">
        <v>547</v>
      </c>
    </row>
    <row r="239" spans="1:52" ht="11.25">
      <c r="A239" t="str">
        <f>HYPERLINK("http://exon.niaid.nih.gov/transcriptome/O_fasciatus/Sup_tab1/links/of-new\of-new-contig_235.txt","of-new-contig_235")</f>
        <v>of-new-contig_235</v>
      </c>
      <c r="B239" t="str">
        <f>HYPERLINK("http://exon.niaid.nih.gov/transcriptome/O_fasciatus/Sup_tab1/links/of-new\of-new-5-64-64-asb-235.txt","Contig-235")</f>
        <v>Contig-235</v>
      </c>
      <c r="C239" t="str">
        <f>HYPERLINK("http://exon.niaid.nih.gov/transcriptome/O_fasciatus/Sup_tab1/links/of-new\of-new-5-64-64-235-CLU.txt","Contig235")</f>
        <v>Contig235</v>
      </c>
      <c r="D239">
        <v>1</v>
      </c>
      <c r="E239">
        <v>373</v>
      </c>
      <c r="F239" t="str">
        <f>HYPERLINK("http://exon.niaid.nih.gov/transcriptome/O_fasciatus/Sup_tab1/links/of-new\of-new-5-64-64-235-qual.txt","64.")</f>
        <v>64.</v>
      </c>
      <c r="G239" t="s">
        <v>541</v>
      </c>
      <c r="H239">
        <v>77.7</v>
      </c>
      <c r="I239">
        <v>354</v>
      </c>
      <c r="J239">
        <v>235</v>
      </c>
      <c r="K239" t="s">
        <v>1313</v>
      </c>
      <c r="L239">
        <v>354</v>
      </c>
      <c r="M239" s="3" t="str">
        <f>HYPERLINK("http://exon.niaid.nih.gov/transcriptome/O_fasciatus/Sup_tab1/links/NR\of-new-contig_235-NR.txt","hypothetical protein V12B01_15306 [Vibrio splendidus 12B01]")</f>
        <v>hypothetical protein V12B01_15306 [Vibrio splendidus 12B01]</v>
      </c>
      <c r="N239" s="2" t="str">
        <f>HYPERLINK("http://www.ncbi.nlm.nih.gov/sutils/blink.cgi?pid=84387873","9.5")</f>
        <v>9.5</v>
      </c>
      <c r="O239" t="s">
        <v>261</v>
      </c>
      <c r="P239">
        <v>88</v>
      </c>
      <c r="Q239">
        <v>487</v>
      </c>
      <c r="R239">
        <v>23</v>
      </c>
      <c r="S239">
        <v>18</v>
      </c>
      <c r="T239">
        <v>258</v>
      </c>
      <c r="U239">
        <v>101</v>
      </c>
      <c r="V239">
        <v>1</v>
      </c>
      <c r="W239" t="s">
        <v>1412</v>
      </c>
      <c r="X239" t="s">
        <v>262</v>
      </c>
      <c r="Y239" t="s">
        <v>263</v>
      </c>
      <c r="Z239" s="4" t="s">
        <v>1025</v>
      </c>
      <c r="AA239" t="s">
        <v>1015</v>
      </c>
      <c r="AB239" s="3" t="s">
        <v>547</v>
      </c>
      <c r="AC239" s="2" t="s">
        <v>547</v>
      </c>
      <c r="AD239" s="4" t="s">
        <v>547</v>
      </c>
      <c r="AE239" t="s">
        <v>547</v>
      </c>
      <c r="AF239" t="s">
        <v>547</v>
      </c>
      <c r="AG239" s="4" t="s">
        <v>547</v>
      </c>
      <c r="AH239" t="s">
        <v>547</v>
      </c>
      <c r="AI239" t="s">
        <v>547</v>
      </c>
      <c r="AJ239" s="4" t="s">
        <v>547</v>
      </c>
      <c r="AK239" t="s">
        <v>547</v>
      </c>
      <c r="AL239" t="s">
        <v>547</v>
      </c>
      <c r="AM239" s="3" t="s">
        <v>547</v>
      </c>
      <c r="AN239" s="2" t="s">
        <v>547</v>
      </c>
      <c r="AO239" t="s">
        <v>547</v>
      </c>
      <c r="AP239" s="3" t="s">
        <v>547</v>
      </c>
      <c r="AQ239" s="2" t="s">
        <v>547</v>
      </c>
      <c r="AR239" t="s">
        <v>547</v>
      </c>
      <c r="AS239" s="3" t="s">
        <v>547</v>
      </c>
      <c r="AT239" s="2" t="s">
        <v>547</v>
      </c>
      <c r="AU239" s="3" t="str">
        <f>HYPERLINK("http://exon.niaid.nih.gov/transcriptome/O_fasciatus/Sup_tab1/links/SMART\of-new-contig_235-SMART.txt","B561")</f>
        <v>B561</v>
      </c>
      <c r="AV239" s="2" t="str">
        <f>HYPERLINK("http://smart.embl-heidelberg.de/smart/do_annotation.pl?DOMAIN=B561&amp;BLAST=DUMMY","0.39")</f>
        <v>0.39</v>
      </c>
      <c r="AW239" s="3" t="s">
        <v>547</v>
      </c>
      <c r="AX239" s="2" t="s">
        <v>547</v>
      </c>
      <c r="AY239" s="3" t="s">
        <v>547</v>
      </c>
      <c r="AZ239" s="2" t="s">
        <v>547</v>
      </c>
    </row>
    <row r="240" spans="1:52" ht="11.25">
      <c r="A240" t="str">
        <f>HYPERLINK("http://exon.niaid.nih.gov/transcriptome/O_fasciatus/Sup_tab1/links/of-new\of-new-contig_265.txt","of-new-contig_265")</f>
        <v>of-new-contig_265</v>
      </c>
      <c r="B240" t="str">
        <f>HYPERLINK("http://exon.niaid.nih.gov/transcriptome/O_fasciatus/Sup_tab1/links/of-new\of-new-5-64-64-asb-265.txt","Contig-265")</f>
        <v>Contig-265</v>
      </c>
      <c r="C240" t="str">
        <f>HYPERLINK("http://exon.niaid.nih.gov/transcriptome/O_fasciatus/Sup_tab1/links/of-new\of-new-5-64-64-265-CLU.txt","Contig265")</f>
        <v>Contig265</v>
      </c>
      <c r="D240">
        <v>1</v>
      </c>
      <c r="E240">
        <v>370</v>
      </c>
      <c r="F240" t="str">
        <f>HYPERLINK("http://exon.niaid.nih.gov/transcriptome/O_fasciatus/Sup_tab1/links/of-new\of-new-5-64-64-265-qual.txt","61.9")</f>
        <v>61.9</v>
      </c>
      <c r="G240" t="s">
        <v>541</v>
      </c>
      <c r="H240">
        <v>63.5</v>
      </c>
      <c r="I240">
        <v>351</v>
      </c>
      <c r="J240">
        <v>265</v>
      </c>
      <c r="K240" t="s">
        <v>1343</v>
      </c>
      <c r="L240">
        <v>351</v>
      </c>
      <c r="M240" s="3" t="str">
        <f>HYPERLINK("http://exon.niaid.nih.gov/transcriptome/O_fasciatus/Sup_tab1/links/NR\of-new-contig_265-NR.txt","hypothetical protein")</f>
        <v>hypothetical protein</v>
      </c>
      <c r="N240" s="2" t="str">
        <f>HYPERLINK("http://www.ncbi.nlm.nih.gov/sutils/blink.cgi?pid=95007121","0.50")</f>
        <v>0.50</v>
      </c>
      <c r="O240" t="s">
        <v>450</v>
      </c>
      <c r="P240">
        <v>78</v>
      </c>
      <c r="Q240">
        <v>1007</v>
      </c>
      <c r="R240">
        <v>43</v>
      </c>
      <c r="S240">
        <v>8</v>
      </c>
      <c r="T240">
        <v>174</v>
      </c>
      <c r="U240">
        <v>103</v>
      </c>
      <c r="V240">
        <v>1</v>
      </c>
      <c r="W240" t="s">
        <v>1412</v>
      </c>
      <c r="X240" t="s">
        <v>451</v>
      </c>
      <c r="Y240" t="s">
        <v>82</v>
      </c>
      <c r="Z240" s="4" t="s">
        <v>1025</v>
      </c>
      <c r="AA240" t="s">
        <v>1015</v>
      </c>
      <c r="AB240" s="3" t="s">
        <v>83</v>
      </c>
      <c r="AC240" s="2">
        <f>HYPERLINK("http://exon.niaid.nih.gov/transcriptome/O_fasciatus/Sup_tab1/links/GO\of-new-contig_265-GO.txt",0.066)</f>
        <v>0</v>
      </c>
      <c r="AD240" s="4" t="s">
        <v>84</v>
      </c>
      <c r="AE240" t="s">
        <v>85</v>
      </c>
      <c r="AF240">
        <v>0.066</v>
      </c>
      <c r="AG240" s="4" t="s">
        <v>86</v>
      </c>
      <c r="AH240" t="s">
        <v>87</v>
      </c>
      <c r="AI240">
        <v>0.066</v>
      </c>
      <c r="AJ240" s="4" t="s">
        <v>88</v>
      </c>
      <c r="AK240" t="s">
        <v>89</v>
      </c>
      <c r="AL240">
        <v>0.066</v>
      </c>
      <c r="AM240" s="3" t="str">
        <f>HYPERLINK("http://exon.niaid.nih.gov/transcriptome/O_fasciatus/Sup_tab1/links/KOG\of-new-contig_265-KOG.txt","Endosomal membrane proteins, EMP70")</f>
        <v>Endosomal membrane proteins, EMP70</v>
      </c>
      <c r="AN240" s="2" t="str">
        <f>HYPERLINK("http://www.ncbi.nlm.nih.gov/COG/new/shokog.cgi?KOG1278","0.010")</f>
        <v>0.010</v>
      </c>
      <c r="AO240" t="s">
        <v>300</v>
      </c>
      <c r="AP240" s="3" t="str">
        <f>HYPERLINK("http://exon.niaid.nih.gov/transcriptome/O_fasciatus/Sup_tab1/links/CDD\of-new-contig_265-CDD.txt","STT3")</f>
        <v>STT3</v>
      </c>
      <c r="AQ240" s="2" t="str">
        <f>HYPERLINK("http://www.ncbi.nlm.nih.gov/Structure/cdd/cddsrv.cgi?uid=pfam02516&amp;version=v4.0","0.031")</f>
        <v>0.031</v>
      </c>
      <c r="AR240" t="s">
        <v>90</v>
      </c>
      <c r="AS240" s="3" t="str">
        <f>HYPERLINK("http://exon.niaid.nih.gov/transcriptome/O_fasciatus/Sup_tab1/links/PFAM\of-new-contig_265-PFAM.txt","STT3")</f>
        <v>STT3</v>
      </c>
      <c r="AT240" s="2" t="str">
        <f>HYPERLINK("http://pfam.wustl.edu/cgi-bin/getdesc?acc=PF02516","0.016")</f>
        <v>0.016</v>
      </c>
      <c r="AU240" s="3" t="str">
        <f>HYPERLINK("http://exon.niaid.nih.gov/transcriptome/O_fasciatus/Sup_tab1/links/SMART\of-new-contig_265-SMART.txt","TLC")</f>
        <v>TLC</v>
      </c>
      <c r="AV240" s="2" t="str">
        <f>HYPERLINK("http://smart.embl-heidelberg.de/smart/do_annotation.pl?DOMAIN=TLC&amp;BLAST=DUMMY","0.011")</f>
        <v>0.011</v>
      </c>
      <c r="AW240" s="3" t="s">
        <v>547</v>
      </c>
      <c r="AX240" s="2" t="s">
        <v>547</v>
      </c>
      <c r="AY240" s="3" t="s">
        <v>547</v>
      </c>
      <c r="AZ240" s="2" t="s">
        <v>547</v>
      </c>
    </row>
    <row r="241" spans="1:52" ht="11.25">
      <c r="A241" t="str">
        <f>HYPERLINK("http://exon.niaid.nih.gov/transcriptome/O_fasciatus/Sup_tab1/links/of-new\of-new-contig_231.txt","of-new-contig_231")</f>
        <v>of-new-contig_231</v>
      </c>
      <c r="B241" t="str">
        <f>HYPERLINK("http://exon.niaid.nih.gov/transcriptome/O_fasciatus/Sup_tab1/links/of-new\of-new-5-64-64-asb-231.txt","Contig-231")</f>
        <v>Contig-231</v>
      </c>
      <c r="C241" t="str">
        <f>HYPERLINK("http://exon.niaid.nih.gov/transcriptome/O_fasciatus/Sup_tab1/links/of-new\of-new-5-64-64-231-CLU.txt","Contig231")</f>
        <v>Contig231</v>
      </c>
      <c r="D241">
        <v>1</v>
      </c>
      <c r="E241">
        <v>365</v>
      </c>
      <c r="F241" t="str">
        <f>HYPERLINK("http://exon.niaid.nih.gov/transcriptome/O_fasciatus/Sup_tab1/links/of-new\of-new-5-64-64-231-qual.txt","63.2")</f>
        <v>63.2</v>
      </c>
      <c r="G241" t="s">
        <v>541</v>
      </c>
      <c r="H241">
        <v>71</v>
      </c>
      <c r="I241">
        <v>346</v>
      </c>
      <c r="J241">
        <v>231</v>
      </c>
      <c r="K241" t="s">
        <v>1309</v>
      </c>
      <c r="L241">
        <v>346</v>
      </c>
      <c r="M241" s="3" t="str">
        <f>HYPERLINK("http://exon.niaid.nih.gov/transcriptome/O_fasciatus/Sup_tab1/links/NR\of-new-contig_231-NR.txt","rps8")</f>
        <v>rps8</v>
      </c>
      <c r="N241" s="2" t="str">
        <f>HYPERLINK("http://www.ncbi.nlm.nih.gov/sutils/blink.cgi?pid=1171601","5.4")</f>
        <v>5.4</v>
      </c>
      <c r="O241" t="s">
        <v>253</v>
      </c>
      <c r="P241">
        <v>75</v>
      </c>
      <c r="Q241">
        <v>128</v>
      </c>
      <c r="R241">
        <v>32</v>
      </c>
      <c r="S241">
        <v>59</v>
      </c>
      <c r="T241">
        <v>13</v>
      </c>
      <c r="U241">
        <v>127</v>
      </c>
      <c r="V241">
        <v>1</v>
      </c>
      <c r="W241" t="s">
        <v>1412</v>
      </c>
      <c r="X241" t="s">
        <v>254</v>
      </c>
      <c r="Y241" t="s">
        <v>255</v>
      </c>
      <c r="Z241" s="4" t="s">
        <v>1025</v>
      </c>
      <c r="AA241" t="s">
        <v>1015</v>
      </c>
      <c r="AB241" s="3" t="s">
        <v>547</v>
      </c>
      <c r="AC241" s="2" t="s">
        <v>547</v>
      </c>
      <c r="AD241" s="4" t="s">
        <v>547</v>
      </c>
      <c r="AE241" t="s">
        <v>547</v>
      </c>
      <c r="AF241" t="s">
        <v>547</v>
      </c>
      <c r="AG241" s="4" t="s">
        <v>547</v>
      </c>
      <c r="AH241" t="s">
        <v>547</v>
      </c>
      <c r="AI241" t="s">
        <v>547</v>
      </c>
      <c r="AJ241" s="4" t="s">
        <v>547</v>
      </c>
      <c r="AK241" t="s">
        <v>547</v>
      </c>
      <c r="AL241" t="s">
        <v>547</v>
      </c>
      <c r="AM241" s="3" t="s">
        <v>547</v>
      </c>
      <c r="AN241" s="2" t="s">
        <v>547</v>
      </c>
      <c r="AO241" t="s">
        <v>547</v>
      </c>
      <c r="AP241" s="3" t="s">
        <v>547</v>
      </c>
      <c r="AQ241" s="2" t="s">
        <v>547</v>
      </c>
      <c r="AR241" t="s">
        <v>547</v>
      </c>
      <c r="AS241" s="3" t="s">
        <v>547</v>
      </c>
      <c r="AT241" s="2" t="s">
        <v>547</v>
      </c>
      <c r="AU241" s="3" t="s">
        <v>547</v>
      </c>
      <c r="AV241" s="2" t="s">
        <v>547</v>
      </c>
      <c r="AW241" s="3" t="s">
        <v>547</v>
      </c>
      <c r="AX241" s="2" t="s">
        <v>547</v>
      </c>
      <c r="AY241" s="3" t="s">
        <v>547</v>
      </c>
      <c r="AZ241" s="2" t="s">
        <v>547</v>
      </c>
    </row>
    <row r="242" spans="1:52" ht="11.25">
      <c r="A242" t="str">
        <f>HYPERLINK("http://exon.niaid.nih.gov/transcriptome/O_fasciatus/Sup_tab1/links/of-new\of-new-contig_252.txt","of-new-contig_252")</f>
        <v>of-new-contig_252</v>
      </c>
      <c r="B242" t="str">
        <f>HYPERLINK("http://exon.niaid.nih.gov/transcriptome/O_fasciatus/Sup_tab1/links/of-new\of-new-5-64-64-asb-252.txt","Contig-252")</f>
        <v>Contig-252</v>
      </c>
      <c r="C242" t="str">
        <f>HYPERLINK("http://exon.niaid.nih.gov/transcriptome/O_fasciatus/Sup_tab1/links/of-new\of-new-5-64-64-252-CLU.txt","Contig252")</f>
        <v>Contig252</v>
      </c>
      <c r="D242">
        <v>1</v>
      </c>
      <c r="E242">
        <v>363</v>
      </c>
      <c r="F242" t="str">
        <f>HYPERLINK("http://exon.niaid.nih.gov/transcriptome/O_fasciatus/Sup_tab1/links/of-new\of-new-5-64-64-252-qual.txt","64.1")</f>
        <v>64.1</v>
      </c>
      <c r="G242" t="s">
        <v>541</v>
      </c>
      <c r="H242">
        <v>71.3</v>
      </c>
      <c r="I242">
        <v>344</v>
      </c>
      <c r="J242">
        <v>252</v>
      </c>
      <c r="K242" t="s">
        <v>1330</v>
      </c>
      <c r="L242">
        <v>344</v>
      </c>
      <c r="M242" s="3" t="str">
        <f>HYPERLINK("http://exon.niaid.nih.gov/transcriptome/O_fasciatus/Sup_tab1/links/NR\of-new-contig_252-NR.txt","hypothetical protein ST0312 [Sulfolobus tokodaii str. 7]")</f>
        <v>hypothetical protein ST0312 [Sulfolobus tokodaii str. 7]</v>
      </c>
      <c r="N242" s="2" t="str">
        <f>HYPERLINK("http://www.ncbi.nlm.nih.gov/sutils/blink.cgi?pid=15920507","7.0")</f>
        <v>7.0</v>
      </c>
      <c r="O242" t="s">
        <v>412</v>
      </c>
      <c r="P242">
        <v>48</v>
      </c>
      <c r="Q242">
        <v>303</v>
      </c>
      <c r="R242">
        <v>37</v>
      </c>
      <c r="S242">
        <v>16</v>
      </c>
      <c r="T242">
        <v>25</v>
      </c>
      <c r="U242">
        <v>20</v>
      </c>
      <c r="V242">
        <v>1</v>
      </c>
      <c r="W242" t="s">
        <v>1412</v>
      </c>
      <c r="X242" t="s">
        <v>39</v>
      </c>
      <c r="Y242" t="s">
        <v>413</v>
      </c>
      <c r="Z242" s="4" t="s">
        <v>1025</v>
      </c>
      <c r="AA242" t="s">
        <v>1015</v>
      </c>
      <c r="AB242" s="3" t="s">
        <v>547</v>
      </c>
      <c r="AC242" s="2" t="s">
        <v>547</v>
      </c>
      <c r="AD242" s="4" t="s">
        <v>547</v>
      </c>
      <c r="AE242" t="s">
        <v>547</v>
      </c>
      <c r="AF242" t="s">
        <v>547</v>
      </c>
      <c r="AG242" s="4" t="s">
        <v>547</v>
      </c>
      <c r="AH242" t="s">
        <v>547</v>
      </c>
      <c r="AI242" t="s">
        <v>547</v>
      </c>
      <c r="AJ242" s="4" t="s">
        <v>547</v>
      </c>
      <c r="AK242" t="s">
        <v>547</v>
      </c>
      <c r="AL242" t="s">
        <v>547</v>
      </c>
      <c r="AM242" s="3" t="s">
        <v>547</v>
      </c>
      <c r="AN242" s="2" t="s">
        <v>547</v>
      </c>
      <c r="AO242" t="s">
        <v>547</v>
      </c>
      <c r="AP242" s="3" t="s">
        <v>547</v>
      </c>
      <c r="AQ242" s="2" t="s">
        <v>547</v>
      </c>
      <c r="AR242" t="s">
        <v>547</v>
      </c>
      <c r="AS242" s="3" t="s">
        <v>547</v>
      </c>
      <c r="AT242" s="2" t="s">
        <v>547</v>
      </c>
      <c r="AU242" s="3" t="s">
        <v>547</v>
      </c>
      <c r="AV242" s="2" t="s">
        <v>547</v>
      </c>
      <c r="AW242" s="3" t="s">
        <v>547</v>
      </c>
      <c r="AX242" s="2" t="s">
        <v>547</v>
      </c>
      <c r="AY242" s="3" t="s">
        <v>547</v>
      </c>
      <c r="AZ242" s="2" t="s">
        <v>547</v>
      </c>
    </row>
    <row r="243" spans="1:52" ht="11.25">
      <c r="A243" t="str">
        <f>HYPERLINK("http://exon.niaid.nih.gov/transcriptome/O_fasciatus/Sup_tab1/links/of-new\of-new-contig_264.txt","of-new-contig_264")</f>
        <v>of-new-contig_264</v>
      </c>
      <c r="B243" t="str">
        <f>HYPERLINK("http://exon.niaid.nih.gov/transcriptome/O_fasciatus/Sup_tab1/links/of-new\of-new-5-64-64-asb-264.txt","Contig-264")</f>
        <v>Contig-264</v>
      </c>
      <c r="C243" t="str">
        <f>HYPERLINK("http://exon.niaid.nih.gov/transcriptome/O_fasciatus/Sup_tab1/links/of-new\of-new-5-64-64-264-CLU.txt","Contig264")</f>
        <v>Contig264</v>
      </c>
      <c r="D243">
        <v>1</v>
      </c>
      <c r="E243">
        <v>361</v>
      </c>
      <c r="F243" t="str">
        <f>HYPERLINK("http://exon.niaid.nih.gov/transcriptome/O_fasciatus/Sup_tab1/links/of-new\of-new-5-64-64-264-qual.txt","57.5")</f>
        <v>57.5</v>
      </c>
      <c r="G243" t="s">
        <v>541</v>
      </c>
      <c r="H243">
        <v>78.4</v>
      </c>
      <c r="I243">
        <v>342</v>
      </c>
      <c r="J243">
        <v>264</v>
      </c>
      <c r="K243" t="s">
        <v>1342</v>
      </c>
      <c r="L243">
        <v>342</v>
      </c>
      <c r="M243" s="3" t="str">
        <f>HYPERLINK("http://exon.niaid.nih.gov/transcriptome/O_fasciatus/Sup_tab1/links/NR\of-new-contig_264-NR.txt","hypothetical protein DDB_0231746 [Dictyostelium discoideum AX4]")</f>
        <v>hypothetical protein DDB_0231746 [Dictyostelium discoideum AX4]</v>
      </c>
      <c r="N243" s="2" t="str">
        <f>HYPERLINK("http://www.ncbi.nlm.nih.gov/sutils/blink.cgi?pid=66810365","0.63")</f>
        <v>0.63</v>
      </c>
      <c r="O243" t="s">
        <v>444</v>
      </c>
      <c r="P243">
        <v>76</v>
      </c>
      <c r="Q243">
        <v>5938</v>
      </c>
      <c r="R243">
        <v>34</v>
      </c>
      <c r="S243">
        <v>1</v>
      </c>
      <c r="T243">
        <v>91</v>
      </c>
      <c r="U243">
        <v>40</v>
      </c>
      <c r="V243">
        <v>1</v>
      </c>
      <c r="W243" t="s">
        <v>1412</v>
      </c>
      <c r="X243" t="s">
        <v>295</v>
      </c>
      <c r="Y243" t="s">
        <v>445</v>
      </c>
      <c r="Z243" s="4" t="s">
        <v>1025</v>
      </c>
      <c r="AA243" t="s">
        <v>1015</v>
      </c>
      <c r="AB243" s="3" t="s">
        <v>446</v>
      </c>
      <c r="AC243" s="2">
        <f>HYPERLINK("http://exon.niaid.nih.gov/transcriptome/O_fasciatus/Sup_tab1/links/GO\of-new-contig_264-GO.txt",0.022)</f>
        <v>0</v>
      </c>
      <c r="AD243" s="4" t="s">
        <v>547</v>
      </c>
      <c r="AE243" t="s">
        <v>547</v>
      </c>
      <c r="AF243" t="s">
        <v>547</v>
      </c>
      <c r="AG243" s="4" t="s">
        <v>447</v>
      </c>
      <c r="AH243" t="s">
        <v>448</v>
      </c>
      <c r="AI243">
        <v>0.022</v>
      </c>
      <c r="AJ243" s="4" t="s">
        <v>547</v>
      </c>
      <c r="AK243" t="s">
        <v>547</v>
      </c>
      <c r="AL243" t="s">
        <v>547</v>
      </c>
      <c r="AM243" s="3" t="str">
        <f>HYPERLINK("http://exon.niaid.nih.gov/transcriptome/O_fasciatus/Sup_tab1/links/KOG\of-new-contig_264-KOG.txt","Predicted DHHC-type Zn-finger protein")</f>
        <v>Predicted DHHC-type Zn-finger protein</v>
      </c>
      <c r="AN243" s="2" t="str">
        <f>HYPERLINK("http://www.ncbi.nlm.nih.gov/COG/new/shokog.cgi?KOG1315","0.14")</f>
        <v>0.14</v>
      </c>
      <c r="AO243" t="s">
        <v>1503</v>
      </c>
      <c r="AP243" s="3" t="str">
        <f>HYPERLINK("http://exon.niaid.nih.gov/transcriptome/O_fasciatus/Sup_tab1/links/CDD\of-new-contig_264-CDD.txt","DUF32")</f>
        <v>DUF32</v>
      </c>
      <c r="AQ243" s="2" t="str">
        <f>HYPERLINK("http://www.ncbi.nlm.nih.gov/Structure/cdd/cddsrv.cgi?uid=pfam01748&amp;version=v4.0","0.22")</f>
        <v>0.22</v>
      </c>
      <c r="AR243" t="s">
        <v>449</v>
      </c>
      <c r="AS243" s="3" t="str">
        <f>HYPERLINK("http://exon.niaid.nih.gov/transcriptome/O_fasciatus/Sup_tab1/links/PFAM\of-new-contig_264-PFAM.txt","DUF32")</f>
        <v>DUF32</v>
      </c>
      <c r="AT243" s="2" t="str">
        <f>HYPERLINK("http://pfam.wustl.edu/cgi-bin/getdesc?acc=PF01748","0.12")</f>
        <v>0.12</v>
      </c>
      <c r="AU243" s="3" t="str">
        <f>HYPERLINK("http://exon.niaid.nih.gov/transcriptome/O_fasciatus/Sup_tab1/links/SMART\of-new-contig_264-SMART.txt","PSN")</f>
        <v>PSN</v>
      </c>
      <c r="AV243" s="2" t="str">
        <f>HYPERLINK("http://smart.embl-heidelberg.de/smart/do_annotation.pl?DOMAIN=PSN&amp;BLAST=DUMMY","0.029")</f>
        <v>0.029</v>
      </c>
      <c r="AW243" s="3" t="s">
        <v>547</v>
      </c>
      <c r="AX243" s="2" t="s">
        <v>547</v>
      </c>
      <c r="AY243" s="3" t="s">
        <v>547</v>
      </c>
      <c r="AZ243" s="2" t="s">
        <v>547</v>
      </c>
    </row>
    <row r="244" spans="1:52" ht="11.25">
      <c r="A244" t="str">
        <f>HYPERLINK("http://exon.niaid.nih.gov/transcriptome/O_fasciatus/Sup_tab1/links/of-new\of-new-contig_194.txt","of-new-contig_194")</f>
        <v>of-new-contig_194</v>
      </c>
      <c r="B244" t="str">
        <f>HYPERLINK("http://exon.niaid.nih.gov/transcriptome/O_fasciatus/Sup_tab1/links/of-new\of-new-5-64-64-asb-194.txt","Contig-194")</f>
        <v>Contig-194</v>
      </c>
      <c r="C244" t="str">
        <f>HYPERLINK("http://exon.niaid.nih.gov/transcriptome/O_fasciatus/Sup_tab1/links/of-new\of-new-5-64-64-194-CLU.txt","Contig194")</f>
        <v>Contig194</v>
      </c>
      <c r="D244">
        <v>1</v>
      </c>
      <c r="E244">
        <v>352</v>
      </c>
      <c r="F244" t="str">
        <f>HYPERLINK("http://exon.niaid.nih.gov/transcriptome/O_fasciatus/Sup_tab1/links/of-new\of-new-5-64-64-194-qual.txt","63.6")</f>
        <v>63.6</v>
      </c>
      <c r="G244" t="s">
        <v>541</v>
      </c>
      <c r="H244">
        <v>73.9</v>
      </c>
      <c r="I244">
        <v>333</v>
      </c>
      <c r="J244">
        <v>194</v>
      </c>
      <c r="K244" t="s">
        <v>1272</v>
      </c>
      <c r="L244">
        <v>333</v>
      </c>
      <c r="M244" s="3" t="str">
        <f>HYPERLINK("http://exon.niaid.nih.gov/transcriptome/O_fasciatus/Sup_tab1/links/NR\of-new-contig_194-NR.txt","hypothetical protein LVIS_A02 [Lactobacillus brevis ATCC 367]")</f>
        <v>hypothetical protein LVIS_A02 [Lactobacillus brevis ATCC 367]</v>
      </c>
      <c r="N244" s="2" t="str">
        <f>HYPERLINK("http://www.ncbi.nlm.nih.gov/sutils/blink.cgi?pid=116334869","4.2")</f>
        <v>4.2</v>
      </c>
      <c r="O244" t="s">
        <v>348</v>
      </c>
      <c r="P244">
        <v>66</v>
      </c>
      <c r="Q244">
        <v>278</v>
      </c>
      <c r="R244">
        <v>30</v>
      </c>
      <c r="S244">
        <v>24</v>
      </c>
      <c r="T244">
        <v>68</v>
      </c>
      <c r="U244">
        <v>47</v>
      </c>
      <c r="V244">
        <v>1</v>
      </c>
      <c r="W244" t="s">
        <v>1412</v>
      </c>
      <c r="X244" t="s">
        <v>349</v>
      </c>
      <c r="Y244" t="s">
        <v>350</v>
      </c>
      <c r="Z244" s="4" t="s">
        <v>1025</v>
      </c>
      <c r="AA244" t="s">
        <v>1015</v>
      </c>
      <c r="AB244" s="3" t="s">
        <v>547</v>
      </c>
      <c r="AC244" s="2" t="s">
        <v>547</v>
      </c>
      <c r="AD244" s="4" t="s">
        <v>547</v>
      </c>
      <c r="AE244" t="s">
        <v>547</v>
      </c>
      <c r="AF244" t="s">
        <v>547</v>
      </c>
      <c r="AG244" s="4" t="s">
        <v>547</v>
      </c>
      <c r="AH244" t="s">
        <v>547</v>
      </c>
      <c r="AI244" t="s">
        <v>547</v>
      </c>
      <c r="AJ244" s="4" t="s">
        <v>547</v>
      </c>
      <c r="AK244" t="s">
        <v>547</v>
      </c>
      <c r="AL244" t="s">
        <v>547</v>
      </c>
      <c r="AM244" s="3" t="s">
        <v>547</v>
      </c>
      <c r="AN244" s="2" t="s">
        <v>547</v>
      </c>
      <c r="AO244" t="s">
        <v>547</v>
      </c>
      <c r="AP244" s="3" t="str">
        <f>HYPERLINK("http://exon.niaid.nih.gov/transcriptome/O_fasciatus/Sup_tab1/links/CDD\of-new-contig_194-CDD.txt","Methyltransf_2")</f>
        <v>Methyltransf_2</v>
      </c>
      <c r="AQ244" s="2" t="str">
        <f>HYPERLINK("http://www.ncbi.nlm.nih.gov/Structure/cdd/cddsrv.cgi?uid=pfam00891&amp;version=v4.0","0.56")</f>
        <v>0.56</v>
      </c>
      <c r="AR244" t="s">
        <v>351</v>
      </c>
      <c r="AS244" s="3" t="str">
        <f>HYPERLINK("http://exon.niaid.nih.gov/transcriptome/O_fasciatus/Sup_tab1/links/PFAM\of-new-contig_194-PFAM.txt","Methyltransf_2")</f>
        <v>Methyltransf_2</v>
      </c>
      <c r="AT244" s="2" t="str">
        <f>HYPERLINK("http://pfam.wustl.edu/cgi-bin/getdesc?acc=PF00891","0.30")</f>
        <v>0.30</v>
      </c>
      <c r="AU244" s="3" t="str">
        <f>HYPERLINK("http://exon.niaid.nih.gov/transcriptome/O_fasciatus/Sup_tab1/links/SMART\of-new-contig_194-SMART.txt","RNAse_Pc")</f>
        <v>RNAse_Pc</v>
      </c>
      <c r="AV244" s="2" t="str">
        <f>HYPERLINK("http://smart.embl-heidelberg.de/smart/do_annotation.pl?DOMAIN=RNAse_Pc&amp;BLAST=DUMMY","0.14")</f>
        <v>0.14</v>
      </c>
      <c r="AW244" s="3" t="s">
        <v>547</v>
      </c>
      <c r="AX244" s="2" t="s">
        <v>547</v>
      </c>
      <c r="AY244" s="3" t="s">
        <v>547</v>
      </c>
      <c r="AZ244" s="2" t="s">
        <v>547</v>
      </c>
    </row>
    <row r="245" spans="1:52" ht="11.25">
      <c r="A245" t="str">
        <f>HYPERLINK("http://exon.niaid.nih.gov/transcriptome/O_fasciatus/Sup_tab1/links/of-new\of-new-contig_262.txt","of-new-contig_262")</f>
        <v>of-new-contig_262</v>
      </c>
      <c r="B245" t="str">
        <f>HYPERLINK("http://exon.niaid.nih.gov/transcriptome/O_fasciatus/Sup_tab1/links/of-new\of-new-5-64-64-asb-262.txt","Contig-262")</f>
        <v>Contig-262</v>
      </c>
      <c r="C245" t="str">
        <f>HYPERLINK("http://exon.niaid.nih.gov/transcriptome/O_fasciatus/Sup_tab1/links/of-new\of-new-5-64-64-262-CLU.txt","Contig262")</f>
        <v>Contig262</v>
      </c>
      <c r="D245">
        <v>1</v>
      </c>
      <c r="E245">
        <v>345</v>
      </c>
      <c r="F245" t="str">
        <f>HYPERLINK("http://exon.niaid.nih.gov/transcriptome/O_fasciatus/Sup_tab1/links/of-new\of-new-5-64-64-262-qual.txt","64.5")</f>
        <v>64.5</v>
      </c>
      <c r="G245" t="s">
        <v>541</v>
      </c>
      <c r="H245">
        <v>78</v>
      </c>
      <c r="I245">
        <v>326</v>
      </c>
      <c r="J245">
        <v>262</v>
      </c>
      <c r="K245" t="s">
        <v>1340</v>
      </c>
      <c r="L245">
        <v>326</v>
      </c>
      <c r="M245" s="3" t="str">
        <f>HYPERLINK("http://exon.niaid.nih.gov/transcriptome/O_fasciatus/Sup_tab1/links/NR\of-new-contig_262-NR.txt","ATP-dependent helicase, putative [Plasmodium falciparum 3D7]")</f>
        <v>ATP-dependent helicase, putative [Plasmodium falciparum 3D7]</v>
      </c>
      <c r="N245" s="2" t="str">
        <f>HYPERLINK("http://www.ncbi.nlm.nih.gov/sutils/blink.cgi?pid=23613065","7.3")</f>
        <v>7.3</v>
      </c>
      <c r="O245" t="s">
        <v>440</v>
      </c>
      <c r="P245">
        <v>48</v>
      </c>
      <c r="Q245">
        <v>502</v>
      </c>
      <c r="R245">
        <v>43</v>
      </c>
      <c r="S245">
        <v>10</v>
      </c>
      <c r="T245">
        <v>301</v>
      </c>
      <c r="U245">
        <v>4</v>
      </c>
      <c r="V245">
        <v>1</v>
      </c>
      <c r="W245" t="s">
        <v>1412</v>
      </c>
      <c r="X245" t="s">
        <v>648</v>
      </c>
      <c r="Y245" t="s">
        <v>441</v>
      </c>
      <c r="Z245" s="4" t="s">
        <v>1025</v>
      </c>
      <c r="AA245" t="s">
        <v>1015</v>
      </c>
      <c r="AB245" s="3" t="s">
        <v>547</v>
      </c>
      <c r="AC245" s="2" t="s">
        <v>547</v>
      </c>
      <c r="AD245" s="4" t="s">
        <v>547</v>
      </c>
      <c r="AE245" t="s">
        <v>547</v>
      </c>
      <c r="AF245" t="s">
        <v>547</v>
      </c>
      <c r="AG245" s="4" t="s">
        <v>547</v>
      </c>
      <c r="AH245" t="s">
        <v>547</v>
      </c>
      <c r="AI245" t="s">
        <v>547</v>
      </c>
      <c r="AJ245" s="4" t="s">
        <v>547</v>
      </c>
      <c r="AK245" t="s">
        <v>547</v>
      </c>
      <c r="AL245" t="s">
        <v>547</v>
      </c>
      <c r="AM245" s="3" t="s">
        <v>547</v>
      </c>
      <c r="AN245" s="2" t="s">
        <v>547</v>
      </c>
      <c r="AO245" t="s">
        <v>547</v>
      </c>
      <c r="AP245" s="3" t="str">
        <f>HYPERLINK("http://exon.niaid.nih.gov/transcriptome/O_fasciatus/Sup_tab1/links/CDD\of-new-contig_262-CDD.txt","LcnDR2")</f>
        <v>LcnDR2</v>
      </c>
      <c r="AQ245" s="2" t="str">
        <f>HYPERLINK("http://www.ncbi.nlm.nih.gov/Structure/cdd/cddsrv.cgi?uid=COG4403&amp;version=v4.0","0.51")</f>
        <v>0.51</v>
      </c>
      <c r="AR245" t="s">
        <v>442</v>
      </c>
      <c r="AS245" s="3" t="str">
        <f>HYPERLINK("http://exon.niaid.nih.gov/transcriptome/O_fasciatus/Sup_tab1/links/PFAM\of-new-contig_262-PFAM.txt","DUF939")</f>
        <v>DUF939</v>
      </c>
      <c r="AT245" s="2" t="str">
        <f>HYPERLINK("http://pfam.wustl.edu/cgi-bin/getdesc?acc=PF06081","0.37")</f>
        <v>0.37</v>
      </c>
      <c r="AU245" s="3" t="str">
        <f>HYPERLINK("http://exon.niaid.nih.gov/transcriptome/O_fasciatus/Sup_tab1/links/SMART\of-new-contig_262-SMART.txt","TBC")</f>
        <v>TBC</v>
      </c>
      <c r="AV245" s="2" t="str">
        <f>HYPERLINK("http://smart.embl-heidelberg.de/smart/do_annotation.pl?DOMAIN=TBC&amp;BLAST=DUMMY","0.062")</f>
        <v>0.062</v>
      </c>
      <c r="AW245" s="3" t="s">
        <v>547</v>
      </c>
      <c r="AX245" s="2" t="s">
        <v>547</v>
      </c>
      <c r="AY245" s="3" t="s">
        <v>547</v>
      </c>
      <c r="AZ245" s="2" t="s">
        <v>547</v>
      </c>
    </row>
    <row r="246" spans="1:52" ht="11.25">
      <c r="A246" t="str">
        <f>HYPERLINK("http://exon.niaid.nih.gov/transcriptome/O_fasciatus/Sup_tab1/links/of-new\of-new-contig_202.txt","of-new-contig_202")</f>
        <v>of-new-contig_202</v>
      </c>
      <c r="B246" t="str">
        <f>HYPERLINK("http://exon.niaid.nih.gov/transcriptome/O_fasciatus/Sup_tab1/links/of-new\of-new-5-64-64-asb-202.txt","Contig-202")</f>
        <v>Contig-202</v>
      </c>
      <c r="C246" t="str">
        <f>HYPERLINK("http://exon.niaid.nih.gov/transcriptome/O_fasciatus/Sup_tab1/links/of-new\of-new-5-64-64-202-CLU.txt","Contig202")</f>
        <v>Contig202</v>
      </c>
      <c r="D246">
        <v>1</v>
      </c>
      <c r="E246">
        <v>333</v>
      </c>
      <c r="F246" t="str">
        <f>HYPERLINK("http://exon.niaid.nih.gov/transcriptome/O_fasciatus/Sup_tab1/links/of-new\of-new-5-64-64-202-qual.txt","63.3")</f>
        <v>63.3</v>
      </c>
      <c r="G246" t="s">
        <v>541</v>
      </c>
      <c r="H246">
        <v>74.5</v>
      </c>
      <c r="I246">
        <v>314</v>
      </c>
      <c r="J246">
        <v>202</v>
      </c>
      <c r="K246" t="s">
        <v>1280</v>
      </c>
      <c r="L246">
        <v>314</v>
      </c>
      <c r="M246" s="3" t="str">
        <f>HYPERLINK("http://exon.niaid.nih.gov/transcriptome/O_fasciatus/Sup_tab1/links/NR\of-new-contig_202-NR.txt","hypothetical protein [Plasmodium falciparum 3D7]")</f>
        <v>hypothetical protein [Plasmodium falciparum 3D7]</v>
      </c>
      <c r="N246" s="2" t="str">
        <f>HYPERLINK("http://www.ncbi.nlm.nih.gov/sutils/blink.cgi?pid=23613639","7.2")</f>
        <v>7.2</v>
      </c>
      <c r="O246" t="s">
        <v>726</v>
      </c>
      <c r="P246">
        <v>41</v>
      </c>
      <c r="Q246">
        <v>1568</v>
      </c>
      <c r="R246">
        <v>34</v>
      </c>
      <c r="S246">
        <v>3</v>
      </c>
      <c r="T246">
        <v>1021</v>
      </c>
      <c r="U246">
        <v>177</v>
      </c>
      <c r="V246">
        <v>1</v>
      </c>
      <c r="W246" t="s">
        <v>1412</v>
      </c>
      <c r="X246" t="s">
        <v>648</v>
      </c>
      <c r="Y246" t="s">
        <v>727</v>
      </c>
      <c r="Z246" s="4" t="s">
        <v>1025</v>
      </c>
      <c r="AA246" t="s">
        <v>1015</v>
      </c>
      <c r="AB246" s="3" t="s">
        <v>547</v>
      </c>
      <c r="AC246" s="2" t="s">
        <v>547</v>
      </c>
      <c r="AD246" s="4" t="s">
        <v>547</v>
      </c>
      <c r="AE246" t="s">
        <v>547</v>
      </c>
      <c r="AF246" t="s">
        <v>547</v>
      </c>
      <c r="AG246" s="4" t="s">
        <v>547</v>
      </c>
      <c r="AH246" t="s">
        <v>547</v>
      </c>
      <c r="AI246" t="s">
        <v>547</v>
      </c>
      <c r="AJ246" s="4" t="s">
        <v>547</v>
      </c>
      <c r="AK246" t="s">
        <v>547</v>
      </c>
      <c r="AL246" t="s">
        <v>547</v>
      </c>
      <c r="AM246" s="3" t="str">
        <f>HYPERLINK("http://exon.niaid.nih.gov/transcriptome/O_fasciatus/Sup_tab1/links/KOG\of-new-contig_202-KOG.txt","Beta-N-acetylhexosaminidase")</f>
        <v>Beta-N-acetylhexosaminidase</v>
      </c>
      <c r="AN246" s="2" t="str">
        <f>HYPERLINK("http://www.ncbi.nlm.nih.gov/COG/new/shokog.cgi?KOG2499","0.13")</f>
        <v>0.13</v>
      </c>
      <c r="AO246" t="s">
        <v>513</v>
      </c>
      <c r="AP246" s="3" t="str">
        <f>HYPERLINK("http://exon.niaid.nih.gov/transcriptome/O_fasciatus/Sup_tab1/links/CDD\of-new-contig_202-CDD.txt","Acyl_transf_3")</f>
        <v>Acyl_transf_3</v>
      </c>
      <c r="AQ246" s="2" t="str">
        <f>HYPERLINK("http://www.ncbi.nlm.nih.gov/Structure/cdd/cddsrv.cgi?uid=pfam01757&amp;version=v4.0","0.083")</f>
        <v>0.083</v>
      </c>
      <c r="AR246" t="s">
        <v>728</v>
      </c>
      <c r="AS246" s="3" t="str">
        <f>HYPERLINK("http://exon.niaid.nih.gov/transcriptome/O_fasciatus/Sup_tab1/links/PFAM\of-new-contig_202-PFAM.txt","Acyl_transf_3")</f>
        <v>Acyl_transf_3</v>
      </c>
      <c r="AT246" s="2" t="str">
        <f>HYPERLINK("http://pfam.wustl.edu/cgi-bin/getdesc?acc=PF01757","0.045")</f>
        <v>0.045</v>
      </c>
      <c r="AU246" s="3" t="str">
        <f>HYPERLINK("http://exon.niaid.nih.gov/transcriptome/O_fasciatus/Sup_tab1/links/SMART\of-new-contig_202-SMART.txt","IL1")</f>
        <v>IL1</v>
      </c>
      <c r="AV246" s="2" t="str">
        <f>HYPERLINK("http://smart.embl-heidelberg.de/smart/do_annotation.pl?DOMAIN=IL1&amp;BLAST=DUMMY","0.34")</f>
        <v>0.34</v>
      </c>
      <c r="AW246" s="3" t="s">
        <v>547</v>
      </c>
      <c r="AX246" s="2" t="s">
        <v>547</v>
      </c>
      <c r="AY246" s="3" t="s">
        <v>547</v>
      </c>
      <c r="AZ246" s="2" t="s">
        <v>547</v>
      </c>
    </row>
    <row r="247" spans="1:52" ht="11.25">
      <c r="A247" t="str">
        <f>HYPERLINK("http://exon.niaid.nih.gov/transcriptome/O_fasciatus/Sup_tab1/links/of-new\of-new-contig_238.txt","of-new-contig_238")</f>
        <v>of-new-contig_238</v>
      </c>
      <c r="B247" t="str">
        <f>HYPERLINK("http://exon.niaid.nih.gov/transcriptome/O_fasciatus/Sup_tab1/links/of-new\of-new-5-64-64-asb-238.txt","Contig-238")</f>
        <v>Contig-238</v>
      </c>
      <c r="C247" t="str">
        <f>HYPERLINK("http://exon.niaid.nih.gov/transcriptome/O_fasciatus/Sup_tab1/links/of-new\of-new-5-64-64-238-CLU.txt","Contig238")</f>
        <v>Contig238</v>
      </c>
      <c r="D247">
        <v>1</v>
      </c>
      <c r="E247">
        <v>322</v>
      </c>
      <c r="F247" t="str">
        <f>HYPERLINK("http://exon.niaid.nih.gov/transcriptome/O_fasciatus/Sup_tab1/links/of-new\of-new-5-64-64-238-qual.txt","48.2")</f>
        <v>48.2</v>
      </c>
      <c r="G247" t="s">
        <v>541</v>
      </c>
      <c r="H247">
        <v>73.9</v>
      </c>
      <c r="I247">
        <v>303</v>
      </c>
      <c r="J247">
        <v>238</v>
      </c>
      <c r="K247" t="s">
        <v>1316</v>
      </c>
      <c r="L247">
        <v>303</v>
      </c>
      <c r="M247" s="3" t="str">
        <f>HYPERLINK("http://exon.niaid.nih.gov/transcriptome/O_fasciatus/Sup_tab1/links/NR\of-new-contig_238-NR.txt","non-ribosomal peptide synthase")</f>
        <v>non-ribosomal peptide synthase</v>
      </c>
      <c r="N247" s="2" t="str">
        <f>HYPERLINK("http://www.ncbi.nlm.nih.gov/sutils/blink.cgi?pid=46425383","0.65")</f>
        <v>0.65</v>
      </c>
      <c r="O247" t="s">
        <v>269</v>
      </c>
      <c r="P247">
        <v>56</v>
      </c>
      <c r="Q247">
        <v>941</v>
      </c>
      <c r="R247">
        <v>33</v>
      </c>
      <c r="S247">
        <v>6</v>
      </c>
      <c r="T247">
        <v>192</v>
      </c>
      <c r="U247">
        <v>72</v>
      </c>
      <c r="V247">
        <v>1</v>
      </c>
      <c r="W247" t="s">
        <v>1412</v>
      </c>
      <c r="X247" t="s">
        <v>270</v>
      </c>
      <c r="Y247" t="s">
        <v>271</v>
      </c>
      <c r="Z247" s="4" t="s">
        <v>1025</v>
      </c>
      <c r="AA247" t="s">
        <v>1015</v>
      </c>
      <c r="AB247" s="3" t="s">
        <v>547</v>
      </c>
      <c r="AC247" s="2" t="s">
        <v>547</v>
      </c>
      <c r="AD247" s="4" t="s">
        <v>547</v>
      </c>
      <c r="AE247" t="s">
        <v>547</v>
      </c>
      <c r="AF247" t="s">
        <v>547</v>
      </c>
      <c r="AG247" s="4" t="s">
        <v>547</v>
      </c>
      <c r="AH247" t="s">
        <v>547</v>
      </c>
      <c r="AI247" t="s">
        <v>547</v>
      </c>
      <c r="AJ247" s="4" t="s">
        <v>547</v>
      </c>
      <c r="AK247" t="s">
        <v>547</v>
      </c>
      <c r="AL247" t="s">
        <v>547</v>
      </c>
      <c r="AM247" s="3" t="str">
        <f>HYPERLINK("http://exon.niaid.nih.gov/transcriptome/O_fasciatus/Sup_tab1/links/KOG\of-new-contig_238-KOG.txt","Cytoskeletal regulator Flightless-I (contains leucine-rich and gelsolin repeats)")</f>
        <v>Cytoskeletal regulator Flightless-I (contains leucine-rich and gelsolin repeats)</v>
      </c>
      <c r="AN247" s="2" t="str">
        <f>HYPERLINK("http://www.ncbi.nlm.nih.gov/COG/new/shokog.cgi?KOG0444","0.073")</f>
        <v>0.073</v>
      </c>
      <c r="AO247" t="s">
        <v>1665</v>
      </c>
      <c r="AP247" s="3" t="str">
        <f>HYPERLINK("http://exon.niaid.nih.gov/transcriptome/O_fasciatus/Sup_tab1/links/CDD\of-new-contig_238-CDD.txt","EscU")</f>
        <v>EscU</v>
      </c>
      <c r="AQ247" s="2" t="str">
        <f>HYPERLINK("http://www.ncbi.nlm.nih.gov/Structure/cdd/cddsrv.cgi?uid=COG4792&amp;version=v4.0","0.23")</f>
        <v>0.23</v>
      </c>
      <c r="AR247" t="s">
        <v>272</v>
      </c>
      <c r="AS247" s="3" t="str">
        <f>HYPERLINK("http://exon.niaid.nih.gov/transcriptome/O_fasciatus/Sup_tab1/links/PFAM\of-new-contig_238-PFAM.txt","UPF0259")</f>
        <v>UPF0259</v>
      </c>
      <c r="AT247" s="2" t="str">
        <f>HYPERLINK("http://pfam.wustl.edu/cgi-bin/getdesc?acc=PF06790","0.18")</f>
        <v>0.18</v>
      </c>
      <c r="AU247" s="3" t="str">
        <f>HYPERLINK("http://exon.niaid.nih.gov/transcriptome/O_fasciatus/Sup_tab1/links/SMART\of-new-contig_238-SMART.txt","PSN")</f>
        <v>PSN</v>
      </c>
      <c r="AV247" s="2" t="str">
        <f>HYPERLINK("http://smart.embl-heidelberg.de/smart/do_annotation.pl?DOMAIN=PSN&amp;BLAST=DUMMY","0.16")</f>
        <v>0.16</v>
      </c>
      <c r="AW247" s="3" t="s">
        <v>547</v>
      </c>
      <c r="AX247" s="2" t="s">
        <v>547</v>
      </c>
      <c r="AY247" s="3" t="s">
        <v>547</v>
      </c>
      <c r="AZ247" s="2" t="s">
        <v>547</v>
      </c>
    </row>
    <row r="248" spans="1:52" ht="11.25">
      <c r="A248" t="str">
        <f>HYPERLINK("http://exon.niaid.nih.gov/transcriptome/O_fasciatus/Sup_tab1/links/of-new\of-new-contig_263.txt","of-new-contig_263")</f>
        <v>of-new-contig_263</v>
      </c>
      <c r="B248" t="str">
        <f>HYPERLINK("http://exon.niaid.nih.gov/transcriptome/O_fasciatus/Sup_tab1/links/of-new\of-new-5-64-64-asb-263.txt","Contig-263")</f>
        <v>Contig-263</v>
      </c>
      <c r="C248" t="str">
        <f>HYPERLINK("http://exon.niaid.nih.gov/transcriptome/O_fasciatus/Sup_tab1/links/of-new\of-new-5-64-64-263-CLU.txt","Contig263")</f>
        <v>Contig263</v>
      </c>
      <c r="D248">
        <v>1</v>
      </c>
      <c r="E248">
        <v>319</v>
      </c>
      <c r="F248" t="str">
        <f>HYPERLINK("http://exon.niaid.nih.gov/transcriptome/O_fasciatus/Sup_tab1/links/of-new\of-new-5-64-64-263-qual.txt","63.4")</f>
        <v>63.4</v>
      </c>
      <c r="G248" t="s">
        <v>541</v>
      </c>
      <c r="H248">
        <v>78.1</v>
      </c>
      <c r="I248">
        <v>300</v>
      </c>
      <c r="J248">
        <v>263</v>
      </c>
      <c r="K248" t="s">
        <v>1341</v>
      </c>
      <c r="L248">
        <v>300</v>
      </c>
      <c r="N248" s="2" t="s">
        <v>547</v>
      </c>
      <c r="O248" t="s">
        <v>547</v>
      </c>
      <c r="P248" t="s">
        <v>547</v>
      </c>
      <c r="Q248" t="s">
        <v>547</v>
      </c>
      <c r="R248" t="s">
        <v>547</v>
      </c>
      <c r="S248" t="s">
        <v>547</v>
      </c>
      <c r="T248" t="s">
        <v>547</v>
      </c>
      <c r="U248" t="s">
        <v>547</v>
      </c>
      <c r="V248" t="s">
        <v>547</v>
      </c>
      <c r="W248" t="s">
        <v>547</v>
      </c>
      <c r="X248" t="s">
        <v>547</v>
      </c>
      <c r="Y248" t="s">
        <v>547</v>
      </c>
      <c r="Z248" s="4" t="s">
        <v>1025</v>
      </c>
      <c r="AA248" t="s">
        <v>1015</v>
      </c>
      <c r="AB248" s="3" t="s">
        <v>547</v>
      </c>
      <c r="AC248" s="2" t="s">
        <v>547</v>
      </c>
      <c r="AD248" s="4" t="s">
        <v>547</v>
      </c>
      <c r="AE248" t="s">
        <v>547</v>
      </c>
      <c r="AF248" t="s">
        <v>547</v>
      </c>
      <c r="AG248" s="4" t="s">
        <v>547</v>
      </c>
      <c r="AH248" t="s">
        <v>547</v>
      </c>
      <c r="AI248" t="s">
        <v>547</v>
      </c>
      <c r="AJ248" s="4" t="s">
        <v>547</v>
      </c>
      <c r="AK248" t="s">
        <v>547</v>
      </c>
      <c r="AL248" t="s">
        <v>547</v>
      </c>
      <c r="AM248" s="3" t="str">
        <f>HYPERLINK("http://exon.niaid.nih.gov/transcriptome/O_fasciatus/Sup_tab1/links/KOG\of-new-contig_263-KOG.txt","Uncharacterized conserved protein")</f>
        <v>Uncharacterized conserved protein</v>
      </c>
      <c r="AN248" s="2" t="str">
        <f>HYPERLINK("http://www.ncbi.nlm.nih.gov/COG/new/shokog.cgi?KOG3828","0.37")</f>
        <v>0.37</v>
      </c>
      <c r="AO248" t="s">
        <v>881</v>
      </c>
      <c r="AP248" s="3" t="str">
        <f>HYPERLINK("http://exon.niaid.nih.gov/transcriptome/O_fasciatus/Sup_tab1/links/CDD\of-new-contig_263-CDD.txt","IPPc")</f>
        <v>IPPc</v>
      </c>
      <c r="AQ248" s="2" t="str">
        <f>HYPERLINK("http://www.ncbi.nlm.nih.gov/Structure/cdd/cddsrv.cgi?uid=smart00128&amp;version=v4.0","0.82")</f>
        <v>0.82</v>
      </c>
      <c r="AR248" t="s">
        <v>443</v>
      </c>
      <c r="AS248" s="3" t="str">
        <f>HYPERLINK("http://exon.niaid.nih.gov/transcriptome/O_fasciatus/Sup_tab1/links/PFAM\of-new-contig_263-PFAM.txt","RAP-1")</f>
        <v>RAP-1</v>
      </c>
      <c r="AT248" s="2" t="str">
        <f>HYPERLINK("http://pfam.wustl.edu/cgi-bin/getdesc?acc=PF03085","0.84")</f>
        <v>0.84</v>
      </c>
      <c r="AU248" s="3" t="str">
        <f>HYPERLINK("http://exon.niaid.nih.gov/transcriptome/O_fasciatus/Sup_tab1/links/SMART\of-new-contig_263-SMART.txt","IPPc")</f>
        <v>IPPc</v>
      </c>
      <c r="AV248" s="2" t="str">
        <f>HYPERLINK("http://smart.embl-heidelberg.de/smart/do_annotation.pl?DOMAIN=IPPc&amp;BLAST=DUMMY","0.026")</f>
        <v>0.026</v>
      </c>
      <c r="AW248" s="3" t="s">
        <v>547</v>
      </c>
      <c r="AX248" s="2" t="s">
        <v>547</v>
      </c>
      <c r="AY248" s="3" t="s">
        <v>547</v>
      </c>
      <c r="AZ248" s="2" t="s">
        <v>547</v>
      </c>
    </row>
    <row r="249" spans="1:52" ht="11.25">
      <c r="A249" t="str">
        <f>HYPERLINK("http://exon.niaid.nih.gov/transcriptome/O_fasciatus/Sup_tab1/links/of-new\of-new-contig_249.txt","of-new-contig_249")</f>
        <v>of-new-contig_249</v>
      </c>
      <c r="B249" t="str">
        <f>HYPERLINK("http://exon.niaid.nih.gov/transcriptome/O_fasciatus/Sup_tab1/links/of-new\of-new-5-64-64-asb-249.txt","Contig-249")</f>
        <v>Contig-249</v>
      </c>
      <c r="C249" t="str">
        <f>HYPERLINK("http://exon.niaid.nih.gov/transcriptome/O_fasciatus/Sup_tab1/links/of-new\of-new-5-64-64-249-CLU.txt","Contig249")</f>
        <v>Contig249</v>
      </c>
      <c r="D249">
        <v>1</v>
      </c>
      <c r="E249">
        <v>318</v>
      </c>
      <c r="F249" t="str">
        <f>HYPERLINK("http://exon.niaid.nih.gov/transcriptome/O_fasciatus/Sup_tab1/links/of-new\of-new-5-64-64-249-qual.txt","60.9")</f>
        <v>60.9</v>
      </c>
      <c r="G249" t="s">
        <v>541</v>
      </c>
      <c r="H249">
        <v>65.1</v>
      </c>
      <c r="I249">
        <v>299</v>
      </c>
      <c r="J249">
        <v>249</v>
      </c>
      <c r="K249" t="s">
        <v>1327</v>
      </c>
      <c r="L249">
        <v>299</v>
      </c>
      <c r="M249" s="3" t="str">
        <f>HYPERLINK("http://exon.niaid.nih.gov/transcriptome/O_fasciatus/Sup_tab1/links/NR\of-new-contig_249-NR.txt","NT02FT0420")</f>
        <v>NT02FT0420</v>
      </c>
      <c r="N249" s="2" t="str">
        <f>HYPERLINK("http://www.ncbi.nlm.nih.gov/sutils/blink.cgi?pid=54113801","1.9")</f>
        <v>1.9</v>
      </c>
      <c r="O249" t="s">
        <v>405</v>
      </c>
      <c r="P249">
        <v>57</v>
      </c>
      <c r="Q249">
        <v>216</v>
      </c>
      <c r="R249">
        <v>36</v>
      </c>
      <c r="S249">
        <v>26</v>
      </c>
      <c r="T249">
        <v>60</v>
      </c>
      <c r="U249">
        <v>77</v>
      </c>
      <c r="V249">
        <v>1</v>
      </c>
      <c r="W249" t="s">
        <v>1412</v>
      </c>
      <c r="X249" t="s">
        <v>926</v>
      </c>
      <c r="Y249" t="s">
        <v>406</v>
      </c>
      <c r="Z249" s="4" t="s">
        <v>1025</v>
      </c>
      <c r="AA249" t="s">
        <v>1015</v>
      </c>
      <c r="AB249" s="3" t="s">
        <v>547</v>
      </c>
      <c r="AC249" s="2" t="s">
        <v>547</v>
      </c>
      <c r="AD249" s="4" t="s">
        <v>547</v>
      </c>
      <c r="AE249" t="s">
        <v>547</v>
      </c>
      <c r="AF249" t="s">
        <v>547</v>
      </c>
      <c r="AG249" s="4" t="s">
        <v>547</v>
      </c>
      <c r="AH249" t="s">
        <v>547</v>
      </c>
      <c r="AI249" t="s">
        <v>547</v>
      </c>
      <c r="AJ249" s="4" t="s">
        <v>547</v>
      </c>
      <c r="AK249" t="s">
        <v>547</v>
      </c>
      <c r="AL249" t="s">
        <v>547</v>
      </c>
      <c r="AM249" s="3" t="str">
        <f>HYPERLINK("http://exon.niaid.nih.gov/transcriptome/O_fasciatus/Sup_tab1/links/KOG\of-new-contig_249-KOG.txt","Apoptotic ATPase")</f>
        <v>Apoptotic ATPase</v>
      </c>
      <c r="AN249" s="2" t="str">
        <f>HYPERLINK("http://www.ncbi.nlm.nih.gov/COG/new/shokog.cgi?KOG4658","0.48")</f>
        <v>0.48</v>
      </c>
      <c r="AO249" t="s">
        <v>1521</v>
      </c>
      <c r="AP249" s="3" t="str">
        <f>HYPERLINK("http://exon.niaid.nih.gov/transcriptome/O_fasciatus/Sup_tab1/links/CDD\of-new-contig_249-CDD.txt","DUF499")</f>
        <v>DUF499</v>
      </c>
      <c r="AQ249" s="2" t="str">
        <f>HYPERLINK("http://www.ncbi.nlm.nih.gov/Structure/cdd/cddsrv.cgi?uid=pfam04465&amp;version=v4.0","0.99")</f>
        <v>0.99</v>
      </c>
      <c r="AR249" t="s">
        <v>407</v>
      </c>
      <c r="AS249" s="3" t="str">
        <f>HYPERLINK("http://exon.niaid.nih.gov/transcriptome/O_fasciatus/Sup_tab1/links/PFAM\of-new-contig_249-PFAM.txt","DUF499")</f>
        <v>DUF499</v>
      </c>
      <c r="AT249" s="2" t="str">
        <f>HYPERLINK("http://pfam.wustl.edu/cgi-bin/getdesc?acc=PF04465","0.51")</f>
        <v>0.51</v>
      </c>
      <c r="AU249" s="3" t="str">
        <f>HYPERLINK("http://exon.niaid.nih.gov/transcriptome/O_fasciatus/Sup_tab1/links/SMART\of-new-contig_249-SMART.txt","CSP")</f>
        <v>CSP</v>
      </c>
      <c r="AV249" s="2" t="str">
        <f>HYPERLINK("http://smart.embl-heidelberg.de/smart/do_annotation.pl?DOMAIN=CSP&amp;BLAST=DUMMY","0.10")</f>
        <v>0.10</v>
      </c>
      <c r="AW249" s="3" t="s">
        <v>547</v>
      </c>
      <c r="AX249" s="2" t="s">
        <v>547</v>
      </c>
      <c r="AY249" s="3" t="s">
        <v>547</v>
      </c>
      <c r="AZ249" s="2" t="s">
        <v>547</v>
      </c>
    </row>
    <row r="250" spans="1:52" ht="11.25">
      <c r="A250" t="str">
        <f>HYPERLINK("http://exon.niaid.nih.gov/transcriptome/O_fasciatus/Sup_tab1/links/of-new\of-new-contig_259.txt","of-new-contig_259")</f>
        <v>of-new-contig_259</v>
      </c>
      <c r="B250" t="str">
        <f>HYPERLINK("http://exon.niaid.nih.gov/transcriptome/O_fasciatus/Sup_tab1/links/of-new\of-new-5-64-64-asb-259.txt","Contig-259")</f>
        <v>Contig-259</v>
      </c>
      <c r="C250" t="str">
        <f>HYPERLINK("http://exon.niaid.nih.gov/transcriptome/O_fasciatus/Sup_tab1/links/of-new\of-new-5-64-64-259-CLU.txt","Contig259")</f>
        <v>Contig259</v>
      </c>
      <c r="D250">
        <v>1</v>
      </c>
      <c r="E250">
        <v>315</v>
      </c>
      <c r="F250" t="str">
        <f>HYPERLINK("http://exon.niaid.nih.gov/transcriptome/O_fasciatus/Sup_tab1/links/of-new\of-new-5-64-64-259-qual.txt","55.5")</f>
        <v>55.5</v>
      </c>
      <c r="G250" t="s">
        <v>541</v>
      </c>
      <c r="H250">
        <v>76.2</v>
      </c>
      <c r="I250">
        <v>296</v>
      </c>
      <c r="J250">
        <v>259</v>
      </c>
      <c r="K250" t="s">
        <v>1337</v>
      </c>
      <c r="L250">
        <v>296</v>
      </c>
      <c r="M250" s="3" t="str">
        <f>HYPERLINK("http://exon.niaid.nih.gov/transcriptome/O_fasciatus/Sup_tab1/links/NR\of-new-contig_259-NR.txt","hypothetical protein TTHERM_00684500")</f>
        <v>hypothetical protein TTHERM_00684500</v>
      </c>
      <c r="N250" s="2" t="str">
        <f>HYPERLINK("http://www.ncbi.nlm.nih.gov/sutils/blink.cgi?pid=89306918","4.3")</f>
        <v>4.3</v>
      </c>
      <c r="O250" t="s">
        <v>432</v>
      </c>
      <c r="P250">
        <v>87</v>
      </c>
      <c r="Q250">
        <v>4228</v>
      </c>
      <c r="R250">
        <v>28</v>
      </c>
      <c r="S250">
        <v>2</v>
      </c>
      <c r="T250">
        <v>140</v>
      </c>
      <c r="U250">
        <v>34</v>
      </c>
      <c r="V250">
        <v>1</v>
      </c>
      <c r="W250" t="s">
        <v>1412</v>
      </c>
      <c r="X250" t="s">
        <v>455</v>
      </c>
      <c r="Y250" t="s">
        <v>433</v>
      </c>
      <c r="Z250" s="4" t="s">
        <v>1025</v>
      </c>
      <c r="AA250" t="s">
        <v>1015</v>
      </c>
      <c r="AB250" s="3" t="s">
        <v>547</v>
      </c>
      <c r="AC250" s="2" t="s">
        <v>547</v>
      </c>
      <c r="AD250" s="4" t="s">
        <v>547</v>
      </c>
      <c r="AE250" t="s">
        <v>547</v>
      </c>
      <c r="AF250" t="s">
        <v>547</v>
      </c>
      <c r="AG250" s="4" t="s">
        <v>547</v>
      </c>
      <c r="AH250" t="s">
        <v>547</v>
      </c>
      <c r="AI250" t="s">
        <v>547</v>
      </c>
      <c r="AJ250" s="4" t="s">
        <v>547</v>
      </c>
      <c r="AK250" t="s">
        <v>547</v>
      </c>
      <c r="AL250" t="s">
        <v>547</v>
      </c>
      <c r="AM250" s="3" t="str">
        <f>HYPERLINK("http://exon.niaid.nih.gov/transcriptome/O_fasciatus/Sup_tab1/links/KOG\of-new-contig_259-KOG.txt","Pleiotropic drug resistance proteins (PDR1-15), ABC superfamily")</f>
        <v>Pleiotropic drug resistance proteins (PDR1-15), ABC superfamily</v>
      </c>
      <c r="AN250" s="2" t="str">
        <f>HYPERLINK("http://www.ncbi.nlm.nih.gov/COG/new/shokog.cgi?KOG0065","0.10")</f>
        <v>0.10</v>
      </c>
      <c r="AO250" t="s">
        <v>338</v>
      </c>
      <c r="AP250" s="3" t="str">
        <f>HYPERLINK("http://exon.niaid.nih.gov/transcriptome/O_fasciatus/Sup_tab1/links/CDD\of-new-contig_259-CDD.txt","PMT1")</f>
        <v>PMT1</v>
      </c>
      <c r="AQ250" s="2" t="str">
        <f>HYPERLINK("http://www.ncbi.nlm.nih.gov/Structure/cdd/cddsrv.cgi?uid=COG1928&amp;version=v4.0","0.22")</f>
        <v>0.22</v>
      </c>
      <c r="AR250" t="s">
        <v>434</v>
      </c>
      <c r="AS250" s="3" t="str">
        <f>HYPERLINK("http://exon.niaid.nih.gov/transcriptome/O_fasciatus/Sup_tab1/links/PFAM\of-new-contig_259-PFAM.txt","Sra")</f>
        <v>Sra</v>
      </c>
      <c r="AT250" s="2" t="str">
        <f>HYPERLINK("http://pfam.wustl.edu/cgi-bin/getdesc?acc=PF02117","0.34")</f>
        <v>0.34</v>
      </c>
      <c r="AU250" s="3" t="s">
        <v>547</v>
      </c>
      <c r="AV250" s="2" t="s">
        <v>547</v>
      </c>
      <c r="AW250" s="3" t="s">
        <v>547</v>
      </c>
      <c r="AX250" s="2" t="s">
        <v>547</v>
      </c>
      <c r="AY250" s="3" t="s">
        <v>547</v>
      </c>
      <c r="AZ250" s="2" t="s">
        <v>547</v>
      </c>
    </row>
    <row r="251" spans="1:52" ht="11.25">
      <c r="A251" t="str">
        <f>HYPERLINK("http://exon.niaid.nih.gov/transcriptome/O_fasciatus/Sup_tab1/links/of-new\of-new-contig_293.txt","of-new-contig_293")</f>
        <v>of-new-contig_293</v>
      </c>
      <c r="B251" t="str">
        <f>HYPERLINK("http://exon.niaid.nih.gov/transcriptome/O_fasciatus/Sup_tab1/links/of-new\of-new-5-64-64-asb-293.txt","Contig-293")</f>
        <v>Contig-293</v>
      </c>
      <c r="C251" t="str">
        <f>HYPERLINK("http://exon.niaid.nih.gov/transcriptome/O_fasciatus/Sup_tab1/links/of-new\of-new-5-64-64-293-CLU.txt","Contig293")</f>
        <v>Contig293</v>
      </c>
      <c r="D251">
        <v>1</v>
      </c>
      <c r="E251">
        <v>314</v>
      </c>
      <c r="F251" t="str">
        <f>HYPERLINK("http://exon.niaid.nih.gov/transcriptome/O_fasciatus/Sup_tab1/links/of-new\of-new-5-64-64-293-qual.txt","62.7")</f>
        <v>62.7</v>
      </c>
      <c r="G251" t="s">
        <v>541</v>
      </c>
      <c r="H251">
        <v>65</v>
      </c>
      <c r="I251">
        <v>295</v>
      </c>
      <c r="J251">
        <v>293</v>
      </c>
      <c r="K251" t="s">
        <v>1371</v>
      </c>
      <c r="L251">
        <v>295</v>
      </c>
      <c r="N251" s="2" t="s">
        <v>547</v>
      </c>
      <c r="O251" t="s">
        <v>547</v>
      </c>
      <c r="P251" t="s">
        <v>547</v>
      </c>
      <c r="Q251" t="s">
        <v>547</v>
      </c>
      <c r="R251" t="s">
        <v>547</v>
      </c>
      <c r="S251" t="s">
        <v>547</v>
      </c>
      <c r="T251" t="s">
        <v>547</v>
      </c>
      <c r="U251" t="s">
        <v>547</v>
      </c>
      <c r="V251" t="s">
        <v>547</v>
      </c>
      <c r="W251" t="s">
        <v>547</v>
      </c>
      <c r="X251" t="s">
        <v>547</v>
      </c>
      <c r="Y251" t="s">
        <v>547</v>
      </c>
      <c r="Z251" s="4" t="s">
        <v>1025</v>
      </c>
      <c r="AA251" t="s">
        <v>1015</v>
      </c>
      <c r="AB251" s="3" t="s">
        <v>547</v>
      </c>
      <c r="AC251" s="2" t="s">
        <v>547</v>
      </c>
      <c r="AD251" s="4" t="s">
        <v>547</v>
      </c>
      <c r="AE251" t="s">
        <v>547</v>
      </c>
      <c r="AF251" t="s">
        <v>547</v>
      </c>
      <c r="AG251" s="4" t="s">
        <v>547</v>
      </c>
      <c r="AH251" t="s">
        <v>547</v>
      </c>
      <c r="AI251" t="s">
        <v>547</v>
      </c>
      <c r="AJ251" s="4" t="s">
        <v>547</v>
      </c>
      <c r="AK251" t="s">
        <v>547</v>
      </c>
      <c r="AL251" t="s">
        <v>547</v>
      </c>
      <c r="AM251" s="3" t="str">
        <f>HYPERLINK("http://exon.niaid.nih.gov/transcriptome/O_fasciatus/Sup_tab1/links/KOG\of-new-contig_293-KOG.txt","Ribonucleases P/MRP protein subunit")</f>
        <v>Ribonucleases P/MRP protein subunit</v>
      </c>
      <c r="AN251" s="2" t="str">
        <f>HYPERLINK("http://www.ncbi.nlm.nih.gov/COG/new/shokog.cgi?KOG3322","0.40")</f>
        <v>0.40</v>
      </c>
      <c r="AO251" t="s">
        <v>1677</v>
      </c>
      <c r="AP251" s="3" t="s">
        <v>547</v>
      </c>
      <c r="AQ251" s="2" t="s">
        <v>547</v>
      </c>
      <c r="AR251" t="s">
        <v>547</v>
      </c>
      <c r="AS251" s="3" t="s">
        <v>547</v>
      </c>
      <c r="AT251" s="2" t="s">
        <v>547</v>
      </c>
      <c r="AU251" s="3" t="str">
        <f>HYPERLINK("http://exon.niaid.nih.gov/transcriptome/O_fasciatus/Sup_tab1/links/SMART\of-new-contig_293-SMART.txt","ADEAMc")</f>
        <v>ADEAMc</v>
      </c>
      <c r="AV251" s="2" t="str">
        <f>HYPERLINK("http://smart.embl-heidelberg.de/smart/do_annotation.pl?DOMAIN=ADEAMc&amp;BLAST=DUMMY","0.16")</f>
        <v>0.16</v>
      </c>
      <c r="AW251" s="3" t="s">
        <v>547</v>
      </c>
      <c r="AX251" s="2" t="s">
        <v>547</v>
      </c>
      <c r="AY251" s="3" t="s">
        <v>547</v>
      </c>
      <c r="AZ251" s="2" t="s">
        <v>547</v>
      </c>
    </row>
    <row r="252" spans="1:52" ht="11.25">
      <c r="A252" t="str">
        <f>HYPERLINK("http://exon.niaid.nih.gov/transcriptome/O_fasciatus/Sup_tab1/links/of-new\of-new-contig_154.txt","of-new-contig_154")</f>
        <v>of-new-contig_154</v>
      </c>
      <c r="B252" t="str">
        <f>HYPERLINK("http://exon.niaid.nih.gov/transcriptome/O_fasciatus/Sup_tab1/links/of-new\of-new-5-64-64-asb-154.txt","Contig-154")</f>
        <v>Contig-154</v>
      </c>
      <c r="C252" t="str">
        <f>HYPERLINK("http://exon.niaid.nih.gov/transcriptome/O_fasciatus/Sup_tab1/links/of-new\of-new-5-64-64-154-CLU.txt","Contig154")</f>
        <v>Contig154</v>
      </c>
      <c r="D252">
        <v>1</v>
      </c>
      <c r="E252">
        <v>307</v>
      </c>
      <c r="F252" t="str">
        <f>HYPERLINK("http://exon.niaid.nih.gov/transcriptome/O_fasciatus/Sup_tab1/links/of-new\of-new-5-64-64-154-qual.txt","37.8")</f>
        <v>37.8</v>
      </c>
      <c r="G252" t="s">
        <v>541</v>
      </c>
      <c r="H252">
        <v>50.5</v>
      </c>
      <c r="I252">
        <v>288</v>
      </c>
      <c r="J252">
        <v>154</v>
      </c>
      <c r="K252" t="s">
        <v>1232</v>
      </c>
      <c r="L252">
        <v>288</v>
      </c>
      <c r="M252" s="3" t="str">
        <f>HYPERLINK("http://exon.niaid.nih.gov/transcriptome/O_fasciatus/Sup_tab1/links/NR\of-new-contig_154-NR.txt","hypothetical protein TTHERM_00780430")</f>
        <v>hypothetical protein TTHERM_00780430</v>
      </c>
      <c r="N252" s="2" t="str">
        <f>HYPERLINK("http://www.ncbi.nlm.nih.gov/sutils/blink.cgi?pid=89307966","3.2")</f>
        <v>3.2</v>
      </c>
      <c r="O252" t="s">
        <v>454</v>
      </c>
      <c r="P252">
        <v>51</v>
      </c>
      <c r="Q252">
        <v>1575</v>
      </c>
      <c r="R252">
        <v>33</v>
      </c>
      <c r="S252">
        <v>3</v>
      </c>
      <c r="T252">
        <v>415</v>
      </c>
      <c r="U252">
        <v>18</v>
      </c>
      <c r="V252">
        <v>1</v>
      </c>
      <c r="W252" t="s">
        <v>1412</v>
      </c>
      <c r="X252" t="s">
        <v>455</v>
      </c>
      <c r="Y252" t="s">
        <v>456</v>
      </c>
      <c r="Z252" s="4" t="s">
        <v>1025</v>
      </c>
      <c r="AA252" t="s">
        <v>1015</v>
      </c>
      <c r="AB252" s="3" t="s">
        <v>547</v>
      </c>
      <c r="AC252" s="2" t="s">
        <v>547</v>
      </c>
      <c r="AD252" s="4" t="s">
        <v>547</v>
      </c>
      <c r="AE252" t="s">
        <v>547</v>
      </c>
      <c r="AF252" t="s">
        <v>547</v>
      </c>
      <c r="AG252" s="4" t="s">
        <v>547</v>
      </c>
      <c r="AH252" t="s">
        <v>547</v>
      </c>
      <c r="AI252" t="s">
        <v>547</v>
      </c>
      <c r="AJ252" s="4" t="s">
        <v>547</v>
      </c>
      <c r="AK252" t="s">
        <v>547</v>
      </c>
      <c r="AL252" t="s">
        <v>547</v>
      </c>
      <c r="AM252" s="3" t="str">
        <f>HYPERLINK("http://exon.niaid.nih.gov/transcriptome/O_fasciatus/Sup_tab1/links/KOG\of-new-contig_154-KOG.txt","U4/U6 small nuclear ribonucleoprotein Prp4 (contains WD40 repeats)")</f>
        <v>U4/U6 small nuclear ribonucleoprotein Prp4 (contains WD40 repeats)</v>
      </c>
      <c r="AN252" s="2" t="str">
        <f>HYPERLINK("http://www.ncbi.nlm.nih.gov/COG/new/shokog.cgi?KOG0272","0.49")</f>
        <v>0.49</v>
      </c>
      <c r="AO252" t="s">
        <v>1677</v>
      </c>
      <c r="AP252" s="3" t="str">
        <f>HYPERLINK("http://exon.niaid.nih.gov/transcriptome/O_fasciatus/Sup_tab1/links/CDD\of-new-contig_154-CDD.txt","DUF194")</f>
        <v>DUF194</v>
      </c>
      <c r="AQ252" s="2" t="str">
        <f>HYPERLINK("http://www.ncbi.nlm.nih.gov/Structure/cdd/cddsrv.cgi?uid=pfam02645&amp;version=v4.0","0.76")</f>
        <v>0.76</v>
      </c>
      <c r="AR252" t="s">
        <v>457</v>
      </c>
      <c r="AS252" s="3" t="str">
        <f>HYPERLINK("http://exon.niaid.nih.gov/transcriptome/O_fasciatus/Sup_tab1/links/PFAM\of-new-contig_154-PFAM.txt","DUF194")</f>
        <v>DUF194</v>
      </c>
      <c r="AT252" s="2" t="str">
        <f>HYPERLINK("http://pfam.wustl.edu/cgi-bin/getdesc?acc=PF02645","0.39")</f>
        <v>0.39</v>
      </c>
      <c r="AU252" s="3" t="str">
        <f>HYPERLINK("http://exon.niaid.nih.gov/transcriptome/O_fasciatus/Sup_tab1/links/SMART\of-new-contig_154-SMART.txt","MeTrc")</f>
        <v>MeTrc</v>
      </c>
      <c r="AV252" s="2" t="str">
        <f>HYPERLINK("http://smart.embl-heidelberg.de/smart/do_annotation.pl?DOMAIN=MeTrc&amp;BLAST=DUMMY","0.27")</f>
        <v>0.27</v>
      </c>
      <c r="AW252" s="3" t="s">
        <v>547</v>
      </c>
      <c r="AX252" s="2" t="s">
        <v>547</v>
      </c>
      <c r="AY252" s="3" t="s">
        <v>547</v>
      </c>
      <c r="AZ252" s="2" t="s">
        <v>547</v>
      </c>
    </row>
    <row r="253" spans="1:52" ht="11.25">
      <c r="A253" t="str">
        <f>HYPERLINK("http://exon.niaid.nih.gov/transcriptome/O_fasciatus/Sup_tab1/links/of-new\of-new-contig_248.txt","of-new-contig_248")</f>
        <v>of-new-contig_248</v>
      </c>
      <c r="B253" t="str">
        <f>HYPERLINK("http://exon.niaid.nih.gov/transcriptome/O_fasciatus/Sup_tab1/links/of-new\of-new-5-64-64-asb-248.txt","Contig-248")</f>
        <v>Contig-248</v>
      </c>
      <c r="C253" t="str">
        <f>HYPERLINK("http://exon.niaid.nih.gov/transcriptome/O_fasciatus/Sup_tab1/links/of-new\of-new-5-64-64-248-CLU.txt","Contig248")</f>
        <v>Contig248</v>
      </c>
      <c r="D253">
        <v>1</v>
      </c>
      <c r="E253">
        <v>300</v>
      </c>
      <c r="F253" t="str">
        <f>HYPERLINK("http://exon.niaid.nih.gov/transcriptome/O_fasciatus/Sup_tab1/links/of-new\of-new-5-64-64-248-qual.txt","60.")</f>
        <v>60.</v>
      </c>
      <c r="G253" t="s">
        <v>541</v>
      </c>
      <c r="H253">
        <v>59</v>
      </c>
      <c r="I253">
        <v>281</v>
      </c>
      <c r="J253">
        <v>248</v>
      </c>
      <c r="K253" t="s">
        <v>1326</v>
      </c>
      <c r="L253">
        <v>281</v>
      </c>
      <c r="M253" s="3" t="str">
        <f>HYPERLINK("http://exon.niaid.nih.gov/transcriptome/O_fasciatus/Sup_tab1/links/NR\of-new-contig_248-NR.txt","lipoprotein, putative [Ralstonia eutropha JMP134]")</f>
        <v>lipoprotein, putative [Ralstonia eutropha JMP134]</v>
      </c>
      <c r="N253" s="2" t="str">
        <f>HYPERLINK("http://www.ncbi.nlm.nih.gov/sutils/blink.cgi?pid=73537892","1.9")</f>
        <v>1.9</v>
      </c>
      <c r="O253" t="s">
        <v>401</v>
      </c>
      <c r="P253">
        <v>43</v>
      </c>
      <c r="Q253">
        <v>117</v>
      </c>
      <c r="R253">
        <v>46</v>
      </c>
      <c r="S253">
        <v>37</v>
      </c>
      <c r="T253">
        <v>29</v>
      </c>
      <c r="U253">
        <v>60</v>
      </c>
      <c r="V253">
        <v>1</v>
      </c>
      <c r="W253" t="s">
        <v>1412</v>
      </c>
      <c r="X253" t="s">
        <v>402</v>
      </c>
      <c r="Y253" t="s">
        <v>403</v>
      </c>
      <c r="Z253" s="4" t="s">
        <v>1025</v>
      </c>
      <c r="AA253" t="s">
        <v>1015</v>
      </c>
      <c r="AB253" s="3" t="s">
        <v>547</v>
      </c>
      <c r="AC253" s="2" t="s">
        <v>547</v>
      </c>
      <c r="AD253" s="4" t="s">
        <v>547</v>
      </c>
      <c r="AE253" t="s">
        <v>547</v>
      </c>
      <c r="AF253" t="s">
        <v>547</v>
      </c>
      <c r="AG253" s="4" t="s">
        <v>547</v>
      </c>
      <c r="AH253" t="s">
        <v>547</v>
      </c>
      <c r="AI253" t="s">
        <v>547</v>
      </c>
      <c r="AJ253" s="4" t="s">
        <v>547</v>
      </c>
      <c r="AK253" t="s">
        <v>547</v>
      </c>
      <c r="AL253" t="s">
        <v>547</v>
      </c>
      <c r="AM253" s="3" t="str">
        <f>HYPERLINK("http://exon.niaid.nih.gov/transcriptome/O_fasciatus/Sup_tab1/links/KOG\of-new-contig_248-KOG.txt","Putative RNA binding protein")</f>
        <v>Putative RNA binding protein</v>
      </c>
      <c r="AN253" s="2" t="str">
        <f>HYPERLINK("http://www.ncbi.nlm.nih.gov/COG/new/shokog.cgi?KOG2888","0.20")</f>
        <v>0.20</v>
      </c>
      <c r="AO253" t="s">
        <v>1503</v>
      </c>
      <c r="AP253" s="3" t="str">
        <f>HYPERLINK("http://exon.niaid.nih.gov/transcriptome/O_fasciatus/Sup_tab1/links/CDD\of-new-contig_248-CDD.txt","ResB")</f>
        <v>ResB</v>
      </c>
      <c r="AQ253" s="2" t="str">
        <f>HYPERLINK("http://www.ncbi.nlm.nih.gov/Structure/cdd/cddsrv.cgi?uid=COG1333&amp;version=v4.0","0.33")</f>
        <v>0.33</v>
      </c>
      <c r="AR253" t="s">
        <v>404</v>
      </c>
      <c r="AS253" s="3" t="str">
        <f>HYPERLINK("http://exon.niaid.nih.gov/transcriptome/O_fasciatus/Sup_tab1/links/PFAM\of-new-contig_248-PFAM.txt","Calsarcin")</f>
        <v>Calsarcin</v>
      </c>
      <c r="AT253" s="2" t="str">
        <f>HYPERLINK("http://pfam.wustl.edu/cgi-bin/getdesc?acc=PF05556","0.58")</f>
        <v>0.58</v>
      </c>
      <c r="AU253" s="3" t="str">
        <f>HYPERLINK("http://exon.niaid.nih.gov/transcriptome/O_fasciatus/Sup_tab1/links/SMART\of-new-contig_248-SMART.txt","AAI")</f>
        <v>AAI</v>
      </c>
      <c r="AV253" s="2" t="str">
        <f>HYPERLINK("http://smart.embl-heidelberg.de/smart/do_annotation.pl?DOMAIN=AAI&amp;BLAST=DUMMY","0.25")</f>
        <v>0.25</v>
      </c>
      <c r="AW253" s="3" t="s">
        <v>547</v>
      </c>
      <c r="AX253" s="2" t="s">
        <v>547</v>
      </c>
      <c r="AY253" s="3" t="s">
        <v>547</v>
      </c>
      <c r="AZ253" s="2" t="s">
        <v>547</v>
      </c>
    </row>
    <row r="254" spans="1:52" ht="11.25">
      <c r="A254" t="str">
        <f>HYPERLINK("http://exon.niaid.nih.gov/transcriptome/O_fasciatus/Sup_tab1/links/of-new\of-new-contig_212.txt","of-new-contig_212")</f>
        <v>of-new-contig_212</v>
      </c>
      <c r="B254" t="str">
        <f>HYPERLINK("http://exon.niaid.nih.gov/transcriptome/O_fasciatus/Sup_tab1/links/of-new\of-new-5-64-64-asb-212.txt","Contig-212")</f>
        <v>Contig-212</v>
      </c>
      <c r="C254" t="str">
        <f>HYPERLINK("http://exon.niaid.nih.gov/transcriptome/O_fasciatus/Sup_tab1/links/of-new\of-new-5-64-64-212-CLU.txt","Contig212")</f>
        <v>Contig212</v>
      </c>
      <c r="D254">
        <v>1</v>
      </c>
      <c r="E254">
        <v>299</v>
      </c>
      <c r="F254" t="str">
        <f>HYPERLINK("http://exon.niaid.nih.gov/transcriptome/O_fasciatus/Sup_tab1/links/of-new\of-new-5-64-64-212-qual.txt","62.1")</f>
        <v>62.1</v>
      </c>
      <c r="G254" t="s">
        <v>541</v>
      </c>
      <c r="H254">
        <v>76.6</v>
      </c>
      <c r="I254">
        <v>280</v>
      </c>
      <c r="J254">
        <v>212</v>
      </c>
      <c r="K254" t="s">
        <v>1290</v>
      </c>
      <c r="L254">
        <v>280</v>
      </c>
      <c r="M254" s="3" t="str">
        <f>HYPERLINK("http://exon.niaid.nih.gov/transcriptome/O_fasciatus/Sup_tab1/links/NR\of-new-contig_212-NR.txt","hypothetical protein TTHERM_00008770")</f>
        <v>hypothetical protein TTHERM_00008770</v>
      </c>
      <c r="N254" s="2" t="str">
        <f>HYPERLINK("http://www.ncbi.nlm.nih.gov/sutils/blink.cgi?pid=89289927","7.1")</f>
        <v>7.1</v>
      </c>
      <c r="O254" t="s">
        <v>762</v>
      </c>
      <c r="P254">
        <v>51</v>
      </c>
      <c r="Q254">
        <v>191</v>
      </c>
      <c r="R254">
        <v>29</v>
      </c>
      <c r="S254">
        <v>27</v>
      </c>
      <c r="T254">
        <v>92</v>
      </c>
      <c r="U254">
        <v>61</v>
      </c>
      <c r="V254">
        <v>1</v>
      </c>
      <c r="W254" t="s">
        <v>1412</v>
      </c>
      <c r="X254" t="s">
        <v>455</v>
      </c>
      <c r="Y254" t="s">
        <v>456</v>
      </c>
      <c r="Z254" s="4" t="s">
        <v>1025</v>
      </c>
      <c r="AA254" t="s">
        <v>1015</v>
      </c>
      <c r="AB254" s="3" t="s">
        <v>547</v>
      </c>
      <c r="AC254" s="2" t="s">
        <v>547</v>
      </c>
      <c r="AD254" s="4" t="s">
        <v>547</v>
      </c>
      <c r="AE254" t="s">
        <v>547</v>
      </c>
      <c r="AF254" t="s">
        <v>547</v>
      </c>
      <c r="AG254" s="4" t="s">
        <v>547</v>
      </c>
      <c r="AH254" t="s">
        <v>547</v>
      </c>
      <c r="AI254" t="s">
        <v>547</v>
      </c>
      <c r="AJ254" s="4" t="s">
        <v>547</v>
      </c>
      <c r="AK254" t="s">
        <v>547</v>
      </c>
      <c r="AL254" t="s">
        <v>547</v>
      </c>
      <c r="AM254" s="3" t="s">
        <v>547</v>
      </c>
      <c r="AN254" s="2" t="s">
        <v>547</v>
      </c>
      <c r="AO254" t="s">
        <v>547</v>
      </c>
      <c r="AP254" s="3" t="str">
        <f>HYPERLINK("http://exon.niaid.nih.gov/transcriptome/O_fasciatus/Sup_tab1/links/CDD\of-new-contig_212-CDD.txt","PARP_reg")</f>
        <v>PARP_reg</v>
      </c>
      <c r="AQ254" s="2" t="str">
        <f>HYPERLINK("http://www.ncbi.nlm.nih.gov/Structure/cdd/cddsrv.cgi?uid=pfam02877&amp;version=v4.0","0.64")</f>
        <v>0.64</v>
      </c>
      <c r="AR254" t="s">
        <v>763</v>
      </c>
      <c r="AS254" s="3" t="str">
        <f>HYPERLINK("http://exon.niaid.nih.gov/transcriptome/O_fasciatus/Sup_tab1/links/PFAM\of-new-contig_212-PFAM.txt","PARP_reg")</f>
        <v>PARP_reg</v>
      </c>
      <c r="AT254" s="2" t="str">
        <f>HYPERLINK("http://pfam.wustl.edu/cgi-bin/getdesc?acc=PF02877","0.33")</f>
        <v>0.33</v>
      </c>
      <c r="AU254" s="3" t="s">
        <v>547</v>
      </c>
      <c r="AV254" s="2" t="s">
        <v>547</v>
      </c>
      <c r="AW254" s="3" t="s">
        <v>547</v>
      </c>
      <c r="AX254" s="2" t="s">
        <v>547</v>
      </c>
      <c r="AY254" s="3" t="s">
        <v>547</v>
      </c>
      <c r="AZ254" s="2" t="s">
        <v>547</v>
      </c>
    </row>
    <row r="255" spans="1:52" ht="11.25">
      <c r="A255" t="str">
        <f>HYPERLINK("http://exon.niaid.nih.gov/transcriptome/O_fasciatus/Sup_tab1/links/of-new\of-new-contig_229.txt","of-new-contig_229")</f>
        <v>of-new-contig_229</v>
      </c>
      <c r="B255" t="str">
        <f>HYPERLINK("http://exon.niaid.nih.gov/transcriptome/O_fasciatus/Sup_tab1/links/of-new\of-new-5-64-64-asb-229.txt","Contig-229")</f>
        <v>Contig-229</v>
      </c>
      <c r="C255" t="str">
        <f>HYPERLINK("http://exon.niaid.nih.gov/transcriptome/O_fasciatus/Sup_tab1/links/of-new\of-new-5-64-64-229-CLU.txt","Contig229")</f>
        <v>Contig229</v>
      </c>
      <c r="D255">
        <v>1</v>
      </c>
      <c r="E255">
        <v>295</v>
      </c>
      <c r="F255" t="str">
        <f>HYPERLINK("http://exon.niaid.nih.gov/transcriptome/O_fasciatus/Sup_tab1/links/of-new\of-new-5-64-64-229-qual.txt","56.")</f>
        <v>56.</v>
      </c>
      <c r="G255" t="s">
        <v>541</v>
      </c>
      <c r="H255">
        <v>83.4</v>
      </c>
      <c r="I255">
        <v>276</v>
      </c>
      <c r="J255">
        <v>229</v>
      </c>
      <c r="K255" t="s">
        <v>1307</v>
      </c>
      <c r="L255">
        <v>276</v>
      </c>
      <c r="M255" s="3" t="str">
        <f>HYPERLINK("http://exon.niaid.nih.gov/transcriptome/O_fasciatus/Sup_tab1/links/NR\of-new-contig_229-NR.txt","NADH dehydrogenase subunit 5 [Phytophthora infestans]")</f>
        <v>NADH dehydrogenase subunit 5 [Phytophthora infestans]</v>
      </c>
      <c r="N255" s="2" t="str">
        <f>HYPERLINK("http://www.ncbi.nlm.nih.gov/sutils/blink.cgi?pid=9695393","1.5")</f>
        <v>1.5</v>
      </c>
      <c r="O255" t="s">
        <v>245</v>
      </c>
      <c r="P255">
        <v>57</v>
      </c>
      <c r="Q255">
        <v>664</v>
      </c>
      <c r="R255">
        <v>31</v>
      </c>
      <c r="S255">
        <v>9</v>
      </c>
      <c r="T255">
        <v>616</v>
      </c>
      <c r="U255">
        <v>66</v>
      </c>
      <c r="V255">
        <v>1</v>
      </c>
      <c r="W255" t="s">
        <v>1412</v>
      </c>
      <c r="X255" t="s">
        <v>246</v>
      </c>
      <c r="Y255" t="s">
        <v>247</v>
      </c>
      <c r="Z255" s="4" t="s">
        <v>1025</v>
      </c>
      <c r="AA255" t="s">
        <v>1015</v>
      </c>
      <c r="AB255" s="3" t="s">
        <v>547</v>
      </c>
      <c r="AC255" s="2" t="s">
        <v>547</v>
      </c>
      <c r="AD255" s="4" t="s">
        <v>547</v>
      </c>
      <c r="AE255" t="s">
        <v>547</v>
      </c>
      <c r="AF255" t="s">
        <v>547</v>
      </c>
      <c r="AG255" s="4" t="s">
        <v>547</v>
      </c>
      <c r="AH255" t="s">
        <v>547</v>
      </c>
      <c r="AI255" t="s">
        <v>547</v>
      </c>
      <c r="AJ255" s="4" t="s">
        <v>547</v>
      </c>
      <c r="AK255" t="s">
        <v>547</v>
      </c>
      <c r="AL255" t="s">
        <v>547</v>
      </c>
      <c r="AM255" s="3" t="str">
        <f>HYPERLINK("http://exon.niaid.nih.gov/transcriptome/O_fasciatus/Sup_tab1/links/KOG\of-new-contig_229-KOG.txt","Uncharacterized conserved protein")</f>
        <v>Uncharacterized conserved protein</v>
      </c>
      <c r="AN255" s="2" t="str">
        <f>HYPERLINK("http://www.ncbi.nlm.nih.gov/COG/new/shokog.cgi?KOG1134","0.19")</f>
        <v>0.19</v>
      </c>
      <c r="AO255" t="s">
        <v>1503</v>
      </c>
      <c r="AP255" s="3" t="str">
        <f>HYPERLINK("http://exon.niaid.nih.gov/transcriptome/O_fasciatus/Sup_tab1/links/CDD\of-new-contig_229-CDD.txt","CDC50")</f>
        <v>CDC50</v>
      </c>
      <c r="AQ255" s="2" t="str">
        <f>HYPERLINK("http://www.ncbi.nlm.nih.gov/Structure/cdd/cddsrv.cgi?uid=pfam03381&amp;version=v4.0","0.36")</f>
        <v>0.36</v>
      </c>
      <c r="AR255" t="s">
        <v>248</v>
      </c>
      <c r="AS255" s="3" t="str">
        <f>HYPERLINK("http://exon.niaid.nih.gov/transcriptome/O_fasciatus/Sup_tab1/links/PFAM\of-new-contig_229-PFAM.txt","CDC50")</f>
        <v>CDC50</v>
      </c>
      <c r="AT255" s="2" t="str">
        <f>HYPERLINK("http://pfam.wustl.edu/cgi-bin/getdesc?acc=PF03381","0.18")</f>
        <v>0.18</v>
      </c>
      <c r="AU255" s="3" t="str">
        <f>HYPERLINK("http://exon.niaid.nih.gov/transcriptome/O_fasciatus/Sup_tab1/links/SMART\of-new-contig_229-SMART.txt","PSN")</f>
        <v>PSN</v>
      </c>
      <c r="AV255" s="2" t="str">
        <f>HYPERLINK("http://smart.embl-heidelberg.de/smart/do_annotation.pl?DOMAIN=PSN&amp;BLAST=DUMMY","0.071")</f>
        <v>0.071</v>
      </c>
      <c r="AW255" s="3" t="s">
        <v>547</v>
      </c>
      <c r="AX255" s="2" t="s">
        <v>547</v>
      </c>
      <c r="AY255" s="3" t="s">
        <v>547</v>
      </c>
      <c r="AZ255" s="2" t="s">
        <v>547</v>
      </c>
    </row>
    <row r="256" spans="1:52" ht="11.25">
      <c r="A256" t="str">
        <f>HYPERLINK("http://exon.niaid.nih.gov/transcriptome/O_fasciatus/Sup_tab1/links/of-new\of-new-contig_269.txt","of-new-contig_269")</f>
        <v>of-new-contig_269</v>
      </c>
      <c r="B256" t="str">
        <f>HYPERLINK("http://exon.niaid.nih.gov/transcriptome/O_fasciatus/Sup_tab1/links/of-new\of-new-5-64-64-asb-269.txt","Contig-269")</f>
        <v>Contig-269</v>
      </c>
      <c r="C256" t="str">
        <f>HYPERLINK("http://exon.niaid.nih.gov/transcriptome/O_fasciatus/Sup_tab1/links/of-new\of-new-5-64-64-269-CLU.txt","Contig269")</f>
        <v>Contig269</v>
      </c>
      <c r="D256">
        <v>1</v>
      </c>
      <c r="E256">
        <v>287</v>
      </c>
      <c r="F256" t="str">
        <f>HYPERLINK("http://exon.niaid.nih.gov/transcriptome/O_fasciatus/Sup_tab1/links/of-new\of-new-5-64-64-269-qual.txt","61.")</f>
        <v>61.</v>
      </c>
      <c r="G256" t="s">
        <v>541</v>
      </c>
      <c r="H256">
        <v>62.4</v>
      </c>
      <c r="I256">
        <v>268</v>
      </c>
      <c r="J256">
        <v>269</v>
      </c>
      <c r="K256" t="s">
        <v>1347</v>
      </c>
      <c r="L256">
        <v>268</v>
      </c>
      <c r="M256" s="3" t="str">
        <f>HYPERLINK("http://exon.niaid.nih.gov/transcriptome/O_fasciatus/Sup_tab1/links/NR\of-new-contig_269-NR.txt","hypothetical protein [Neurospora crassa OR74A]")</f>
        <v>hypothetical protein [Neurospora crassa OR74A]</v>
      </c>
      <c r="N256" s="2" t="str">
        <f>HYPERLINK("http://www.ncbi.nlm.nih.gov/sutils/blink.cgi?pid=85118821","0.22")</f>
        <v>0.22</v>
      </c>
      <c r="O256" t="s">
        <v>92</v>
      </c>
      <c r="P256">
        <v>42</v>
      </c>
      <c r="Q256">
        <v>93</v>
      </c>
      <c r="R256">
        <v>45</v>
      </c>
      <c r="S256">
        <v>45</v>
      </c>
      <c r="T256">
        <v>47</v>
      </c>
      <c r="U256">
        <v>19</v>
      </c>
      <c r="V256">
        <v>1</v>
      </c>
      <c r="W256" t="s">
        <v>1412</v>
      </c>
      <c r="X256" t="s">
        <v>866</v>
      </c>
      <c r="Y256" t="s">
        <v>93</v>
      </c>
      <c r="Z256" s="4" t="s">
        <v>1025</v>
      </c>
      <c r="AA256" t="s">
        <v>1015</v>
      </c>
      <c r="AB256" s="3" t="s">
        <v>547</v>
      </c>
      <c r="AC256" s="2" t="s">
        <v>547</v>
      </c>
      <c r="AD256" s="4" t="s">
        <v>547</v>
      </c>
      <c r="AE256" t="s">
        <v>547</v>
      </c>
      <c r="AF256" t="s">
        <v>547</v>
      </c>
      <c r="AG256" s="4" t="s">
        <v>547</v>
      </c>
      <c r="AH256" t="s">
        <v>547</v>
      </c>
      <c r="AI256" t="s">
        <v>547</v>
      </c>
      <c r="AJ256" s="4" t="s">
        <v>547</v>
      </c>
      <c r="AK256" t="s">
        <v>547</v>
      </c>
      <c r="AL256" t="s">
        <v>547</v>
      </c>
      <c r="AM256" s="3" t="str">
        <f>HYPERLINK("http://exon.niaid.nih.gov/transcriptome/O_fasciatus/Sup_tab1/links/KOG\of-new-contig_269-KOG.txt","Chitin synthase/hyaluronan synthase (glycosyltransferases)")</f>
        <v>Chitin synthase/hyaluronan synthase (glycosyltransferases)</v>
      </c>
      <c r="AN256" s="2" t="str">
        <f>HYPERLINK("http://www.ncbi.nlm.nih.gov/COG/new/shokog.cgi?KOG2571","0.072")</f>
        <v>0.072</v>
      </c>
      <c r="AO256" t="s">
        <v>1422</v>
      </c>
      <c r="AP256" s="3" t="str">
        <f>HYPERLINK("http://exon.niaid.nih.gov/transcriptome/O_fasciatus/Sup_tab1/links/CDD\of-new-contig_269-CDD.txt","TagG")</f>
        <v>TagG</v>
      </c>
      <c r="AQ256" s="2" t="str">
        <f>HYPERLINK("http://www.ncbi.nlm.nih.gov/Structure/cdd/cddsrv.cgi?uid=COG1682&amp;version=v4.0","0.048")</f>
        <v>0.048</v>
      </c>
      <c r="AR256" t="s">
        <v>94</v>
      </c>
      <c r="AS256" s="3" t="str">
        <f>HYPERLINK("http://exon.niaid.nih.gov/transcriptome/O_fasciatus/Sup_tab1/links/PFAM\of-new-contig_269-PFAM.txt","DER1")</f>
        <v>DER1</v>
      </c>
      <c r="AT256" s="2" t="str">
        <f>HYPERLINK("http://pfam.wustl.edu/cgi-bin/getdesc?acc=PF04511","0.055")</f>
        <v>0.055</v>
      </c>
      <c r="AU256" s="3" t="str">
        <f>HYPERLINK("http://exon.niaid.nih.gov/transcriptome/O_fasciatus/Sup_tab1/links/SMART\of-new-contig_269-SMART.txt","BRLZ")</f>
        <v>BRLZ</v>
      </c>
      <c r="AV256" s="2" t="str">
        <f>HYPERLINK("http://smart.embl-heidelberg.de/smart/do_annotation.pl?DOMAIN=BRLZ&amp;BLAST=DUMMY","0.37")</f>
        <v>0.37</v>
      </c>
      <c r="AW256" s="3" t="s">
        <v>547</v>
      </c>
      <c r="AX256" s="2" t="s">
        <v>547</v>
      </c>
      <c r="AY256" s="3" t="s">
        <v>547</v>
      </c>
      <c r="AZ256" s="2" t="s">
        <v>547</v>
      </c>
    </row>
    <row r="257" spans="1:52" ht="11.25">
      <c r="A257" t="str">
        <f>HYPERLINK("http://exon.niaid.nih.gov/transcriptome/O_fasciatus/Sup_tab1/links/of-new\of-new-contig_222.txt","of-new-contig_222")</f>
        <v>of-new-contig_222</v>
      </c>
      <c r="B257" t="str">
        <f>HYPERLINK("http://exon.niaid.nih.gov/transcriptome/O_fasciatus/Sup_tab1/links/of-new\of-new-5-64-64-asb-222.txt","Contig-222")</f>
        <v>Contig-222</v>
      </c>
      <c r="C257" t="str">
        <f>HYPERLINK("http://exon.niaid.nih.gov/transcriptome/O_fasciatus/Sup_tab1/links/of-new\of-new-5-64-64-222-CLU.txt","Contig222")</f>
        <v>Contig222</v>
      </c>
      <c r="D257">
        <v>1</v>
      </c>
      <c r="E257">
        <v>286</v>
      </c>
      <c r="F257" t="str">
        <f>HYPERLINK("http://exon.niaid.nih.gov/transcriptome/O_fasciatus/Sup_tab1/links/of-new\of-new-5-64-64-222-qual.txt","62.5")</f>
        <v>62.5</v>
      </c>
      <c r="G257" t="s">
        <v>541</v>
      </c>
      <c r="H257">
        <v>71.3</v>
      </c>
      <c r="I257">
        <v>267</v>
      </c>
      <c r="J257">
        <v>222</v>
      </c>
      <c r="K257" t="s">
        <v>1300</v>
      </c>
      <c r="L257">
        <v>267</v>
      </c>
      <c r="M257" s="3" t="str">
        <f>HYPERLINK("http://exon.niaid.nih.gov/transcriptome/O_fasciatus/Sup_tab1/links/NR\of-new-contig_222-NR.txt","Serpentine Receptor, class Z family member (srz-97) [Caenorhabditis elegans]")</f>
        <v>Serpentine Receptor, class Z family member (srz-97) [Caenorhabditis elegans]</v>
      </c>
      <c r="N257" s="2" t="str">
        <f>HYPERLINK("http://www.ncbi.nlm.nih.gov/sutils/blink.cgi?pid=71988780","1.9")</f>
        <v>1.9</v>
      </c>
      <c r="O257" t="s">
        <v>225</v>
      </c>
      <c r="P257">
        <v>36</v>
      </c>
      <c r="Q257">
        <v>320</v>
      </c>
      <c r="R257">
        <v>36</v>
      </c>
      <c r="S257">
        <v>11</v>
      </c>
      <c r="T257">
        <v>213</v>
      </c>
      <c r="U257">
        <v>56</v>
      </c>
      <c r="V257">
        <v>1</v>
      </c>
      <c r="W257" t="s">
        <v>1412</v>
      </c>
      <c r="X257" t="s">
        <v>226</v>
      </c>
      <c r="Y257" t="s">
        <v>227</v>
      </c>
      <c r="Z257" s="4" t="s">
        <v>1025</v>
      </c>
      <c r="AA257" t="s">
        <v>1015</v>
      </c>
      <c r="AB257" s="3" t="s">
        <v>547</v>
      </c>
      <c r="AC257" s="2" t="s">
        <v>547</v>
      </c>
      <c r="AD257" s="4" t="s">
        <v>547</v>
      </c>
      <c r="AE257" t="s">
        <v>547</v>
      </c>
      <c r="AF257" t="s">
        <v>547</v>
      </c>
      <c r="AG257" s="4" t="s">
        <v>547</v>
      </c>
      <c r="AH257" t="s">
        <v>547</v>
      </c>
      <c r="AI257" t="s">
        <v>547</v>
      </c>
      <c r="AJ257" s="4" t="s">
        <v>547</v>
      </c>
      <c r="AK257" t="s">
        <v>547</v>
      </c>
      <c r="AL257" t="s">
        <v>547</v>
      </c>
      <c r="AM257" s="3" t="str">
        <f>HYPERLINK("http://exon.niaid.nih.gov/transcriptome/O_fasciatus/Sup_tab1/links/KOG\of-new-contig_222-KOG.txt","Pleiotropic drug resistance proteins (PDR1-15), ABC superfamily")</f>
        <v>Pleiotropic drug resistance proteins (PDR1-15), ABC superfamily</v>
      </c>
      <c r="AN257" s="2" t="str">
        <f>HYPERLINK("http://www.ncbi.nlm.nih.gov/COG/new/shokog.cgi?KOG0065","0.65")</f>
        <v>0.65</v>
      </c>
      <c r="AO257" t="s">
        <v>338</v>
      </c>
      <c r="AP257" s="3" t="str">
        <f>HYPERLINK("http://exon.niaid.nih.gov/transcriptome/O_fasciatus/Sup_tab1/links/CDD\of-new-contig_222-CDD.txt","DUF216")</f>
        <v>DUF216</v>
      </c>
      <c r="AQ257" s="2" t="str">
        <f>HYPERLINK("http://www.ncbi.nlm.nih.gov/Structure/cdd/cddsrv.cgi?uid=pfam02695&amp;version=v4.0","0.14")</f>
        <v>0.14</v>
      </c>
      <c r="AR257" t="s">
        <v>228</v>
      </c>
      <c r="AS257" s="3" t="str">
        <f>HYPERLINK("http://exon.niaid.nih.gov/transcriptome/O_fasciatus/Sup_tab1/links/PFAM\of-new-contig_222-PFAM.txt","DUF216")</f>
        <v>DUF216</v>
      </c>
      <c r="AT257" s="2" t="str">
        <f>HYPERLINK("http://pfam.wustl.edu/cgi-bin/getdesc?acc=PF02695","0.074")</f>
        <v>0.074</v>
      </c>
      <c r="AU257" s="3" t="str">
        <f>HYPERLINK("http://exon.niaid.nih.gov/transcriptome/O_fasciatus/Sup_tab1/links/SMART\of-new-contig_222-SMART.txt","PSN")</f>
        <v>PSN</v>
      </c>
      <c r="AV257" s="2" t="str">
        <f>HYPERLINK("http://smart.embl-heidelberg.de/smart/do_annotation.pl?DOMAIN=PSN&amp;BLAST=DUMMY","0.38")</f>
        <v>0.38</v>
      </c>
      <c r="AW257" s="3" t="s">
        <v>547</v>
      </c>
      <c r="AX257" s="2" t="s">
        <v>547</v>
      </c>
      <c r="AY257" s="3" t="s">
        <v>547</v>
      </c>
      <c r="AZ257" s="2" t="s">
        <v>547</v>
      </c>
    </row>
    <row r="258" spans="1:52" ht="11.25">
      <c r="A258" t="str">
        <f>HYPERLINK("http://exon.niaid.nih.gov/transcriptome/O_fasciatus/Sup_tab1/links/of-new\of-new-contig_160.txt","of-new-contig_160")</f>
        <v>of-new-contig_160</v>
      </c>
      <c r="B258" t="str">
        <f>HYPERLINK("http://exon.niaid.nih.gov/transcriptome/O_fasciatus/Sup_tab1/links/of-new\of-new-5-64-64-asb-160.txt","Contig-160")</f>
        <v>Contig-160</v>
      </c>
      <c r="C258" t="str">
        <f>HYPERLINK("http://exon.niaid.nih.gov/transcriptome/O_fasciatus/Sup_tab1/links/of-new\of-new-5-64-64-160-CLU.txt","Contig160")</f>
        <v>Contig160</v>
      </c>
      <c r="D258">
        <v>1</v>
      </c>
      <c r="E258">
        <v>285</v>
      </c>
      <c r="F258" t="str">
        <f>HYPERLINK("http://exon.niaid.nih.gov/transcriptome/O_fasciatus/Sup_tab1/links/of-new\of-new-5-64-64-160-qual.txt","35.8")</f>
        <v>35.8</v>
      </c>
      <c r="G258" t="s">
        <v>541</v>
      </c>
      <c r="H258">
        <v>70.5</v>
      </c>
      <c r="I258">
        <v>266</v>
      </c>
      <c r="J258">
        <v>160</v>
      </c>
      <c r="K258" t="s">
        <v>1238</v>
      </c>
      <c r="L258">
        <v>266</v>
      </c>
      <c r="M258" s="3" t="str">
        <f>HYPERLINK("http://exon.niaid.nih.gov/transcriptome/O_fasciatus/Sup_tab1/links/NR\of-new-contig_160-NR.txt","ubiquitin-transferase, HECT-domain")</f>
        <v>ubiquitin-transferase, HECT-domain</v>
      </c>
      <c r="N258" s="2" t="str">
        <f>HYPERLINK("http://www.ncbi.nlm.nih.gov/sutils/blink.cgi?pid=89309056","0.82")</f>
        <v>0.82</v>
      </c>
      <c r="O258" t="s">
        <v>471</v>
      </c>
      <c r="P258">
        <v>73</v>
      </c>
      <c r="Q258">
        <v>3219</v>
      </c>
      <c r="R258">
        <v>31</v>
      </c>
      <c r="S258">
        <v>2</v>
      </c>
      <c r="T258">
        <v>1148</v>
      </c>
      <c r="U258">
        <v>78</v>
      </c>
      <c r="V258">
        <v>1</v>
      </c>
      <c r="W258" t="s">
        <v>1412</v>
      </c>
      <c r="X258" t="s">
        <v>455</v>
      </c>
      <c r="Y258" t="s">
        <v>472</v>
      </c>
      <c r="Z258" s="4" t="s">
        <v>1025</v>
      </c>
      <c r="AA258" t="s">
        <v>1015</v>
      </c>
      <c r="AB258" s="3" t="s">
        <v>547</v>
      </c>
      <c r="AC258" s="2" t="s">
        <v>547</v>
      </c>
      <c r="AD258" s="4" t="s">
        <v>547</v>
      </c>
      <c r="AE258" t="s">
        <v>547</v>
      </c>
      <c r="AF258" t="s">
        <v>547</v>
      </c>
      <c r="AG258" s="4" t="s">
        <v>547</v>
      </c>
      <c r="AH258" t="s">
        <v>547</v>
      </c>
      <c r="AI258" t="s">
        <v>547</v>
      </c>
      <c r="AJ258" s="4" t="s">
        <v>547</v>
      </c>
      <c r="AK258" t="s">
        <v>547</v>
      </c>
      <c r="AL258" t="s">
        <v>547</v>
      </c>
      <c r="AM258" s="3" t="str">
        <f>HYPERLINK("http://exon.niaid.nih.gov/transcriptome/O_fasciatus/Sup_tab1/links/KOG\of-new-contig_160-KOG.txt","DNA replication licensing factor, MCM2 component")</f>
        <v>DNA replication licensing factor, MCM2 component</v>
      </c>
      <c r="AN258" s="2" t="str">
        <f>HYPERLINK("http://www.ncbi.nlm.nih.gov/COG/new/shokog.cgi?KOG0477","0.67")</f>
        <v>0.67</v>
      </c>
      <c r="AO258" t="s">
        <v>1597</v>
      </c>
      <c r="AP258" s="3" t="str">
        <f>HYPERLINK("http://exon.niaid.nih.gov/transcriptome/O_fasciatus/Sup_tab1/links/CDD\of-new-contig_160-CDD.txt","COG2604")</f>
        <v>COG2604</v>
      </c>
      <c r="AQ258" s="2" t="str">
        <f>HYPERLINK("http://www.ncbi.nlm.nih.gov/Structure/cdd/cddsrv.cgi?uid=COG2604&amp;version=v4.0","0.022")</f>
        <v>0.022</v>
      </c>
      <c r="AR258" t="s">
        <v>473</v>
      </c>
      <c r="AS258" s="3" t="str">
        <f>HYPERLINK("http://exon.niaid.nih.gov/transcriptome/O_fasciatus/Sup_tab1/links/PFAM\of-new-contig_160-PFAM.txt","DUF324")</f>
        <v>DUF324</v>
      </c>
      <c r="AT258" s="2" t="str">
        <f>HYPERLINK("http://pfam.wustl.edu/cgi-bin/getdesc?acc=PF03787","0.55")</f>
        <v>0.55</v>
      </c>
      <c r="AU258" s="3" t="str">
        <f>HYPERLINK("http://exon.niaid.nih.gov/transcriptome/O_fasciatus/Sup_tab1/links/SMART\of-new-contig_160-SMART.txt","HTTM")</f>
        <v>HTTM</v>
      </c>
      <c r="AV258" s="2" t="str">
        <f>HYPERLINK("http://smart.embl-heidelberg.de/smart/do_annotation.pl?DOMAIN=HTTM&amp;BLAST=DUMMY","0.25")</f>
        <v>0.25</v>
      </c>
      <c r="AW258" s="3" t="s">
        <v>547</v>
      </c>
      <c r="AX258" s="2" t="s">
        <v>547</v>
      </c>
      <c r="AY258" s="3" t="s">
        <v>547</v>
      </c>
      <c r="AZ258" s="2" t="s">
        <v>547</v>
      </c>
    </row>
    <row r="259" spans="1:52" ht="11.25">
      <c r="A259" t="str">
        <f>HYPERLINK("http://exon.niaid.nih.gov/transcriptome/O_fasciatus/Sup_tab1/links/of-new\of-new-contig_253.txt","of-new-contig_253")</f>
        <v>of-new-contig_253</v>
      </c>
      <c r="B259" t="str">
        <f>HYPERLINK("http://exon.niaid.nih.gov/transcriptome/O_fasciatus/Sup_tab1/links/of-new\of-new-5-64-64-asb-253.txt","Contig-253")</f>
        <v>Contig-253</v>
      </c>
      <c r="C259" t="str">
        <f>HYPERLINK("http://exon.niaid.nih.gov/transcriptome/O_fasciatus/Sup_tab1/links/of-new\of-new-5-64-64-253-CLU.txt","Contig253")</f>
        <v>Contig253</v>
      </c>
      <c r="D259">
        <v>1</v>
      </c>
      <c r="E259">
        <v>285</v>
      </c>
      <c r="F259" t="str">
        <f>HYPERLINK("http://exon.niaid.nih.gov/transcriptome/O_fasciatus/Sup_tab1/links/of-new\of-new-5-64-64-253-qual.txt","64.1")</f>
        <v>64.1</v>
      </c>
      <c r="G259" t="s">
        <v>541</v>
      </c>
      <c r="H259">
        <v>66.3</v>
      </c>
      <c r="I259">
        <v>266</v>
      </c>
      <c r="J259">
        <v>253</v>
      </c>
      <c r="K259" t="s">
        <v>1331</v>
      </c>
      <c r="L259">
        <v>266</v>
      </c>
      <c r="M259" s="3" t="str">
        <f>HYPERLINK("http://exon.niaid.nih.gov/transcriptome/O_fasciatus/Sup_tab1/links/NR\of-new-contig_253-NR.txt","hypothetical protein CAC0889 [Clostridium acetobutylicum ATCC 824]")</f>
        <v>hypothetical protein CAC0889 [Clostridium acetobutylicum ATCC 824]</v>
      </c>
      <c r="N259" s="2" t="str">
        <f>HYPERLINK("http://www.ncbi.nlm.nih.gov/sutils/blink.cgi?pid=15894176","1.8")</f>
        <v>1.8</v>
      </c>
      <c r="O259" t="s">
        <v>414</v>
      </c>
      <c r="P259">
        <v>49</v>
      </c>
      <c r="Q259">
        <v>262</v>
      </c>
      <c r="R259">
        <v>46</v>
      </c>
      <c r="S259">
        <v>19</v>
      </c>
      <c r="T259">
        <v>195</v>
      </c>
      <c r="U259">
        <v>69</v>
      </c>
      <c r="V259">
        <v>1</v>
      </c>
      <c r="W259" t="s">
        <v>1412</v>
      </c>
      <c r="X259" t="s">
        <v>415</v>
      </c>
      <c r="Y259" t="s">
        <v>416</v>
      </c>
      <c r="Z259" s="4" t="s">
        <v>1025</v>
      </c>
      <c r="AA259" t="s">
        <v>1015</v>
      </c>
      <c r="AB259" s="3" t="s">
        <v>547</v>
      </c>
      <c r="AC259" s="2" t="s">
        <v>547</v>
      </c>
      <c r="AD259" s="4" t="s">
        <v>547</v>
      </c>
      <c r="AE259" t="s">
        <v>547</v>
      </c>
      <c r="AF259" t="s">
        <v>547</v>
      </c>
      <c r="AG259" s="4" t="s">
        <v>547</v>
      </c>
      <c r="AH259" t="s">
        <v>547</v>
      </c>
      <c r="AI259" t="s">
        <v>547</v>
      </c>
      <c r="AJ259" s="4" t="s">
        <v>547</v>
      </c>
      <c r="AK259" t="s">
        <v>547</v>
      </c>
      <c r="AL259" t="s">
        <v>547</v>
      </c>
      <c r="AM259" s="3" t="str">
        <f>HYPERLINK("http://exon.niaid.nih.gov/transcriptome/O_fasciatus/Sup_tab1/links/KOG\of-new-contig_253-KOG.txt","Cytoplasmic exosomal RNA helicase SKI2, DEAD-box superfamily")</f>
        <v>Cytoplasmic exosomal RNA helicase SKI2, DEAD-box superfamily</v>
      </c>
      <c r="AN259" s="2" t="str">
        <f>HYPERLINK("http://www.ncbi.nlm.nih.gov/COG/new/shokog.cgi?KOG0947","0.058")</f>
        <v>0.058</v>
      </c>
      <c r="AO259" t="s">
        <v>1677</v>
      </c>
      <c r="AP259" s="3" t="str">
        <f>HYPERLINK("http://exon.niaid.nih.gov/transcriptome/O_fasciatus/Sup_tab1/links/CDD\of-new-contig_253-CDD.txt","COG4934")</f>
        <v>COG4934</v>
      </c>
      <c r="AQ259" s="2" t="str">
        <f>HYPERLINK("http://www.ncbi.nlm.nih.gov/Structure/cdd/cddsrv.cgi?uid=COG4934&amp;version=v4.0","0.39")</f>
        <v>0.39</v>
      </c>
      <c r="AR259" t="s">
        <v>417</v>
      </c>
      <c r="AS259" s="3" t="str">
        <f>HYPERLINK("http://exon.niaid.nih.gov/transcriptome/O_fasciatus/Sup_tab1/links/PFAM\of-new-contig_253-PFAM.txt","Baculo_PP31")</f>
        <v>Baculo_PP31</v>
      </c>
      <c r="AT259" s="2" t="str">
        <f>HYPERLINK("http://pfam.wustl.edu/cgi-bin/getdesc?acc=PF05311","0.22")</f>
        <v>0.22</v>
      </c>
      <c r="AU259" s="3" t="str">
        <f>HYPERLINK("http://exon.niaid.nih.gov/transcriptome/O_fasciatus/Sup_tab1/links/SMART\of-new-contig_253-SMART.txt","EH")</f>
        <v>EH</v>
      </c>
      <c r="AV259" s="2" t="str">
        <f>HYPERLINK("http://smart.embl-heidelberg.de/smart/do_annotation.pl?DOMAIN=EH&amp;BLAST=DUMMY","0.047")</f>
        <v>0.047</v>
      </c>
      <c r="AW259" s="3" t="s">
        <v>547</v>
      </c>
      <c r="AX259" s="2" t="s">
        <v>547</v>
      </c>
      <c r="AY259" s="3" t="s">
        <v>547</v>
      </c>
      <c r="AZ259" s="2" t="s">
        <v>547</v>
      </c>
    </row>
    <row r="260" spans="1:52" ht="11.25">
      <c r="A260" t="str">
        <f>HYPERLINK("http://exon.niaid.nih.gov/transcriptome/O_fasciatus/Sup_tab1/links/of-new\of-new-contig_193.txt","of-new-contig_193")</f>
        <v>of-new-contig_193</v>
      </c>
      <c r="B260" t="str">
        <f>HYPERLINK("http://exon.niaid.nih.gov/transcriptome/O_fasciatus/Sup_tab1/links/of-new\of-new-5-64-64-asb-193.txt","Contig-193")</f>
        <v>Contig-193</v>
      </c>
      <c r="C260" t="str">
        <f>HYPERLINK("http://exon.niaid.nih.gov/transcriptome/O_fasciatus/Sup_tab1/links/of-new\of-new-5-64-64-193-CLU.txt","Contig193")</f>
        <v>Contig193</v>
      </c>
      <c r="D260">
        <v>1</v>
      </c>
      <c r="E260">
        <v>284</v>
      </c>
      <c r="F260" t="str">
        <f>HYPERLINK("http://exon.niaid.nih.gov/transcriptome/O_fasciatus/Sup_tab1/links/of-new\of-new-5-64-64-193-qual.txt","58.5")</f>
        <v>58.5</v>
      </c>
      <c r="G260" t="s">
        <v>541</v>
      </c>
      <c r="H260">
        <v>73.9</v>
      </c>
      <c r="I260">
        <v>265</v>
      </c>
      <c r="J260">
        <v>193</v>
      </c>
      <c r="K260" t="s">
        <v>1271</v>
      </c>
      <c r="L260">
        <v>265</v>
      </c>
      <c r="N260" s="2" t="s">
        <v>547</v>
      </c>
      <c r="O260" t="s">
        <v>547</v>
      </c>
      <c r="P260" t="s">
        <v>547</v>
      </c>
      <c r="Q260" t="s">
        <v>547</v>
      </c>
      <c r="R260" t="s">
        <v>547</v>
      </c>
      <c r="S260" t="s">
        <v>547</v>
      </c>
      <c r="T260" t="s">
        <v>547</v>
      </c>
      <c r="U260" t="s">
        <v>547</v>
      </c>
      <c r="V260" t="s">
        <v>547</v>
      </c>
      <c r="W260" t="s">
        <v>547</v>
      </c>
      <c r="X260" t="s">
        <v>547</v>
      </c>
      <c r="Y260" t="s">
        <v>547</v>
      </c>
      <c r="Z260" s="4" t="s">
        <v>1025</v>
      </c>
      <c r="AA260" t="s">
        <v>1015</v>
      </c>
      <c r="AB260" s="3" t="s">
        <v>547</v>
      </c>
      <c r="AC260" s="2" t="s">
        <v>547</v>
      </c>
      <c r="AD260" s="4" t="s">
        <v>547</v>
      </c>
      <c r="AE260" t="s">
        <v>547</v>
      </c>
      <c r="AF260" t="s">
        <v>547</v>
      </c>
      <c r="AG260" s="4" t="s">
        <v>547</v>
      </c>
      <c r="AH260" t="s">
        <v>547</v>
      </c>
      <c r="AI260" t="s">
        <v>547</v>
      </c>
      <c r="AJ260" s="4" t="s">
        <v>547</v>
      </c>
      <c r="AK260" t="s">
        <v>547</v>
      </c>
      <c r="AL260" t="s">
        <v>547</v>
      </c>
      <c r="AM260" s="3" t="s">
        <v>547</v>
      </c>
      <c r="AN260" s="2" t="s">
        <v>547</v>
      </c>
      <c r="AO260" t="s">
        <v>547</v>
      </c>
      <c r="AP260" s="3" t="s">
        <v>547</v>
      </c>
      <c r="AQ260" s="2" t="s">
        <v>547</v>
      </c>
      <c r="AR260" t="s">
        <v>547</v>
      </c>
      <c r="AS260" s="3" t="s">
        <v>547</v>
      </c>
      <c r="AT260" s="2" t="s">
        <v>547</v>
      </c>
      <c r="AU260" s="3" t="str">
        <f>HYPERLINK("http://exon.niaid.nih.gov/transcriptome/O_fasciatus/Sup_tab1/links/SMART\of-new-contig_193-SMART.txt","LITAF")</f>
        <v>LITAF</v>
      </c>
      <c r="AV260" s="2" t="str">
        <f>HYPERLINK("http://smart.embl-heidelberg.de/smart/do_annotation.pl?DOMAIN=LITAF&amp;BLAST=DUMMY","0.44")</f>
        <v>0.44</v>
      </c>
      <c r="AW260" s="3" t="s">
        <v>547</v>
      </c>
      <c r="AX260" s="2" t="s">
        <v>547</v>
      </c>
      <c r="AY260" s="3" t="s">
        <v>547</v>
      </c>
      <c r="AZ260" s="2" t="s">
        <v>547</v>
      </c>
    </row>
    <row r="261" spans="1:52" ht="11.25">
      <c r="A261" t="str">
        <f>HYPERLINK("http://exon.niaid.nih.gov/transcriptome/O_fasciatus/Sup_tab1/links/of-new\of-new-contig_206.txt","of-new-contig_206")</f>
        <v>of-new-contig_206</v>
      </c>
      <c r="B261" t="str">
        <f>HYPERLINK("http://exon.niaid.nih.gov/transcriptome/O_fasciatus/Sup_tab1/links/of-new\of-new-5-64-64-asb-206.txt","Contig-206")</f>
        <v>Contig-206</v>
      </c>
      <c r="C261" t="str">
        <f>HYPERLINK("http://exon.niaid.nih.gov/transcriptome/O_fasciatus/Sup_tab1/links/of-new\of-new-5-64-64-206-CLU.txt","Contig206")</f>
        <v>Contig206</v>
      </c>
      <c r="D261">
        <v>1</v>
      </c>
      <c r="E261">
        <v>265</v>
      </c>
      <c r="F261" t="str">
        <f>HYPERLINK("http://exon.niaid.nih.gov/transcriptome/O_fasciatus/Sup_tab1/links/of-new\of-new-5-64-64-206-qual.txt","37.2")</f>
        <v>37.2</v>
      </c>
      <c r="G261" t="s">
        <v>541</v>
      </c>
      <c r="H261">
        <v>67.2</v>
      </c>
      <c r="I261" t="s">
        <v>547</v>
      </c>
      <c r="J261">
        <v>206</v>
      </c>
      <c r="K261" t="s">
        <v>1284</v>
      </c>
      <c r="L261" t="s">
        <v>547</v>
      </c>
      <c r="M261" s="3" t="str">
        <f>HYPERLINK("http://exon.niaid.nih.gov/transcriptome/O_fasciatus/Sup_tab1/links/NR\of-new-contig_206-NR.txt","hypothetical protein TTHERM_00140870")</f>
        <v>hypothetical protein TTHERM_00140870</v>
      </c>
      <c r="N261" s="2" t="str">
        <f>HYPERLINK("http://www.ncbi.nlm.nih.gov/sutils/blink.cgi?pid=89292791","2.4")</f>
        <v>2.4</v>
      </c>
      <c r="O261" t="s">
        <v>741</v>
      </c>
      <c r="P261">
        <v>70</v>
      </c>
      <c r="Q261">
        <v>347</v>
      </c>
      <c r="R261">
        <v>28</v>
      </c>
      <c r="S261">
        <v>20</v>
      </c>
      <c r="T261">
        <v>92</v>
      </c>
      <c r="U261">
        <v>67</v>
      </c>
      <c r="V261">
        <v>1</v>
      </c>
      <c r="W261" t="s">
        <v>1412</v>
      </c>
      <c r="X261" t="s">
        <v>455</v>
      </c>
      <c r="Y261" t="s">
        <v>742</v>
      </c>
      <c r="Z261" s="4" t="s">
        <v>1025</v>
      </c>
      <c r="AA261" t="s">
        <v>1015</v>
      </c>
      <c r="AB261" s="3" t="s">
        <v>547</v>
      </c>
      <c r="AC261" s="2" t="s">
        <v>547</v>
      </c>
      <c r="AD261" s="4" t="s">
        <v>547</v>
      </c>
      <c r="AE261" t="s">
        <v>547</v>
      </c>
      <c r="AF261" t="s">
        <v>547</v>
      </c>
      <c r="AG261" s="4" t="s">
        <v>547</v>
      </c>
      <c r="AH261" t="s">
        <v>547</v>
      </c>
      <c r="AI261" t="s">
        <v>547</v>
      </c>
      <c r="AJ261" s="4" t="s">
        <v>547</v>
      </c>
      <c r="AK261" t="s">
        <v>547</v>
      </c>
      <c r="AL261" t="s">
        <v>547</v>
      </c>
      <c r="AM261" s="3" t="str">
        <f>HYPERLINK("http://exon.niaid.nih.gov/transcriptome/O_fasciatus/Sup_tab1/links/KOG\of-new-contig_206-KOG.txt","Voltage-gated Ca2+ channels, alpha1 subunits")</f>
        <v>Voltage-gated Ca2+ channels, alpha1 subunits</v>
      </c>
      <c r="AN261" s="2" t="str">
        <f>HYPERLINK("http://www.ncbi.nlm.nih.gov/COG/new/shokog.cgi?KOG2301","0.076")</f>
        <v>0.076</v>
      </c>
      <c r="AO261" t="s">
        <v>1529</v>
      </c>
      <c r="AP261" s="3" t="str">
        <f>HYPERLINK("http://exon.niaid.nih.gov/transcriptome/O_fasciatus/Sup_tab1/links/CDD\of-new-contig_206-CDD.txt","PutP")</f>
        <v>PutP</v>
      </c>
      <c r="AQ261" s="2" t="str">
        <f>HYPERLINK("http://www.ncbi.nlm.nih.gov/Structure/cdd/cddsrv.cgi?uid=COG0591&amp;version=v4.0","0.004")</f>
        <v>0.004</v>
      </c>
      <c r="AR261" t="s">
        <v>743</v>
      </c>
      <c r="AS261" s="3" t="str">
        <f>HYPERLINK("http://exon.niaid.nih.gov/transcriptome/O_fasciatus/Sup_tab1/links/PFAM\of-new-contig_206-PFAM.txt","DUF443")</f>
        <v>DUF443</v>
      </c>
      <c r="AT261" s="2" t="str">
        <f>HYPERLINK("http://pfam.wustl.edu/cgi-bin/getdesc?acc=PF04276","0.001")</f>
        <v>0.001</v>
      </c>
      <c r="AU261" s="3" t="str">
        <f>HYPERLINK("http://exon.niaid.nih.gov/transcriptome/O_fasciatus/Sup_tab1/links/SMART\of-new-contig_206-SMART.txt","PSN")</f>
        <v>PSN</v>
      </c>
      <c r="AV261" s="2" t="str">
        <f>HYPERLINK("http://smart.embl-heidelberg.de/smart/do_annotation.pl?DOMAIN=PSN&amp;BLAST=DUMMY","0.028")</f>
        <v>0.028</v>
      </c>
      <c r="AW261" s="3" t="s">
        <v>547</v>
      </c>
      <c r="AX261" s="2" t="s">
        <v>547</v>
      </c>
      <c r="AY261" s="3" t="s">
        <v>547</v>
      </c>
      <c r="AZ261" s="2" t="s">
        <v>547</v>
      </c>
    </row>
    <row r="262" spans="1:52" ht="11.25">
      <c r="A262" t="str">
        <f>HYPERLINK("http://exon.niaid.nih.gov/transcriptome/O_fasciatus/Sup_tab1/links/of-new\of-new-contig_284.txt","of-new-contig_284")</f>
        <v>of-new-contig_284</v>
      </c>
      <c r="B262" t="str">
        <f>HYPERLINK("http://exon.niaid.nih.gov/transcriptome/O_fasciatus/Sup_tab1/links/of-new\of-new-5-64-64-asb-284.txt","Contig-284")</f>
        <v>Contig-284</v>
      </c>
      <c r="C262" t="str">
        <f>HYPERLINK("http://exon.niaid.nih.gov/transcriptome/O_fasciatus/Sup_tab1/links/of-new\of-new-5-64-64-284-CLU.txt","Contig284")</f>
        <v>Contig284</v>
      </c>
      <c r="D262">
        <v>1</v>
      </c>
      <c r="E262">
        <v>251</v>
      </c>
      <c r="F262" t="str">
        <f>HYPERLINK("http://exon.niaid.nih.gov/transcriptome/O_fasciatus/Sup_tab1/links/of-new\of-new-5-64-64-284-qual.txt","59.7")</f>
        <v>59.7</v>
      </c>
      <c r="G262" t="s">
        <v>541</v>
      </c>
      <c r="H262">
        <v>79.3</v>
      </c>
      <c r="I262">
        <v>232</v>
      </c>
      <c r="J262">
        <v>284</v>
      </c>
      <c r="K262" t="s">
        <v>1362</v>
      </c>
      <c r="L262">
        <v>232</v>
      </c>
      <c r="M262" s="3" t="str">
        <f>HYPERLINK("http://exon.niaid.nih.gov/transcriptome/O_fasciatus/Sup_tab1/links/NR\of-new-contig_284-NR.txt","maturase")</f>
        <v>maturase</v>
      </c>
      <c r="N262" s="2" t="str">
        <f>HYPERLINK("http://www.ncbi.nlm.nih.gov/sutils/blink.cgi?pid=58219836","1.1")</f>
        <v>1.1</v>
      </c>
      <c r="O262" t="s">
        <v>127</v>
      </c>
      <c r="P262">
        <v>43</v>
      </c>
      <c r="Q262">
        <v>526</v>
      </c>
      <c r="R262">
        <v>46</v>
      </c>
      <c r="S262">
        <v>8</v>
      </c>
      <c r="T262">
        <v>190</v>
      </c>
      <c r="U262">
        <v>43</v>
      </c>
      <c r="V262">
        <v>1</v>
      </c>
      <c r="W262" t="s">
        <v>1412</v>
      </c>
      <c r="X262" t="s">
        <v>128</v>
      </c>
      <c r="Y262" t="s">
        <v>129</v>
      </c>
      <c r="Z262" s="4" t="s">
        <v>1025</v>
      </c>
      <c r="AA262" t="s">
        <v>1015</v>
      </c>
      <c r="AB262" s="3" t="s">
        <v>547</v>
      </c>
      <c r="AC262" s="2" t="s">
        <v>547</v>
      </c>
      <c r="AD262" s="4" t="s">
        <v>547</v>
      </c>
      <c r="AE262" t="s">
        <v>547</v>
      </c>
      <c r="AF262" t="s">
        <v>547</v>
      </c>
      <c r="AG262" s="4" t="s">
        <v>547</v>
      </c>
      <c r="AH262" t="s">
        <v>547</v>
      </c>
      <c r="AI262" t="s">
        <v>547</v>
      </c>
      <c r="AJ262" s="4" t="s">
        <v>547</v>
      </c>
      <c r="AK262" t="s">
        <v>547</v>
      </c>
      <c r="AL262" t="s">
        <v>547</v>
      </c>
      <c r="AM262" s="3" t="str">
        <f>HYPERLINK("http://exon.niaid.nih.gov/transcriptome/O_fasciatus/Sup_tab1/links/KOG\of-new-contig_284-KOG.txt","1,3-beta-glucan synthase/callose synthase catalytic subunit")</f>
        <v>1,3-beta-glucan synthase/callose synthase catalytic subunit</v>
      </c>
      <c r="AN262" s="2" t="str">
        <f>HYPERLINK("http://www.ncbi.nlm.nih.gov/COG/new/shokog.cgi?KOG0916","0.85")</f>
        <v>0.85</v>
      </c>
      <c r="AO262" t="s">
        <v>1422</v>
      </c>
      <c r="AP262" s="3" t="str">
        <f>HYPERLINK("http://exon.niaid.nih.gov/transcriptome/O_fasciatus/Sup_tab1/links/CDD\of-new-contig_284-CDD.txt","MopB_Res-Cmplx1")</f>
        <v>MopB_Res-Cmplx1</v>
      </c>
      <c r="AQ262" s="2" t="str">
        <f>HYPERLINK("http://www.ncbi.nlm.nih.gov/Structure/cdd/cddsrv.cgi?uid=cd02774&amp;version=v4.0","0.56")</f>
        <v>0.56</v>
      </c>
      <c r="AR262" t="s">
        <v>130</v>
      </c>
      <c r="AS262" s="3" t="str">
        <f>HYPERLINK("http://exon.niaid.nih.gov/transcriptome/O_fasciatus/Sup_tab1/links/PFAM\of-new-contig_284-PFAM.txt","Baculo_helicase")</f>
        <v>Baculo_helicase</v>
      </c>
      <c r="AT262" s="2" t="str">
        <f>HYPERLINK("http://pfam.wustl.edu/cgi-bin/getdesc?acc=PF04735","0.24")</f>
        <v>0.24</v>
      </c>
      <c r="AU262" s="3" t="str">
        <f>HYPERLINK("http://exon.niaid.nih.gov/transcriptome/O_fasciatus/Sup_tab1/links/SMART\of-new-contig_284-SMART.txt","GLECT")</f>
        <v>GLECT</v>
      </c>
      <c r="AV262" s="2" t="str">
        <f>HYPERLINK("http://smart.embl-heidelberg.de/smart/do_annotation.pl?DOMAIN=GLECT&amp;BLAST=DUMMY","0.67")</f>
        <v>0.67</v>
      </c>
      <c r="AW262" s="3" t="s">
        <v>547</v>
      </c>
      <c r="AX262" s="2" t="s">
        <v>547</v>
      </c>
      <c r="AY262" s="3" t="s">
        <v>547</v>
      </c>
      <c r="AZ262" s="2" t="s">
        <v>547</v>
      </c>
    </row>
    <row r="263" spans="1:52" ht="11.25">
      <c r="A263" t="str">
        <f>HYPERLINK("http://exon.niaid.nih.gov/transcriptome/O_fasciatus/Sup_tab1/links/of-new\of-new-contig_199.txt","of-new-contig_199")</f>
        <v>of-new-contig_199</v>
      </c>
      <c r="B263" t="str">
        <f>HYPERLINK("http://exon.niaid.nih.gov/transcriptome/O_fasciatus/Sup_tab1/links/of-new\of-new-5-64-64-asb-199.txt","Contig-199")</f>
        <v>Contig-199</v>
      </c>
      <c r="C263" t="str">
        <f>HYPERLINK("http://exon.niaid.nih.gov/transcriptome/O_fasciatus/Sup_tab1/links/of-new\of-new-5-64-64-199-CLU.txt","Contig199")</f>
        <v>Contig199</v>
      </c>
      <c r="D263">
        <v>1</v>
      </c>
      <c r="E263">
        <v>248</v>
      </c>
      <c r="F263" t="str">
        <f>HYPERLINK("http://exon.niaid.nih.gov/transcriptome/O_fasciatus/Sup_tab1/links/of-new\of-new-5-64-64-199-qual.txt","62.9")</f>
        <v>62.9</v>
      </c>
      <c r="G263" t="s">
        <v>541</v>
      </c>
      <c r="H263">
        <v>65.7</v>
      </c>
      <c r="I263">
        <v>229</v>
      </c>
      <c r="J263">
        <v>199</v>
      </c>
      <c r="K263" t="s">
        <v>1277</v>
      </c>
      <c r="L263">
        <v>229</v>
      </c>
      <c r="M263" s="3" t="str">
        <f>HYPERLINK("http://exon.niaid.nih.gov/transcriptome/O_fasciatus/Sup_tab1/links/NR\of-new-contig_199-NR.txt","hypothetical protein with homology to nucleoporin [Paramecium tetraurelia]")</f>
        <v>hypothetical protein with homology to nucleoporin [Paramecium tetraurelia]</v>
      </c>
      <c r="N263" s="2" t="str">
        <f>HYPERLINK("http://www.ncbi.nlm.nih.gov/sutils/blink.cgi?pid=50404839","3.2")</f>
        <v>3.2</v>
      </c>
      <c r="O263" t="s">
        <v>719</v>
      </c>
      <c r="P263">
        <v>44</v>
      </c>
      <c r="Q263">
        <v>1177</v>
      </c>
      <c r="R263">
        <v>34</v>
      </c>
      <c r="S263">
        <v>4</v>
      </c>
      <c r="T263">
        <v>371</v>
      </c>
      <c r="U263">
        <v>26</v>
      </c>
      <c r="V263">
        <v>1</v>
      </c>
      <c r="W263" t="s">
        <v>1412</v>
      </c>
      <c r="X263" t="s">
        <v>720</v>
      </c>
      <c r="Y263" t="s">
        <v>721</v>
      </c>
      <c r="Z263" s="4" t="s">
        <v>1025</v>
      </c>
      <c r="AA263" t="s">
        <v>1015</v>
      </c>
      <c r="AB263" s="3" t="s">
        <v>547</v>
      </c>
      <c r="AC263" s="2" t="s">
        <v>547</v>
      </c>
      <c r="AD263" s="4" t="s">
        <v>547</v>
      </c>
      <c r="AE263" t="s">
        <v>547</v>
      </c>
      <c r="AF263" t="s">
        <v>547</v>
      </c>
      <c r="AG263" s="4" t="s">
        <v>547</v>
      </c>
      <c r="AH263" t="s">
        <v>547</v>
      </c>
      <c r="AI263" t="s">
        <v>547</v>
      </c>
      <c r="AJ263" s="4" t="s">
        <v>547</v>
      </c>
      <c r="AK263" t="s">
        <v>547</v>
      </c>
      <c r="AL263" t="s">
        <v>547</v>
      </c>
      <c r="AM263" s="3" t="str">
        <f>HYPERLINK("http://exon.niaid.nih.gov/transcriptome/O_fasciatus/Sup_tab1/links/KOG\of-new-contig_199-KOG.txt","IK cytokine down-regulator of HLA class II")</f>
        <v>IK cytokine down-regulator of HLA class II</v>
      </c>
      <c r="AN263" s="2" t="str">
        <f>HYPERLINK("http://www.ncbi.nlm.nih.gov/COG/new/shokog.cgi?KOG2498","0.073")</f>
        <v>0.073</v>
      </c>
      <c r="AO263" t="s">
        <v>1521</v>
      </c>
      <c r="AP263" s="3" t="str">
        <f>HYPERLINK("http://exon.niaid.nih.gov/transcriptome/O_fasciatus/Sup_tab1/links/CDD\of-new-contig_199-CDD.txt","TB2_DP1_HVA22")</f>
        <v>TB2_DP1_HVA22</v>
      </c>
      <c r="AQ263" s="2" t="str">
        <f>HYPERLINK("http://www.ncbi.nlm.nih.gov/Structure/cdd/cddsrv.cgi?uid=pfam03134&amp;version=v4.0","0.72")</f>
        <v>0.72</v>
      </c>
      <c r="AR263" t="s">
        <v>722</v>
      </c>
      <c r="AS263" s="3" t="str">
        <f>HYPERLINK("http://exon.niaid.nih.gov/transcriptome/O_fasciatus/Sup_tab1/links/PFAM\of-new-contig_199-PFAM.txt","TB2_DP1_HVA22")</f>
        <v>TB2_DP1_HVA22</v>
      </c>
      <c r="AT263" s="2" t="str">
        <f>HYPERLINK("http://pfam.wustl.edu/cgi-bin/getdesc?acc=PF03134","0.37")</f>
        <v>0.37</v>
      </c>
      <c r="AU263" s="3" t="str">
        <f>HYPERLINK("http://exon.niaid.nih.gov/transcriptome/O_fasciatus/Sup_tab1/links/SMART\of-new-contig_199-SMART.txt","BHL")</f>
        <v>BHL</v>
      </c>
      <c r="AV263" s="2" t="str">
        <f>HYPERLINK("http://smart.embl-heidelberg.de/smart/do_annotation.pl?DOMAIN=BHL&amp;BLAST=DUMMY","0.18")</f>
        <v>0.18</v>
      </c>
      <c r="AW263" s="3" t="s">
        <v>547</v>
      </c>
      <c r="AX263" s="2" t="s">
        <v>547</v>
      </c>
      <c r="AY263" s="3" t="s">
        <v>547</v>
      </c>
      <c r="AZ263" s="2" t="s">
        <v>547</v>
      </c>
    </row>
    <row r="264" spans="1:52" ht="11.25">
      <c r="A264" t="str">
        <f>HYPERLINK("http://exon.niaid.nih.gov/transcriptome/O_fasciatus/Sup_tab1/links/of-new\of-new-contig_294.txt","of-new-contig_294")</f>
        <v>of-new-contig_294</v>
      </c>
      <c r="B264" t="str">
        <f>HYPERLINK("http://exon.niaid.nih.gov/transcriptome/O_fasciatus/Sup_tab1/links/of-new\of-new-5-64-64-asb-294.txt","Contig-294")</f>
        <v>Contig-294</v>
      </c>
      <c r="C264" t="str">
        <f>HYPERLINK("http://exon.niaid.nih.gov/transcriptome/O_fasciatus/Sup_tab1/links/of-new\of-new-5-64-64-294-CLU.txt","Contig294")</f>
        <v>Contig294</v>
      </c>
      <c r="D264">
        <v>1</v>
      </c>
      <c r="E264">
        <v>248</v>
      </c>
      <c r="F264" t="str">
        <f>HYPERLINK("http://exon.niaid.nih.gov/transcriptome/O_fasciatus/Sup_tab1/links/of-new\of-new-5-64-64-294-qual.txt","59.3")</f>
        <v>59.3</v>
      </c>
      <c r="G264" t="s">
        <v>541</v>
      </c>
      <c r="H264">
        <v>77</v>
      </c>
      <c r="I264">
        <v>203</v>
      </c>
      <c r="J264">
        <v>294</v>
      </c>
      <c r="K264" t="s">
        <v>1372</v>
      </c>
      <c r="L264">
        <v>203</v>
      </c>
      <c r="N264" s="2" t="s">
        <v>547</v>
      </c>
      <c r="O264" t="s">
        <v>547</v>
      </c>
      <c r="P264" t="s">
        <v>547</v>
      </c>
      <c r="Q264" t="s">
        <v>547</v>
      </c>
      <c r="R264" t="s">
        <v>547</v>
      </c>
      <c r="S264" t="s">
        <v>547</v>
      </c>
      <c r="T264" t="s">
        <v>547</v>
      </c>
      <c r="U264" t="s">
        <v>547</v>
      </c>
      <c r="V264" t="s">
        <v>547</v>
      </c>
      <c r="W264" t="s">
        <v>547</v>
      </c>
      <c r="X264" t="s">
        <v>547</v>
      </c>
      <c r="Y264" t="s">
        <v>547</v>
      </c>
      <c r="Z264" s="4" t="s">
        <v>1025</v>
      </c>
      <c r="AA264" t="s">
        <v>1015</v>
      </c>
      <c r="AB264" s="3" t="s">
        <v>547</v>
      </c>
      <c r="AC264" s="2" t="s">
        <v>547</v>
      </c>
      <c r="AD264" s="4" t="s">
        <v>547</v>
      </c>
      <c r="AE264" t="s">
        <v>547</v>
      </c>
      <c r="AF264" t="s">
        <v>547</v>
      </c>
      <c r="AG264" s="4" t="s">
        <v>547</v>
      </c>
      <c r="AH264" t="s">
        <v>547</v>
      </c>
      <c r="AI264" t="s">
        <v>547</v>
      </c>
      <c r="AJ264" s="4" t="s">
        <v>547</v>
      </c>
      <c r="AK264" t="s">
        <v>547</v>
      </c>
      <c r="AL264" t="s">
        <v>547</v>
      </c>
      <c r="AM264" s="3" t="s">
        <v>547</v>
      </c>
      <c r="AN264" s="2" t="s">
        <v>547</v>
      </c>
      <c r="AO264" t="s">
        <v>547</v>
      </c>
      <c r="AP264" s="3" t="s">
        <v>547</v>
      </c>
      <c r="AQ264" s="2" t="s">
        <v>547</v>
      </c>
      <c r="AR264" t="s">
        <v>547</v>
      </c>
      <c r="AS264" s="3" t="s">
        <v>547</v>
      </c>
      <c r="AT264" s="2" t="s">
        <v>547</v>
      </c>
      <c r="AU264" s="3" t="s">
        <v>547</v>
      </c>
      <c r="AV264" s="2" t="s">
        <v>547</v>
      </c>
      <c r="AW264" s="3" t="s">
        <v>547</v>
      </c>
      <c r="AX264" s="2" t="s">
        <v>547</v>
      </c>
      <c r="AY264" s="3" t="s">
        <v>547</v>
      </c>
      <c r="AZ264" s="2" t="s">
        <v>547</v>
      </c>
    </row>
    <row r="265" spans="1:52" ht="11.25">
      <c r="A265" t="str">
        <f>HYPERLINK("http://exon.niaid.nih.gov/transcriptome/O_fasciatus/Sup_tab1/links/of-new\of-new-contig_295.txt","of-new-contig_295")</f>
        <v>of-new-contig_295</v>
      </c>
      <c r="B265" t="str">
        <f>HYPERLINK("http://exon.niaid.nih.gov/transcriptome/O_fasciatus/Sup_tab1/links/of-new\of-new-5-64-64-asb-295.txt","Contig-295")</f>
        <v>Contig-295</v>
      </c>
      <c r="C265" t="str">
        <f>HYPERLINK("http://exon.niaid.nih.gov/transcriptome/O_fasciatus/Sup_tab1/links/of-new\of-new-5-64-64-295-CLU.txt","Contig295")</f>
        <v>Contig295</v>
      </c>
      <c r="D265">
        <v>1</v>
      </c>
      <c r="E265">
        <v>241</v>
      </c>
      <c r="F265" t="str">
        <f>HYPERLINK("http://exon.niaid.nih.gov/transcriptome/O_fasciatus/Sup_tab1/links/of-new\of-new-5-64-64-295-qual.txt","63.2")</f>
        <v>63.2</v>
      </c>
      <c r="G265" t="s">
        <v>541</v>
      </c>
      <c r="H265">
        <v>74.3</v>
      </c>
      <c r="I265">
        <v>222</v>
      </c>
      <c r="J265">
        <v>295</v>
      </c>
      <c r="K265" t="s">
        <v>1373</v>
      </c>
      <c r="L265">
        <v>222</v>
      </c>
      <c r="M265" s="3" t="str">
        <f>HYPERLINK("http://exon.niaid.nih.gov/transcriptome/O_fasciatus/Sup_tab1/links/NR\of-new-contig_295-NR.txt","hypothetical protein cgd2_3580 [Cryptosporidium parvum Iowa II]")</f>
        <v>hypothetical protein cgd2_3580 [Cryptosporidium parvum Iowa II]</v>
      </c>
      <c r="N265" s="2" t="str">
        <f>HYPERLINK("http://www.ncbi.nlm.nih.gov/sutils/blink.cgi?pid=66358734","7.1")</f>
        <v>7.1</v>
      </c>
      <c r="O265" t="s">
        <v>689</v>
      </c>
      <c r="P265">
        <v>20</v>
      </c>
      <c r="Q265">
        <v>600</v>
      </c>
      <c r="R265">
        <v>65</v>
      </c>
      <c r="S265">
        <v>3</v>
      </c>
      <c r="T265">
        <v>317</v>
      </c>
      <c r="U265">
        <v>124</v>
      </c>
      <c r="V265">
        <v>1</v>
      </c>
      <c r="W265" t="s">
        <v>1412</v>
      </c>
      <c r="X265" t="s">
        <v>690</v>
      </c>
      <c r="Y265" t="s">
        <v>691</v>
      </c>
      <c r="Z265" s="4" t="s">
        <v>1025</v>
      </c>
      <c r="AA265" t="s">
        <v>1015</v>
      </c>
      <c r="AB265" s="3" t="s">
        <v>547</v>
      </c>
      <c r="AC265" s="2" t="s">
        <v>547</v>
      </c>
      <c r="AD265" s="4" t="s">
        <v>547</v>
      </c>
      <c r="AE265" t="s">
        <v>547</v>
      </c>
      <c r="AF265" t="s">
        <v>547</v>
      </c>
      <c r="AG265" s="4" t="s">
        <v>547</v>
      </c>
      <c r="AH265" t="s">
        <v>547</v>
      </c>
      <c r="AI265" t="s">
        <v>547</v>
      </c>
      <c r="AJ265" s="4" t="s">
        <v>547</v>
      </c>
      <c r="AK265" t="s">
        <v>547</v>
      </c>
      <c r="AL265" t="s">
        <v>547</v>
      </c>
      <c r="AM265" s="3" t="str">
        <f>HYPERLINK("http://exon.niaid.nih.gov/transcriptome/O_fasciatus/Sup_tab1/links/KOG\of-new-contig_295-KOG.txt","Negative regulator of transcription")</f>
        <v>Negative regulator of transcription</v>
      </c>
      <c r="AN265" s="2" t="str">
        <f>HYPERLINK("http://www.ncbi.nlm.nih.gov/COG/new/shokog.cgi?KOG1831","0.066")</f>
        <v>0.066</v>
      </c>
      <c r="AO265" t="s">
        <v>1640</v>
      </c>
      <c r="AP265" s="3" t="str">
        <f>HYPERLINK("http://exon.niaid.nih.gov/transcriptome/O_fasciatus/Sup_tab1/links/CDD\of-new-contig_295-CDD.txt","STE3")</f>
        <v>STE3</v>
      </c>
      <c r="AQ265" s="2" t="str">
        <f>HYPERLINK("http://www.ncbi.nlm.nih.gov/Structure/cdd/cddsrv.cgi?uid=pfam02076&amp;version=v4.0","0.90")</f>
        <v>0.90</v>
      </c>
      <c r="AR265" t="s">
        <v>692</v>
      </c>
      <c r="AS265" s="3" t="str">
        <f>HYPERLINK("http://exon.niaid.nih.gov/transcriptome/O_fasciatus/Sup_tab1/links/PFAM\of-new-contig_295-PFAM.txt","STE3")</f>
        <v>STE3</v>
      </c>
      <c r="AT265" s="2" t="str">
        <f>HYPERLINK("http://pfam.wustl.edu/cgi-bin/getdesc?acc=PF02076","0.46")</f>
        <v>0.46</v>
      </c>
      <c r="AU265" s="3" t="str">
        <f>HYPERLINK("http://exon.niaid.nih.gov/transcriptome/O_fasciatus/Sup_tab1/links/SMART\of-new-contig_295-SMART.txt","HEPN")</f>
        <v>HEPN</v>
      </c>
      <c r="AV265" s="2" t="str">
        <f>HYPERLINK("http://smart.embl-heidelberg.de/smart/do_annotation.pl?DOMAIN=HEPN&amp;BLAST=DUMMY","0.15")</f>
        <v>0.15</v>
      </c>
      <c r="AW265" s="3" t="s">
        <v>547</v>
      </c>
      <c r="AX265" s="2" t="s">
        <v>547</v>
      </c>
      <c r="AY265" s="3" t="s">
        <v>547</v>
      </c>
      <c r="AZ265" s="2" t="s">
        <v>547</v>
      </c>
    </row>
    <row r="266" spans="1:52" ht="11.25">
      <c r="A266" t="str">
        <f>HYPERLINK("http://exon.niaid.nih.gov/transcriptome/O_fasciatus/Sup_tab1/links/of-new\of-new-contig_275.txt","of-new-contig_275")</f>
        <v>of-new-contig_275</v>
      </c>
      <c r="B266" t="str">
        <f>HYPERLINK("http://exon.niaid.nih.gov/transcriptome/O_fasciatus/Sup_tab1/links/of-new\of-new-5-64-64-asb-275.txt","Contig-275")</f>
        <v>Contig-275</v>
      </c>
      <c r="C266" t="str">
        <f>HYPERLINK("http://exon.niaid.nih.gov/transcriptome/O_fasciatus/Sup_tab1/links/of-new\of-new-5-64-64-275-CLU.txt","Contig275")</f>
        <v>Contig275</v>
      </c>
      <c r="D266">
        <v>1</v>
      </c>
      <c r="E266">
        <v>238</v>
      </c>
      <c r="F266" t="str">
        <f>HYPERLINK("http://exon.niaid.nih.gov/transcriptome/O_fasciatus/Sup_tab1/links/of-new\of-new-5-64-64-275-qual.txt","64.1")</f>
        <v>64.1</v>
      </c>
      <c r="G266" t="s">
        <v>541</v>
      </c>
      <c r="H266">
        <v>73.9</v>
      </c>
      <c r="I266">
        <v>219</v>
      </c>
      <c r="J266">
        <v>275</v>
      </c>
      <c r="K266" t="s">
        <v>1353</v>
      </c>
      <c r="L266">
        <v>219</v>
      </c>
      <c r="M266" s="3" t="str">
        <f>HYPERLINK("http://exon.niaid.nih.gov/transcriptome/O_fasciatus/Sup_tab1/links/NR\of-new-contig_275-NR.txt","hypothetical protein MED152_03830 [Tenacibaculum sp. MED152]")</f>
        <v>hypothetical protein MED152_03830 [Tenacibaculum sp. MED152]</v>
      </c>
      <c r="N266" s="2" t="str">
        <f>HYPERLINK("http://www.ncbi.nlm.nih.gov/sutils/blink.cgi?pid=86133804","7.1")</f>
        <v>7.1</v>
      </c>
      <c r="O266" t="s">
        <v>107</v>
      </c>
      <c r="P266">
        <v>55</v>
      </c>
      <c r="Q266">
        <v>365</v>
      </c>
      <c r="R266">
        <v>32</v>
      </c>
      <c r="S266">
        <v>15</v>
      </c>
      <c r="T266">
        <v>2</v>
      </c>
      <c r="U266">
        <v>9</v>
      </c>
      <c r="V266">
        <v>1</v>
      </c>
      <c r="W266" t="s">
        <v>1412</v>
      </c>
      <c r="X266" t="s">
        <v>108</v>
      </c>
      <c r="Y266" t="s">
        <v>109</v>
      </c>
      <c r="Z266" s="4" t="s">
        <v>1025</v>
      </c>
      <c r="AA266" t="s">
        <v>1015</v>
      </c>
      <c r="AB266" s="3" t="s">
        <v>547</v>
      </c>
      <c r="AC266" s="2" t="s">
        <v>547</v>
      </c>
      <c r="AD266" s="4" t="s">
        <v>547</v>
      </c>
      <c r="AE266" t="s">
        <v>547</v>
      </c>
      <c r="AF266" t="s">
        <v>547</v>
      </c>
      <c r="AG266" s="4" t="s">
        <v>547</v>
      </c>
      <c r="AH266" t="s">
        <v>547</v>
      </c>
      <c r="AI266" t="s">
        <v>547</v>
      </c>
      <c r="AJ266" s="4" t="s">
        <v>547</v>
      </c>
      <c r="AK266" t="s">
        <v>547</v>
      </c>
      <c r="AL266" t="s">
        <v>547</v>
      </c>
      <c r="AM266" s="3" t="s">
        <v>547</v>
      </c>
      <c r="AN266" s="2" t="s">
        <v>547</v>
      </c>
      <c r="AO266" t="s">
        <v>547</v>
      </c>
      <c r="AP266" s="3" t="str">
        <f>HYPERLINK("http://exon.niaid.nih.gov/transcriptome/O_fasciatus/Sup_tab1/links/CDD\of-new-contig_275-CDD.txt","A-2_8-polyST")</f>
        <v>A-2_8-polyST</v>
      </c>
      <c r="AQ266" s="2" t="str">
        <f>HYPERLINK("http://www.ncbi.nlm.nih.gov/Structure/cdd/cddsrv.cgi?uid=pfam07388&amp;version=v4.0","0.56")</f>
        <v>0.56</v>
      </c>
      <c r="AR266" t="s">
        <v>110</v>
      </c>
      <c r="AS266" s="3" t="str">
        <f>HYPERLINK("http://exon.niaid.nih.gov/transcriptome/O_fasciatus/Sup_tab1/links/PFAM\of-new-contig_275-PFAM.txt","A-2_8-polyST")</f>
        <v>A-2_8-polyST</v>
      </c>
      <c r="AT266" s="2" t="str">
        <f>HYPERLINK("http://pfam.wustl.edu/cgi-bin/getdesc?acc=PF07388","0.28")</f>
        <v>0.28</v>
      </c>
      <c r="AU266" s="3" t="str">
        <f>HYPERLINK("http://exon.niaid.nih.gov/transcriptome/O_fasciatus/Sup_tab1/links/SMART\of-new-contig_275-SMART.txt","SO")</f>
        <v>SO</v>
      </c>
      <c r="AV266" s="2" t="str">
        <f>HYPERLINK("http://smart.embl-heidelberg.de/smart/do_annotation.pl?DOMAIN=SO&amp;BLAST=DUMMY","0.25")</f>
        <v>0.25</v>
      </c>
      <c r="AW266" s="3" t="s">
        <v>547</v>
      </c>
      <c r="AX266" s="2" t="s">
        <v>547</v>
      </c>
      <c r="AY266" s="3" t="s">
        <v>547</v>
      </c>
      <c r="AZ266" s="2" t="s">
        <v>547</v>
      </c>
    </row>
    <row r="267" spans="1:52" ht="11.25">
      <c r="A267" t="str">
        <f>HYPERLINK("http://exon.niaid.nih.gov/transcriptome/O_fasciatus/Sup_tab1/links/of-new\of-new-contig_245.txt","of-new-contig_245")</f>
        <v>of-new-contig_245</v>
      </c>
      <c r="B267" t="str">
        <f>HYPERLINK("http://exon.niaid.nih.gov/transcriptome/O_fasciatus/Sup_tab1/links/of-new\of-new-5-64-64-asb-245.txt","Contig-245")</f>
        <v>Contig-245</v>
      </c>
      <c r="C267" t="str">
        <f>HYPERLINK("http://exon.niaid.nih.gov/transcriptome/O_fasciatus/Sup_tab1/links/of-new\of-new-5-64-64-245-CLU.txt","Contig245")</f>
        <v>Contig245</v>
      </c>
      <c r="D267">
        <v>1</v>
      </c>
      <c r="E267">
        <v>233</v>
      </c>
      <c r="F267" t="str">
        <f>HYPERLINK("http://exon.niaid.nih.gov/transcriptome/O_fasciatus/Sup_tab1/links/of-new\of-new-5-64-64-245-qual.txt","50.3")</f>
        <v>50.3</v>
      </c>
      <c r="G267" t="s">
        <v>541</v>
      </c>
      <c r="H267">
        <v>80.7</v>
      </c>
      <c r="I267">
        <v>214</v>
      </c>
      <c r="J267">
        <v>245</v>
      </c>
      <c r="K267" t="s">
        <v>1323</v>
      </c>
      <c r="L267">
        <v>214</v>
      </c>
      <c r="M267" s="3" t="str">
        <f>HYPERLINK("http://exon.niaid.nih.gov/transcriptome/O_fasciatus/Sup_tab1/links/NR\of-new-contig_245-NR.txt","hypothetical protein PY01119 [Plasmodium yoelii yoelii str. 17XNL]")</f>
        <v>hypothetical protein PY01119 [Plasmodium yoelii yoelii str. 17XNL]</v>
      </c>
      <c r="N267" s="2" t="str">
        <f>HYPERLINK("http://www.ncbi.nlm.nih.gov/sutils/blink.cgi?pid=82914728","9.3")</f>
        <v>9.3</v>
      </c>
      <c r="O267" t="s">
        <v>369</v>
      </c>
      <c r="P267">
        <v>53</v>
      </c>
      <c r="Q267">
        <v>1141</v>
      </c>
      <c r="R267">
        <v>35</v>
      </c>
      <c r="S267">
        <v>5</v>
      </c>
      <c r="T267">
        <v>138</v>
      </c>
      <c r="U267">
        <v>45</v>
      </c>
      <c r="V267">
        <v>1</v>
      </c>
      <c r="W267" t="s">
        <v>1412</v>
      </c>
      <c r="X267" t="s">
        <v>1452</v>
      </c>
      <c r="Y267" t="s">
        <v>395</v>
      </c>
      <c r="Z267" s="4" t="s">
        <v>1025</v>
      </c>
      <c r="AA267" t="s">
        <v>1015</v>
      </c>
      <c r="AB267" s="3" t="s">
        <v>547</v>
      </c>
      <c r="AC267" s="2" t="s">
        <v>547</v>
      </c>
      <c r="AD267" s="4" t="s">
        <v>547</v>
      </c>
      <c r="AE267" t="s">
        <v>547</v>
      </c>
      <c r="AF267" t="s">
        <v>547</v>
      </c>
      <c r="AG267" s="4" t="s">
        <v>547</v>
      </c>
      <c r="AH267" t="s">
        <v>547</v>
      </c>
      <c r="AI267" t="s">
        <v>547</v>
      </c>
      <c r="AJ267" s="4" t="s">
        <v>547</v>
      </c>
      <c r="AK267" t="s">
        <v>547</v>
      </c>
      <c r="AL267" t="s">
        <v>547</v>
      </c>
      <c r="AM267" s="3" t="s">
        <v>547</v>
      </c>
      <c r="AN267" s="2" t="s">
        <v>547</v>
      </c>
      <c r="AO267" t="s">
        <v>547</v>
      </c>
      <c r="AP267" s="3" t="str">
        <f>HYPERLINK("http://exon.niaid.nih.gov/transcriptome/O_fasciatus/Sup_tab1/links/CDD\of-new-contig_245-CDD.txt","DUF216")</f>
        <v>DUF216</v>
      </c>
      <c r="AQ267" s="2" t="str">
        <f>HYPERLINK("http://www.ncbi.nlm.nih.gov/Structure/cdd/cddsrv.cgi?uid=pfam02695&amp;version=v4.0","0.35")</f>
        <v>0.35</v>
      </c>
      <c r="AR267" t="s">
        <v>396</v>
      </c>
      <c r="AS267" s="3" t="str">
        <f>HYPERLINK("http://exon.niaid.nih.gov/transcriptome/O_fasciatus/Sup_tab1/links/PFAM\of-new-contig_245-PFAM.txt","DUF216")</f>
        <v>DUF216</v>
      </c>
      <c r="AT267" s="2" t="str">
        <f>HYPERLINK("http://pfam.wustl.edu/cgi-bin/getdesc?acc=PF02695","0.18")</f>
        <v>0.18</v>
      </c>
      <c r="AU267" s="3" t="str">
        <f>HYPERLINK("http://exon.niaid.nih.gov/transcriptome/O_fasciatus/Sup_tab1/links/SMART\of-new-contig_245-SMART.txt","Glyco_18")</f>
        <v>Glyco_18</v>
      </c>
      <c r="AV267" s="2" t="str">
        <f>HYPERLINK("http://smart.embl-heidelberg.de/smart/do_annotation.pl?DOMAIN=Glyco_18&amp;BLAST=DUMMY","0.82")</f>
        <v>0.82</v>
      </c>
      <c r="AW267" s="3" t="s">
        <v>547</v>
      </c>
      <c r="AX267" s="2" t="s">
        <v>547</v>
      </c>
      <c r="AY267" s="3" t="s">
        <v>547</v>
      </c>
      <c r="AZ267" s="2" t="s">
        <v>547</v>
      </c>
    </row>
    <row r="268" spans="1:52" ht="11.25">
      <c r="A268" t="str">
        <f>HYPERLINK("http://exon.niaid.nih.gov/transcriptome/O_fasciatus/Sup_tab1/links/of-new\of-new-contig_287.txt","of-new-contig_287")</f>
        <v>of-new-contig_287</v>
      </c>
      <c r="B268" t="str">
        <f>HYPERLINK("http://exon.niaid.nih.gov/transcriptome/O_fasciatus/Sup_tab1/links/of-new\of-new-5-64-64-asb-287.txt","Contig-287")</f>
        <v>Contig-287</v>
      </c>
      <c r="C268" t="str">
        <f>HYPERLINK("http://exon.niaid.nih.gov/transcriptome/O_fasciatus/Sup_tab1/links/of-new\of-new-5-64-64-287-CLU.txt","Contig287")</f>
        <v>Contig287</v>
      </c>
      <c r="D268">
        <v>1</v>
      </c>
      <c r="E268">
        <v>228</v>
      </c>
      <c r="F268" t="str">
        <f>HYPERLINK("http://exon.niaid.nih.gov/transcriptome/O_fasciatus/Sup_tab1/links/of-new\of-new-5-64-64-287-qual.txt","58.2")</f>
        <v>58.2</v>
      </c>
      <c r="G268" t="s">
        <v>541</v>
      </c>
      <c r="H268">
        <v>61.8</v>
      </c>
      <c r="I268">
        <v>209</v>
      </c>
      <c r="J268">
        <v>287</v>
      </c>
      <c r="K268" t="s">
        <v>1365</v>
      </c>
      <c r="L268">
        <v>209</v>
      </c>
      <c r="N268" s="2" t="s">
        <v>547</v>
      </c>
      <c r="O268" t="s">
        <v>547</v>
      </c>
      <c r="P268" t="s">
        <v>547</v>
      </c>
      <c r="Q268" t="s">
        <v>547</v>
      </c>
      <c r="R268" t="s">
        <v>547</v>
      </c>
      <c r="S268" t="s">
        <v>547</v>
      </c>
      <c r="T268" t="s">
        <v>547</v>
      </c>
      <c r="U268" t="s">
        <v>547</v>
      </c>
      <c r="V268" t="s">
        <v>547</v>
      </c>
      <c r="W268" t="s">
        <v>547</v>
      </c>
      <c r="X268" t="s">
        <v>547</v>
      </c>
      <c r="Y268" t="s">
        <v>547</v>
      </c>
      <c r="Z268" s="4" t="s">
        <v>1025</v>
      </c>
      <c r="AA268" t="s">
        <v>1015</v>
      </c>
      <c r="AB268" s="3" t="s">
        <v>547</v>
      </c>
      <c r="AC268" s="2" t="s">
        <v>547</v>
      </c>
      <c r="AD268" s="4" t="s">
        <v>547</v>
      </c>
      <c r="AE268" t="s">
        <v>547</v>
      </c>
      <c r="AF268" t="s">
        <v>547</v>
      </c>
      <c r="AG268" s="4" t="s">
        <v>547</v>
      </c>
      <c r="AH268" t="s">
        <v>547</v>
      </c>
      <c r="AI268" t="s">
        <v>547</v>
      </c>
      <c r="AJ268" s="4" t="s">
        <v>547</v>
      </c>
      <c r="AK268" t="s">
        <v>547</v>
      </c>
      <c r="AL268" t="s">
        <v>547</v>
      </c>
      <c r="AM268" s="3" t="s">
        <v>547</v>
      </c>
      <c r="AN268" s="2" t="s">
        <v>547</v>
      </c>
      <c r="AO268" t="s">
        <v>547</v>
      </c>
      <c r="AP268" s="3" t="s">
        <v>547</v>
      </c>
      <c r="AQ268" s="2" t="s">
        <v>547</v>
      </c>
      <c r="AR268" t="s">
        <v>547</v>
      </c>
      <c r="AS268" s="3" t="s">
        <v>547</v>
      </c>
      <c r="AT268" s="2" t="s">
        <v>547</v>
      </c>
      <c r="AU268" s="3" t="str">
        <f>HYPERLINK("http://exon.niaid.nih.gov/transcriptome/O_fasciatus/Sup_tab1/links/SMART\of-new-contig_287-SMART.txt","TOP4c")</f>
        <v>TOP4c</v>
      </c>
      <c r="AV268" s="2" t="str">
        <f>HYPERLINK("http://smart.embl-heidelberg.de/smart/do_annotation.pl?DOMAIN=TOP4c&amp;BLAST=DUMMY","0.77")</f>
        <v>0.77</v>
      </c>
      <c r="AW268" s="3" t="s">
        <v>547</v>
      </c>
      <c r="AX268" s="2" t="s">
        <v>547</v>
      </c>
      <c r="AY268" s="3" t="s">
        <v>547</v>
      </c>
      <c r="AZ268" s="2" t="s">
        <v>547</v>
      </c>
    </row>
    <row r="269" spans="1:52" ht="11.25">
      <c r="A269" t="str">
        <f>HYPERLINK("http://exon.niaid.nih.gov/transcriptome/O_fasciatus/Sup_tab1/links/of-new\of-new-contig_240.txt","of-new-contig_240")</f>
        <v>of-new-contig_240</v>
      </c>
      <c r="B269" t="str">
        <f>HYPERLINK("http://exon.niaid.nih.gov/transcriptome/O_fasciatus/Sup_tab1/links/of-new\of-new-5-64-64-asb-240.txt","Contig-240")</f>
        <v>Contig-240</v>
      </c>
      <c r="C269" t="str">
        <f>HYPERLINK("http://exon.niaid.nih.gov/transcriptome/O_fasciatus/Sup_tab1/links/of-new\of-new-5-64-64-240-CLU.txt","Contig240")</f>
        <v>Contig240</v>
      </c>
      <c r="D269">
        <v>1</v>
      </c>
      <c r="E269">
        <v>218</v>
      </c>
      <c r="F269" t="str">
        <f>HYPERLINK("http://exon.niaid.nih.gov/transcriptome/O_fasciatus/Sup_tab1/links/of-new\of-new-5-64-64-240-qual.txt","59.8")</f>
        <v>59.8</v>
      </c>
      <c r="G269" t="s">
        <v>541</v>
      </c>
      <c r="H269">
        <v>54.1</v>
      </c>
      <c r="I269">
        <v>199</v>
      </c>
      <c r="J269">
        <v>240</v>
      </c>
      <c r="K269" t="s">
        <v>1318</v>
      </c>
      <c r="L269">
        <v>199</v>
      </c>
      <c r="M269" s="3" t="str">
        <f>HYPERLINK("http://exon.niaid.nih.gov/transcriptome/O_fasciatus/Sup_tab1/links/NR\of-new-contig_240-NR.txt","hypothetical protein [Oryza sativa (japonica cultivar-group)]")</f>
        <v>hypothetical protein [Oryza sativa (japonica cultivar-group)]</v>
      </c>
      <c r="N269" s="2" t="str">
        <f>HYPERLINK("http://www.ncbi.nlm.nih.gov/sutils/blink.cgi?pid=42408839","9.2")</f>
        <v>9.2</v>
      </c>
      <c r="O269" t="s">
        <v>279</v>
      </c>
      <c r="P269">
        <v>36</v>
      </c>
      <c r="Q269">
        <v>63</v>
      </c>
      <c r="R269">
        <v>47</v>
      </c>
      <c r="S269">
        <v>57</v>
      </c>
      <c r="T269">
        <v>10</v>
      </c>
      <c r="U269">
        <v>2</v>
      </c>
      <c r="V269">
        <v>1</v>
      </c>
      <c r="W269" t="s">
        <v>1412</v>
      </c>
      <c r="X269" t="s">
        <v>280</v>
      </c>
      <c r="Y269" t="s">
        <v>355</v>
      </c>
      <c r="Z269" s="4" t="s">
        <v>1025</v>
      </c>
      <c r="AA269" t="s">
        <v>1015</v>
      </c>
      <c r="AB269" s="3" t="s">
        <v>547</v>
      </c>
      <c r="AC269" s="2" t="s">
        <v>547</v>
      </c>
      <c r="AD269" s="4" t="s">
        <v>547</v>
      </c>
      <c r="AE269" t="s">
        <v>547</v>
      </c>
      <c r="AF269" t="s">
        <v>547</v>
      </c>
      <c r="AG269" s="4" t="s">
        <v>547</v>
      </c>
      <c r="AH269" t="s">
        <v>547</v>
      </c>
      <c r="AI269" t="s">
        <v>547</v>
      </c>
      <c r="AJ269" s="4" t="s">
        <v>547</v>
      </c>
      <c r="AK269" t="s">
        <v>547</v>
      </c>
      <c r="AL269" t="s">
        <v>547</v>
      </c>
      <c r="AM269" s="3" t="str">
        <f>HYPERLINK("http://exon.niaid.nih.gov/transcriptome/O_fasciatus/Sup_tab1/links/KOG\of-new-contig_240-KOG.txt","Predicted splicing factor, SR protein superfamily")</f>
        <v>Predicted splicing factor, SR protein superfamily</v>
      </c>
      <c r="AN269" s="2" t="str">
        <f>HYPERLINK("http://www.ncbi.nlm.nih.gov/COG/new/shokog.cgi?KOG4207","0.41")</f>
        <v>0.41</v>
      </c>
      <c r="AO269" t="s">
        <v>1677</v>
      </c>
      <c r="AP269" s="3" t="s">
        <v>547</v>
      </c>
      <c r="AQ269" s="2" t="s">
        <v>547</v>
      </c>
      <c r="AR269" t="s">
        <v>547</v>
      </c>
      <c r="AS269" s="3" t="str">
        <f>HYPERLINK("http://exon.niaid.nih.gov/transcriptome/O_fasciatus/Sup_tab1/links/PFAM\of-new-contig_240-PFAM.txt","Arabinose_trans")</f>
        <v>Arabinose_trans</v>
      </c>
      <c r="AT269" s="2" t="str">
        <f>HYPERLINK("http://pfam.wustl.edu/cgi-bin/getdesc?acc=PF04602","0.42")</f>
        <v>0.42</v>
      </c>
      <c r="AU269" s="3" t="str">
        <f>HYPERLINK("http://exon.niaid.nih.gov/transcriptome/O_fasciatus/Sup_tab1/links/SMART\of-new-contig_240-SMART.txt","DysFC")</f>
        <v>DysFC</v>
      </c>
      <c r="AV269" s="2" t="str">
        <f>HYPERLINK("http://smart.embl-heidelberg.de/smart/do_annotation.pl?DOMAIN=DysFC&amp;BLAST=DUMMY","0.75")</f>
        <v>0.75</v>
      </c>
      <c r="AW269" s="3" t="s">
        <v>547</v>
      </c>
      <c r="AX269" s="2" t="s">
        <v>547</v>
      </c>
      <c r="AY269" s="3" t="s">
        <v>547</v>
      </c>
      <c r="AZ269" s="2" t="s">
        <v>547</v>
      </c>
    </row>
    <row r="270" spans="1:52" ht="11.25">
      <c r="A270" t="str">
        <f>HYPERLINK("http://exon.niaid.nih.gov/transcriptome/O_fasciatus/Sup_tab1/links/of-new\of-new-contig_267.txt","of-new-contig_267")</f>
        <v>of-new-contig_267</v>
      </c>
      <c r="B270" t="str">
        <f>HYPERLINK("http://exon.niaid.nih.gov/transcriptome/O_fasciatus/Sup_tab1/links/of-new\of-new-5-64-64-asb-267.txt","Contig-267")</f>
        <v>Contig-267</v>
      </c>
      <c r="C270" t="str">
        <f>HYPERLINK("http://exon.niaid.nih.gov/transcriptome/O_fasciatus/Sup_tab1/links/of-new\of-new-5-64-64-267-CLU.txt","Contig267")</f>
        <v>Contig267</v>
      </c>
      <c r="D270">
        <v>1</v>
      </c>
      <c r="E270">
        <v>218</v>
      </c>
      <c r="F270" t="str">
        <f>HYPERLINK("http://exon.niaid.nih.gov/transcriptome/O_fasciatus/Sup_tab1/links/of-new\of-new-5-64-64-267-qual.txt","28.7")</f>
        <v>28.7</v>
      </c>
      <c r="G270" t="s">
        <v>541</v>
      </c>
      <c r="H270">
        <v>66.5</v>
      </c>
      <c r="I270">
        <v>199</v>
      </c>
      <c r="J270">
        <v>267</v>
      </c>
      <c r="K270" t="s">
        <v>1345</v>
      </c>
      <c r="L270">
        <v>199</v>
      </c>
      <c r="N270" s="2" t="s">
        <v>547</v>
      </c>
      <c r="O270" t="s">
        <v>547</v>
      </c>
      <c r="P270" t="s">
        <v>547</v>
      </c>
      <c r="Q270" t="s">
        <v>547</v>
      </c>
      <c r="R270" t="s">
        <v>547</v>
      </c>
      <c r="S270" t="s">
        <v>547</v>
      </c>
      <c r="T270" t="s">
        <v>547</v>
      </c>
      <c r="U270" t="s">
        <v>547</v>
      </c>
      <c r="V270" t="s">
        <v>547</v>
      </c>
      <c r="W270" t="s">
        <v>547</v>
      </c>
      <c r="X270" t="s">
        <v>547</v>
      </c>
      <c r="Y270" t="s">
        <v>547</v>
      </c>
      <c r="Z270" s="4" t="s">
        <v>1025</v>
      </c>
      <c r="AA270" t="s">
        <v>1015</v>
      </c>
      <c r="AB270" s="3" t="s">
        <v>547</v>
      </c>
      <c r="AC270" s="2" t="s">
        <v>547</v>
      </c>
      <c r="AD270" s="4" t="s">
        <v>547</v>
      </c>
      <c r="AE270" t="s">
        <v>547</v>
      </c>
      <c r="AF270" t="s">
        <v>547</v>
      </c>
      <c r="AG270" s="4" t="s">
        <v>547</v>
      </c>
      <c r="AH270" t="s">
        <v>547</v>
      </c>
      <c r="AI270" t="s">
        <v>547</v>
      </c>
      <c r="AJ270" s="4" t="s">
        <v>547</v>
      </c>
      <c r="AK270" t="s">
        <v>547</v>
      </c>
      <c r="AL270" t="s">
        <v>547</v>
      </c>
      <c r="AM270" s="3" t="s">
        <v>547</v>
      </c>
      <c r="AN270" s="2" t="s">
        <v>547</v>
      </c>
      <c r="AO270" t="s">
        <v>547</v>
      </c>
      <c r="AP270" s="3" t="str">
        <f>HYPERLINK("http://exon.niaid.nih.gov/transcriptome/O_fasciatus/Sup_tab1/links/CDD\of-new-contig_267-CDD.txt","Rep_1")</f>
        <v>Rep_1</v>
      </c>
      <c r="AQ270" s="2" t="str">
        <f>HYPERLINK("http://www.ncbi.nlm.nih.gov/Structure/cdd/cddsrv.cgi?uid=pfam01446&amp;version=v4.0","0.63")</f>
        <v>0.63</v>
      </c>
      <c r="AR270" t="s">
        <v>91</v>
      </c>
      <c r="AS270" s="3" t="str">
        <f>HYPERLINK("http://exon.niaid.nih.gov/transcriptome/O_fasciatus/Sup_tab1/links/PFAM\of-new-contig_267-PFAM.txt","Rep_1")</f>
        <v>Rep_1</v>
      </c>
      <c r="AT270" s="2" t="str">
        <f>HYPERLINK("http://pfam.wustl.edu/cgi-bin/getdesc?acc=PF01446","0.32")</f>
        <v>0.32</v>
      </c>
      <c r="AU270" s="3" t="str">
        <f>HYPERLINK("http://exon.niaid.nih.gov/transcriptome/O_fasciatus/Sup_tab1/links/SMART\of-new-contig_267-SMART.txt","DAGKa")</f>
        <v>DAGKa</v>
      </c>
      <c r="AV270" s="2" t="str">
        <f>HYPERLINK("http://smart.embl-heidelberg.de/smart/do_annotation.pl?DOMAIN=DAGKa&amp;BLAST=DUMMY","0.18")</f>
        <v>0.18</v>
      </c>
      <c r="AW270" s="3" t="s">
        <v>547</v>
      </c>
      <c r="AX270" s="2" t="s">
        <v>547</v>
      </c>
      <c r="AY270" s="3" t="s">
        <v>547</v>
      </c>
      <c r="AZ270" s="2" t="s">
        <v>547</v>
      </c>
    </row>
    <row r="271" spans="1:52" ht="11.25">
      <c r="A271" t="str">
        <f>HYPERLINK("http://exon.niaid.nih.gov/transcriptome/O_fasciatus/Sup_tab1/links/of-new\of-new-contig_185.txt","of-new-contig_185")</f>
        <v>of-new-contig_185</v>
      </c>
      <c r="B271" t="str">
        <f>HYPERLINK("http://exon.niaid.nih.gov/transcriptome/O_fasciatus/Sup_tab1/links/of-new\of-new-5-64-64-asb-185.txt","Contig-185")</f>
        <v>Contig-185</v>
      </c>
      <c r="C271" t="str">
        <f>HYPERLINK("http://exon.niaid.nih.gov/transcriptome/O_fasciatus/Sup_tab1/links/of-new\of-new-5-64-64-185-CLU.txt","Contig185")</f>
        <v>Contig185</v>
      </c>
      <c r="D271">
        <v>1</v>
      </c>
      <c r="E271">
        <v>211</v>
      </c>
      <c r="F271" t="str">
        <f>HYPERLINK("http://exon.niaid.nih.gov/transcriptome/O_fasciatus/Sup_tab1/links/of-new\of-new-5-64-64-185-qual.txt","58.9")</f>
        <v>58.9</v>
      </c>
      <c r="G271" t="s">
        <v>541</v>
      </c>
      <c r="H271">
        <v>81</v>
      </c>
      <c r="I271">
        <v>192</v>
      </c>
      <c r="J271">
        <v>185</v>
      </c>
      <c r="K271" t="s">
        <v>1263</v>
      </c>
      <c r="L271">
        <v>192</v>
      </c>
      <c r="M271" s="3" t="str">
        <f>HYPERLINK("http://exon.niaid.nih.gov/transcriptome/O_fasciatus/Sup_tab1/links/NR\of-new-contig_185-NR.txt","hypothetical protein PY00959 [Plasmodium yoelii yoelii str. 17XNL]")</f>
        <v>hypothetical protein PY00959 [Plasmodium yoelii yoelii str. 17XNL]</v>
      </c>
      <c r="N271" s="2" t="str">
        <f>HYPERLINK("http://www.ncbi.nlm.nih.gov/sutils/blink.cgi?pid=82793346","0.82")</f>
        <v>0.82</v>
      </c>
      <c r="O271" t="s">
        <v>311</v>
      </c>
      <c r="P271">
        <v>38</v>
      </c>
      <c r="Q271">
        <v>5074</v>
      </c>
      <c r="R271">
        <v>42</v>
      </c>
      <c r="S271">
        <v>1</v>
      </c>
      <c r="T271">
        <v>1020</v>
      </c>
      <c r="U271">
        <v>74</v>
      </c>
      <c r="V271">
        <v>1</v>
      </c>
      <c r="W271" t="s">
        <v>1412</v>
      </c>
      <c r="X271" t="s">
        <v>1452</v>
      </c>
      <c r="Y271" t="s">
        <v>312</v>
      </c>
      <c r="Z271" s="4" t="s">
        <v>1025</v>
      </c>
      <c r="AA271" t="s">
        <v>1015</v>
      </c>
      <c r="AB271" s="3" t="s">
        <v>547</v>
      </c>
      <c r="AC271" s="2" t="s">
        <v>547</v>
      </c>
      <c r="AD271" s="4" t="s">
        <v>547</v>
      </c>
      <c r="AE271" t="s">
        <v>547</v>
      </c>
      <c r="AF271" t="s">
        <v>547</v>
      </c>
      <c r="AG271" s="4" t="s">
        <v>547</v>
      </c>
      <c r="AH271" t="s">
        <v>547</v>
      </c>
      <c r="AI271" t="s">
        <v>547</v>
      </c>
      <c r="AJ271" s="4" t="s">
        <v>547</v>
      </c>
      <c r="AK271" t="s">
        <v>547</v>
      </c>
      <c r="AL271" t="s">
        <v>547</v>
      </c>
      <c r="AM271" s="3" t="str">
        <f>HYPERLINK("http://exon.niaid.nih.gov/transcriptome/O_fasciatus/Sup_tab1/links/KOG\of-new-contig_185-KOG.txt","Cell cycle control protein (crooked neck)")</f>
        <v>Cell cycle control protein (crooked neck)</v>
      </c>
      <c r="AN271" s="2" t="str">
        <f>HYPERLINK("http://www.ncbi.nlm.nih.gov/COG/new/shokog.cgi?KOG1915","0.14")</f>
        <v>0.14</v>
      </c>
      <c r="AO271" t="s">
        <v>504</v>
      </c>
      <c r="AP271" s="3" t="str">
        <f>HYPERLINK("http://exon.niaid.nih.gov/transcriptome/O_fasciatus/Sup_tab1/links/CDD\of-new-contig_185-CDD.txt","7tm_5")</f>
        <v>7tm_5</v>
      </c>
      <c r="AQ271" s="2" t="str">
        <f>HYPERLINK("http://www.ncbi.nlm.nih.gov/Structure/cdd/cddsrv.cgi?uid=pfam01604&amp;version=v4.0","0.35")</f>
        <v>0.35</v>
      </c>
      <c r="AR271" t="s">
        <v>313</v>
      </c>
      <c r="AS271" s="3" t="str">
        <f>HYPERLINK("http://exon.niaid.nih.gov/transcriptome/O_fasciatus/Sup_tab1/links/PFAM\of-new-contig_185-PFAM.txt","7tm_5")</f>
        <v>7tm_5</v>
      </c>
      <c r="AT271" s="2" t="str">
        <f>HYPERLINK("http://pfam.wustl.edu/cgi-bin/getdesc?acc=PF01604","0.18")</f>
        <v>0.18</v>
      </c>
      <c r="AU271" s="3" t="s">
        <v>547</v>
      </c>
      <c r="AV271" s="2" t="s">
        <v>547</v>
      </c>
      <c r="AW271" s="3" t="s">
        <v>547</v>
      </c>
      <c r="AX271" s="2" t="s">
        <v>547</v>
      </c>
      <c r="AY271" s="3" t="s">
        <v>547</v>
      </c>
      <c r="AZ271" s="2" t="s">
        <v>547</v>
      </c>
    </row>
    <row r="272" spans="1:52" ht="11.25">
      <c r="A272" t="str">
        <f>HYPERLINK("http://exon.niaid.nih.gov/transcriptome/O_fasciatus/Sup_tab1/links/of-new\of-new-contig_300.txt","of-new-contig_300")</f>
        <v>of-new-contig_300</v>
      </c>
      <c r="B272" t="str">
        <f>HYPERLINK("http://exon.niaid.nih.gov/transcriptome/O_fasciatus/Sup_tab1/links/of-new\of-new-5-64-64-asb-300.txt","Contig-300")</f>
        <v>Contig-300</v>
      </c>
      <c r="C272" t="str">
        <f>HYPERLINK("http://exon.niaid.nih.gov/transcriptome/O_fasciatus/Sup_tab1/links/of-new\of-new-5-64-64-300-CLU.txt","Contig300")</f>
        <v>Contig300</v>
      </c>
      <c r="D272">
        <v>1</v>
      </c>
      <c r="E272">
        <v>211</v>
      </c>
      <c r="F272" t="str">
        <f>HYPERLINK("http://exon.niaid.nih.gov/transcriptome/O_fasciatus/Sup_tab1/links/of-new\of-new-5-64-64-300-qual.txt","56.5")</f>
        <v>56.5</v>
      </c>
      <c r="G272" t="s">
        <v>541</v>
      </c>
      <c r="H272">
        <v>76.3</v>
      </c>
      <c r="I272">
        <v>192</v>
      </c>
      <c r="J272">
        <v>300</v>
      </c>
      <c r="K272" t="s">
        <v>1378</v>
      </c>
      <c r="L272">
        <v>192</v>
      </c>
      <c r="N272" s="2" t="s">
        <v>547</v>
      </c>
      <c r="O272" t="s">
        <v>547</v>
      </c>
      <c r="P272" t="s">
        <v>547</v>
      </c>
      <c r="Q272" t="s">
        <v>547</v>
      </c>
      <c r="R272" t="s">
        <v>547</v>
      </c>
      <c r="S272" t="s">
        <v>547</v>
      </c>
      <c r="T272" t="s">
        <v>547</v>
      </c>
      <c r="U272" t="s">
        <v>547</v>
      </c>
      <c r="V272" t="s">
        <v>547</v>
      </c>
      <c r="W272" t="s">
        <v>547</v>
      </c>
      <c r="X272" t="s">
        <v>547</v>
      </c>
      <c r="Y272" t="s">
        <v>547</v>
      </c>
      <c r="Z272" s="4" t="s">
        <v>1025</v>
      </c>
      <c r="AA272" t="s">
        <v>1015</v>
      </c>
      <c r="AB272" s="3" t="s">
        <v>547</v>
      </c>
      <c r="AC272" s="2" t="s">
        <v>547</v>
      </c>
      <c r="AD272" s="4" t="s">
        <v>547</v>
      </c>
      <c r="AE272" t="s">
        <v>547</v>
      </c>
      <c r="AF272" t="s">
        <v>547</v>
      </c>
      <c r="AG272" s="4" t="s">
        <v>547</v>
      </c>
      <c r="AH272" t="s">
        <v>547</v>
      </c>
      <c r="AI272" t="s">
        <v>547</v>
      </c>
      <c r="AJ272" s="4" t="s">
        <v>547</v>
      </c>
      <c r="AK272" t="s">
        <v>547</v>
      </c>
      <c r="AL272" t="s">
        <v>547</v>
      </c>
      <c r="AM272" s="3" t="s">
        <v>547</v>
      </c>
      <c r="AN272" s="2" t="s">
        <v>547</v>
      </c>
      <c r="AO272" t="s">
        <v>547</v>
      </c>
      <c r="AP272" s="3" t="s">
        <v>547</v>
      </c>
      <c r="AQ272" s="2" t="s">
        <v>547</v>
      </c>
      <c r="AR272" t="s">
        <v>547</v>
      </c>
      <c r="AS272" s="3" t="s">
        <v>547</v>
      </c>
      <c r="AT272" s="2" t="s">
        <v>547</v>
      </c>
      <c r="AU272" s="3" t="str">
        <f>HYPERLINK("http://exon.niaid.nih.gov/transcriptome/O_fasciatus/Sup_tab1/links/SMART\of-new-contig_300-SMART.txt","IPPc")</f>
        <v>IPPc</v>
      </c>
      <c r="AV272" s="2" t="str">
        <f>HYPERLINK("http://smart.embl-heidelberg.de/smart/do_annotation.pl?DOMAIN=IPPc&amp;BLAST=DUMMY","0.35")</f>
        <v>0.35</v>
      </c>
      <c r="AW272" s="3" t="s">
        <v>547</v>
      </c>
      <c r="AX272" s="2" t="s">
        <v>547</v>
      </c>
      <c r="AY272" s="3" t="s">
        <v>547</v>
      </c>
      <c r="AZ272" s="2" t="s">
        <v>547</v>
      </c>
    </row>
    <row r="273" spans="1:52" ht="11.25">
      <c r="A273" t="str">
        <f>HYPERLINK("http://exon.niaid.nih.gov/transcriptome/O_fasciatus/Sup_tab1/links/of-new\of-new-contig_246.txt","of-new-contig_246")</f>
        <v>of-new-contig_246</v>
      </c>
      <c r="B273" t="str">
        <f>HYPERLINK("http://exon.niaid.nih.gov/transcriptome/O_fasciatus/Sup_tab1/links/of-new\of-new-5-64-64-asb-246.txt","Contig-246")</f>
        <v>Contig-246</v>
      </c>
      <c r="C273" t="str">
        <f>HYPERLINK("http://exon.niaid.nih.gov/transcriptome/O_fasciatus/Sup_tab1/links/of-new\of-new-5-64-64-246-CLU.txt","Contig246")</f>
        <v>Contig246</v>
      </c>
      <c r="D273">
        <v>1</v>
      </c>
      <c r="E273">
        <v>205</v>
      </c>
      <c r="F273" t="str">
        <f>HYPERLINK("http://exon.niaid.nih.gov/transcriptome/O_fasciatus/Sup_tab1/links/of-new\of-new-5-64-64-246-qual.txt","58.8")</f>
        <v>58.8</v>
      </c>
      <c r="G273" t="s">
        <v>541</v>
      </c>
      <c r="H273">
        <v>77.1</v>
      </c>
      <c r="I273">
        <v>186</v>
      </c>
      <c r="J273">
        <v>246</v>
      </c>
      <c r="K273" t="s">
        <v>1324</v>
      </c>
      <c r="L273">
        <v>186</v>
      </c>
      <c r="M273" s="3" t="str">
        <f>HYPERLINK("http://exon.niaid.nih.gov/transcriptome/O_fasciatus/Sup_tab1/links/NR\of-new-contig_246-NR.txt","putative aminotransferase (degT family) [Campylobacter jejuni subsp. jejuni NCTC")</f>
        <v>putative aminotransferase (degT family) [Campylobacter jejuni subsp. jejuni NCTC</v>
      </c>
      <c r="N273" s="2" t="str">
        <f>HYPERLINK("http://www.ncbi.nlm.nih.gov/sutils/blink.cgi?pid=15792617","4.2")</f>
        <v>4.2</v>
      </c>
      <c r="O273" t="s">
        <v>397</v>
      </c>
      <c r="P273">
        <v>56</v>
      </c>
      <c r="Q273">
        <v>376</v>
      </c>
      <c r="R273">
        <v>33</v>
      </c>
      <c r="S273">
        <v>15</v>
      </c>
      <c r="T273">
        <v>256</v>
      </c>
      <c r="U273">
        <v>4</v>
      </c>
      <c r="V273">
        <v>1</v>
      </c>
      <c r="W273" t="s">
        <v>1412</v>
      </c>
      <c r="X273" t="s">
        <v>398</v>
      </c>
      <c r="Y273" t="s">
        <v>399</v>
      </c>
      <c r="Z273" s="4" t="s">
        <v>1025</v>
      </c>
      <c r="AA273" t="s">
        <v>1015</v>
      </c>
      <c r="AB273" s="3" t="s">
        <v>547</v>
      </c>
      <c r="AC273" s="2" t="s">
        <v>547</v>
      </c>
      <c r="AD273" s="4" t="s">
        <v>547</v>
      </c>
      <c r="AE273" t="s">
        <v>547</v>
      </c>
      <c r="AF273" t="s">
        <v>547</v>
      </c>
      <c r="AG273" s="4" t="s">
        <v>547</v>
      </c>
      <c r="AH273" t="s">
        <v>547</v>
      </c>
      <c r="AI273" t="s">
        <v>547</v>
      </c>
      <c r="AJ273" s="4" t="s">
        <v>547</v>
      </c>
      <c r="AK273" t="s">
        <v>547</v>
      </c>
      <c r="AL273" t="s">
        <v>547</v>
      </c>
      <c r="AM273" s="3" t="str">
        <f>HYPERLINK("http://exon.niaid.nih.gov/transcriptome/O_fasciatus/Sup_tab1/links/KOG\of-new-contig_246-KOG.txt","Putative Zn2+ transporter MSC2 (cation diffusion facilitator superfamily)")</f>
        <v>Putative Zn2+ transporter MSC2 (cation diffusion facilitator superfamily)</v>
      </c>
      <c r="AN273" s="2" t="str">
        <f>HYPERLINK("http://www.ncbi.nlm.nih.gov/COG/new/shokog.cgi?KOG1484","0.85")</f>
        <v>0.85</v>
      </c>
      <c r="AO273" t="s">
        <v>1518</v>
      </c>
      <c r="AP273" s="3" t="s">
        <v>547</v>
      </c>
      <c r="AQ273" s="2" t="s">
        <v>547</v>
      </c>
      <c r="AR273" t="s">
        <v>547</v>
      </c>
      <c r="AS273" s="3" t="s">
        <v>547</v>
      </c>
      <c r="AT273" s="2" t="s">
        <v>547</v>
      </c>
      <c r="AU273" s="3" t="str">
        <f>HYPERLINK("http://exon.niaid.nih.gov/transcriptome/O_fasciatus/Sup_tab1/links/SMART\of-new-contig_246-SMART.txt","MYSc")</f>
        <v>MYSc</v>
      </c>
      <c r="AV273" s="2" t="str">
        <f>HYPERLINK("http://smart.embl-heidelberg.de/smart/do_annotation.pl?DOMAIN=MYSc&amp;BLAST=DUMMY","0.22")</f>
        <v>0.22</v>
      </c>
      <c r="AW273" s="3" t="s">
        <v>547</v>
      </c>
      <c r="AX273" s="2" t="s">
        <v>547</v>
      </c>
      <c r="AY273" s="3" t="s">
        <v>547</v>
      </c>
      <c r="AZ273" s="2" t="s">
        <v>547</v>
      </c>
    </row>
    <row r="274" spans="1:52" ht="11.25">
      <c r="A274" t="str">
        <f>HYPERLINK("http://exon.niaid.nih.gov/transcriptome/O_fasciatus/Sup_tab1/links/of-new\of-new-contig_227.txt","of-new-contig_227")</f>
        <v>of-new-contig_227</v>
      </c>
      <c r="B274" t="str">
        <f>HYPERLINK("http://exon.niaid.nih.gov/transcriptome/O_fasciatus/Sup_tab1/links/of-new\of-new-5-64-64-asb-227.txt","Contig-227")</f>
        <v>Contig-227</v>
      </c>
      <c r="C274" t="str">
        <f>HYPERLINK("http://exon.niaid.nih.gov/transcriptome/O_fasciatus/Sup_tab1/links/of-new\of-new-5-64-64-227-CLU.txt","Contig227")</f>
        <v>Contig227</v>
      </c>
      <c r="D274">
        <v>1</v>
      </c>
      <c r="E274">
        <v>202</v>
      </c>
      <c r="F274" t="str">
        <f>HYPERLINK("http://exon.niaid.nih.gov/transcriptome/O_fasciatus/Sup_tab1/links/of-new\of-new-5-64-64-227-qual.txt","60.1")</f>
        <v>60.1</v>
      </c>
      <c r="G274" t="s">
        <v>541</v>
      </c>
      <c r="H274">
        <v>76.7</v>
      </c>
      <c r="I274">
        <v>183</v>
      </c>
      <c r="J274">
        <v>227</v>
      </c>
      <c r="K274" t="s">
        <v>1305</v>
      </c>
      <c r="L274">
        <v>183</v>
      </c>
      <c r="M274" s="3" t="str">
        <f>HYPERLINK("http://exon.niaid.nih.gov/transcriptome/O_fasciatus/Sup_tab1/links/NR\of-new-contig_227-NR.txt","wsv319 [Shrimp white spot syndrome virus]")</f>
        <v>wsv319 [Shrimp white spot syndrome virus]</v>
      </c>
      <c r="N274" s="2" t="str">
        <f>HYPERLINK("http://www.ncbi.nlm.nih.gov/sutils/blink.cgi?pid=17158421","9.4")</f>
        <v>9.4</v>
      </c>
      <c r="O274" t="s">
        <v>242</v>
      </c>
      <c r="P274">
        <v>36</v>
      </c>
      <c r="Q274">
        <v>71</v>
      </c>
      <c r="R274">
        <v>52</v>
      </c>
      <c r="S274">
        <v>51</v>
      </c>
      <c r="T274">
        <v>1</v>
      </c>
      <c r="U274">
        <v>16</v>
      </c>
      <c r="V274">
        <v>1</v>
      </c>
      <c r="W274" t="s">
        <v>1412</v>
      </c>
      <c r="X274" t="s">
        <v>243</v>
      </c>
      <c r="Y274" t="s">
        <v>244</v>
      </c>
      <c r="Z274" s="4" t="s">
        <v>1025</v>
      </c>
      <c r="AA274" t="s">
        <v>1015</v>
      </c>
      <c r="AB274" s="3" t="s">
        <v>547</v>
      </c>
      <c r="AC274" s="2" t="s">
        <v>547</v>
      </c>
      <c r="AD274" s="4" t="s">
        <v>547</v>
      </c>
      <c r="AE274" t="s">
        <v>547</v>
      </c>
      <c r="AF274" t="s">
        <v>547</v>
      </c>
      <c r="AG274" s="4" t="s">
        <v>547</v>
      </c>
      <c r="AH274" t="s">
        <v>547</v>
      </c>
      <c r="AI274" t="s">
        <v>547</v>
      </c>
      <c r="AJ274" s="4" t="s">
        <v>547</v>
      </c>
      <c r="AK274" t="s">
        <v>547</v>
      </c>
      <c r="AL274" t="s">
        <v>547</v>
      </c>
      <c r="AM274" s="3" t="s">
        <v>547</v>
      </c>
      <c r="AN274" s="2" t="s">
        <v>547</v>
      </c>
      <c r="AO274" t="s">
        <v>547</v>
      </c>
      <c r="AP274" s="3" t="s">
        <v>547</v>
      </c>
      <c r="AQ274" s="2" t="s">
        <v>547</v>
      </c>
      <c r="AR274" t="s">
        <v>547</v>
      </c>
      <c r="AS274" s="3" t="s">
        <v>547</v>
      </c>
      <c r="AT274" s="2" t="s">
        <v>547</v>
      </c>
      <c r="AU274" s="3" t="s">
        <v>547</v>
      </c>
      <c r="AV274" s="2" t="s">
        <v>547</v>
      </c>
      <c r="AW274" s="3" t="s">
        <v>547</v>
      </c>
      <c r="AX274" s="2" t="s">
        <v>547</v>
      </c>
      <c r="AY274" s="3" t="s">
        <v>547</v>
      </c>
      <c r="AZ274" s="2" t="s">
        <v>547</v>
      </c>
    </row>
    <row r="275" spans="1:52" ht="11.25">
      <c r="A275" t="str">
        <f>HYPERLINK("http://exon.niaid.nih.gov/transcriptome/O_fasciatus/Sup_tab1/links/of-new\of-new-contig_225.txt","of-new-contig_225")</f>
        <v>of-new-contig_225</v>
      </c>
      <c r="B275" t="str">
        <f>HYPERLINK("http://exon.niaid.nih.gov/transcriptome/O_fasciatus/Sup_tab1/links/of-new\of-new-5-64-64-asb-225.txt","Contig-225")</f>
        <v>Contig-225</v>
      </c>
      <c r="C275" t="str">
        <f>HYPERLINK("http://exon.niaid.nih.gov/transcriptome/O_fasciatus/Sup_tab1/links/of-new\of-new-5-64-64-225-CLU.txt","Contig225")</f>
        <v>Contig225</v>
      </c>
      <c r="D275">
        <v>1</v>
      </c>
      <c r="E275">
        <v>199</v>
      </c>
      <c r="F275" t="str">
        <f>HYPERLINK("http://exon.niaid.nih.gov/transcriptome/O_fasciatus/Sup_tab1/links/of-new\of-new-5-64-64-225-qual.txt","28.5")</f>
        <v>28.5</v>
      </c>
      <c r="G275" t="s">
        <v>541</v>
      </c>
      <c r="H275">
        <v>72.9</v>
      </c>
      <c r="I275">
        <v>180</v>
      </c>
      <c r="J275">
        <v>225</v>
      </c>
      <c r="K275" t="s">
        <v>1303</v>
      </c>
      <c r="L275">
        <v>180</v>
      </c>
      <c r="M275" s="3" t="str">
        <f>HYPERLINK("http://exon.niaid.nih.gov/transcriptome/O_fasciatus/Sup_tab1/links/NR\of-new-contig_225-NR.txt","COG0671: Membrane-associated phospholipid phosphatase")</f>
        <v>COG0671: Membrane-associated phospholipid phosphatase</v>
      </c>
      <c r="N275" s="2" t="str">
        <f>HYPERLINK("http://www.ncbi.nlm.nih.gov/sutils/blink.cgi?pid=75855897","0.13")</f>
        <v>0.13</v>
      </c>
      <c r="O275" t="s">
        <v>235</v>
      </c>
      <c r="P275">
        <v>56</v>
      </c>
      <c r="Q275">
        <v>371</v>
      </c>
      <c r="R275">
        <v>28</v>
      </c>
      <c r="S275">
        <v>15</v>
      </c>
      <c r="T275">
        <v>32</v>
      </c>
      <c r="U275">
        <v>5</v>
      </c>
      <c r="V275">
        <v>1</v>
      </c>
      <c r="W275" t="s">
        <v>1412</v>
      </c>
      <c r="X275" t="s">
        <v>236</v>
      </c>
      <c r="Y275" t="s">
        <v>237</v>
      </c>
      <c r="Z275" s="4" t="s">
        <v>1025</v>
      </c>
      <c r="AA275" t="s">
        <v>1015</v>
      </c>
      <c r="AB275" s="3" t="s">
        <v>547</v>
      </c>
      <c r="AC275" s="2" t="s">
        <v>547</v>
      </c>
      <c r="AD275" s="4" t="s">
        <v>547</v>
      </c>
      <c r="AE275" t="s">
        <v>547</v>
      </c>
      <c r="AF275" t="s">
        <v>547</v>
      </c>
      <c r="AG275" s="4" t="s">
        <v>547</v>
      </c>
      <c r="AH275" t="s">
        <v>547</v>
      </c>
      <c r="AI275" t="s">
        <v>547</v>
      </c>
      <c r="AJ275" s="4" t="s">
        <v>547</v>
      </c>
      <c r="AK275" t="s">
        <v>547</v>
      </c>
      <c r="AL275" t="s">
        <v>547</v>
      </c>
      <c r="AM275" s="3" t="str">
        <f>HYPERLINK("http://exon.niaid.nih.gov/transcriptome/O_fasciatus/Sup_tab1/links/KOG\of-new-contig_225-KOG.txt","Smad anchor for receptor activation")</f>
        <v>Smad anchor for receptor activation</v>
      </c>
      <c r="AN275" s="2" t="str">
        <f>HYPERLINK("http://www.ncbi.nlm.nih.gov/COG/new/shokog.cgi?KOG1841","0.27")</f>
        <v>0.27</v>
      </c>
      <c r="AO275" t="s">
        <v>645</v>
      </c>
      <c r="AP275" s="3" t="str">
        <f>HYPERLINK("http://exon.niaid.nih.gov/transcriptome/O_fasciatus/Sup_tab1/links/CDD\of-new-contig_225-CDD.txt","COG3503")</f>
        <v>COG3503</v>
      </c>
      <c r="AQ275" s="2" t="str">
        <f>HYPERLINK("http://www.ncbi.nlm.nih.gov/Structure/cdd/cddsrv.cgi?uid=COG3503&amp;version=v4.0","0.45")</f>
        <v>0.45</v>
      </c>
      <c r="AR275" t="s">
        <v>238</v>
      </c>
      <c r="AS275" s="3" t="str">
        <f>HYPERLINK("http://exon.niaid.nih.gov/transcriptome/O_fasciatus/Sup_tab1/links/PFAM\of-new-contig_225-PFAM.txt","DUF766")</f>
        <v>DUF766</v>
      </c>
      <c r="AT275" s="2" t="str">
        <f>HYPERLINK("http://pfam.wustl.edu/cgi-bin/getdesc?acc=PF05571","0.41")</f>
        <v>0.41</v>
      </c>
      <c r="AU275" s="3" t="str">
        <f>HYPERLINK("http://exon.niaid.nih.gov/transcriptome/O_fasciatus/Sup_tab1/links/SMART\of-new-contig_225-SMART.txt","NEAT")</f>
        <v>NEAT</v>
      </c>
      <c r="AV275" s="2" t="str">
        <f>HYPERLINK("http://smart.embl-heidelberg.de/smart/do_annotation.pl?DOMAIN=NEAT&amp;BLAST=DUMMY","0.57")</f>
        <v>0.57</v>
      </c>
      <c r="AW275" s="3" t="s">
        <v>547</v>
      </c>
      <c r="AX275" s="2" t="s">
        <v>547</v>
      </c>
      <c r="AY275" s="3" t="s">
        <v>547</v>
      </c>
      <c r="AZ275" s="2" t="s">
        <v>547</v>
      </c>
    </row>
    <row r="276" spans="1:52" ht="11.25">
      <c r="A276" t="str">
        <f>HYPERLINK("http://exon.niaid.nih.gov/transcriptome/O_fasciatus/Sup_tab1/links/of-new\of-new-contig_292.txt","of-new-contig_292")</f>
        <v>of-new-contig_292</v>
      </c>
      <c r="B276" t="str">
        <f>HYPERLINK("http://exon.niaid.nih.gov/transcriptome/O_fasciatus/Sup_tab1/links/of-new\of-new-5-64-64-asb-292.txt","Contig-292")</f>
        <v>Contig-292</v>
      </c>
      <c r="C276" t="str">
        <f>HYPERLINK("http://exon.niaid.nih.gov/transcriptome/O_fasciatus/Sup_tab1/links/of-new\of-new-5-64-64-292-CLU.txt","Contig292")</f>
        <v>Contig292</v>
      </c>
      <c r="D276">
        <v>1</v>
      </c>
      <c r="E276">
        <v>190</v>
      </c>
      <c r="F276" t="str">
        <f>HYPERLINK("http://exon.niaid.nih.gov/transcriptome/O_fasciatus/Sup_tab1/links/of-new\of-new-5-64-64-292-qual.txt","62.")</f>
        <v>62.</v>
      </c>
      <c r="G276" t="s">
        <v>541</v>
      </c>
      <c r="H276">
        <v>78.9</v>
      </c>
      <c r="I276">
        <v>171</v>
      </c>
      <c r="J276">
        <v>292</v>
      </c>
      <c r="K276" t="s">
        <v>1370</v>
      </c>
      <c r="L276">
        <v>171</v>
      </c>
      <c r="N276" s="2" t="s">
        <v>547</v>
      </c>
      <c r="O276" t="s">
        <v>547</v>
      </c>
      <c r="P276" t="s">
        <v>547</v>
      </c>
      <c r="Q276" t="s">
        <v>547</v>
      </c>
      <c r="R276" t="s">
        <v>547</v>
      </c>
      <c r="S276" t="s">
        <v>547</v>
      </c>
      <c r="T276" t="s">
        <v>547</v>
      </c>
      <c r="U276" t="s">
        <v>547</v>
      </c>
      <c r="V276" t="s">
        <v>547</v>
      </c>
      <c r="W276" t="s">
        <v>547</v>
      </c>
      <c r="X276" t="s">
        <v>547</v>
      </c>
      <c r="Y276" t="s">
        <v>547</v>
      </c>
      <c r="Z276" s="4" t="s">
        <v>1025</v>
      </c>
      <c r="AA276" t="s">
        <v>1015</v>
      </c>
      <c r="AB276" s="3" t="s">
        <v>547</v>
      </c>
      <c r="AC276" s="2" t="s">
        <v>547</v>
      </c>
      <c r="AD276" s="4" t="s">
        <v>547</v>
      </c>
      <c r="AE276" t="s">
        <v>547</v>
      </c>
      <c r="AF276" t="s">
        <v>547</v>
      </c>
      <c r="AG276" s="4" t="s">
        <v>547</v>
      </c>
      <c r="AH276" t="s">
        <v>547</v>
      </c>
      <c r="AI276" t="s">
        <v>547</v>
      </c>
      <c r="AJ276" s="4" t="s">
        <v>547</v>
      </c>
      <c r="AK276" t="s">
        <v>547</v>
      </c>
      <c r="AL276" t="s">
        <v>547</v>
      </c>
      <c r="AM276" s="3" t="s">
        <v>547</v>
      </c>
      <c r="AN276" s="2" t="s">
        <v>547</v>
      </c>
      <c r="AO276" t="s">
        <v>547</v>
      </c>
      <c r="AP276" s="3" t="s">
        <v>547</v>
      </c>
      <c r="AQ276" s="2" t="s">
        <v>547</v>
      </c>
      <c r="AR276" t="s">
        <v>547</v>
      </c>
      <c r="AS276" s="3" t="str">
        <f>HYPERLINK("http://exon.niaid.nih.gov/transcriptome/O_fasciatus/Sup_tab1/links/PFAM\of-new-contig_292-PFAM.txt","UPF0259")</f>
        <v>UPF0259</v>
      </c>
      <c r="AT276" s="2" t="str">
        <f>HYPERLINK("http://pfam.wustl.edu/cgi-bin/getdesc?acc=PF06790","0.99")</f>
        <v>0.99</v>
      </c>
      <c r="AU276" s="3" t="str">
        <f>HYPERLINK("http://exon.niaid.nih.gov/transcriptome/O_fasciatus/Sup_tab1/links/SMART\of-new-contig_292-SMART.txt","TNF")</f>
        <v>TNF</v>
      </c>
      <c r="AV276" s="2" t="str">
        <f>HYPERLINK("http://smart.embl-heidelberg.de/smart/do_annotation.pl?DOMAIN=TNF&amp;BLAST=DUMMY","0.54")</f>
        <v>0.54</v>
      </c>
      <c r="AW276" s="3" t="s">
        <v>547</v>
      </c>
      <c r="AX276" s="2" t="s">
        <v>547</v>
      </c>
      <c r="AY276" s="3" t="s">
        <v>547</v>
      </c>
      <c r="AZ276" s="2" t="s">
        <v>547</v>
      </c>
    </row>
    <row r="277" spans="1:52" ht="11.25">
      <c r="A277" t="str">
        <f>HYPERLINK("http://exon.niaid.nih.gov/transcriptome/O_fasciatus/Sup_tab1/links/of-new\of-new-contig_183.txt","of-new-contig_183")</f>
        <v>of-new-contig_183</v>
      </c>
      <c r="B277" t="str">
        <f>HYPERLINK("http://exon.niaid.nih.gov/transcriptome/O_fasciatus/Sup_tab1/links/of-new\of-new-5-64-64-asb-183.txt","Contig-183")</f>
        <v>Contig-183</v>
      </c>
      <c r="C277" t="str">
        <f>HYPERLINK("http://exon.niaid.nih.gov/transcriptome/O_fasciatus/Sup_tab1/links/of-new\of-new-5-64-64-183-CLU.txt","Contig183")</f>
        <v>Contig183</v>
      </c>
      <c r="D277">
        <v>1</v>
      </c>
      <c r="E277">
        <v>178</v>
      </c>
      <c r="F277" t="str">
        <f>HYPERLINK("http://exon.niaid.nih.gov/transcriptome/O_fasciatus/Sup_tab1/links/of-new\of-new-5-64-64-183-qual.txt","59.5")</f>
        <v>59.5</v>
      </c>
      <c r="G277" t="s">
        <v>541</v>
      </c>
      <c r="H277">
        <v>79.2</v>
      </c>
      <c r="I277">
        <v>159</v>
      </c>
      <c r="J277">
        <v>183</v>
      </c>
      <c r="K277" t="s">
        <v>1261</v>
      </c>
      <c r="L277">
        <v>159</v>
      </c>
      <c r="M277" s="3" t="str">
        <f>HYPERLINK("http://exon.niaid.nih.gov/transcriptome/O_fasciatus/Sup_tab1/links/NR\of-new-contig_183-NR.txt","PREDICTED: similar to ee3_2")</f>
        <v>PREDICTED: similar to ee3_2</v>
      </c>
      <c r="N277" s="2" t="str">
        <f>HYPERLINK("http://www.ncbi.nlm.nih.gov/sutils/blink.cgi?pid=109132582","1.8")</f>
        <v>1.8</v>
      </c>
      <c r="O277" t="s">
        <v>217</v>
      </c>
      <c r="P277">
        <v>40</v>
      </c>
      <c r="Q277">
        <v>794</v>
      </c>
      <c r="R277">
        <v>37</v>
      </c>
      <c r="S277">
        <v>5</v>
      </c>
      <c r="T277">
        <v>163</v>
      </c>
      <c r="U277">
        <v>44</v>
      </c>
      <c r="V277">
        <v>1</v>
      </c>
      <c r="W277" t="s">
        <v>1412</v>
      </c>
      <c r="X277" t="s">
        <v>1566</v>
      </c>
      <c r="Y277" t="s">
        <v>306</v>
      </c>
      <c r="Z277" s="4" t="s">
        <v>1025</v>
      </c>
      <c r="AA277" t="s">
        <v>1015</v>
      </c>
      <c r="AB277" s="3" t="s">
        <v>547</v>
      </c>
      <c r="AC277" s="2" t="s">
        <v>547</v>
      </c>
      <c r="AD277" s="4" t="s">
        <v>547</v>
      </c>
      <c r="AE277" t="s">
        <v>547</v>
      </c>
      <c r="AF277" t="s">
        <v>547</v>
      </c>
      <c r="AG277" s="4" t="s">
        <v>547</v>
      </c>
      <c r="AH277" t="s">
        <v>547</v>
      </c>
      <c r="AI277" t="s">
        <v>547</v>
      </c>
      <c r="AJ277" s="4" t="s">
        <v>547</v>
      </c>
      <c r="AK277" t="s">
        <v>547</v>
      </c>
      <c r="AL277" t="s">
        <v>547</v>
      </c>
      <c r="AM277" s="3" t="str">
        <f>HYPERLINK("http://exon.niaid.nih.gov/transcriptome/O_fasciatus/Sup_tab1/links/KOG\of-new-contig_183-KOG.txt","Sterol C5 desaturase")</f>
        <v>Sterol C5 desaturase</v>
      </c>
      <c r="AN277" s="2" t="str">
        <f>HYPERLINK("http://www.ncbi.nlm.nih.gov/COG/new/shokog.cgi?KOG0872","0.026")</f>
        <v>0.026</v>
      </c>
      <c r="AO277" t="s">
        <v>1469</v>
      </c>
      <c r="AP277" s="3" t="str">
        <f>HYPERLINK("http://exon.niaid.nih.gov/transcriptome/O_fasciatus/Sup_tab1/links/CDD\of-new-contig_183-CDD.txt","COG5273")</f>
        <v>COG5273</v>
      </c>
      <c r="AQ277" s="2" t="str">
        <f>HYPERLINK("http://www.ncbi.nlm.nih.gov/Structure/cdd/cddsrv.cgi?uid=COG5273&amp;version=v4.0","0.12")</f>
        <v>0.12</v>
      </c>
      <c r="AR277" t="s">
        <v>307</v>
      </c>
      <c r="AS277" s="3" t="str">
        <f>HYPERLINK("http://exon.niaid.nih.gov/transcriptome/O_fasciatus/Sup_tab1/links/PFAM\of-new-contig_183-PFAM.txt","DUF845")</f>
        <v>DUF845</v>
      </c>
      <c r="AT277" s="2" t="str">
        <f>HYPERLINK("http://pfam.wustl.edu/cgi-bin/getdesc?acc=PF05820","0.010")</f>
        <v>0.010</v>
      </c>
      <c r="AU277" s="3" t="str">
        <f>HYPERLINK("http://exon.niaid.nih.gov/transcriptome/O_fasciatus/Sup_tab1/links/SMART\of-new-contig_183-SMART.txt","PSN")</f>
        <v>PSN</v>
      </c>
      <c r="AV277" s="2" t="str">
        <f>HYPERLINK("http://smart.embl-heidelberg.de/smart/do_annotation.pl?DOMAIN=PSN&amp;BLAST=DUMMY","0.033")</f>
        <v>0.033</v>
      </c>
      <c r="AW277" s="3" t="s">
        <v>547</v>
      </c>
      <c r="AX277" s="2" t="s">
        <v>547</v>
      </c>
      <c r="AY277" s="3" t="s">
        <v>547</v>
      </c>
      <c r="AZ277" s="2" t="s">
        <v>547</v>
      </c>
    </row>
    <row r="278" spans="1:52" ht="11.25">
      <c r="A278" t="str">
        <f>HYPERLINK("http://exon.niaid.nih.gov/transcriptome/O_fasciatus/Sup_tab1/links/of-new\of-new-contig_211.txt","of-new-contig_211")</f>
        <v>of-new-contig_211</v>
      </c>
      <c r="B278" t="str">
        <f>HYPERLINK("http://exon.niaid.nih.gov/transcriptome/O_fasciatus/Sup_tab1/links/of-new\of-new-5-64-64-asb-211.txt","Contig-211")</f>
        <v>Contig-211</v>
      </c>
      <c r="C278" t="str">
        <f>HYPERLINK("http://exon.niaid.nih.gov/transcriptome/O_fasciatus/Sup_tab1/links/of-new\of-new-5-64-64-211-CLU.txt","Contig211")</f>
        <v>Contig211</v>
      </c>
      <c r="D278">
        <v>1</v>
      </c>
      <c r="E278">
        <v>177</v>
      </c>
      <c r="F278" t="str">
        <f>HYPERLINK("http://exon.niaid.nih.gov/transcriptome/O_fasciatus/Sup_tab1/links/of-new\of-new-5-64-64-211-qual.txt","60.6")</f>
        <v>60.6</v>
      </c>
      <c r="G278" t="s">
        <v>541</v>
      </c>
      <c r="H278">
        <v>75.1</v>
      </c>
      <c r="I278">
        <v>158</v>
      </c>
      <c r="J278">
        <v>211</v>
      </c>
      <c r="K278" t="s">
        <v>1289</v>
      </c>
      <c r="L278">
        <v>158</v>
      </c>
      <c r="M278" s="3" t="str">
        <f>HYPERLINK("http://exon.niaid.nih.gov/transcriptome/O_fasciatus/Sup_tab1/links/NR\of-new-contig_211-NR.txt","hypothetical protein PF11_0378 [Plasmodium falciparum 3D7]")</f>
        <v>hypothetical protein PF11_0378 [Plasmodium falciparum 3D7]</v>
      </c>
      <c r="N278" s="2" t="str">
        <f>HYPERLINK("http://www.ncbi.nlm.nih.gov/sutils/blink.cgi?pid=23508568","5.3")</f>
        <v>5.3</v>
      </c>
      <c r="O278" t="s">
        <v>760</v>
      </c>
      <c r="P278">
        <v>45</v>
      </c>
      <c r="Q278">
        <v>1322</v>
      </c>
      <c r="R278">
        <v>37</v>
      </c>
      <c r="S278">
        <v>3</v>
      </c>
      <c r="T278">
        <v>37</v>
      </c>
      <c r="U278">
        <v>14</v>
      </c>
      <c r="V278">
        <v>1</v>
      </c>
      <c r="W278" t="s">
        <v>1412</v>
      </c>
      <c r="X278" t="s">
        <v>648</v>
      </c>
      <c r="Y278" t="s">
        <v>761</v>
      </c>
      <c r="Z278" s="4" t="s">
        <v>1025</v>
      </c>
      <c r="AA278" t="s">
        <v>1015</v>
      </c>
      <c r="AB278" s="3" t="s">
        <v>547</v>
      </c>
      <c r="AC278" s="2" t="s">
        <v>547</v>
      </c>
      <c r="AD278" s="4" t="s">
        <v>547</v>
      </c>
      <c r="AE278" t="s">
        <v>547</v>
      </c>
      <c r="AF278" t="s">
        <v>547</v>
      </c>
      <c r="AG278" s="4" t="s">
        <v>547</v>
      </c>
      <c r="AH278" t="s">
        <v>547</v>
      </c>
      <c r="AI278" t="s">
        <v>547</v>
      </c>
      <c r="AJ278" s="4" t="s">
        <v>547</v>
      </c>
      <c r="AK278" t="s">
        <v>547</v>
      </c>
      <c r="AL278" t="s">
        <v>547</v>
      </c>
      <c r="AM278" s="3" t="s">
        <v>547</v>
      </c>
      <c r="AN278" s="2" t="s">
        <v>547</v>
      </c>
      <c r="AO278" t="s">
        <v>547</v>
      </c>
      <c r="AP278" s="3" t="s">
        <v>547</v>
      </c>
      <c r="AQ278" s="2" t="s">
        <v>547</v>
      </c>
      <c r="AR278" t="s">
        <v>547</v>
      </c>
      <c r="AS278" s="3" t="s">
        <v>547</v>
      </c>
      <c r="AT278" s="2" t="s">
        <v>547</v>
      </c>
      <c r="AU278" s="3" t="str">
        <f>HYPERLINK("http://exon.niaid.nih.gov/transcriptome/O_fasciatus/Sup_tab1/links/SMART\of-new-contig_211-SMART.txt","MYSc")</f>
        <v>MYSc</v>
      </c>
      <c r="AV278" s="2" t="str">
        <f>HYPERLINK("http://smart.embl-heidelberg.de/smart/do_annotation.pl?DOMAIN=MYSc&amp;BLAST=DUMMY","0.42")</f>
        <v>0.42</v>
      </c>
      <c r="AW278" s="3" t="s">
        <v>547</v>
      </c>
      <c r="AX278" s="2" t="s">
        <v>547</v>
      </c>
      <c r="AY278" s="3" t="s">
        <v>547</v>
      </c>
      <c r="AZ278" s="2" t="s">
        <v>547</v>
      </c>
    </row>
    <row r="279" spans="1:52" ht="11.25">
      <c r="A279" t="str">
        <f>HYPERLINK("http://exon.niaid.nih.gov/transcriptome/O_fasciatus/Sup_tab1/links/of-new\of-new-contig_255.txt","of-new-contig_255")</f>
        <v>of-new-contig_255</v>
      </c>
      <c r="B279" t="str">
        <f>HYPERLINK("http://exon.niaid.nih.gov/transcriptome/O_fasciatus/Sup_tab1/links/of-new\of-new-5-64-64-asb-255.txt","Contig-255")</f>
        <v>Contig-255</v>
      </c>
      <c r="C279" t="str">
        <f>HYPERLINK("http://exon.niaid.nih.gov/transcriptome/O_fasciatus/Sup_tab1/links/of-new\of-new-5-64-64-255-CLU.txt","Contig255")</f>
        <v>Contig255</v>
      </c>
      <c r="D279">
        <v>1</v>
      </c>
      <c r="E279">
        <v>161</v>
      </c>
      <c r="F279" t="str">
        <f>HYPERLINK("http://exon.niaid.nih.gov/transcriptome/O_fasciatus/Sup_tab1/links/of-new\of-new-5-64-64-255-qual.txt","59.")</f>
        <v>59.</v>
      </c>
      <c r="G279" t="s">
        <v>541</v>
      </c>
      <c r="H279">
        <v>77</v>
      </c>
      <c r="I279">
        <v>142</v>
      </c>
      <c r="J279">
        <v>255</v>
      </c>
      <c r="K279" t="s">
        <v>1333</v>
      </c>
      <c r="L279">
        <v>142</v>
      </c>
      <c r="M279" s="3" t="str">
        <f>HYPERLINK("http://exon.niaid.nih.gov/transcriptome/O_fasciatus/Sup_tab1/links/NR\of-new-contig_255-NR.txt","conserved hypothetical protein")</f>
        <v>conserved hypothetical protein</v>
      </c>
      <c r="N279" s="2" t="str">
        <f>HYPERLINK("http://www.ncbi.nlm.nih.gov/sutils/blink.cgi?pid=108873855","9.4")</f>
        <v>9.4</v>
      </c>
      <c r="O279" t="s">
        <v>420</v>
      </c>
      <c r="P279">
        <v>33</v>
      </c>
      <c r="Q279">
        <v>3364</v>
      </c>
      <c r="R279">
        <v>48</v>
      </c>
      <c r="S279">
        <v>1</v>
      </c>
      <c r="T279">
        <v>200</v>
      </c>
      <c r="U279">
        <v>44</v>
      </c>
      <c r="V279">
        <v>1</v>
      </c>
      <c r="W279" t="s">
        <v>1412</v>
      </c>
      <c r="X279" t="s">
        <v>1164</v>
      </c>
      <c r="Y279" t="s">
        <v>421</v>
      </c>
      <c r="Z279" s="4" t="s">
        <v>1115</v>
      </c>
      <c r="AA279" t="s">
        <v>1015</v>
      </c>
      <c r="AB279" s="3" t="s">
        <v>547</v>
      </c>
      <c r="AC279" s="2" t="s">
        <v>547</v>
      </c>
      <c r="AD279" s="4" t="s">
        <v>547</v>
      </c>
      <c r="AE279" t="s">
        <v>547</v>
      </c>
      <c r="AF279" t="s">
        <v>547</v>
      </c>
      <c r="AG279" s="4" t="s">
        <v>547</v>
      </c>
      <c r="AH279" t="s">
        <v>547</v>
      </c>
      <c r="AI279" t="s">
        <v>547</v>
      </c>
      <c r="AJ279" s="4" t="s">
        <v>547</v>
      </c>
      <c r="AK279" t="s">
        <v>547</v>
      </c>
      <c r="AL279" t="s">
        <v>547</v>
      </c>
      <c r="AM279" s="3" t="str">
        <f>HYPERLINK("http://exon.niaid.nih.gov/transcriptome/O_fasciatus/Sup_tab1/links/KOG\of-new-contig_255-KOG.txt","Predicted ubiquitin-protein ligase/hyperplastic discs protein, HECT superfamily")</f>
        <v>Predicted ubiquitin-protein ligase/hyperplastic discs protein, HECT superfamily</v>
      </c>
      <c r="AN279" s="2" t="str">
        <f>HYPERLINK("http://www.ncbi.nlm.nih.gov/COG/new/shokog.cgi?KOG0943","0.11")</f>
        <v>0.11</v>
      </c>
      <c r="AO279" t="s">
        <v>653</v>
      </c>
      <c r="AP279" s="3" t="str">
        <f>HYPERLINK("http://exon.niaid.nih.gov/transcriptome/O_fasciatus/Sup_tab1/links/CDD\of-new-contig_255-CDD.txt","TerC")</f>
        <v>TerC</v>
      </c>
      <c r="AQ279" s="2" t="str">
        <f>HYPERLINK("http://www.ncbi.nlm.nih.gov/Structure/cdd/cddsrv.cgi?uid=COG0861&amp;version=v4.0","0.49")</f>
        <v>0.49</v>
      </c>
      <c r="AR279" t="s">
        <v>422</v>
      </c>
      <c r="AS279" s="3" t="str">
        <f>HYPERLINK("http://exon.niaid.nih.gov/transcriptome/O_fasciatus/Sup_tab1/links/PFAM\of-new-contig_255-PFAM.txt","DUF1229")</f>
        <v>DUF1229</v>
      </c>
      <c r="AT279" s="2" t="str">
        <f>HYPERLINK("http://pfam.wustl.edu/cgi-bin/getdesc?acc=PF06797","0.16")</f>
        <v>0.16</v>
      </c>
      <c r="AU279" s="3" t="str">
        <f>HYPERLINK("http://exon.niaid.nih.gov/transcriptome/O_fasciatus/Sup_tab1/links/SMART\of-new-contig_255-SMART.txt","RasGEFN")</f>
        <v>RasGEFN</v>
      </c>
      <c r="AV279" s="2" t="str">
        <f>HYPERLINK("http://smart.embl-heidelberg.de/smart/do_annotation.pl?DOMAIN=RasGEFN&amp;BLAST=DUMMY","0.57")</f>
        <v>0.57</v>
      </c>
      <c r="AW279" s="3" t="s">
        <v>547</v>
      </c>
      <c r="AX279" s="2" t="s">
        <v>547</v>
      </c>
      <c r="AY279" s="3" t="s">
        <v>547</v>
      </c>
      <c r="AZ279" s="2" t="s">
        <v>547</v>
      </c>
    </row>
    <row r="280" spans="1:52" ht="11.25">
      <c r="A280" t="str">
        <f>HYPERLINK("http://exon.niaid.nih.gov/transcriptome/O_fasciatus/Sup_tab1/links/of-new\of-new-contig_260.txt","of-new-contig_260")</f>
        <v>of-new-contig_260</v>
      </c>
      <c r="B280" t="str">
        <f>HYPERLINK("http://exon.niaid.nih.gov/transcriptome/O_fasciatus/Sup_tab1/links/of-new\of-new-5-64-64-asb-260.txt","Contig-260")</f>
        <v>Contig-260</v>
      </c>
      <c r="C280" t="str">
        <f>HYPERLINK("http://exon.niaid.nih.gov/transcriptome/O_fasciatus/Sup_tab1/links/of-new\of-new-5-64-64-260-CLU.txt","Contig260")</f>
        <v>Contig260</v>
      </c>
      <c r="D280">
        <v>1</v>
      </c>
      <c r="E280">
        <v>161</v>
      </c>
      <c r="F280" t="str">
        <f>HYPERLINK("http://exon.niaid.nih.gov/transcriptome/O_fasciatus/Sup_tab1/links/of-new\of-new-5-64-64-260-qual.txt","58.8")</f>
        <v>58.8</v>
      </c>
      <c r="G280" t="s">
        <v>541</v>
      </c>
      <c r="H280">
        <v>81.4</v>
      </c>
      <c r="I280">
        <v>142</v>
      </c>
      <c r="J280">
        <v>260</v>
      </c>
      <c r="K280" t="s">
        <v>1338</v>
      </c>
      <c r="L280">
        <v>142</v>
      </c>
      <c r="N280" s="2" t="s">
        <v>547</v>
      </c>
      <c r="O280" t="s">
        <v>547</v>
      </c>
      <c r="P280" t="s">
        <v>547</v>
      </c>
      <c r="Q280" t="s">
        <v>547</v>
      </c>
      <c r="R280" t="s">
        <v>547</v>
      </c>
      <c r="S280" t="s">
        <v>547</v>
      </c>
      <c r="T280" t="s">
        <v>547</v>
      </c>
      <c r="U280" t="s">
        <v>547</v>
      </c>
      <c r="V280" t="s">
        <v>547</v>
      </c>
      <c r="W280" t="s">
        <v>547</v>
      </c>
      <c r="X280" t="s">
        <v>547</v>
      </c>
      <c r="Y280" t="s">
        <v>547</v>
      </c>
      <c r="Z280" s="4" t="s">
        <v>1025</v>
      </c>
      <c r="AA280" t="s">
        <v>1015</v>
      </c>
      <c r="AB280" s="3" t="s">
        <v>547</v>
      </c>
      <c r="AC280" s="2" t="s">
        <v>547</v>
      </c>
      <c r="AD280" s="4" t="s">
        <v>547</v>
      </c>
      <c r="AE280" t="s">
        <v>547</v>
      </c>
      <c r="AF280" t="s">
        <v>547</v>
      </c>
      <c r="AG280" s="4" t="s">
        <v>547</v>
      </c>
      <c r="AH280" t="s">
        <v>547</v>
      </c>
      <c r="AI280" t="s">
        <v>547</v>
      </c>
      <c r="AJ280" s="4" t="s">
        <v>547</v>
      </c>
      <c r="AK280" t="s">
        <v>547</v>
      </c>
      <c r="AL280" t="s">
        <v>547</v>
      </c>
      <c r="AM280" s="3" t="str">
        <f>HYPERLINK("http://exon.niaid.nih.gov/transcriptome/O_fasciatus/Sup_tab1/links/KOG\of-new-contig_260-KOG.txt","P-type ATPase")</f>
        <v>P-type ATPase</v>
      </c>
      <c r="AN280" s="2" t="str">
        <f>HYPERLINK("http://www.ncbi.nlm.nih.gov/COG/new/shokog.cgi?KOG0206","0.30")</f>
        <v>0.30</v>
      </c>
      <c r="AO280" t="s">
        <v>1503</v>
      </c>
      <c r="AP280" s="3" t="str">
        <f>HYPERLINK("http://exon.niaid.nih.gov/transcriptome/O_fasciatus/Sup_tab1/links/CDD\of-new-contig_260-CDD.txt","TatC")</f>
        <v>TatC</v>
      </c>
      <c r="AQ280" s="2" t="str">
        <f>HYPERLINK("http://www.ncbi.nlm.nih.gov/Structure/cdd/cddsrv.cgi?uid=pfam00902&amp;version=v4.0","0.31")</f>
        <v>0.31</v>
      </c>
      <c r="AR280" t="s">
        <v>435</v>
      </c>
      <c r="AS280" s="3" t="str">
        <f>HYPERLINK("http://exon.niaid.nih.gov/transcriptome/O_fasciatus/Sup_tab1/links/PFAM\of-new-contig_260-PFAM.txt","TatC")</f>
        <v>TatC</v>
      </c>
      <c r="AT280" s="2" t="str">
        <f>HYPERLINK("http://pfam.wustl.edu/cgi-bin/getdesc?acc=PF00902","0.16")</f>
        <v>0.16</v>
      </c>
      <c r="AU280" s="3" t="str">
        <f>HYPERLINK("http://exon.niaid.nih.gov/transcriptome/O_fasciatus/Sup_tab1/links/SMART\of-new-contig_260-SMART.txt","IFabd")</f>
        <v>IFabd</v>
      </c>
      <c r="AV280" s="2" t="str">
        <f>HYPERLINK("http://smart.embl-heidelberg.de/smart/do_annotation.pl?DOMAIN=IFabd&amp;BLAST=DUMMY","0.66")</f>
        <v>0.66</v>
      </c>
      <c r="AW280" s="3" t="s">
        <v>547</v>
      </c>
      <c r="AX280" s="2" t="s">
        <v>547</v>
      </c>
      <c r="AY280" s="3" t="s">
        <v>547</v>
      </c>
      <c r="AZ280" s="2" t="s">
        <v>547</v>
      </c>
    </row>
    <row r="281" spans="1:52" ht="11.25">
      <c r="A281" t="str">
        <f>HYPERLINK("http://exon.niaid.nih.gov/transcriptome/O_fasciatus/Sup_tab1/links/of-new\of-new-contig_214.txt","of-new-contig_214")</f>
        <v>of-new-contig_214</v>
      </c>
      <c r="B281" t="str">
        <f>HYPERLINK("http://exon.niaid.nih.gov/transcriptome/O_fasciatus/Sup_tab1/links/of-new\of-new-5-64-64-asb-214.txt","Contig-214")</f>
        <v>Contig-214</v>
      </c>
      <c r="C281" t="str">
        <f>HYPERLINK("http://exon.niaid.nih.gov/transcriptome/O_fasciatus/Sup_tab1/links/of-new\of-new-5-64-64-214-CLU.txt","Contig214")</f>
        <v>Contig214</v>
      </c>
      <c r="D281">
        <v>1</v>
      </c>
      <c r="E281">
        <v>148</v>
      </c>
      <c r="F281" t="str">
        <f>HYPERLINK("http://exon.niaid.nih.gov/transcriptome/O_fasciatus/Sup_tab1/links/of-new\of-new-5-64-64-214-qual.txt","56.1")</f>
        <v>56.1</v>
      </c>
      <c r="G281" t="s">
        <v>541</v>
      </c>
      <c r="H281">
        <v>62.8</v>
      </c>
      <c r="I281">
        <v>129</v>
      </c>
      <c r="J281">
        <v>214</v>
      </c>
      <c r="K281" t="s">
        <v>1292</v>
      </c>
      <c r="L281">
        <v>129</v>
      </c>
      <c r="N281" s="2" t="s">
        <v>547</v>
      </c>
      <c r="O281" t="s">
        <v>547</v>
      </c>
      <c r="P281" t="s">
        <v>547</v>
      </c>
      <c r="Q281" t="s">
        <v>547</v>
      </c>
      <c r="R281" t="s">
        <v>547</v>
      </c>
      <c r="S281" t="s">
        <v>547</v>
      </c>
      <c r="T281" t="s">
        <v>547</v>
      </c>
      <c r="U281" t="s">
        <v>547</v>
      </c>
      <c r="V281" t="s">
        <v>547</v>
      </c>
      <c r="W281" t="s">
        <v>547</v>
      </c>
      <c r="X281" t="s">
        <v>547</v>
      </c>
      <c r="Y281" t="s">
        <v>547</v>
      </c>
      <c r="Z281" s="4" t="s">
        <v>1051</v>
      </c>
      <c r="AA281" t="s">
        <v>1015</v>
      </c>
      <c r="AB281" s="3" t="s">
        <v>547</v>
      </c>
      <c r="AC281" s="2" t="s">
        <v>547</v>
      </c>
      <c r="AD281" s="4" t="s">
        <v>547</v>
      </c>
      <c r="AE281" t="s">
        <v>547</v>
      </c>
      <c r="AF281" t="s">
        <v>547</v>
      </c>
      <c r="AG281" s="4" t="s">
        <v>547</v>
      </c>
      <c r="AH281" t="s">
        <v>547</v>
      </c>
      <c r="AI281" t="s">
        <v>547</v>
      </c>
      <c r="AJ281" s="4" t="s">
        <v>547</v>
      </c>
      <c r="AK281" t="s">
        <v>547</v>
      </c>
      <c r="AL281" t="s">
        <v>547</v>
      </c>
      <c r="AM281" s="3" t="s">
        <v>547</v>
      </c>
      <c r="AN281" s="2" t="s">
        <v>547</v>
      </c>
      <c r="AO281" t="s">
        <v>547</v>
      </c>
      <c r="AP281" s="3" t="s">
        <v>547</v>
      </c>
      <c r="AQ281" s="2" t="s">
        <v>547</v>
      </c>
      <c r="AR281" t="s">
        <v>547</v>
      </c>
      <c r="AS281" s="3" t="s">
        <v>547</v>
      </c>
      <c r="AT281" s="2" t="s">
        <v>547</v>
      </c>
      <c r="AU281" s="3" t="str">
        <f>HYPERLINK("http://exon.niaid.nih.gov/transcriptome/O_fasciatus/Sup_tab1/links/SMART\of-new-contig_214-SMART.txt","RPOL4c")</f>
        <v>RPOL4c</v>
      </c>
      <c r="AV281" s="2" t="str">
        <f>HYPERLINK("http://smart.embl-heidelberg.de/smart/do_annotation.pl?DOMAIN=RPOL4c&amp;BLAST=DUMMY","0.35")</f>
        <v>0.35</v>
      </c>
      <c r="AW281" s="3" t="s">
        <v>547</v>
      </c>
      <c r="AX281" s="2" t="s">
        <v>547</v>
      </c>
      <c r="AY281" s="3" t="s">
        <v>547</v>
      </c>
      <c r="AZ281" s="2" t="s">
        <v>547</v>
      </c>
    </row>
    <row r="282" spans="1:52" ht="11.25">
      <c r="A282" t="str">
        <f>HYPERLINK("http://exon.niaid.nih.gov/transcriptome/O_fasciatus/Sup_tab1/links/of-new\of-new-contig_200.txt","of-new-contig_200")</f>
        <v>of-new-contig_200</v>
      </c>
      <c r="B282" t="str">
        <f>HYPERLINK("http://exon.niaid.nih.gov/transcriptome/O_fasciatus/Sup_tab1/links/of-new\of-new-5-64-64-asb-200.txt","Contig-200")</f>
        <v>Contig-200</v>
      </c>
      <c r="C282" t="str">
        <f>HYPERLINK("http://exon.niaid.nih.gov/transcriptome/O_fasciatus/Sup_tab1/links/of-new\of-new-5-64-64-200-CLU.txt","Contig200")</f>
        <v>Contig200</v>
      </c>
      <c r="D282">
        <v>1</v>
      </c>
      <c r="E282">
        <v>145</v>
      </c>
      <c r="F282" t="str">
        <f>HYPERLINK("http://exon.niaid.nih.gov/transcriptome/O_fasciatus/Sup_tab1/links/of-new\of-new-5-64-64-200-qual.txt","53.3")</f>
        <v>53.3</v>
      </c>
      <c r="G282">
        <v>0.7</v>
      </c>
      <c r="H282">
        <v>79.3</v>
      </c>
      <c r="I282">
        <v>126</v>
      </c>
      <c r="J282">
        <v>200</v>
      </c>
      <c r="K282" t="s">
        <v>1278</v>
      </c>
      <c r="L282">
        <v>126</v>
      </c>
      <c r="N282" s="2" t="s">
        <v>547</v>
      </c>
      <c r="O282" t="s">
        <v>547</v>
      </c>
      <c r="P282" t="s">
        <v>547</v>
      </c>
      <c r="Q282" t="s">
        <v>547</v>
      </c>
      <c r="R282" t="s">
        <v>547</v>
      </c>
      <c r="S282" t="s">
        <v>547</v>
      </c>
      <c r="T282" t="s">
        <v>547</v>
      </c>
      <c r="U282" t="s">
        <v>547</v>
      </c>
      <c r="V282" t="s">
        <v>547</v>
      </c>
      <c r="W282" t="s">
        <v>547</v>
      </c>
      <c r="X282" t="s">
        <v>547</v>
      </c>
      <c r="Y282" t="s">
        <v>547</v>
      </c>
      <c r="Z282" s="4" t="s">
        <v>1051</v>
      </c>
      <c r="AA282" t="s">
        <v>1015</v>
      </c>
      <c r="AB282" s="3" t="s">
        <v>547</v>
      </c>
      <c r="AC282" s="2" t="s">
        <v>547</v>
      </c>
      <c r="AD282" s="4" t="s">
        <v>547</v>
      </c>
      <c r="AE282" t="s">
        <v>547</v>
      </c>
      <c r="AF282" t="s">
        <v>547</v>
      </c>
      <c r="AG282" s="4" t="s">
        <v>547</v>
      </c>
      <c r="AH282" t="s">
        <v>547</v>
      </c>
      <c r="AI282" t="s">
        <v>547</v>
      </c>
      <c r="AJ282" s="4" t="s">
        <v>547</v>
      </c>
      <c r="AK282" t="s">
        <v>547</v>
      </c>
      <c r="AL282" t="s">
        <v>547</v>
      </c>
      <c r="AM282" s="3" t="s">
        <v>547</v>
      </c>
      <c r="AN282" s="2" t="s">
        <v>547</v>
      </c>
      <c r="AO282" t="s">
        <v>547</v>
      </c>
      <c r="AP282" s="3" t="s">
        <v>547</v>
      </c>
      <c r="AQ282" s="2" t="s">
        <v>547</v>
      </c>
      <c r="AR282" t="s">
        <v>547</v>
      </c>
      <c r="AS282" s="3" t="s">
        <v>547</v>
      </c>
      <c r="AT282" s="2" t="s">
        <v>547</v>
      </c>
      <c r="AU282" s="3" t="s">
        <v>547</v>
      </c>
      <c r="AV282" s="2" t="s">
        <v>547</v>
      </c>
      <c r="AW282" s="3" t="s">
        <v>547</v>
      </c>
      <c r="AX282" s="2" t="s">
        <v>547</v>
      </c>
      <c r="AY282" s="3" t="s">
        <v>547</v>
      </c>
      <c r="AZ282" s="2" t="s">
        <v>547</v>
      </c>
    </row>
    <row r="283" spans="1:52" ht="11.25">
      <c r="A283" t="str">
        <f>HYPERLINK("http://exon.niaid.nih.gov/transcriptome/O_fasciatus/Sup_tab1/links/of-new\of-new-contig_298.txt","of-new-contig_298")</f>
        <v>of-new-contig_298</v>
      </c>
      <c r="B283" t="str">
        <f>HYPERLINK("http://exon.niaid.nih.gov/transcriptome/O_fasciatus/Sup_tab1/links/of-new\of-new-5-64-64-asb-298.txt","Contig-298")</f>
        <v>Contig-298</v>
      </c>
      <c r="C283" t="str">
        <f>HYPERLINK("http://exon.niaid.nih.gov/transcriptome/O_fasciatus/Sup_tab1/links/of-new\of-new-5-64-64-298-CLU.txt","Contig298")</f>
        <v>Contig298</v>
      </c>
      <c r="D283">
        <v>1</v>
      </c>
      <c r="E283">
        <v>141</v>
      </c>
      <c r="F283" t="str">
        <f>HYPERLINK("http://exon.niaid.nih.gov/transcriptome/O_fasciatus/Sup_tab1/links/of-new\of-new-5-64-64-298-qual.txt","53.4")</f>
        <v>53.4</v>
      </c>
      <c r="G283" t="s">
        <v>541</v>
      </c>
      <c r="H283">
        <v>69.5</v>
      </c>
      <c r="I283">
        <v>122</v>
      </c>
      <c r="J283">
        <v>298</v>
      </c>
      <c r="K283" t="s">
        <v>1376</v>
      </c>
      <c r="L283">
        <v>122</v>
      </c>
      <c r="N283" s="2" t="s">
        <v>547</v>
      </c>
      <c r="O283" t="s">
        <v>547</v>
      </c>
      <c r="P283" t="s">
        <v>547</v>
      </c>
      <c r="Q283" t="s">
        <v>547</v>
      </c>
      <c r="R283" t="s">
        <v>547</v>
      </c>
      <c r="S283" t="s">
        <v>547</v>
      </c>
      <c r="T283" t="s">
        <v>547</v>
      </c>
      <c r="U283" t="s">
        <v>547</v>
      </c>
      <c r="V283" t="s">
        <v>547</v>
      </c>
      <c r="W283" t="s">
        <v>547</v>
      </c>
      <c r="X283" t="s">
        <v>547</v>
      </c>
      <c r="Y283" t="s">
        <v>547</v>
      </c>
      <c r="Z283" s="4" t="s">
        <v>1051</v>
      </c>
      <c r="AA283" t="s">
        <v>1015</v>
      </c>
      <c r="AB283" s="3" t="s">
        <v>547</v>
      </c>
      <c r="AC283" s="2" t="s">
        <v>547</v>
      </c>
      <c r="AD283" s="4" t="s">
        <v>547</v>
      </c>
      <c r="AE283" t="s">
        <v>547</v>
      </c>
      <c r="AF283" t="s">
        <v>547</v>
      </c>
      <c r="AG283" s="4" t="s">
        <v>547</v>
      </c>
      <c r="AH283" t="s">
        <v>547</v>
      </c>
      <c r="AI283" t="s">
        <v>547</v>
      </c>
      <c r="AJ283" s="4" t="s">
        <v>547</v>
      </c>
      <c r="AK283" t="s">
        <v>547</v>
      </c>
      <c r="AL283" t="s">
        <v>547</v>
      </c>
      <c r="AM283" s="3" t="s">
        <v>547</v>
      </c>
      <c r="AN283" s="2" t="s">
        <v>547</v>
      </c>
      <c r="AO283" t="s">
        <v>547</v>
      </c>
      <c r="AP283" s="3" t="s">
        <v>547</v>
      </c>
      <c r="AQ283" s="2" t="s">
        <v>547</v>
      </c>
      <c r="AR283" t="s">
        <v>547</v>
      </c>
      <c r="AS283" s="3" t="s">
        <v>547</v>
      </c>
      <c r="AT283" s="2" t="s">
        <v>547</v>
      </c>
      <c r="AU283" s="3" t="str">
        <f>HYPERLINK("http://exon.niaid.nih.gov/transcriptome/O_fasciatus/Sup_tab1/links/SMART\of-new-contig_298-SMART.txt","VHS")</f>
        <v>VHS</v>
      </c>
      <c r="AV283" s="2" t="str">
        <f>HYPERLINK("http://smart.embl-heidelberg.de/smart/do_annotation.pl?DOMAIN=VHS&amp;BLAST=DUMMY","0.23")</f>
        <v>0.23</v>
      </c>
      <c r="AW283" s="3" t="s">
        <v>547</v>
      </c>
      <c r="AX283" s="2" t="s">
        <v>547</v>
      </c>
      <c r="AY283" s="3" t="s">
        <v>547</v>
      </c>
      <c r="AZ283" s="2" t="s">
        <v>547</v>
      </c>
    </row>
    <row r="284" spans="1:52" ht="11.25">
      <c r="A284" t="str">
        <f>HYPERLINK("http://exon.niaid.nih.gov/transcriptome/O_fasciatus/Sup_tab1/links/of-new\of-new-contig_272.txt","of-new-contig_272")</f>
        <v>of-new-contig_272</v>
      </c>
      <c r="B284" t="str">
        <f>HYPERLINK("http://exon.niaid.nih.gov/transcriptome/O_fasciatus/Sup_tab1/links/of-new\of-new-5-64-64-asb-272.txt","Contig-272")</f>
        <v>Contig-272</v>
      </c>
      <c r="C284" t="str">
        <f>HYPERLINK("http://exon.niaid.nih.gov/transcriptome/O_fasciatus/Sup_tab1/links/of-new\of-new-5-64-64-272-CLU.txt","Contig272")</f>
        <v>Contig272</v>
      </c>
      <c r="D284">
        <v>1</v>
      </c>
      <c r="E284">
        <v>130</v>
      </c>
      <c r="F284" t="str">
        <f>HYPERLINK("http://exon.niaid.nih.gov/transcriptome/O_fasciatus/Sup_tab1/links/of-new\of-new-5-64-64-272-qual.txt","59.9")</f>
        <v>59.9</v>
      </c>
      <c r="G284" t="s">
        <v>541</v>
      </c>
      <c r="H284">
        <v>81.5</v>
      </c>
      <c r="I284">
        <v>111</v>
      </c>
      <c r="J284">
        <v>272</v>
      </c>
      <c r="K284" t="s">
        <v>1350</v>
      </c>
      <c r="L284">
        <v>111</v>
      </c>
      <c r="N284" s="2" t="s">
        <v>547</v>
      </c>
      <c r="O284" t="s">
        <v>547</v>
      </c>
      <c r="P284" t="s">
        <v>547</v>
      </c>
      <c r="Q284" t="s">
        <v>547</v>
      </c>
      <c r="R284" t="s">
        <v>547</v>
      </c>
      <c r="S284" t="s">
        <v>547</v>
      </c>
      <c r="T284" t="s">
        <v>547</v>
      </c>
      <c r="U284" t="s">
        <v>547</v>
      </c>
      <c r="V284" t="s">
        <v>547</v>
      </c>
      <c r="W284" t="s">
        <v>547</v>
      </c>
      <c r="X284" t="s">
        <v>547</v>
      </c>
      <c r="Y284" t="s">
        <v>547</v>
      </c>
      <c r="Z284" s="4" t="s">
        <v>1051</v>
      </c>
      <c r="AA284" t="s">
        <v>1015</v>
      </c>
      <c r="AB284" s="3" t="s">
        <v>547</v>
      </c>
      <c r="AC284" s="2" t="s">
        <v>547</v>
      </c>
      <c r="AD284" s="4" t="s">
        <v>547</v>
      </c>
      <c r="AE284" t="s">
        <v>547</v>
      </c>
      <c r="AF284" t="s">
        <v>547</v>
      </c>
      <c r="AG284" s="4" t="s">
        <v>547</v>
      </c>
      <c r="AH284" t="s">
        <v>547</v>
      </c>
      <c r="AI284" t="s">
        <v>547</v>
      </c>
      <c r="AJ284" s="4" t="s">
        <v>547</v>
      </c>
      <c r="AK284" t="s">
        <v>547</v>
      </c>
      <c r="AL284" t="s">
        <v>547</v>
      </c>
      <c r="AM284" s="3" t="s">
        <v>547</v>
      </c>
      <c r="AN284" s="2" t="s">
        <v>547</v>
      </c>
      <c r="AO284" t="s">
        <v>547</v>
      </c>
      <c r="AP284" s="3" t="s">
        <v>547</v>
      </c>
      <c r="AQ284" s="2" t="s">
        <v>547</v>
      </c>
      <c r="AR284" t="s">
        <v>547</v>
      </c>
      <c r="AS284" s="3" t="str">
        <f>HYPERLINK("http://exon.niaid.nih.gov/transcriptome/O_fasciatus/Sup_tab1/links/PFAM\of-new-contig_272-PFAM.txt","DUF229")</f>
        <v>DUF229</v>
      </c>
      <c r="AT284" s="2" t="str">
        <f>HYPERLINK("http://pfam.wustl.edu/cgi-bin/getdesc?acc=PF02995","0.81")</f>
        <v>0.81</v>
      </c>
      <c r="AU284" s="3" t="s">
        <v>547</v>
      </c>
      <c r="AV284" s="2" t="s">
        <v>547</v>
      </c>
      <c r="AW284" s="3" t="s">
        <v>547</v>
      </c>
      <c r="AX284" s="2" t="s">
        <v>547</v>
      </c>
      <c r="AY284" s="3" t="s">
        <v>547</v>
      </c>
      <c r="AZ284" s="2" t="s">
        <v>547</v>
      </c>
    </row>
    <row r="285" spans="1:52" ht="11.25">
      <c r="A285" t="str">
        <f>HYPERLINK("http://exon.niaid.nih.gov/transcriptome/O_fasciatus/Sup_tab1/links/of-new\of-new-contig_297.txt","of-new-contig_297")</f>
        <v>of-new-contig_297</v>
      </c>
      <c r="B285" t="str">
        <f>HYPERLINK("http://exon.niaid.nih.gov/transcriptome/O_fasciatus/Sup_tab1/links/of-new\of-new-5-64-64-asb-297.txt","Contig-297")</f>
        <v>Contig-297</v>
      </c>
      <c r="C285" t="str">
        <f>HYPERLINK("http://exon.niaid.nih.gov/transcriptome/O_fasciatus/Sup_tab1/links/of-new\of-new-5-64-64-297-CLU.txt","Contig297")</f>
        <v>Contig297</v>
      </c>
      <c r="D285">
        <v>1</v>
      </c>
      <c r="E285">
        <v>130</v>
      </c>
      <c r="F285" t="str">
        <f>HYPERLINK("http://exon.niaid.nih.gov/transcriptome/O_fasciatus/Sup_tab1/links/of-new\of-new-5-64-64-297-qual.txt","52.6")</f>
        <v>52.6</v>
      </c>
      <c r="G285" t="s">
        <v>541</v>
      </c>
      <c r="H285">
        <v>83.1</v>
      </c>
      <c r="I285">
        <v>111</v>
      </c>
      <c r="J285">
        <v>297</v>
      </c>
      <c r="K285" t="s">
        <v>1375</v>
      </c>
      <c r="L285">
        <v>111</v>
      </c>
      <c r="N285" s="2" t="s">
        <v>547</v>
      </c>
      <c r="O285" t="s">
        <v>547</v>
      </c>
      <c r="P285" t="s">
        <v>547</v>
      </c>
      <c r="Q285" t="s">
        <v>547</v>
      </c>
      <c r="R285" t="s">
        <v>547</v>
      </c>
      <c r="S285" t="s">
        <v>547</v>
      </c>
      <c r="T285" t="s">
        <v>547</v>
      </c>
      <c r="U285" t="s">
        <v>547</v>
      </c>
      <c r="V285" t="s">
        <v>547</v>
      </c>
      <c r="W285" t="s">
        <v>547</v>
      </c>
      <c r="X285" t="s">
        <v>547</v>
      </c>
      <c r="Y285" t="s">
        <v>547</v>
      </c>
      <c r="Z285" s="4" t="s">
        <v>1051</v>
      </c>
      <c r="AA285" t="s">
        <v>1015</v>
      </c>
      <c r="AB285" s="3" t="s">
        <v>547</v>
      </c>
      <c r="AC285" s="2" t="s">
        <v>547</v>
      </c>
      <c r="AD285" s="4" t="s">
        <v>547</v>
      </c>
      <c r="AE285" t="s">
        <v>547</v>
      </c>
      <c r="AF285" t="s">
        <v>547</v>
      </c>
      <c r="AG285" s="4" t="s">
        <v>547</v>
      </c>
      <c r="AH285" t="s">
        <v>547</v>
      </c>
      <c r="AI285" t="s">
        <v>547</v>
      </c>
      <c r="AJ285" s="4" t="s">
        <v>547</v>
      </c>
      <c r="AK285" t="s">
        <v>547</v>
      </c>
      <c r="AL285" t="s">
        <v>547</v>
      </c>
      <c r="AM285" s="3" t="s">
        <v>547</v>
      </c>
      <c r="AN285" s="2" t="s">
        <v>547</v>
      </c>
      <c r="AO285" t="s">
        <v>547</v>
      </c>
      <c r="AP285" s="3" t="s">
        <v>547</v>
      </c>
      <c r="AQ285" s="2" t="s">
        <v>547</v>
      </c>
      <c r="AR285" t="s">
        <v>547</v>
      </c>
      <c r="AS285" s="3" t="s">
        <v>547</v>
      </c>
      <c r="AT285" s="2" t="s">
        <v>547</v>
      </c>
      <c r="AU285" s="3" t="s">
        <v>547</v>
      </c>
      <c r="AV285" s="2" t="s">
        <v>547</v>
      </c>
      <c r="AW285" s="3" t="s">
        <v>547</v>
      </c>
      <c r="AX285" s="2" t="s">
        <v>547</v>
      </c>
      <c r="AY285" s="3" t="s">
        <v>547</v>
      </c>
      <c r="AZ285" s="2" t="s">
        <v>547</v>
      </c>
    </row>
    <row r="286" spans="1:52" ht="11.25">
      <c r="A286" t="str">
        <f>HYPERLINK("http://exon.niaid.nih.gov/transcriptome/O_fasciatus/Sup_tab1/links/of-new\of-new-contig_180.txt","of-new-contig_180")</f>
        <v>of-new-contig_180</v>
      </c>
      <c r="B286" t="str">
        <f>HYPERLINK("http://exon.niaid.nih.gov/transcriptome/O_fasciatus/Sup_tab1/links/of-new\of-new-5-64-64-asb-180.txt","Contig-180")</f>
        <v>Contig-180</v>
      </c>
      <c r="C286" t="str">
        <f>HYPERLINK("http://exon.niaid.nih.gov/transcriptome/O_fasciatus/Sup_tab1/links/of-new\of-new-5-64-64-180-CLU.txt","Contig180")</f>
        <v>Contig180</v>
      </c>
      <c r="D286">
        <v>1</v>
      </c>
      <c r="E286">
        <v>129</v>
      </c>
      <c r="F286" t="str">
        <f>HYPERLINK("http://exon.niaid.nih.gov/transcriptome/O_fasciatus/Sup_tab1/links/of-new\of-new-5-64-64-180-qual.txt","31.6")</f>
        <v>31.6</v>
      </c>
      <c r="G286" t="s">
        <v>541</v>
      </c>
      <c r="H286">
        <v>82.9</v>
      </c>
      <c r="I286">
        <v>110</v>
      </c>
      <c r="J286">
        <v>180</v>
      </c>
      <c r="K286" t="s">
        <v>1258</v>
      </c>
      <c r="L286">
        <v>110</v>
      </c>
      <c r="N286" s="2" t="s">
        <v>547</v>
      </c>
      <c r="O286" t="s">
        <v>547</v>
      </c>
      <c r="P286" t="s">
        <v>547</v>
      </c>
      <c r="Q286" t="s">
        <v>547</v>
      </c>
      <c r="R286" t="s">
        <v>547</v>
      </c>
      <c r="S286" t="s">
        <v>547</v>
      </c>
      <c r="T286" t="s">
        <v>547</v>
      </c>
      <c r="U286" t="s">
        <v>547</v>
      </c>
      <c r="V286" t="s">
        <v>547</v>
      </c>
      <c r="W286" t="s">
        <v>547</v>
      </c>
      <c r="X286" t="s">
        <v>547</v>
      </c>
      <c r="Y286" t="s">
        <v>547</v>
      </c>
      <c r="Z286" s="4" t="s">
        <v>1051</v>
      </c>
      <c r="AA286" t="s">
        <v>1015</v>
      </c>
      <c r="AB286" s="3" t="s">
        <v>547</v>
      </c>
      <c r="AC286" s="2" t="s">
        <v>547</v>
      </c>
      <c r="AD286" s="4" t="s">
        <v>547</v>
      </c>
      <c r="AE286" t="s">
        <v>547</v>
      </c>
      <c r="AF286" t="s">
        <v>547</v>
      </c>
      <c r="AG286" s="4" t="s">
        <v>547</v>
      </c>
      <c r="AH286" t="s">
        <v>547</v>
      </c>
      <c r="AI286" t="s">
        <v>547</v>
      </c>
      <c r="AJ286" s="4" t="s">
        <v>547</v>
      </c>
      <c r="AK286" t="s">
        <v>547</v>
      </c>
      <c r="AL286" t="s">
        <v>547</v>
      </c>
      <c r="AM286" s="3" t="str">
        <f>HYPERLINK("http://exon.niaid.nih.gov/transcriptome/O_fasciatus/Sup_tab1/links/KOG\of-new-contig_180-KOG.txt","Lipid exporter ABCA1 and related proteins, ABC superfamily")</f>
        <v>Lipid exporter ABCA1 and related proteins, ABC superfamily</v>
      </c>
      <c r="AN286" s="2" t="str">
        <f>HYPERLINK("http://www.ncbi.nlm.nih.gov/COG/new/shokog.cgi?KOG0059","0.64")</f>
        <v>0.64</v>
      </c>
      <c r="AO286" t="s">
        <v>974</v>
      </c>
      <c r="AP286" s="3" t="str">
        <f>HYPERLINK("http://exon.niaid.nih.gov/transcriptome/O_fasciatus/Sup_tab1/links/CDD\of-new-contig_180-CDD.txt","COG3694")</f>
        <v>COG3694</v>
      </c>
      <c r="AQ286" s="2" t="str">
        <f>HYPERLINK("http://www.ncbi.nlm.nih.gov/Structure/cdd/cddsrv.cgi?uid=COG3694&amp;version=v4.0","0.94")</f>
        <v>0.94</v>
      </c>
      <c r="AR286" t="s">
        <v>200</v>
      </c>
      <c r="AS286" s="3" t="str">
        <f>HYPERLINK("http://exon.niaid.nih.gov/transcriptome/O_fasciatus/Sup_tab1/links/PFAM\of-new-contig_180-PFAM.txt","Sugar_transport")</f>
        <v>Sugar_transport</v>
      </c>
      <c r="AT286" s="2" t="str">
        <f>HYPERLINK("http://pfam.wustl.edu/cgi-bin/getdesc?acc=PF06800","0.65")</f>
        <v>0.65</v>
      </c>
      <c r="AU286" s="3" t="str">
        <f>HYPERLINK("http://exon.niaid.nih.gov/transcriptome/O_fasciatus/Sup_tab1/links/SMART\of-new-contig_180-SMART.txt","B561")</f>
        <v>B561</v>
      </c>
      <c r="AV286" s="2" t="str">
        <f>HYPERLINK("http://smart.embl-heidelberg.de/smart/do_annotation.pl?DOMAIN=B561&amp;BLAST=DUMMY","0.47")</f>
        <v>0.47</v>
      </c>
      <c r="AW286" s="3" t="s">
        <v>547</v>
      </c>
      <c r="AX286" s="2" t="s">
        <v>547</v>
      </c>
      <c r="AY286" s="3" t="s">
        <v>547</v>
      </c>
      <c r="AZ286" s="2" t="s">
        <v>547</v>
      </c>
    </row>
    <row r="287" spans="1:52" ht="11.25">
      <c r="A287" t="str">
        <f>HYPERLINK("http://exon.niaid.nih.gov/transcriptome/O_fasciatus/Sup_tab1/links/of-new\of-new-contig_191.txt","of-new-contig_191")</f>
        <v>of-new-contig_191</v>
      </c>
      <c r="B287" t="str">
        <f>HYPERLINK("http://exon.niaid.nih.gov/transcriptome/O_fasciatus/Sup_tab1/links/of-new\of-new-5-64-64-asb-191.txt","Contig-191")</f>
        <v>Contig-191</v>
      </c>
      <c r="C287" t="str">
        <f>HYPERLINK("http://exon.niaid.nih.gov/transcriptome/O_fasciatus/Sup_tab1/links/of-new\of-new-5-64-64-191-CLU.txt","Contig191")</f>
        <v>Contig191</v>
      </c>
      <c r="D287">
        <v>1</v>
      </c>
      <c r="E287">
        <v>122</v>
      </c>
      <c r="F287" t="str">
        <f>HYPERLINK("http://exon.niaid.nih.gov/transcriptome/O_fasciatus/Sup_tab1/links/of-new\of-new-5-64-64-191-qual.txt","52.3")</f>
        <v>52.3</v>
      </c>
      <c r="G287" t="s">
        <v>541</v>
      </c>
      <c r="H287">
        <v>66.4</v>
      </c>
      <c r="I287">
        <v>103</v>
      </c>
      <c r="J287">
        <v>191</v>
      </c>
      <c r="K287" t="s">
        <v>1269</v>
      </c>
      <c r="L287">
        <v>103</v>
      </c>
      <c r="N287" s="2" t="s">
        <v>547</v>
      </c>
      <c r="O287" t="s">
        <v>547</v>
      </c>
      <c r="P287" t="s">
        <v>547</v>
      </c>
      <c r="Q287" t="s">
        <v>547</v>
      </c>
      <c r="R287" t="s">
        <v>547</v>
      </c>
      <c r="S287" t="s">
        <v>547</v>
      </c>
      <c r="T287" t="s">
        <v>547</v>
      </c>
      <c r="U287" t="s">
        <v>547</v>
      </c>
      <c r="V287" t="s">
        <v>547</v>
      </c>
      <c r="W287" t="s">
        <v>547</v>
      </c>
      <c r="X287" t="s">
        <v>547</v>
      </c>
      <c r="Y287" t="s">
        <v>547</v>
      </c>
      <c r="Z287" s="4" t="s">
        <v>1051</v>
      </c>
      <c r="AA287" t="s">
        <v>1015</v>
      </c>
      <c r="AB287" s="3" t="s">
        <v>547</v>
      </c>
      <c r="AC287" s="2" t="s">
        <v>547</v>
      </c>
      <c r="AD287" s="4" t="s">
        <v>547</v>
      </c>
      <c r="AE287" t="s">
        <v>547</v>
      </c>
      <c r="AF287" t="s">
        <v>547</v>
      </c>
      <c r="AG287" s="4" t="s">
        <v>547</v>
      </c>
      <c r="AH287" t="s">
        <v>547</v>
      </c>
      <c r="AI287" t="s">
        <v>547</v>
      </c>
      <c r="AJ287" s="4" t="s">
        <v>547</v>
      </c>
      <c r="AK287" t="s">
        <v>547</v>
      </c>
      <c r="AL287" t="s">
        <v>547</v>
      </c>
      <c r="AM287" s="3" t="s">
        <v>547</v>
      </c>
      <c r="AN287" s="2" t="s">
        <v>547</v>
      </c>
      <c r="AO287" t="s">
        <v>547</v>
      </c>
      <c r="AP287" s="3" t="s">
        <v>547</v>
      </c>
      <c r="AQ287" s="2" t="s">
        <v>547</v>
      </c>
      <c r="AR287" t="s">
        <v>547</v>
      </c>
      <c r="AS287" s="3" t="s">
        <v>547</v>
      </c>
      <c r="AT287" s="2" t="s">
        <v>547</v>
      </c>
      <c r="AU287" s="3" t="s">
        <v>547</v>
      </c>
      <c r="AV287" s="2" t="s">
        <v>547</v>
      </c>
      <c r="AW287" s="3" t="s">
        <v>547</v>
      </c>
      <c r="AX287" s="2" t="s">
        <v>547</v>
      </c>
      <c r="AY287" s="3" t="s">
        <v>547</v>
      </c>
      <c r="AZ287" s="2" t="s">
        <v>547</v>
      </c>
    </row>
    <row r="288" spans="1:52" ht="11.25">
      <c r="A288" t="str">
        <f>HYPERLINK("http://exon.niaid.nih.gov/transcriptome/O_fasciatus/Sup_tab1/links/of-new\of-new-contig_285.txt","of-new-contig_285")</f>
        <v>of-new-contig_285</v>
      </c>
      <c r="B288" t="str">
        <f>HYPERLINK("http://exon.niaid.nih.gov/transcriptome/O_fasciatus/Sup_tab1/links/of-new\of-new-5-64-64-asb-285.txt","Contig-285")</f>
        <v>Contig-285</v>
      </c>
      <c r="C288" t="str">
        <f>HYPERLINK("http://exon.niaid.nih.gov/transcriptome/O_fasciatus/Sup_tab1/links/of-new\of-new-5-64-64-285-CLU.txt","Contig285")</f>
        <v>Contig285</v>
      </c>
      <c r="D288">
        <v>1</v>
      </c>
      <c r="E288">
        <v>112</v>
      </c>
      <c r="F288" t="str">
        <f>HYPERLINK("http://exon.niaid.nih.gov/transcriptome/O_fasciatus/Sup_tab1/links/of-new\of-new-5-64-64-285-qual.txt","57.2")</f>
        <v>57.2</v>
      </c>
      <c r="G288" t="s">
        <v>541</v>
      </c>
      <c r="H288">
        <v>81.3</v>
      </c>
      <c r="I288">
        <v>93</v>
      </c>
      <c r="J288">
        <v>285</v>
      </c>
      <c r="K288" t="s">
        <v>1363</v>
      </c>
      <c r="L288">
        <v>93</v>
      </c>
      <c r="N288" s="2" t="s">
        <v>547</v>
      </c>
      <c r="O288" t="s">
        <v>547</v>
      </c>
      <c r="P288" t="s">
        <v>547</v>
      </c>
      <c r="Q288" t="s">
        <v>547</v>
      </c>
      <c r="R288" t="s">
        <v>547</v>
      </c>
      <c r="S288" t="s">
        <v>547</v>
      </c>
      <c r="T288" t="s">
        <v>547</v>
      </c>
      <c r="U288" t="s">
        <v>547</v>
      </c>
      <c r="V288" t="s">
        <v>547</v>
      </c>
      <c r="W288" t="s">
        <v>547</v>
      </c>
      <c r="X288" t="s">
        <v>547</v>
      </c>
      <c r="Y288" t="s">
        <v>547</v>
      </c>
      <c r="Z288" s="4" t="s">
        <v>1051</v>
      </c>
      <c r="AA288" t="s">
        <v>1015</v>
      </c>
      <c r="AB288" s="3" t="s">
        <v>547</v>
      </c>
      <c r="AC288" s="2" t="s">
        <v>547</v>
      </c>
      <c r="AD288" s="4" t="s">
        <v>547</v>
      </c>
      <c r="AE288" t="s">
        <v>547</v>
      </c>
      <c r="AF288" t="s">
        <v>547</v>
      </c>
      <c r="AG288" s="4" t="s">
        <v>547</v>
      </c>
      <c r="AH288" t="s">
        <v>547</v>
      </c>
      <c r="AI288" t="s">
        <v>547</v>
      </c>
      <c r="AJ288" s="4" t="s">
        <v>547</v>
      </c>
      <c r="AK288" t="s">
        <v>547</v>
      </c>
      <c r="AL288" t="s">
        <v>547</v>
      </c>
      <c r="AM288" s="3" t="s">
        <v>547</v>
      </c>
      <c r="AN288" s="2" t="s">
        <v>547</v>
      </c>
      <c r="AO288" t="s">
        <v>547</v>
      </c>
      <c r="AP288" s="3" t="s">
        <v>547</v>
      </c>
      <c r="AQ288" s="2" t="s">
        <v>547</v>
      </c>
      <c r="AR288" t="s">
        <v>547</v>
      </c>
      <c r="AS288" s="3" t="s">
        <v>547</v>
      </c>
      <c r="AT288" s="2" t="s">
        <v>547</v>
      </c>
      <c r="AU288" s="3" t="str">
        <f>HYPERLINK("http://exon.niaid.nih.gov/transcriptome/O_fasciatus/Sup_tab1/links/SMART\of-new-contig_285-SMART.txt","POLBc")</f>
        <v>POLBc</v>
      </c>
      <c r="AV288" s="2" t="str">
        <f>HYPERLINK("http://smart.embl-heidelberg.de/smart/do_annotation.pl?DOMAIN=POLBc&amp;BLAST=DUMMY","0.33")</f>
        <v>0.33</v>
      </c>
      <c r="AW288" s="3" t="s">
        <v>547</v>
      </c>
      <c r="AX288" s="2" t="s">
        <v>547</v>
      </c>
      <c r="AY288" s="3" t="s">
        <v>547</v>
      </c>
      <c r="AZ288" s="2" t="s">
        <v>547</v>
      </c>
    </row>
    <row r="289" spans="1:52" ht="11.25">
      <c r="A289" t="str">
        <f>HYPERLINK("http://exon.niaid.nih.gov/transcriptome/O_fasciatus/Sup_tab1/links/of-new\of-new-contig_299.txt","of-new-contig_299")</f>
        <v>of-new-contig_299</v>
      </c>
      <c r="B289" t="str">
        <f>HYPERLINK("http://exon.niaid.nih.gov/transcriptome/O_fasciatus/Sup_tab1/links/of-new\of-new-5-64-64-asb-299.txt","Contig-299")</f>
        <v>Contig-299</v>
      </c>
      <c r="C289" t="str">
        <f>HYPERLINK("http://exon.niaid.nih.gov/transcriptome/O_fasciatus/Sup_tab1/links/of-new\of-new-5-64-64-299-CLU.txt","Contig299")</f>
        <v>Contig299</v>
      </c>
      <c r="D289">
        <v>1</v>
      </c>
      <c r="E289">
        <v>110</v>
      </c>
      <c r="F289" t="str">
        <f>HYPERLINK("http://exon.niaid.nih.gov/transcriptome/O_fasciatus/Sup_tab1/links/of-new\of-new-5-64-64-299-qual.txt","53.")</f>
        <v>53.</v>
      </c>
      <c r="G289" t="s">
        <v>541</v>
      </c>
      <c r="H289">
        <v>84.5</v>
      </c>
      <c r="I289">
        <v>91</v>
      </c>
      <c r="J289">
        <v>299</v>
      </c>
      <c r="K289" t="s">
        <v>1377</v>
      </c>
      <c r="L289">
        <v>91</v>
      </c>
      <c r="N289" s="2" t="s">
        <v>547</v>
      </c>
      <c r="O289" t="s">
        <v>547</v>
      </c>
      <c r="P289" t="s">
        <v>547</v>
      </c>
      <c r="Q289" t="s">
        <v>547</v>
      </c>
      <c r="R289" t="s">
        <v>547</v>
      </c>
      <c r="S289" t="s">
        <v>547</v>
      </c>
      <c r="T289" t="s">
        <v>547</v>
      </c>
      <c r="U289" t="s">
        <v>547</v>
      </c>
      <c r="V289" t="s">
        <v>547</v>
      </c>
      <c r="W289" t="s">
        <v>547</v>
      </c>
      <c r="X289" t="s">
        <v>547</v>
      </c>
      <c r="Y289" t="s">
        <v>547</v>
      </c>
      <c r="Z289" s="4" t="s">
        <v>1051</v>
      </c>
      <c r="AA289" t="s">
        <v>1015</v>
      </c>
      <c r="AB289" s="3" t="s">
        <v>547</v>
      </c>
      <c r="AC289" s="2" t="s">
        <v>547</v>
      </c>
      <c r="AD289" s="4" t="s">
        <v>547</v>
      </c>
      <c r="AE289" t="s">
        <v>547</v>
      </c>
      <c r="AF289" t="s">
        <v>547</v>
      </c>
      <c r="AG289" s="4" t="s">
        <v>547</v>
      </c>
      <c r="AH289" t="s">
        <v>547</v>
      </c>
      <c r="AI289" t="s">
        <v>547</v>
      </c>
      <c r="AJ289" s="4" t="s">
        <v>547</v>
      </c>
      <c r="AK289" t="s">
        <v>547</v>
      </c>
      <c r="AL289" t="s">
        <v>547</v>
      </c>
      <c r="AM289" s="3" t="s">
        <v>547</v>
      </c>
      <c r="AN289" s="2" t="s">
        <v>547</v>
      </c>
      <c r="AO289" t="s">
        <v>547</v>
      </c>
      <c r="AP289" s="3" t="s">
        <v>547</v>
      </c>
      <c r="AQ289" s="2" t="s">
        <v>547</v>
      </c>
      <c r="AR289" t="s">
        <v>547</v>
      </c>
      <c r="AS289" s="3" t="s">
        <v>547</v>
      </c>
      <c r="AT289" s="2" t="s">
        <v>547</v>
      </c>
      <c r="AU289" s="3" t="str">
        <f>HYPERLINK("http://exon.niaid.nih.gov/transcriptome/O_fasciatus/Sup_tab1/links/SMART\of-new-contig_299-SMART.txt","PSN")</f>
        <v>PSN</v>
      </c>
      <c r="AV289" s="2" t="str">
        <f>HYPERLINK("http://smart.embl-heidelberg.de/smart/do_annotation.pl?DOMAIN=PSN&amp;BLAST=DUMMY","0.60")</f>
        <v>0.60</v>
      </c>
      <c r="AW289" s="3" t="s">
        <v>547</v>
      </c>
      <c r="AX289" s="2" t="s">
        <v>547</v>
      </c>
      <c r="AY289" s="3" t="s">
        <v>547</v>
      </c>
      <c r="AZ289" s="2" t="s">
        <v>547</v>
      </c>
    </row>
    <row r="290" spans="1:52" ht="11.25">
      <c r="A290" t="str">
        <f>HYPERLINK("http://exon.niaid.nih.gov/transcriptome/O_fasciatus/Sup_tab1/links/of-new\of-new-contig_213.txt","of-new-contig_213")</f>
        <v>of-new-contig_213</v>
      </c>
      <c r="B290" t="str">
        <f>HYPERLINK("http://exon.niaid.nih.gov/transcriptome/O_fasciatus/Sup_tab1/links/of-new\of-new-5-64-64-asb-213.txt","Contig-213")</f>
        <v>Contig-213</v>
      </c>
      <c r="C290" t="str">
        <f>HYPERLINK("http://exon.niaid.nih.gov/transcriptome/O_fasciatus/Sup_tab1/links/of-new\of-new-5-64-64-213-CLU.txt","Contig213")</f>
        <v>Contig213</v>
      </c>
      <c r="D290">
        <v>1</v>
      </c>
      <c r="E290">
        <v>94</v>
      </c>
      <c r="F290" t="str">
        <f>HYPERLINK("http://exon.niaid.nih.gov/transcriptome/O_fasciatus/Sup_tab1/links/of-new\of-new-5-64-64-213-qual.txt","50.9")</f>
        <v>50.9</v>
      </c>
      <c r="G290" t="s">
        <v>541</v>
      </c>
      <c r="H290">
        <v>73.4</v>
      </c>
      <c r="I290">
        <v>75</v>
      </c>
      <c r="J290">
        <v>213</v>
      </c>
      <c r="K290" t="s">
        <v>1291</v>
      </c>
      <c r="L290">
        <v>75</v>
      </c>
      <c r="N290" s="2" t="s">
        <v>547</v>
      </c>
      <c r="O290" t="s">
        <v>547</v>
      </c>
      <c r="P290" t="s">
        <v>547</v>
      </c>
      <c r="Q290" t="s">
        <v>547</v>
      </c>
      <c r="R290" t="s">
        <v>547</v>
      </c>
      <c r="S290" t="s">
        <v>547</v>
      </c>
      <c r="T290" t="s">
        <v>547</v>
      </c>
      <c r="U290" t="s">
        <v>547</v>
      </c>
      <c r="V290" t="s">
        <v>547</v>
      </c>
      <c r="W290" t="s">
        <v>547</v>
      </c>
      <c r="X290" t="s">
        <v>547</v>
      </c>
      <c r="Y290" t="s">
        <v>547</v>
      </c>
      <c r="Z290" s="4" t="s">
        <v>1051</v>
      </c>
      <c r="AA290" t="s">
        <v>1015</v>
      </c>
      <c r="AB290" s="3" t="s">
        <v>547</v>
      </c>
      <c r="AC290" s="2" t="s">
        <v>547</v>
      </c>
      <c r="AD290" s="4" t="s">
        <v>547</v>
      </c>
      <c r="AE290" t="s">
        <v>547</v>
      </c>
      <c r="AF290" t="s">
        <v>547</v>
      </c>
      <c r="AG290" s="4" t="s">
        <v>547</v>
      </c>
      <c r="AH290" t="s">
        <v>547</v>
      </c>
      <c r="AI290" t="s">
        <v>547</v>
      </c>
      <c r="AJ290" s="4" t="s">
        <v>547</v>
      </c>
      <c r="AK290" t="s">
        <v>547</v>
      </c>
      <c r="AL290" t="s">
        <v>547</v>
      </c>
      <c r="AM290" s="3" t="s">
        <v>547</v>
      </c>
      <c r="AN290" s="2" t="s">
        <v>547</v>
      </c>
      <c r="AO290" t="s">
        <v>547</v>
      </c>
      <c r="AP290" s="3" t="s">
        <v>547</v>
      </c>
      <c r="AQ290" s="2" t="s">
        <v>547</v>
      </c>
      <c r="AR290" t="s">
        <v>547</v>
      </c>
      <c r="AS290" s="3" t="s">
        <v>547</v>
      </c>
      <c r="AT290" s="2" t="s">
        <v>547</v>
      </c>
      <c r="AU290" s="3" t="s">
        <v>547</v>
      </c>
      <c r="AV290" s="2" t="s">
        <v>547</v>
      </c>
      <c r="AW290" s="3" t="s">
        <v>547</v>
      </c>
      <c r="AX290" s="2" t="s">
        <v>547</v>
      </c>
      <c r="AY290" s="3" t="s">
        <v>547</v>
      </c>
      <c r="AZ290" s="2" t="s">
        <v>547</v>
      </c>
    </row>
    <row r="291" spans="1:52" ht="11.25">
      <c r="A291" t="str">
        <f>HYPERLINK("http://exon.niaid.nih.gov/transcriptome/O_fasciatus/Sup_tab1/links/of-new\of-new-contig_146.txt","of-new-contig_146")</f>
        <v>of-new-contig_146</v>
      </c>
      <c r="B291" t="str">
        <f>HYPERLINK("http://exon.niaid.nih.gov/transcriptome/O_fasciatus/Sup_tab1/links/of-new\of-new-5-64-64-asb-146.txt","Contig-146")</f>
        <v>Contig-146</v>
      </c>
      <c r="C291" t="str">
        <f>HYPERLINK("http://exon.niaid.nih.gov/transcriptome/O_fasciatus/Sup_tab1/links/of-new\of-new-5-64-64-146-CLU.txt","Contig146")</f>
        <v>Contig146</v>
      </c>
      <c r="D291">
        <v>1</v>
      </c>
      <c r="E291">
        <v>589</v>
      </c>
      <c r="F291" t="str">
        <f>HYPERLINK("http://exon.niaid.nih.gov/transcriptome/O_fasciatus/Sup_tab1/links/of-new\of-new-5-64-64-146-qual.txt","39.9")</f>
        <v>39.9</v>
      </c>
      <c r="G291" t="s">
        <v>541</v>
      </c>
      <c r="H291">
        <v>75.9</v>
      </c>
      <c r="I291">
        <v>570</v>
      </c>
      <c r="J291">
        <v>146</v>
      </c>
      <c r="K291" t="s">
        <v>1224</v>
      </c>
      <c r="L291">
        <v>570</v>
      </c>
      <c r="M291" s="3" t="str">
        <f>HYPERLINK("http://exon.niaid.nih.gov/transcriptome/O_fasciatus/Sup_tab1/links/NR\of-new-contig_146-NR.txt","hypothetical protein Y50E8A.i - Caenorhabditis elegans")</f>
        <v>hypothetical protein Y50E8A.i - Caenorhabditis elegans</v>
      </c>
      <c r="N291" s="2" t="str">
        <f>HYPERLINK("http://www.ncbi.nlm.nih.gov/sutils/blink.cgi?pid=7510076","4.5")</f>
        <v>4.5</v>
      </c>
      <c r="O291" t="s">
        <v>961</v>
      </c>
      <c r="P291">
        <v>44</v>
      </c>
      <c r="Q291">
        <v>836</v>
      </c>
      <c r="R291">
        <v>47</v>
      </c>
      <c r="S291">
        <v>5</v>
      </c>
      <c r="T291">
        <v>770</v>
      </c>
      <c r="U291">
        <v>85</v>
      </c>
      <c r="V291">
        <v>2</v>
      </c>
      <c r="W291" t="s">
        <v>1412</v>
      </c>
      <c r="X291" t="s">
        <v>547</v>
      </c>
      <c r="Y291" t="s">
        <v>962</v>
      </c>
      <c r="Z291" s="4" t="s">
        <v>1025</v>
      </c>
      <c r="AA291" t="s">
        <v>1015</v>
      </c>
      <c r="AB291" s="3" t="s">
        <v>547</v>
      </c>
      <c r="AC291" s="2" t="s">
        <v>547</v>
      </c>
      <c r="AD291" s="4" t="s">
        <v>547</v>
      </c>
      <c r="AE291" t="s">
        <v>547</v>
      </c>
      <c r="AF291" t="s">
        <v>547</v>
      </c>
      <c r="AG291" s="4" t="s">
        <v>547</v>
      </c>
      <c r="AH291" t="s">
        <v>547</v>
      </c>
      <c r="AI291" t="s">
        <v>547</v>
      </c>
      <c r="AJ291" s="4" t="s">
        <v>547</v>
      </c>
      <c r="AK291" t="s">
        <v>547</v>
      </c>
      <c r="AL291" t="s">
        <v>547</v>
      </c>
      <c r="AM291" s="3" t="s">
        <v>547</v>
      </c>
      <c r="AN291" s="2" t="s">
        <v>547</v>
      </c>
      <c r="AO291" t="s">
        <v>547</v>
      </c>
      <c r="AP291" s="3" t="str">
        <f>HYPERLINK("http://exon.niaid.nih.gov/transcriptome/O_fasciatus/Sup_tab1/links/CDD\of-new-contig_146-CDD.txt","COG3936")</f>
        <v>COG3936</v>
      </c>
      <c r="AQ291" s="2" t="str">
        <f>HYPERLINK("http://www.ncbi.nlm.nih.gov/Structure/cdd/cddsrv.cgi?uid=COG3936&amp;version=v4.0","0.24")</f>
        <v>0.24</v>
      </c>
      <c r="AR291" t="s">
        <v>963</v>
      </c>
      <c r="AS291" s="3" t="str">
        <f>HYPERLINK("http://exon.niaid.nih.gov/transcriptome/O_fasciatus/Sup_tab1/links/PFAM\of-new-contig_146-PFAM.txt","TatC")</f>
        <v>TatC</v>
      </c>
      <c r="AT291" s="2" t="str">
        <f>HYPERLINK("http://pfam.wustl.edu/cgi-bin/getdesc?acc=PF00902","0.14")</f>
        <v>0.14</v>
      </c>
      <c r="AU291" s="3" t="str">
        <f>HYPERLINK("http://exon.niaid.nih.gov/transcriptome/O_fasciatus/Sup_tab1/links/SMART\of-new-contig_146-SMART.txt","DED")</f>
        <v>DED</v>
      </c>
      <c r="AV291" s="2" t="str">
        <f>HYPERLINK("http://smart.embl-heidelberg.de/smart/do_annotation.pl?DOMAIN=DED&amp;BLAST=DUMMY","0.055")</f>
        <v>0.055</v>
      </c>
      <c r="AW291" s="3" t="s">
        <v>547</v>
      </c>
      <c r="AX291" s="2" t="s">
        <v>547</v>
      </c>
      <c r="AY291" s="3" t="s">
        <v>547</v>
      </c>
      <c r="AZ291" s="2" t="s">
        <v>547</v>
      </c>
    </row>
    <row r="292" spans="1:52" ht="11.25">
      <c r="A292" t="str">
        <f>HYPERLINK("http://exon.niaid.nih.gov/transcriptome/O_fasciatus/Sup_tab1/links/of-new\of-new-contig_205.txt","of-new-contig_205")</f>
        <v>of-new-contig_205</v>
      </c>
      <c r="B292" t="str">
        <f>HYPERLINK("http://exon.niaid.nih.gov/transcriptome/O_fasciatus/Sup_tab1/links/of-new\of-new-5-64-64-asb-205.txt","Contig-205")</f>
        <v>Contig-205</v>
      </c>
      <c r="C292" t="str">
        <f>HYPERLINK("http://exon.niaid.nih.gov/transcriptome/O_fasciatus/Sup_tab1/links/of-new\of-new-5-64-64-205-CLU.txt","Contig205")</f>
        <v>Contig205</v>
      </c>
      <c r="D292">
        <v>1</v>
      </c>
      <c r="E292">
        <v>512</v>
      </c>
      <c r="F292" t="str">
        <f>HYPERLINK("http://exon.niaid.nih.gov/transcriptome/O_fasciatus/Sup_tab1/links/of-new\of-new-5-64-64-205-qual.txt","62.5")</f>
        <v>62.5</v>
      </c>
      <c r="G292" t="s">
        <v>541</v>
      </c>
      <c r="H292">
        <v>69.3</v>
      </c>
      <c r="I292">
        <v>493</v>
      </c>
      <c r="J292">
        <v>205</v>
      </c>
      <c r="K292" t="s">
        <v>1283</v>
      </c>
      <c r="L292">
        <v>493</v>
      </c>
      <c r="M292" s="3" t="str">
        <f>HYPERLINK("http://exon.niaid.nih.gov/transcriptome/O_fasciatus/Sup_tab1/links/NR\of-new-contig_205-NR.txt","similar to transcription-repair coupling factor")</f>
        <v>similar to transcription-repair coupling factor</v>
      </c>
      <c r="N292" s="2" t="str">
        <f>HYPERLINK("http://www.ncbi.nlm.nih.gov/sutils/blink.cgi?pid=91200730","0.098")</f>
        <v>0.098</v>
      </c>
      <c r="O292" t="s">
        <v>737</v>
      </c>
      <c r="P292">
        <v>113</v>
      </c>
      <c r="Q292">
        <v>1092</v>
      </c>
      <c r="R292">
        <v>30</v>
      </c>
      <c r="S292">
        <v>10</v>
      </c>
      <c r="T292">
        <v>70</v>
      </c>
      <c r="U292">
        <v>49</v>
      </c>
      <c r="V292">
        <v>1</v>
      </c>
      <c r="W292" t="s">
        <v>1412</v>
      </c>
      <c r="X292" t="s">
        <v>738</v>
      </c>
      <c r="Y292" t="s">
        <v>739</v>
      </c>
      <c r="Z292" s="4" t="s">
        <v>1025</v>
      </c>
      <c r="AA292" t="s">
        <v>1015</v>
      </c>
      <c r="AB292" s="3" t="s">
        <v>547</v>
      </c>
      <c r="AC292" s="2" t="s">
        <v>547</v>
      </c>
      <c r="AD292" s="4" t="s">
        <v>547</v>
      </c>
      <c r="AE292" t="s">
        <v>547</v>
      </c>
      <c r="AF292" t="s">
        <v>547</v>
      </c>
      <c r="AG292" s="4" t="s">
        <v>547</v>
      </c>
      <c r="AH292" t="s">
        <v>547</v>
      </c>
      <c r="AI292" t="s">
        <v>547</v>
      </c>
      <c r="AJ292" s="4" t="s">
        <v>547</v>
      </c>
      <c r="AK292" t="s">
        <v>547</v>
      </c>
      <c r="AL292" t="s">
        <v>547</v>
      </c>
      <c r="AM292" s="3" t="str">
        <f>HYPERLINK("http://exon.niaid.nih.gov/transcriptome/O_fasciatus/Sup_tab1/links/KOG\of-new-contig_205-KOG.txt","WD40 repeat protein")</f>
        <v>WD40 repeat protein</v>
      </c>
      <c r="AN292" s="2" t="str">
        <f>HYPERLINK("http://www.ncbi.nlm.nih.gov/COG/new/shokog.cgi?KOG2055","0.70")</f>
        <v>0.70</v>
      </c>
      <c r="AO292" t="s">
        <v>1503</v>
      </c>
      <c r="AP292" s="3" t="str">
        <f>HYPERLINK("http://exon.niaid.nih.gov/transcriptome/O_fasciatus/Sup_tab1/links/CDD\of-new-contig_205-CDD.txt","CSE1")</f>
        <v>CSE1</v>
      </c>
      <c r="AQ292" s="2" t="str">
        <f>HYPERLINK("http://www.ncbi.nlm.nih.gov/Structure/cdd/cddsrv.cgi?uid=COG5657&amp;version=v4.0","0.018")</f>
        <v>0.018</v>
      </c>
      <c r="AR292" t="s">
        <v>740</v>
      </c>
      <c r="AS292" s="3" t="str">
        <f>HYPERLINK("http://exon.niaid.nih.gov/transcriptome/O_fasciatus/Sup_tab1/links/PFAM\of-new-contig_205-PFAM.txt","DUF452")</f>
        <v>DUF452</v>
      </c>
      <c r="AT292" s="2" t="str">
        <f>HYPERLINK("http://pfam.wustl.edu/cgi-bin/getdesc?acc=PF04301","0.55")</f>
        <v>0.55</v>
      </c>
      <c r="AU292" s="3" t="str">
        <f>HYPERLINK("http://exon.niaid.nih.gov/transcriptome/O_fasciatus/Sup_tab1/links/SMART\of-new-contig_205-SMART.txt","TLDc")</f>
        <v>TLDc</v>
      </c>
      <c r="AV292" s="2" t="str">
        <f>HYPERLINK("http://smart.embl-heidelberg.de/smart/do_annotation.pl?DOMAIN=TLDc&amp;BLAST=DUMMY","0.066")</f>
        <v>0.066</v>
      </c>
      <c r="AW292" s="3" t="s">
        <v>547</v>
      </c>
      <c r="AX292" s="2" t="s">
        <v>547</v>
      </c>
      <c r="AY292" s="3" t="s">
        <v>547</v>
      </c>
      <c r="AZ292" s="2" t="s">
        <v>547</v>
      </c>
    </row>
    <row r="293" spans="1:52" ht="11.25">
      <c r="A293" t="str">
        <f>HYPERLINK("http://exon.niaid.nih.gov/transcriptome/O_fasciatus/Sup_tab1/links/of-new\of-new-contig_198.txt","of-new-contig_198")</f>
        <v>of-new-contig_198</v>
      </c>
      <c r="B293" t="str">
        <f>HYPERLINK("http://exon.niaid.nih.gov/transcriptome/O_fasciatus/Sup_tab1/links/of-new\of-new-5-64-64-asb-198.txt","Contig-198")</f>
        <v>Contig-198</v>
      </c>
      <c r="C293" t="str">
        <f>HYPERLINK("http://exon.niaid.nih.gov/transcriptome/O_fasciatus/Sup_tab1/links/of-new\of-new-5-64-64-198-CLU.txt","Contig198")</f>
        <v>Contig198</v>
      </c>
      <c r="D293">
        <v>1</v>
      </c>
      <c r="E293">
        <v>468</v>
      </c>
      <c r="F293" t="str">
        <f>HYPERLINK("http://exon.niaid.nih.gov/transcriptome/O_fasciatus/Sup_tab1/links/of-new\of-new-5-64-64-198-qual.txt","49.5")</f>
        <v>49.5</v>
      </c>
      <c r="G293" t="s">
        <v>541</v>
      </c>
      <c r="H293">
        <v>76.9</v>
      </c>
      <c r="I293">
        <v>449</v>
      </c>
      <c r="J293">
        <v>198</v>
      </c>
      <c r="K293" t="s">
        <v>1276</v>
      </c>
      <c r="L293">
        <v>449</v>
      </c>
      <c r="M293" s="3" t="str">
        <f>HYPERLINK("http://exon.niaid.nih.gov/transcriptome/O_fasciatus/Sup_tab1/links/NR\of-new-contig_198-NR.txt","ATPase subunit 6")</f>
        <v>ATPase subunit 6</v>
      </c>
      <c r="N293" s="2" t="str">
        <f>HYPERLINK("http://www.ncbi.nlm.nih.gov/sutils/blink.cgi?pid=1216394","0.85")</f>
        <v>0.85</v>
      </c>
      <c r="O293" t="s">
        <v>716</v>
      </c>
      <c r="P293">
        <v>129</v>
      </c>
      <c r="Q293">
        <v>174</v>
      </c>
      <c r="R293">
        <v>27</v>
      </c>
      <c r="S293">
        <v>74</v>
      </c>
      <c r="T293">
        <v>1</v>
      </c>
      <c r="U293">
        <v>109</v>
      </c>
      <c r="V293">
        <v>1</v>
      </c>
      <c r="W293" t="s">
        <v>1412</v>
      </c>
      <c r="X293" t="s">
        <v>547</v>
      </c>
      <c r="Y293" t="s">
        <v>717</v>
      </c>
      <c r="Z293" s="4" t="s">
        <v>1025</v>
      </c>
      <c r="AA293" t="s">
        <v>1015</v>
      </c>
      <c r="AB293" s="3" t="s">
        <v>547</v>
      </c>
      <c r="AC293" s="2" t="s">
        <v>547</v>
      </c>
      <c r="AD293" s="4" t="s">
        <v>547</v>
      </c>
      <c r="AE293" t="s">
        <v>547</v>
      </c>
      <c r="AF293" t="s">
        <v>547</v>
      </c>
      <c r="AG293" s="4" t="s">
        <v>547</v>
      </c>
      <c r="AH293" t="s">
        <v>547</v>
      </c>
      <c r="AI293" t="s">
        <v>547</v>
      </c>
      <c r="AJ293" s="4" t="s">
        <v>547</v>
      </c>
      <c r="AK293" t="s">
        <v>547</v>
      </c>
      <c r="AL293" t="s">
        <v>547</v>
      </c>
      <c r="AM293" s="3" t="s">
        <v>547</v>
      </c>
      <c r="AN293" s="2" t="s">
        <v>547</v>
      </c>
      <c r="AO293" t="s">
        <v>547</v>
      </c>
      <c r="AP293" s="3" t="str">
        <f>HYPERLINK("http://exon.niaid.nih.gov/transcriptome/O_fasciatus/Sup_tab1/links/CDD\of-new-contig_198-CDD.txt","Peptidase_S32")</f>
        <v>Peptidase_S32</v>
      </c>
      <c r="AQ293" s="2" t="str">
        <f>HYPERLINK("http://www.ncbi.nlm.nih.gov/Structure/cdd/cddsrv.cgi?uid=pfam05579&amp;version=v4.0","0.052")</f>
        <v>0.052</v>
      </c>
      <c r="AR293" t="s">
        <v>718</v>
      </c>
      <c r="AS293" s="3" t="str">
        <f>HYPERLINK("http://exon.niaid.nih.gov/transcriptome/O_fasciatus/Sup_tab1/links/PFAM\of-new-contig_198-PFAM.txt","Peptidase_S32")</f>
        <v>Peptidase_S32</v>
      </c>
      <c r="AT293" s="2" t="str">
        <f>HYPERLINK("http://pfam.wustl.edu/cgi-bin/getdesc?acc=PF05579","0.027")</f>
        <v>0.027</v>
      </c>
      <c r="AU293" s="3" t="str">
        <f>HYPERLINK("http://exon.niaid.nih.gov/transcriptome/O_fasciatus/Sup_tab1/links/SMART\of-new-contig_198-SMART.txt","TNF")</f>
        <v>TNF</v>
      </c>
      <c r="AV293" s="2" t="str">
        <f>HYPERLINK("http://smart.embl-heidelberg.de/smart/do_annotation.pl?DOMAIN=TNF&amp;BLAST=DUMMY","0.65")</f>
        <v>0.65</v>
      </c>
      <c r="AW293" s="3" t="s">
        <v>547</v>
      </c>
      <c r="AX293" s="2" t="s">
        <v>547</v>
      </c>
      <c r="AY293" s="3" t="s">
        <v>547</v>
      </c>
      <c r="AZ293" s="2" t="s">
        <v>547</v>
      </c>
    </row>
    <row r="294" spans="1:52" ht="11.25">
      <c r="A294" t="str">
        <f>HYPERLINK("http://exon.niaid.nih.gov/transcriptome/O_fasciatus/Sup_tab1/links/of-new\of-new-contig_241.txt","of-new-contig_241")</f>
        <v>of-new-contig_241</v>
      </c>
      <c r="B294" t="str">
        <f>HYPERLINK("http://exon.niaid.nih.gov/transcriptome/O_fasciatus/Sup_tab1/links/of-new\of-new-5-64-64-asb-241.txt","Contig-241")</f>
        <v>Contig-241</v>
      </c>
      <c r="C294" t="str">
        <f>HYPERLINK("http://exon.niaid.nih.gov/transcriptome/O_fasciatus/Sup_tab1/links/of-new\of-new-5-64-64-241-CLU.txt","Contig241")</f>
        <v>Contig241</v>
      </c>
      <c r="D294">
        <v>1</v>
      </c>
      <c r="E294">
        <v>438</v>
      </c>
      <c r="F294" t="str">
        <f>HYPERLINK("http://exon.niaid.nih.gov/transcriptome/O_fasciatus/Sup_tab1/links/of-new\of-new-5-64-64-241-qual.txt","63.8")</f>
        <v>63.8</v>
      </c>
      <c r="G294" t="s">
        <v>541</v>
      </c>
      <c r="H294">
        <v>70.5</v>
      </c>
      <c r="I294">
        <v>419</v>
      </c>
      <c r="J294">
        <v>241</v>
      </c>
      <c r="K294" t="s">
        <v>1319</v>
      </c>
      <c r="L294">
        <v>419</v>
      </c>
      <c r="M294" s="3" t="str">
        <f>HYPERLINK("http://exon.niaid.nih.gov/transcriptome/O_fasciatus/Sup_tab1/links/NR\of-new-contig_241-NR.txt","PREDICTED: similar to vav CG7893-PA, isoform A")</f>
        <v>PREDICTED: similar to vav CG7893-PA, isoform A</v>
      </c>
      <c r="N294" s="2" t="str">
        <f>HYPERLINK("http://www.ncbi.nlm.nih.gov/sutils/blink.cgi?pid=66542483","2E-012")</f>
        <v>2E-012</v>
      </c>
      <c r="O294" t="s">
        <v>356</v>
      </c>
      <c r="P294">
        <v>38</v>
      </c>
      <c r="Q294">
        <v>823</v>
      </c>
      <c r="R294">
        <v>86</v>
      </c>
      <c r="S294">
        <v>5</v>
      </c>
      <c r="T294">
        <v>373</v>
      </c>
      <c r="U294">
        <v>214</v>
      </c>
      <c r="V294">
        <v>1</v>
      </c>
      <c r="W294" t="s">
        <v>1412</v>
      </c>
      <c r="X294" t="s">
        <v>520</v>
      </c>
      <c r="Y294" t="s">
        <v>357</v>
      </c>
      <c r="Z294" s="4" t="s">
        <v>1113</v>
      </c>
      <c r="AA294" t="s">
        <v>1015</v>
      </c>
      <c r="AB294" s="3" t="s">
        <v>358</v>
      </c>
      <c r="AC294" s="2">
        <f>HYPERLINK("http://exon.niaid.nih.gov/transcriptome/O_fasciatus/Sup_tab1/links/GO\of-new-contig_241-GO.txt",0.00000000004)</f>
        <v>0</v>
      </c>
      <c r="AD294" s="4" t="s">
        <v>359</v>
      </c>
      <c r="AE294" t="s">
        <v>360</v>
      </c>
      <c r="AF294">
        <v>4E-11</v>
      </c>
      <c r="AG294" s="4" t="s">
        <v>1638</v>
      </c>
      <c r="AH294" t="s">
        <v>1639</v>
      </c>
      <c r="AI294">
        <v>4E-11</v>
      </c>
      <c r="AJ294" s="4" t="s">
        <v>361</v>
      </c>
      <c r="AK294" t="s">
        <v>362</v>
      </c>
      <c r="AL294">
        <v>4E-11</v>
      </c>
      <c r="AM294" s="3" t="str">
        <f>HYPERLINK("http://exon.niaid.nih.gov/transcriptome/O_fasciatus/Sup_tab1/links/KOG\of-new-contig_241-KOG.txt","Rho guanine nucleotide exchange factor VAV3")</f>
        <v>Rho guanine nucleotide exchange factor VAV3</v>
      </c>
      <c r="AN294" s="2" t="str">
        <f>HYPERLINK("http://www.ncbi.nlm.nih.gov/COG/new/shokog.cgi?KOG2996","9E-012")</f>
        <v>9E-012</v>
      </c>
      <c r="AO294" t="s">
        <v>1521</v>
      </c>
      <c r="AP294" s="3" t="str">
        <f>HYPERLINK("http://exon.niaid.nih.gov/transcriptome/O_fasciatus/Sup_tab1/links/CDD\of-new-contig_241-CDD.txt","RhoGEF")</f>
        <v>RhoGEF</v>
      </c>
      <c r="AQ294" s="2" t="str">
        <f>HYPERLINK("http://www.ncbi.nlm.nih.gov/Structure/cdd/cddsrv.cgi?uid=cd00160&amp;version=v4.0","1E-008")</f>
        <v>1E-008</v>
      </c>
      <c r="AR294" t="s">
        <v>363</v>
      </c>
      <c r="AS294" s="3" t="str">
        <f>HYPERLINK("http://exon.niaid.nih.gov/transcriptome/O_fasciatus/Sup_tab1/links/PFAM\of-new-contig_241-PFAM.txt","RhoGEF")</f>
        <v>RhoGEF</v>
      </c>
      <c r="AT294" s="2" t="str">
        <f>HYPERLINK("http://pfam.wustl.edu/cgi-bin/getdesc?acc=PF00621","2E-009")</f>
        <v>2E-009</v>
      </c>
      <c r="AU294" s="3" t="str">
        <f>HYPERLINK("http://exon.niaid.nih.gov/transcriptome/O_fasciatus/Sup_tab1/links/SMART\of-new-contig_241-SMART.txt","RhoGEF")</f>
        <v>RhoGEF</v>
      </c>
      <c r="AV294" s="2" t="str">
        <f>HYPERLINK("http://smart.embl-heidelberg.de/smart/do_annotation.pl?DOMAIN=RhoGEF&amp;BLAST=DUMMY","6E-011")</f>
        <v>6E-011</v>
      </c>
      <c r="AW294" s="3" t="s">
        <v>547</v>
      </c>
      <c r="AX294" s="2" t="s">
        <v>547</v>
      </c>
      <c r="AY294" s="3" t="s">
        <v>547</v>
      </c>
      <c r="AZ294" s="2" t="s">
        <v>547</v>
      </c>
    </row>
    <row r="295" spans="1:52" ht="11.25">
      <c r="A295" t="str">
        <f>HYPERLINK("http://exon.niaid.nih.gov/transcriptome/O_fasciatus/Sup_tab1/links/of-new\of-new-contig_208.txt","of-new-contig_208")</f>
        <v>of-new-contig_208</v>
      </c>
      <c r="B295" t="str">
        <f>HYPERLINK("http://exon.niaid.nih.gov/transcriptome/O_fasciatus/Sup_tab1/links/of-new\of-new-5-64-64-asb-208.txt","Contig-208")</f>
        <v>Contig-208</v>
      </c>
      <c r="C295" t="str">
        <f>HYPERLINK("http://exon.niaid.nih.gov/transcriptome/O_fasciatus/Sup_tab1/links/of-new\of-new-5-64-64-208-CLU.txt","Contig208")</f>
        <v>Contig208</v>
      </c>
      <c r="D295">
        <v>1</v>
      </c>
      <c r="E295">
        <v>384</v>
      </c>
      <c r="F295" t="str">
        <f>HYPERLINK("http://exon.niaid.nih.gov/transcriptome/O_fasciatus/Sup_tab1/links/of-new\of-new-5-64-64-208-qual.txt","62.")</f>
        <v>62.</v>
      </c>
      <c r="G295" t="s">
        <v>541</v>
      </c>
      <c r="H295">
        <v>66.1</v>
      </c>
      <c r="I295">
        <v>365</v>
      </c>
      <c r="J295">
        <v>208</v>
      </c>
      <c r="K295" t="s">
        <v>1286</v>
      </c>
      <c r="L295">
        <v>365</v>
      </c>
      <c r="M295" s="3" t="str">
        <f>HYPERLINK("http://exon.niaid.nih.gov/transcriptome/O_fasciatus/Sup_tab1/links/NR\of-new-contig_208-NR.txt","hypothetical protein [Plasmodium berghei strain ANKA]")</f>
        <v>hypothetical protein [Plasmodium berghei strain ANKA]</v>
      </c>
      <c r="N295" s="2" t="str">
        <f>HYPERLINK("http://www.ncbi.nlm.nih.gov/sutils/blink.cgi?pid=68066769","1.8")</f>
        <v>1.8</v>
      </c>
      <c r="O295" t="s">
        <v>747</v>
      </c>
      <c r="P295">
        <v>66</v>
      </c>
      <c r="Q295">
        <v>813</v>
      </c>
      <c r="R295">
        <v>33</v>
      </c>
      <c r="S295">
        <v>8</v>
      </c>
      <c r="T295">
        <v>368</v>
      </c>
      <c r="U295">
        <v>175</v>
      </c>
      <c r="V295">
        <v>1</v>
      </c>
      <c r="W295" t="s">
        <v>1412</v>
      </c>
      <c r="X295" t="s">
        <v>887</v>
      </c>
      <c r="Y295" t="s">
        <v>748</v>
      </c>
      <c r="Z295" s="4" t="s">
        <v>1025</v>
      </c>
      <c r="AA295" t="s">
        <v>1015</v>
      </c>
      <c r="AB295" s="3" t="s">
        <v>547</v>
      </c>
      <c r="AC295" s="2" t="s">
        <v>547</v>
      </c>
      <c r="AD295" s="4" t="s">
        <v>547</v>
      </c>
      <c r="AE295" t="s">
        <v>547</v>
      </c>
      <c r="AF295" t="s">
        <v>547</v>
      </c>
      <c r="AG295" s="4" t="s">
        <v>547</v>
      </c>
      <c r="AH295" t="s">
        <v>547</v>
      </c>
      <c r="AI295" t="s">
        <v>547</v>
      </c>
      <c r="AJ295" s="4" t="s">
        <v>547</v>
      </c>
      <c r="AK295" t="s">
        <v>547</v>
      </c>
      <c r="AL295" t="s">
        <v>547</v>
      </c>
      <c r="AM295" s="3" t="str">
        <f>HYPERLINK("http://exon.niaid.nih.gov/transcriptome/O_fasciatus/Sup_tab1/links/KOG\of-new-contig_208-KOG.txt","Uncharacterized membrane protein")</f>
        <v>Uncharacterized membrane protein</v>
      </c>
      <c r="AN295" s="2" t="str">
        <f>HYPERLINK("http://www.ncbi.nlm.nih.gov/COG/new/shokog.cgi?KOG4478","0.11")</f>
        <v>0.11</v>
      </c>
      <c r="AO295" t="s">
        <v>881</v>
      </c>
      <c r="AP295" s="3" t="str">
        <f>HYPERLINK("http://exon.niaid.nih.gov/transcriptome/O_fasciatus/Sup_tab1/links/CDD\of-new-contig_208-CDD.txt","Huntingtin")</f>
        <v>Huntingtin</v>
      </c>
      <c r="AQ295" s="2" t="str">
        <f>HYPERLINK("http://www.ncbi.nlm.nih.gov/Structure/cdd/cddsrv.cgi?uid=pfam03541&amp;version=v4.0","0.97")</f>
        <v>0.97</v>
      </c>
      <c r="AR295" t="s">
        <v>749</v>
      </c>
      <c r="AS295" s="3" t="str">
        <f>HYPERLINK("http://exon.niaid.nih.gov/transcriptome/O_fasciatus/Sup_tab1/links/PFAM\of-new-contig_208-PFAM.txt","Huntingtin")</f>
        <v>Huntingtin</v>
      </c>
      <c r="AT295" s="2" t="str">
        <f>HYPERLINK("http://pfam.wustl.edu/cgi-bin/getdesc?acc=PF03541","0.52")</f>
        <v>0.52</v>
      </c>
      <c r="AU295" s="3" t="s">
        <v>547</v>
      </c>
      <c r="AV295" s="2" t="s">
        <v>547</v>
      </c>
      <c r="AW295" s="3" t="s">
        <v>547</v>
      </c>
      <c r="AX295" s="2" t="s">
        <v>547</v>
      </c>
      <c r="AY295" s="3" t="s">
        <v>547</v>
      </c>
      <c r="AZ295" s="2" t="s">
        <v>547</v>
      </c>
    </row>
    <row r="296" spans="1:52" ht="11.25">
      <c r="A296" t="str">
        <f>HYPERLINK("http://exon.niaid.nih.gov/transcriptome/O_fasciatus/Sup_tab1/links/of-new\of-new-contig_153.txt","of-new-contig_153")</f>
        <v>of-new-contig_153</v>
      </c>
      <c r="B296" t="str">
        <f>HYPERLINK("http://exon.niaid.nih.gov/transcriptome/O_fasciatus/Sup_tab1/links/of-new\of-new-5-64-64-asb-153.txt","Contig-153")</f>
        <v>Contig-153</v>
      </c>
      <c r="C296" t="str">
        <f>HYPERLINK("http://exon.niaid.nih.gov/transcriptome/O_fasciatus/Sup_tab1/links/of-new\of-new-5-64-64-153-CLU.txt","Contig153")</f>
        <v>Contig153</v>
      </c>
      <c r="D296">
        <v>1</v>
      </c>
      <c r="E296">
        <v>343</v>
      </c>
      <c r="F296" t="str">
        <f>HYPERLINK("http://exon.niaid.nih.gov/transcriptome/O_fasciatus/Sup_tab1/links/of-new\of-new-5-64-64-153-qual.txt","30.")</f>
        <v>30.</v>
      </c>
      <c r="G296">
        <v>1.2</v>
      </c>
      <c r="H296">
        <v>72.3</v>
      </c>
      <c r="I296">
        <v>324</v>
      </c>
      <c r="J296">
        <v>153</v>
      </c>
      <c r="K296" t="s">
        <v>1231</v>
      </c>
      <c r="L296">
        <v>324</v>
      </c>
      <c r="N296" s="2" t="s">
        <v>547</v>
      </c>
      <c r="O296" t="s">
        <v>547</v>
      </c>
      <c r="P296" t="s">
        <v>547</v>
      </c>
      <c r="Q296" t="s">
        <v>547</v>
      </c>
      <c r="R296" t="s">
        <v>547</v>
      </c>
      <c r="S296" t="s">
        <v>547</v>
      </c>
      <c r="T296" t="s">
        <v>547</v>
      </c>
      <c r="U296" t="s">
        <v>547</v>
      </c>
      <c r="V296" t="s">
        <v>547</v>
      </c>
      <c r="W296" t="s">
        <v>547</v>
      </c>
      <c r="X296" t="s">
        <v>547</v>
      </c>
      <c r="Y296" t="s">
        <v>547</v>
      </c>
      <c r="Z296" s="4" t="s">
        <v>1025</v>
      </c>
      <c r="AA296" t="s">
        <v>1015</v>
      </c>
      <c r="AB296" s="3" t="s">
        <v>547</v>
      </c>
      <c r="AC296" s="2" t="s">
        <v>547</v>
      </c>
      <c r="AD296" s="4" t="s">
        <v>547</v>
      </c>
      <c r="AE296" t="s">
        <v>547</v>
      </c>
      <c r="AF296" t="s">
        <v>547</v>
      </c>
      <c r="AG296" s="4" t="s">
        <v>547</v>
      </c>
      <c r="AH296" t="s">
        <v>547</v>
      </c>
      <c r="AI296" t="s">
        <v>547</v>
      </c>
      <c r="AJ296" s="4" t="s">
        <v>547</v>
      </c>
      <c r="AK296" t="s">
        <v>547</v>
      </c>
      <c r="AL296" t="s">
        <v>547</v>
      </c>
      <c r="AM296" s="3" t="s">
        <v>547</v>
      </c>
      <c r="AN296" s="2" t="s">
        <v>547</v>
      </c>
      <c r="AO296" t="s">
        <v>547</v>
      </c>
      <c r="AP296" s="3" t="s">
        <v>547</v>
      </c>
      <c r="AQ296" s="2" t="s">
        <v>547</v>
      </c>
      <c r="AR296" t="s">
        <v>547</v>
      </c>
      <c r="AS296" s="3" t="str">
        <f>HYPERLINK("http://exon.niaid.nih.gov/transcriptome/O_fasciatus/Sup_tab1/links/PFAM\of-new-contig_153-PFAM.txt","DUF261")</f>
        <v>DUF261</v>
      </c>
      <c r="AT296" s="2" t="str">
        <f>HYPERLINK("http://pfam.wustl.edu/cgi-bin/getdesc?acc=PF03196","0.065")</f>
        <v>0.065</v>
      </c>
      <c r="AU296" s="3" t="str">
        <f>HYPERLINK("http://exon.niaid.nih.gov/transcriptome/O_fasciatus/Sup_tab1/links/SMART\of-new-contig_153-SMART.txt","ZnF_Rad18")</f>
        <v>ZnF_Rad18</v>
      </c>
      <c r="AV296" s="2" t="str">
        <f>HYPERLINK("http://smart.embl-heidelberg.de/smart/do_annotation.pl?DOMAIN=ZnF_Rad18&amp;BLAST=DUMMY","0.41")</f>
        <v>0.41</v>
      </c>
      <c r="AW296" s="3" t="s">
        <v>547</v>
      </c>
      <c r="AX296" s="2" t="s">
        <v>547</v>
      </c>
      <c r="AY296" s="3" t="s">
        <v>547</v>
      </c>
      <c r="AZ296" s="2" t="s">
        <v>547</v>
      </c>
    </row>
    <row r="297" spans="1:52" ht="11.25">
      <c r="A297" t="str">
        <f>HYPERLINK("http://exon.niaid.nih.gov/transcriptome/O_fasciatus/Sup_tab1/links/of-new\of-new-contig_270.txt","of-new-contig_270")</f>
        <v>of-new-contig_270</v>
      </c>
      <c r="B297" t="str">
        <f>HYPERLINK("http://exon.niaid.nih.gov/transcriptome/O_fasciatus/Sup_tab1/links/of-new\of-new-5-64-64-asb-270.txt","Contig-270")</f>
        <v>Contig-270</v>
      </c>
      <c r="C297" t="str">
        <f>HYPERLINK("http://exon.niaid.nih.gov/transcriptome/O_fasciatus/Sup_tab1/links/of-new\of-new-5-64-64-270-CLU.txt","Contig270")</f>
        <v>Contig270</v>
      </c>
      <c r="D297">
        <v>1</v>
      </c>
      <c r="E297">
        <v>295</v>
      </c>
      <c r="F297" t="str">
        <f>HYPERLINK("http://exon.niaid.nih.gov/transcriptome/O_fasciatus/Sup_tab1/links/of-new\of-new-5-64-64-270-qual.txt","61.1")</f>
        <v>61.1</v>
      </c>
      <c r="G297" t="s">
        <v>541</v>
      </c>
      <c r="H297">
        <v>80</v>
      </c>
      <c r="I297">
        <v>276</v>
      </c>
      <c r="J297">
        <v>270</v>
      </c>
      <c r="K297" t="s">
        <v>1348</v>
      </c>
      <c r="L297">
        <v>276</v>
      </c>
      <c r="M297" s="3" t="str">
        <f>HYPERLINK("http://exon.niaid.nih.gov/transcriptome/O_fasciatus/Sup_tab1/links/NR\of-new-contig_270-NR.txt","hypothetical protein [Plasmodium falciparum 3D7]")</f>
        <v>hypothetical protein [Plasmodium falciparum 3D7]</v>
      </c>
      <c r="N297" s="2" t="str">
        <f>HYPERLINK("http://www.ncbi.nlm.nih.gov/sutils/blink.cgi?pid=16805294","0.64")</f>
        <v>0.64</v>
      </c>
      <c r="O297" t="s">
        <v>95</v>
      </c>
      <c r="P297">
        <v>68</v>
      </c>
      <c r="Q297">
        <v>806</v>
      </c>
      <c r="R297">
        <v>38</v>
      </c>
      <c r="S297">
        <v>8</v>
      </c>
      <c r="T297">
        <v>655</v>
      </c>
      <c r="U297">
        <v>98</v>
      </c>
      <c r="V297">
        <v>1</v>
      </c>
      <c r="W297" t="s">
        <v>1412</v>
      </c>
      <c r="X297" t="s">
        <v>648</v>
      </c>
      <c r="Y297" t="s">
        <v>96</v>
      </c>
      <c r="Z297" s="4" t="s">
        <v>1025</v>
      </c>
      <c r="AA297" t="s">
        <v>1015</v>
      </c>
      <c r="AB297" s="3" t="s">
        <v>547</v>
      </c>
      <c r="AC297" s="2" t="s">
        <v>547</v>
      </c>
      <c r="AD297" s="4" t="s">
        <v>547</v>
      </c>
      <c r="AE297" t="s">
        <v>547</v>
      </c>
      <c r="AF297" t="s">
        <v>547</v>
      </c>
      <c r="AG297" s="4" t="s">
        <v>547</v>
      </c>
      <c r="AH297" t="s">
        <v>547</v>
      </c>
      <c r="AI297" t="s">
        <v>547</v>
      </c>
      <c r="AJ297" s="4" t="s">
        <v>547</v>
      </c>
      <c r="AK297" t="s">
        <v>547</v>
      </c>
      <c r="AL297" t="s">
        <v>547</v>
      </c>
      <c r="AM297" s="3" t="str">
        <f>HYPERLINK("http://exon.niaid.nih.gov/transcriptome/O_fasciatus/Sup_tab1/links/KOG\of-new-contig_270-KOG.txt","3-hydroxyacyl-CoA dehydrogenase")</f>
        <v>3-hydroxyacyl-CoA dehydrogenase</v>
      </c>
      <c r="AN297" s="2" t="str">
        <f>HYPERLINK("http://www.ncbi.nlm.nih.gov/COG/new/shokog.cgi?KOG2304","0.016")</f>
        <v>0.016</v>
      </c>
      <c r="AO297" t="s">
        <v>1469</v>
      </c>
      <c r="AP297" s="3" t="str">
        <f>HYPERLINK("http://exon.niaid.nih.gov/transcriptome/O_fasciatus/Sup_tab1/links/CDD\of-new-contig_270-CDD.txt","FadB")</f>
        <v>FadB</v>
      </c>
      <c r="AQ297" s="2" t="str">
        <f>HYPERLINK("http://www.ncbi.nlm.nih.gov/Structure/cdd/cddsrv.cgi?uid=COG1250&amp;version=v4.0","0.033")</f>
        <v>0.033</v>
      </c>
      <c r="AR297" t="s">
        <v>97</v>
      </c>
      <c r="AS297" s="3" t="str">
        <f>HYPERLINK("http://exon.niaid.nih.gov/transcriptome/O_fasciatus/Sup_tab1/links/PFAM\of-new-contig_270-PFAM.txt","3HCDH")</f>
        <v>3HCDH</v>
      </c>
      <c r="AT297" s="2" t="str">
        <f>HYPERLINK("http://pfam.wustl.edu/cgi-bin/getdesc?acc=PF00725","0.020")</f>
        <v>0.020</v>
      </c>
      <c r="AU297" s="3" t="str">
        <f>HYPERLINK("http://exon.niaid.nih.gov/transcriptome/O_fasciatus/Sup_tab1/links/SMART\of-new-contig_270-SMART.txt","PSN")</f>
        <v>PSN</v>
      </c>
      <c r="AV297" s="2" t="str">
        <f>HYPERLINK("http://smart.embl-heidelberg.de/smart/do_annotation.pl?DOMAIN=PSN&amp;BLAST=DUMMY","0.44")</f>
        <v>0.44</v>
      </c>
      <c r="AW297" s="3" t="s">
        <v>547</v>
      </c>
      <c r="AX297" s="2" t="s">
        <v>547</v>
      </c>
      <c r="AY297" s="3" t="s">
        <v>547</v>
      </c>
      <c r="AZ297" s="2" t="s">
        <v>547</v>
      </c>
    </row>
    <row r="298" spans="1:52" ht="11.25">
      <c r="A298" t="str">
        <f>HYPERLINK("http://exon.niaid.nih.gov/transcriptome/O_fasciatus/Sup_tab1/links/of-new\of-new-contig_254.txt","of-new-contig_254")</f>
        <v>of-new-contig_254</v>
      </c>
      <c r="B298" t="str">
        <f>HYPERLINK("http://exon.niaid.nih.gov/transcriptome/O_fasciatus/Sup_tab1/links/of-new\of-new-5-64-64-asb-254.txt","Contig-254")</f>
        <v>Contig-254</v>
      </c>
      <c r="C298" t="str">
        <f>HYPERLINK("http://exon.niaid.nih.gov/transcriptome/O_fasciatus/Sup_tab1/links/of-new\of-new-5-64-64-254-CLU.txt","Contig254")</f>
        <v>Contig254</v>
      </c>
      <c r="D298">
        <v>1</v>
      </c>
      <c r="E298">
        <v>274</v>
      </c>
      <c r="F298" t="str">
        <f>HYPERLINK("http://exon.niaid.nih.gov/transcriptome/O_fasciatus/Sup_tab1/links/of-new\of-new-5-64-64-254-qual.txt","61.3")</f>
        <v>61.3</v>
      </c>
      <c r="G298" t="s">
        <v>541</v>
      </c>
      <c r="H298">
        <v>62</v>
      </c>
      <c r="I298">
        <v>255</v>
      </c>
      <c r="J298">
        <v>254</v>
      </c>
      <c r="K298" t="s">
        <v>1332</v>
      </c>
      <c r="L298">
        <v>255</v>
      </c>
      <c r="N298" s="2" t="s">
        <v>547</v>
      </c>
      <c r="O298" t="s">
        <v>547</v>
      </c>
      <c r="P298" t="s">
        <v>547</v>
      </c>
      <c r="Q298" t="s">
        <v>547</v>
      </c>
      <c r="R298" t="s">
        <v>547</v>
      </c>
      <c r="S298" t="s">
        <v>547</v>
      </c>
      <c r="T298" t="s">
        <v>547</v>
      </c>
      <c r="U298" t="s">
        <v>547</v>
      </c>
      <c r="V298" t="s">
        <v>547</v>
      </c>
      <c r="W298" t="s">
        <v>547</v>
      </c>
      <c r="X298" t="s">
        <v>547</v>
      </c>
      <c r="Y298" t="s">
        <v>547</v>
      </c>
      <c r="Z298" s="4" t="s">
        <v>1025</v>
      </c>
      <c r="AA298" t="s">
        <v>1015</v>
      </c>
      <c r="AB298" s="3" t="s">
        <v>547</v>
      </c>
      <c r="AC298" s="2" t="s">
        <v>547</v>
      </c>
      <c r="AD298" s="4" t="s">
        <v>547</v>
      </c>
      <c r="AE298" t="s">
        <v>547</v>
      </c>
      <c r="AF298" t="s">
        <v>547</v>
      </c>
      <c r="AG298" s="4" t="s">
        <v>547</v>
      </c>
      <c r="AH298" t="s">
        <v>547</v>
      </c>
      <c r="AI298" t="s">
        <v>547</v>
      </c>
      <c r="AJ298" s="4" t="s">
        <v>547</v>
      </c>
      <c r="AK298" t="s">
        <v>547</v>
      </c>
      <c r="AL298" t="s">
        <v>547</v>
      </c>
      <c r="AM298" s="3" t="str">
        <f>HYPERLINK("http://exon.niaid.nih.gov/transcriptome/O_fasciatus/Sup_tab1/links/KOG\of-new-contig_254-KOG.txt","Predicted membrane proteins, contain hemolysin III domain")</f>
        <v>Predicted membrane proteins, contain hemolysin III domain</v>
      </c>
      <c r="AN298" s="2" t="str">
        <f>HYPERLINK("http://www.ncbi.nlm.nih.gov/COG/new/shokog.cgi?KOG0748","0.31")</f>
        <v>0.31</v>
      </c>
      <c r="AO298" t="s">
        <v>418</v>
      </c>
      <c r="AP298" s="3" t="str">
        <f>HYPERLINK("http://exon.niaid.nih.gov/transcriptome/O_fasciatus/Sup_tab1/links/CDD\of-new-contig_254-CDD.txt","ATP-synt_A")</f>
        <v>ATP-synt_A</v>
      </c>
      <c r="AQ298" s="2" t="str">
        <f>HYPERLINK("http://www.ncbi.nlm.nih.gov/Structure/cdd/cddsrv.cgi?uid=pfam00119&amp;version=v4.0","0.56")</f>
        <v>0.56</v>
      </c>
      <c r="AR298" t="s">
        <v>419</v>
      </c>
      <c r="AS298" s="3" t="str">
        <f>HYPERLINK("http://exon.niaid.nih.gov/transcriptome/O_fasciatus/Sup_tab1/links/PFAM\of-new-contig_254-PFAM.txt","EcsB")</f>
        <v>EcsB</v>
      </c>
      <c r="AT298" s="2" t="str">
        <f>HYPERLINK("http://pfam.wustl.edu/cgi-bin/getdesc?acc=PF05975","6E-005")</f>
        <v>6E-005</v>
      </c>
      <c r="AU298" s="3" t="str">
        <f>HYPERLINK("http://exon.niaid.nih.gov/transcriptome/O_fasciatus/Sup_tab1/links/SMART\of-new-contig_254-SMART.txt","NRF")</f>
        <v>NRF</v>
      </c>
      <c r="AV298" s="2" t="str">
        <f>HYPERLINK("http://smart.embl-heidelberg.de/smart/do_annotation.pl?DOMAIN=NRF&amp;BLAST=DUMMY","0.18")</f>
        <v>0.18</v>
      </c>
      <c r="AW298" s="3" t="s">
        <v>547</v>
      </c>
      <c r="AX298" s="2" t="s">
        <v>547</v>
      </c>
      <c r="AY298" s="3" t="s">
        <v>547</v>
      </c>
      <c r="AZ298" s="2" t="s">
        <v>547</v>
      </c>
    </row>
    <row r="299" spans="1:52" ht="11.25">
      <c r="A299" t="str">
        <f>HYPERLINK("http://exon.niaid.nih.gov/transcriptome/O_fasciatus/Sup_tab1/links/of-new\of-new-contig_247.txt","of-new-contig_247")</f>
        <v>of-new-contig_247</v>
      </c>
      <c r="B299" t="str">
        <f>HYPERLINK("http://exon.niaid.nih.gov/transcriptome/O_fasciatus/Sup_tab1/links/of-new\of-new-5-64-64-asb-247.txt","Contig-247")</f>
        <v>Contig-247</v>
      </c>
      <c r="C299" t="str">
        <f>HYPERLINK("http://exon.niaid.nih.gov/transcriptome/O_fasciatus/Sup_tab1/links/of-new\of-new-5-64-64-247-CLU.txt","Contig247")</f>
        <v>Contig247</v>
      </c>
      <c r="D299">
        <v>1</v>
      </c>
      <c r="E299">
        <v>264</v>
      </c>
      <c r="F299" t="str">
        <f>HYPERLINK("http://exon.niaid.nih.gov/transcriptome/O_fasciatus/Sup_tab1/links/of-new\of-new-5-64-64-247-qual.txt","52.5")</f>
        <v>52.5</v>
      </c>
      <c r="G299" t="s">
        <v>541</v>
      </c>
      <c r="H299">
        <v>64.4</v>
      </c>
      <c r="I299">
        <v>245</v>
      </c>
      <c r="J299">
        <v>247</v>
      </c>
      <c r="K299" t="s">
        <v>1325</v>
      </c>
      <c r="L299">
        <v>245</v>
      </c>
      <c r="N299" s="2" t="s">
        <v>547</v>
      </c>
      <c r="O299" t="s">
        <v>547</v>
      </c>
      <c r="P299" t="s">
        <v>547</v>
      </c>
      <c r="Q299" t="s">
        <v>547</v>
      </c>
      <c r="R299" t="s">
        <v>547</v>
      </c>
      <c r="S299" t="s">
        <v>547</v>
      </c>
      <c r="T299" t="s">
        <v>547</v>
      </c>
      <c r="U299" t="s">
        <v>547</v>
      </c>
      <c r="V299" t="s">
        <v>547</v>
      </c>
      <c r="W299" t="s">
        <v>547</v>
      </c>
      <c r="X299" t="s">
        <v>547</v>
      </c>
      <c r="Y299" t="s">
        <v>547</v>
      </c>
      <c r="Z299" s="4" t="s">
        <v>1025</v>
      </c>
      <c r="AA299" t="s">
        <v>1015</v>
      </c>
      <c r="AB299" s="3" t="s">
        <v>547</v>
      </c>
      <c r="AC299" s="2" t="s">
        <v>547</v>
      </c>
      <c r="AD299" s="4" t="s">
        <v>547</v>
      </c>
      <c r="AE299" t="s">
        <v>547</v>
      </c>
      <c r="AF299" t="s">
        <v>547</v>
      </c>
      <c r="AG299" s="4" t="s">
        <v>547</v>
      </c>
      <c r="AH299" t="s">
        <v>547</v>
      </c>
      <c r="AI299" t="s">
        <v>547</v>
      </c>
      <c r="AJ299" s="4" t="s">
        <v>547</v>
      </c>
      <c r="AK299" t="s">
        <v>547</v>
      </c>
      <c r="AL299" t="s">
        <v>547</v>
      </c>
      <c r="AM299" s="3" t="str">
        <f>HYPERLINK("http://exon.niaid.nih.gov/transcriptome/O_fasciatus/Sup_tab1/links/KOG\of-new-contig_247-KOG.txt","Histone acetyltransferase SAGA, TRRAP/TRA1 component, PI-3 kinase superfamily")</f>
        <v>Histone acetyltransferase SAGA, TRRAP/TRA1 component, PI-3 kinase superfamily</v>
      </c>
      <c r="AN299" s="2" t="str">
        <f>HYPERLINK("http://www.ncbi.nlm.nih.gov/COG/new/shokog.cgi?KOG0889","0.40")</f>
        <v>0.40</v>
      </c>
      <c r="AO299" t="s">
        <v>400</v>
      </c>
      <c r="AP299" s="3" t="s">
        <v>547</v>
      </c>
      <c r="AQ299" s="2" t="s">
        <v>547</v>
      </c>
      <c r="AR299" t="s">
        <v>547</v>
      </c>
      <c r="AS299" s="3" t="str">
        <f>HYPERLINK("http://exon.niaid.nih.gov/transcriptome/O_fasciatus/Sup_tab1/links/PFAM\of-new-contig_247-PFAM.txt","P-mevalo_kinase")</f>
        <v>P-mevalo_kinase</v>
      </c>
      <c r="AT299" s="2" t="str">
        <f>HYPERLINK("http://pfam.wustl.edu/cgi-bin/getdesc?acc=PF04275","0.80")</f>
        <v>0.80</v>
      </c>
      <c r="AU299" s="3" t="s">
        <v>547</v>
      </c>
      <c r="AV299" s="2" t="s">
        <v>547</v>
      </c>
      <c r="AW299" s="3" t="s">
        <v>547</v>
      </c>
      <c r="AX299" s="2" t="s">
        <v>547</v>
      </c>
      <c r="AY299" s="3" t="s">
        <v>547</v>
      </c>
      <c r="AZ299" s="2" t="s">
        <v>547</v>
      </c>
    </row>
    <row r="300" spans="1:52" ht="11.25">
      <c r="A300" t="str">
        <f>HYPERLINK("http://exon.niaid.nih.gov/transcriptome/O_fasciatus/Sup_tab1/links/of-new\of-new-contig_151.txt","of-new-contig_151")</f>
        <v>of-new-contig_151</v>
      </c>
      <c r="B300" t="str">
        <f>HYPERLINK("http://exon.niaid.nih.gov/transcriptome/O_fasciatus/Sup_tab1/links/of-new\of-new-5-64-64-asb-151.txt","Contig-151")</f>
        <v>Contig-151</v>
      </c>
      <c r="C300" t="str">
        <f>HYPERLINK("http://exon.niaid.nih.gov/transcriptome/O_fasciatus/Sup_tab1/links/of-new\of-new-5-64-64-151-CLU.txt","Contig151")</f>
        <v>Contig151</v>
      </c>
      <c r="D300">
        <v>1</v>
      </c>
      <c r="E300">
        <v>228</v>
      </c>
      <c r="F300" t="str">
        <f>HYPERLINK("http://exon.niaid.nih.gov/transcriptome/O_fasciatus/Sup_tab1/links/of-new\of-new-5-64-64-151-qual.txt","41.5")</f>
        <v>41.5</v>
      </c>
      <c r="G300" t="s">
        <v>541</v>
      </c>
      <c r="H300">
        <v>52.2</v>
      </c>
      <c r="I300">
        <v>209</v>
      </c>
      <c r="J300">
        <v>151</v>
      </c>
      <c r="K300" t="s">
        <v>1229</v>
      </c>
      <c r="L300">
        <v>209</v>
      </c>
      <c r="M300" s="3" t="str">
        <f>HYPERLINK("http://exon.niaid.nih.gov/transcriptome/O_fasciatus/Sup_tab1/links/NR\of-new-contig_151-NR.txt","cytokeratin 8")</f>
        <v>cytokeratin 8</v>
      </c>
      <c r="N300" s="2" t="str">
        <f>HYPERLINK("http://www.ncbi.nlm.nih.gov/sutils/blink.cgi?pid=2370337","2.4")</f>
        <v>2.4</v>
      </c>
      <c r="O300" t="s">
        <v>989</v>
      </c>
      <c r="P300">
        <v>39</v>
      </c>
      <c r="Q300">
        <v>496</v>
      </c>
      <c r="R300">
        <v>46</v>
      </c>
      <c r="S300">
        <v>8</v>
      </c>
      <c r="T300">
        <v>409</v>
      </c>
      <c r="U300">
        <v>61</v>
      </c>
      <c r="V300">
        <v>1</v>
      </c>
      <c r="W300" t="s">
        <v>1412</v>
      </c>
      <c r="X300" t="s">
        <v>990</v>
      </c>
      <c r="Y300" t="s">
        <v>991</v>
      </c>
      <c r="Z300" s="4" t="s">
        <v>1025</v>
      </c>
      <c r="AA300" t="s">
        <v>1015</v>
      </c>
      <c r="AB300" s="3" t="s">
        <v>547</v>
      </c>
      <c r="AC300" s="2" t="s">
        <v>547</v>
      </c>
      <c r="AD300" s="4" t="s">
        <v>547</v>
      </c>
      <c r="AE300" t="s">
        <v>547</v>
      </c>
      <c r="AF300" t="s">
        <v>547</v>
      </c>
      <c r="AG300" s="4" t="s">
        <v>547</v>
      </c>
      <c r="AH300" t="s">
        <v>547</v>
      </c>
      <c r="AI300" t="s">
        <v>547</v>
      </c>
      <c r="AJ300" s="4" t="s">
        <v>547</v>
      </c>
      <c r="AK300" t="s">
        <v>547</v>
      </c>
      <c r="AL300" t="s">
        <v>547</v>
      </c>
      <c r="AM300" s="3" t="str">
        <f>HYPERLINK("http://exon.niaid.nih.gov/transcriptome/O_fasciatus/Sup_tab1/links/KOG\of-new-contig_151-KOG.txt","Uncharacterized conserved protein")</f>
        <v>Uncharacterized conserved protein</v>
      </c>
      <c r="AN300" s="2" t="str">
        <f>HYPERLINK("http://www.ncbi.nlm.nih.gov/COG/new/shokog.cgi?KOG2443","0.55")</f>
        <v>0.55</v>
      </c>
      <c r="AO300" t="s">
        <v>881</v>
      </c>
      <c r="AP300" s="3" t="str">
        <f>HYPERLINK("http://exon.niaid.nih.gov/transcriptome/O_fasciatus/Sup_tab1/links/CDD\of-new-contig_151-CDD.txt","COG3442")</f>
        <v>COG3442</v>
      </c>
      <c r="AQ300" s="2" t="str">
        <f>HYPERLINK("http://www.ncbi.nlm.nih.gov/Structure/cdd/cddsrv.cgi?uid=COG3442&amp;version=v4.0","0.15")</f>
        <v>0.15</v>
      </c>
      <c r="AR300" t="s">
        <v>992</v>
      </c>
      <c r="AS300" s="3" t="str">
        <f>HYPERLINK("http://exon.niaid.nih.gov/transcriptome/O_fasciatus/Sup_tab1/links/PFAM\of-new-contig_151-PFAM.txt","Orthopox_C10L")</f>
        <v>Orthopox_C10L</v>
      </c>
      <c r="AT300" s="2" t="str">
        <f>HYPERLINK("http://pfam.wustl.edu/cgi-bin/getdesc?acc=PF07020","0.008")</f>
        <v>0.008</v>
      </c>
      <c r="AU300" s="3" t="str">
        <f>HYPERLINK("http://exon.niaid.nih.gov/transcriptome/O_fasciatus/Sup_tab1/links/SMART\of-new-contig_151-SMART.txt","MYSc")</f>
        <v>MYSc</v>
      </c>
      <c r="AV300" s="2" t="str">
        <f>HYPERLINK("http://smart.embl-heidelberg.de/smart/do_annotation.pl?DOMAIN=MYSc&amp;BLAST=DUMMY","0.050")</f>
        <v>0.050</v>
      </c>
      <c r="AW300" s="3" t="s">
        <v>547</v>
      </c>
      <c r="AX300" s="2" t="s">
        <v>547</v>
      </c>
      <c r="AY300" s="3" t="s">
        <v>547</v>
      </c>
      <c r="AZ300" s="2" t="s">
        <v>547</v>
      </c>
    </row>
    <row r="301" spans="1:52" ht="11.25">
      <c r="A301" t="str">
        <f>HYPERLINK("http://exon.niaid.nih.gov/transcriptome/O_fasciatus/Sup_tab1/links/of-new\of-new-contig_302.txt","of-new-contig_302")</f>
        <v>of-new-contig_302</v>
      </c>
      <c r="B301" t="str">
        <f>HYPERLINK("http://exon.niaid.nih.gov/transcriptome/O_fasciatus/Sup_tab1/links/of-new\of-new-5-64-64-asb-302.txt","Contig-302")</f>
        <v>Contig-302</v>
      </c>
      <c r="C301" t="str">
        <f>HYPERLINK("http://exon.niaid.nih.gov/transcriptome/O_fasciatus/Sup_tab1/links/of-new\of-new-5-64-64-302-CLU.txt","Contig302")</f>
        <v>Contig302</v>
      </c>
      <c r="D301">
        <v>1</v>
      </c>
      <c r="E301">
        <v>225</v>
      </c>
      <c r="F301" t="str">
        <f>HYPERLINK("http://exon.niaid.nih.gov/transcriptome/O_fasciatus/Sup_tab1/links/of-new\of-new-5-64-64-302-qual.txt","39.4")</f>
        <v>39.4</v>
      </c>
      <c r="G301" t="s">
        <v>541</v>
      </c>
      <c r="H301">
        <v>76</v>
      </c>
      <c r="I301">
        <v>206</v>
      </c>
      <c r="J301">
        <v>302</v>
      </c>
      <c r="K301" t="s">
        <v>1380</v>
      </c>
      <c r="L301">
        <v>206</v>
      </c>
      <c r="N301" s="2" t="s">
        <v>547</v>
      </c>
      <c r="O301" t="s">
        <v>547</v>
      </c>
      <c r="P301" t="s">
        <v>547</v>
      </c>
      <c r="Q301" t="s">
        <v>547</v>
      </c>
      <c r="R301" t="s">
        <v>547</v>
      </c>
      <c r="S301" t="s">
        <v>547</v>
      </c>
      <c r="T301" t="s">
        <v>547</v>
      </c>
      <c r="U301" t="s">
        <v>547</v>
      </c>
      <c r="V301" t="s">
        <v>547</v>
      </c>
      <c r="W301" t="s">
        <v>547</v>
      </c>
      <c r="X301" t="s">
        <v>547</v>
      </c>
      <c r="Y301" t="s">
        <v>547</v>
      </c>
      <c r="Z301" s="4" t="s">
        <v>1127</v>
      </c>
      <c r="AA301" t="s">
        <v>1015</v>
      </c>
      <c r="AB301" s="3" t="s">
        <v>547</v>
      </c>
      <c r="AC301" s="2" t="s">
        <v>547</v>
      </c>
      <c r="AD301" s="4" t="s">
        <v>547</v>
      </c>
      <c r="AE301" t="s">
        <v>547</v>
      </c>
      <c r="AF301" t="s">
        <v>547</v>
      </c>
      <c r="AG301" s="4" t="s">
        <v>547</v>
      </c>
      <c r="AH301" t="s">
        <v>547</v>
      </c>
      <c r="AI301" t="s">
        <v>547</v>
      </c>
      <c r="AJ301" s="4" t="s">
        <v>547</v>
      </c>
      <c r="AK301" t="s">
        <v>547</v>
      </c>
      <c r="AL301" t="s">
        <v>547</v>
      </c>
      <c r="AM301" s="3" t="s">
        <v>547</v>
      </c>
      <c r="AN301" s="2" t="s">
        <v>547</v>
      </c>
      <c r="AO301" t="s">
        <v>547</v>
      </c>
      <c r="AP301" s="3" t="s">
        <v>547</v>
      </c>
      <c r="AQ301" s="2" t="s">
        <v>547</v>
      </c>
      <c r="AR301" t="s">
        <v>547</v>
      </c>
      <c r="AS301" s="3" t="str">
        <f>HYPERLINK("http://exon.niaid.nih.gov/transcriptome/O_fasciatus/Sup_tab1/links/PFAM\of-new-contig_302-PFAM.txt","DUF1157")</f>
        <v>DUF1157</v>
      </c>
      <c r="AT301" s="2" t="str">
        <f>HYPERLINK("http://pfam.wustl.edu/cgi-bin/getdesc?acc=PF06636","0.31")</f>
        <v>0.31</v>
      </c>
      <c r="AU301" s="3" t="str">
        <f>HYPERLINK("http://exon.niaid.nih.gov/transcriptome/O_fasciatus/Sup_tab1/links/SMART\of-new-contig_302-SMART.txt","XPGN")</f>
        <v>XPGN</v>
      </c>
      <c r="AV301" s="2" t="str">
        <f>HYPERLINK("http://smart.embl-heidelberg.de/smart/do_annotation.pl?DOMAIN=XPGN&amp;BLAST=DUMMY","0.72")</f>
        <v>0.72</v>
      </c>
      <c r="AW301" s="3" t="s">
        <v>547</v>
      </c>
      <c r="AX301" s="2" t="s">
        <v>547</v>
      </c>
      <c r="AY301" s="3" t="s">
        <v>547</v>
      </c>
      <c r="AZ301" s="2" t="s">
        <v>547</v>
      </c>
    </row>
    <row r="302" spans="1:52" ht="11.25">
      <c r="A302" t="str">
        <f>HYPERLINK("http://exon.niaid.nih.gov/transcriptome/O_fasciatus/Sup_tab1/links/of-new\of-new-contig_216.txt","of-new-contig_216")</f>
        <v>of-new-contig_216</v>
      </c>
      <c r="B302" t="str">
        <f>HYPERLINK("http://exon.niaid.nih.gov/transcriptome/O_fasciatus/Sup_tab1/links/of-new\of-new-5-64-64-asb-216.txt","Contig-216")</f>
        <v>Contig-216</v>
      </c>
      <c r="C302" t="str">
        <f>HYPERLINK("http://exon.niaid.nih.gov/transcriptome/O_fasciatus/Sup_tab1/links/of-new\of-new-5-64-64-216-CLU.txt","Contig216")</f>
        <v>Contig216</v>
      </c>
      <c r="D302">
        <v>1</v>
      </c>
      <c r="E302">
        <v>214</v>
      </c>
      <c r="F302" t="str">
        <f>HYPERLINK("http://exon.niaid.nih.gov/transcriptome/O_fasciatus/Sup_tab1/links/of-new\of-new-5-64-64-216-qual.txt","62.2")</f>
        <v>62.2</v>
      </c>
      <c r="G302" t="s">
        <v>541</v>
      </c>
      <c r="H302">
        <v>75.7</v>
      </c>
      <c r="I302">
        <v>195</v>
      </c>
      <c r="J302">
        <v>216</v>
      </c>
      <c r="K302" t="s">
        <v>1294</v>
      </c>
      <c r="L302">
        <v>195</v>
      </c>
      <c r="N302" s="2" t="s">
        <v>547</v>
      </c>
      <c r="O302" t="s">
        <v>547</v>
      </c>
      <c r="P302" t="s">
        <v>547</v>
      </c>
      <c r="Q302" t="s">
        <v>547</v>
      </c>
      <c r="R302" t="s">
        <v>547</v>
      </c>
      <c r="S302" t="s">
        <v>547</v>
      </c>
      <c r="T302" t="s">
        <v>547</v>
      </c>
      <c r="U302" t="s">
        <v>547</v>
      </c>
      <c r="V302" t="s">
        <v>547</v>
      </c>
      <c r="W302" t="s">
        <v>547</v>
      </c>
      <c r="X302" t="s">
        <v>547</v>
      </c>
      <c r="Y302" t="s">
        <v>547</v>
      </c>
      <c r="Z302" s="4" t="s">
        <v>1025</v>
      </c>
      <c r="AA302" t="s">
        <v>1015</v>
      </c>
      <c r="AB302" s="3" t="s">
        <v>547</v>
      </c>
      <c r="AC302" s="2" t="s">
        <v>547</v>
      </c>
      <c r="AD302" s="4" t="s">
        <v>547</v>
      </c>
      <c r="AE302" t="s">
        <v>547</v>
      </c>
      <c r="AF302" t="s">
        <v>547</v>
      </c>
      <c r="AG302" s="4" t="s">
        <v>547</v>
      </c>
      <c r="AH302" t="s">
        <v>547</v>
      </c>
      <c r="AI302" t="s">
        <v>547</v>
      </c>
      <c r="AJ302" s="4" t="s">
        <v>547</v>
      </c>
      <c r="AK302" t="s">
        <v>547</v>
      </c>
      <c r="AL302" t="s">
        <v>547</v>
      </c>
      <c r="AM302" s="3" t="str">
        <f>HYPERLINK("http://exon.niaid.nih.gov/transcriptome/O_fasciatus/Sup_tab1/links/KOG\of-new-contig_216-KOG.txt","Uncharacterized conserved protein")</f>
        <v>Uncharacterized conserved protein</v>
      </c>
      <c r="AN302" s="2" t="str">
        <f>HYPERLINK("http://www.ncbi.nlm.nih.gov/COG/new/shokog.cgi?KOG3444","0.80")</f>
        <v>0.80</v>
      </c>
      <c r="AO302" t="s">
        <v>881</v>
      </c>
      <c r="AP302" s="3" t="s">
        <v>547</v>
      </c>
      <c r="AQ302" s="2" t="s">
        <v>547</v>
      </c>
      <c r="AR302" t="s">
        <v>547</v>
      </c>
      <c r="AS302" s="3" t="s">
        <v>547</v>
      </c>
      <c r="AT302" s="2" t="s">
        <v>547</v>
      </c>
      <c r="AU302" s="3" t="str">
        <f>HYPERLINK("http://exon.niaid.nih.gov/transcriptome/O_fasciatus/Sup_tab1/links/SMART\of-new-contig_216-SMART.txt","EH")</f>
        <v>EH</v>
      </c>
      <c r="AV302" s="2" t="str">
        <f>HYPERLINK("http://smart.embl-heidelberg.de/smart/do_annotation.pl?DOMAIN=EH&amp;BLAST=DUMMY","0.13")</f>
        <v>0.13</v>
      </c>
      <c r="AW302" s="3" t="s">
        <v>547</v>
      </c>
      <c r="AX302" s="2" t="s">
        <v>547</v>
      </c>
      <c r="AY302" s="3" t="s">
        <v>547</v>
      </c>
      <c r="AZ302" s="2" t="s">
        <v>547</v>
      </c>
    </row>
    <row r="303" spans="1:52" ht="11.25">
      <c r="A303" t="str">
        <f>HYPERLINK("http://exon.niaid.nih.gov/transcriptome/O_fasciatus/Sup_tab1/links/of-new\of-new-contig_224.txt","of-new-contig_224")</f>
        <v>of-new-contig_224</v>
      </c>
      <c r="B303" t="str">
        <f>HYPERLINK("http://exon.niaid.nih.gov/transcriptome/O_fasciatus/Sup_tab1/links/of-new\of-new-5-64-64-asb-224.txt","Contig-224")</f>
        <v>Contig-224</v>
      </c>
      <c r="C303" t="str">
        <f>HYPERLINK("http://exon.niaid.nih.gov/transcriptome/O_fasciatus/Sup_tab1/links/of-new\of-new-5-64-64-224-CLU.txt","Contig224")</f>
        <v>Contig224</v>
      </c>
      <c r="D303">
        <v>1</v>
      </c>
      <c r="E303">
        <v>213</v>
      </c>
      <c r="F303" t="str">
        <f>HYPERLINK("http://exon.niaid.nih.gov/transcriptome/O_fasciatus/Sup_tab1/links/of-new\of-new-5-64-64-224-qual.txt","63.1")</f>
        <v>63.1</v>
      </c>
      <c r="G303" t="s">
        <v>541</v>
      </c>
      <c r="H303">
        <v>72.3</v>
      </c>
      <c r="I303">
        <v>194</v>
      </c>
      <c r="J303">
        <v>224</v>
      </c>
      <c r="K303" t="s">
        <v>1302</v>
      </c>
      <c r="L303">
        <v>194</v>
      </c>
      <c r="M303" s="3" t="str">
        <f>HYPERLINK("http://exon.niaid.nih.gov/transcriptome/O_fasciatus/Sup_tab1/links/NR\of-new-contig_224-NR.txt","PREDICTED: similar to olfactory receptor 437")</f>
        <v>PREDICTED: similar to olfactory receptor 437</v>
      </c>
      <c r="N303" s="2" t="str">
        <f>HYPERLINK("http://www.ncbi.nlm.nih.gov/sutils/blink.cgi?pid=76615959","5.4")</f>
        <v>5.4</v>
      </c>
      <c r="O303" t="s">
        <v>233</v>
      </c>
      <c r="P303">
        <v>47</v>
      </c>
      <c r="Q303">
        <v>501</v>
      </c>
      <c r="R303">
        <v>34</v>
      </c>
      <c r="S303">
        <v>9</v>
      </c>
      <c r="T303">
        <v>418</v>
      </c>
      <c r="U303">
        <v>18</v>
      </c>
      <c r="V303">
        <v>1</v>
      </c>
      <c r="W303" t="s">
        <v>1412</v>
      </c>
      <c r="X303" t="s">
        <v>655</v>
      </c>
      <c r="Y303" t="s">
        <v>234</v>
      </c>
      <c r="Z303" s="4" t="s">
        <v>1025</v>
      </c>
      <c r="AA303" t="s">
        <v>1015</v>
      </c>
      <c r="AB303" s="3" t="s">
        <v>547</v>
      </c>
      <c r="AC303" s="2" t="s">
        <v>547</v>
      </c>
      <c r="AD303" s="4" t="s">
        <v>547</v>
      </c>
      <c r="AE303" t="s">
        <v>547</v>
      </c>
      <c r="AF303" t="s">
        <v>547</v>
      </c>
      <c r="AG303" s="4" t="s">
        <v>547</v>
      </c>
      <c r="AH303" t="s">
        <v>547</v>
      </c>
      <c r="AI303" t="s">
        <v>547</v>
      </c>
      <c r="AJ303" s="4" t="s">
        <v>547</v>
      </c>
      <c r="AK303" t="s">
        <v>547</v>
      </c>
      <c r="AL303" t="s">
        <v>547</v>
      </c>
      <c r="AM303" s="3" t="str">
        <f>HYPERLINK("http://exon.niaid.nih.gov/transcriptome/O_fasciatus/Sup_tab1/links/KOG\of-new-contig_224-KOG.txt","Endosomal membrane proteins, EMP70")</f>
        <v>Endosomal membrane proteins, EMP70</v>
      </c>
      <c r="AN303" s="2" t="str">
        <f>HYPERLINK("http://www.ncbi.nlm.nih.gov/COG/new/shokog.cgi?KOG1278","0.90")</f>
        <v>0.90</v>
      </c>
      <c r="AO303" t="s">
        <v>300</v>
      </c>
      <c r="AP303" s="3" t="s">
        <v>547</v>
      </c>
      <c r="AQ303" s="2" t="s">
        <v>547</v>
      </c>
      <c r="AR303" t="s">
        <v>547</v>
      </c>
      <c r="AS303" s="3" t="str">
        <f>HYPERLINK("http://exon.niaid.nih.gov/transcriptome/O_fasciatus/Sup_tab1/links/PFAM\of-new-contig_224-PFAM.txt","Fum_red_TM")</f>
        <v>Fum_red_TM</v>
      </c>
      <c r="AT303" s="2" t="str">
        <f>HYPERLINK("http://pfam.wustl.edu/cgi-bin/getdesc?acc=PF02967","0.89")</f>
        <v>0.89</v>
      </c>
      <c r="AU303" s="3" t="s">
        <v>547</v>
      </c>
      <c r="AV303" s="2" t="s">
        <v>547</v>
      </c>
      <c r="AW303" s="3" t="s">
        <v>547</v>
      </c>
      <c r="AX303" s="2" t="s">
        <v>547</v>
      </c>
      <c r="AY303" s="3" t="s">
        <v>547</v>
      </c>
      <c r="AZ303" s="2" t="s">
        <v>547</v>
      </c>
    </row>
    <row r="304" spans="1:52" ht="11.25">
      <c r="A304" t="str">
        <f>HYPERLINK("http://exon.niaid.nih.gov/transcriptome/O_fasciatus/Sup_tab1/links/of-new\of-new-contig_221.txt","of-new-contig_221")</f>
        <v>of-new-contig_221</v>
      </c>
      <c r="B304" t="str">
        <f>HYPERLINK("http://exon.niaid.nih.gov/transcriptome/O_fasciatus/Sup_tab1/links/of-new\of-new-5-64-64-asb-221.txt","Contig-221")</f>
        <v>Contig-221</v>
      </c>
      <c r="C304" t="str">
        <f>HYPERLINK("http://exon.niaid.nih.gov/transcriptome/O_fasciatus/Sup_tab1/links/of-new\of-new-5-64-64-221-CLU.txt","Contig221")</f>
        <v>Contig221</v>
      </c>
      <c r="D304">
        <v>1</v>
      </c>
      <c r="E304">
        <v>196</v>
      </c>
      <c r="F304" t="str">
        <f>HYPERLINK("http://exon.niaid.nih.gov/transcriptome/O_fasciatus/Sup_tab1/links/of-new\of-new-5-64-64-221-qual.txt","57.1")</f>
        <v>57.1</v>
      </c>
      <c r="G304" t="s">
        <v>541</v>
      </c>
      <c r="H304">
        <v>75.5</v>
      </c>
      <c r="I304">
        <v>177</v>
      </c>
      <c r="J304">
        <v>221</v>
      </c>
      <c r="K304" t="s">
        <v>1299</v>
      </c>
      <c r="L304">
        <v>177</v>
      </c>
      <c r="N304" s="2" t="s">
        <v>547</v>
      </c>
      <c r="O304" t="s">
        <v>547</v>
      </c>
      <c r="P304" t="s">
        <v>547</v>
      </c>
      <c r="Q304" t="s">
        <v>547</v>
      </c>
      <c r="R304" t="s">
        <v>547</v>
      </c>
      <c r="S304" t="s">
        <v>547</v>
      </c>
      <c r="T304" t="s">
        <v>547</v>
      </c>
      <c r="U304" t="s">
        <v>547</v>
      </c>
      <c r="V304" t="s">
        <v>547</v>
      </c>
      <c r="W304" t="s">
        <v>547</v>
      </c>
      <c r="X304" t="s">
        <v>547</v>
      </c>
      <c r="Y304" t="s">
        <v>547</v>
      </c>
      <c r="Z304" s="4" t="s">
        <v>1025</v>
      </c>
      <c r="AA304" t="s">
        <v>1015</v>
      </c>
      <c r="AB304" s="3" t="s">
        <v>547</v>
      </c>
      <c r="AC304" s="2" t="s">
        <v>547</v>
      </c>
      <c r="AD304" s="4" t="s">
        <v>547</v>
      </c>
      <c r="AE304" t="s">
        <v>547</v>
      </c>
      <c r="AF304" t="s">
        <v>547</v>
      </c>
      <c r="AG304" s="4" t="s">
        <v>547</v>
      </c>
      <c r="AH304" t="s">
        <v>547</v>
      </c>
      <c r="AI304" t="s">
        <v>547</v>
      </c>
      <c r="AJ304" s="4" t="s">
        <v>547</v>
      </c>
      <c r="AK304" t="s">
        <v>547</v>
      </c>
      <c r="AL304" t="s">
        <v>547</v>
      </c>
      <c r="AM304" s="3" t="str">
        <f>HYPERLINK("http://exon.niaid.nih.gov/transcriptome/O_fasciatus/Sup_tab1/links/KOG\of-new-contig_221-KOG.txt","Cullins")</f>
        <v>Cullins</v>
      </c>
      <c r="AN304" s="2" t="str">
        <f>HYPERLINK("http://www.ncbi.nlm.nih.gov/COG/new/shokog.cgi?KOG2166","0.64")</f>
        <v>0.64</v>
      </c>
      <c r="AO304" t="s">
        <v>504</v>
      </c>
      <c r="AP304" s="3" t="str">
        <f>HYPERLINK("http://exon.niaid.nih.gov/transcriptome/O_fasciatus/Sup_tab1/links/CDD\of-new-contig_221-CDD.txt","DUF990")</f>
        <v>DUF990</v>
      </c>
      <c r="AQ304" s="2" t="str">
        <f>HYPERLINK("http://www.ncbi.nlm.nih.gov/Structure/cdd/cddsrv.cgi?uid=pfam06182&amp;version=v4.0","0.98")</f>
        <v>0.98</v>
      </c>
      <c r="AR304" t="s">
        <v>224</v>
      </c>
      <c r="AS304" s="3" t="str">
        <f>HYPERLINK("http://exon.niaid.nih.gov/transcriptome/O_fasciatus/Sup_tab1/links/PFAM\of-new-contig_221-PFAM.txt","DUF990")</f>
        <v>DUF990</v>
      </c>
      <c r="AT304" s="2" t="str">
        <f>HYPERLINK("http://pfam.wustl.edu/cgi-bin/getdesc?acc=PF06182","0.50")</f>
        <v>0.50</v>
      </c>
      <c r="AU304" s="3" t="s">
        <v>547</v>
      </c>
      <c r="AV304" s="2" t="s">
        <v>547</v>
      </c>
      <c r="AW304" s="3" t="s">
        <v>547</v>
      </c>
      <c r="AX304" s="2" t="s">
        <v>547</v>
      </c>
      <c r="AY304" s="3" t="s">
        <v>547</v>
      </c>
      <c r="AZ304" s="2" t="s">
        <v>547</v>
      </c>
    </row>
    <row r="305" spans="1:52" ht="11.25">
      <c r="A305" t="str">
        <f>HYPERLINK("http://exon.niaid.nih.gov/transcriptome/O_fasciatus/Sup_tab1/links/of-new\of-new-contig_155.txt","of-new-contig_155")</f>
        <v>of-new-contig_155</v>
      </c>
      <c r="B305" t="str">
        <f>HYPERLINK("http://exon.niaid.nih.gov/transcriptome/O_fasciatus/Sup_tab1/links/of-new\of-new-5-64-64-asb-155.txt","Contig-155")</f>
        <v>Contig-155</v>
      </c>
      <c r="C305" t="str">
        <f>HYPERLINK("http://exon.niaid.nih.gov/transcriptome/O_fasciatus/Sup_tab1/links/of-new\of-new-5-64-64-155-CLU.txt","Contig155")</f>
        <v>Contig155</v>
      </c>
      <c r="D305">
        <v>1</v>
      </c>
      <c r="E305">
        <v>195</v>
      </c>
      <c r="F305" t="str">
        <f>HYPERLINK("http://exon.niaid.nih.gov/transcriptome/O_fasciatus/Sup_tab1/links/of-new\of-new-5-64-64-155-qual.txt","43.4")</f>
        <v>43.4</v>
      </c>
      <c r="G305" t="s">
        <v>541</v>
      </c>
      <c r="H305">
        <v>77.9</v>
      </c>
      <c r="I305">
        <v>176</v>
      </c>
      <c r="J305">
        <v>155</v>
      </c>
      <c r="K305" t="s">
        <v>1233</v>
      </c>
      <c r="L305">
        <v>176</v>
      </c>
      <c r="N305" s="2" t="s">
        <v>547</v>
      </c>
      <c r="O305" t="s">
        <v>547</v>
      </c>
      <c r="P305" t="s">
        <v>547</v>
      </c>
      <c r="Q305" t="s">
        <v>547</v>
      </c>
      <c r="R305" t="s">
        <v>547</v>
      </c>
      <c r="S305" t="s">
        <v>547</v>
      </c>
      <c r="T305" t="s">
        <v>547</v>
      </c>
      <c r="U305" t="s">
        <v>547</v>
      </c>
      <c r="V305" t="s">
        <v>547</v>
      </c>
      <c r="W305" t="s">
        <v>547</v>
      </c>
      <c r="X305" t="s">
        <v>547</v>
      </c>
      <c r="Y305" t="s">
        <v>547</v>
      </c>
      <c r="Z305" s="4" t="s">
        <v>1025</v>
      </c>
      <c r="AA305" t="s">
        <v>1015</v>
      </c>
      <c r="AB305" s="3" t="s">
        <v>547</v>
      </c>
      <c r="AC305" s="2" t="s">
        <v>547</v>
      </c>
      <c r="AD305" s="4" t="s">
        <v>547</v>
      </c>
      <c r="AE305" t="s">
        <v>547</v>
      </c>
      <c r="AF305" t="s">
        <v>547</v>
      </c>
      <c r="AG305" s="4" t="s">
        <v>547</v>
      </c>
      <c r="AH305" t="s">
        <v>547</v>
      </c>
      <c r="AI305" t="s">
        <v>547</v>
      </c>
      <c r="AJ305" s="4" t="s">
        <v>547</v>
      </c>
      <c r="AK305" t="s">
        <v>547</v>
      </c>
      <c r="AL305" t="s">
        <v>547</v>
      </c>
      <c r="AM305" s="3" t="s">
        <v>547</v>
      </c>
      <c r="AN305" s="2" t="s">
        <v>547</v>
      </c>
      <c r="AO305" t="s">
        <v>547</v>
      </c>
      <c r="AP305" s="3" t="str">
        <f>HYPERLINK("http://exon.niaid.nih.gov/transcriptome/O_fasciatus/Sup_tab1/links/CDD\of-new-contig_155-CDD.txt","Aph-1")</f>
        <v>Aph-1</v>
      </c>
      <c r="AQ305" s="2" t="str">
        <f>HYPERLINK("http://www.ncbi.nlm.nih.gov/Structure/cdd/cddsrv.cgi?uid=pfam06105&amp;version=v4.0","0.33")</f>
        <v>0.33</v>
      </c>
      <c r="AR305" t="s">
        <v>458</v>
      </c>
      <c r="AS305" s="3" t="str">
        <f>HYPERLINK("http://exon.niaid.nih.gov/transcriptome/O_fasciatus/Sup_tab1/links/PFAM\of-new-contig_155-PFAM.txt","Aph-1")</f>
        <v>Aph-1</v>
      </c>
      <c r="AT305" s="2" t="str">
        <f>HYPERLINK("http://pfam.wustl.edu/cgi-bin/getdesc?acc=PF06105","0.17")</f>
        <v>0.17</v>
      </c>
      <c r="AU305" s="3" t="str">
        <f>HYPERLINK("http://exon.niaid.nih.gov/transcriptome/O_fasciatus/Sup_tab1/links/SMART\of-new-contig_155-SMART.txt","CPDc")</f>
        <v>CPDc</v>
      </c>
      <c r="AV305" s="2" t="str">
        <f>HYPERLINK("http://smart.embl-heidelberg.de/smart/do_annotation.pl?DOMAIN=CPDc&amp;BLAST=DUMMY","0.25")</f>
        <v>0.25</v>
      </c>
      <c r="AW305" s="3" t="s">
        <v>547</v>
      </c>
      <c r="AX305" s="2" t="s">
        <v>547</v>
      </c>
      <c r="AY305" s="3" t="s">
        <v>547</v>
      </c>
      <c r="AZ305" s="2" t="s">
        <v>547</v>
      </c>
    </row>
    <row r="306" spans="1:52" ht="11.25">
      <c r="A306" t="str">
        <f>HYPERLINK("http://exon.niaid.nih.gov/transcriptome/O_fasciatus/Sup_tab1/links/of-new\of-new-contig_243.txt","of-new-contig_243")</f>
        <v>of-new-contig_243</v>
      </c>
      <c r="B306" t="str">
        <f>HYPERLINK("http://exon.niaid.nih.gov/transcriptome/O_fasciatus/Sup_tab1/links/of-new\of-new-5-64-64-asb-243.txt","Contig-243")</f>
        <v>Contig-243</v>
      </c>
      <c r="C306" t="str">
        <f>HYPERLINK("http://exon.niaid.nih.gov/transcriptome/O_fasciatus/Sup_tab1/links/of-new\of-new-5-64-64-243-CLU.txt","Contig243")</f>
        <v>Contig243</v>
      </c>
      <c r="D306">
        <v>1</v>
      </c>
      <c r="E306">
        <v>194</v>
      </c>
      <c r="F306" t="str">
        <f>HYPERLINK("http://exon.niaid.nih.gov/transcriptome/O_fasciatus/Sup_tab1/links/of-new\of-new-5-64-64-243-qual.txt","59.9")</f>
        <v>59.9</v>
      </c>
      <c r="G306" t="s">
        <v>541</v>
      </c>
      <c r="H306">
        <v>81.4</v>
      </c>
      <c r="I306">
        <v>175</v>
      </c>
      <c r="J306">
        <v>243</v>
      </c>
      <c r="K306" t="s">
        <v>1321</v>
      </c>
      <c r="L306">
        <v>175</v>
      </c>
      <c r="N306" s="2" t="s">
        <v>547</v>
      </c>
      <c r="O306" t="s">
        <v>547</v>
      </c>
      <c r="P306" t="s">
        <v>547</v>
      </c>
      <c r="Q306" t="s">
        <v>547</v>
      </c>
      <c r="R306" t="s">
        <v>547</v>
      </c>
      <c r="S306" t="s">
        <v>547</v>
      </c>
      <c r="T306" t="s">
        <v>547</v>
      </c>
      <c r="U306" t="s">
        <v>547</v>
      </c>
      <c r="V306" t="s">
        <v>547</v>
      </c>
      <c r="W306" t="s">
        <v>547</v>
      </c>
      <c r="X306" t="s">
        <v>547</v>
      </c>
      <c r="Y306" t="s">
        <v>547</v>
      </c>
      <c r="Z306" s="4" t="s">
        <v>1025</v>
      </c>
      <c r="AA306" t="s">
        <v>1015</v>
      </c>
      <c r="AB306" s="3" t="s">
        <v>547</v>
      </c>
      <c r="AC306" s="2" t="s">
        <v>547</v>
      </c>
      <c r="AD306" s="4" t="s">
        <v>547</v>
      </c>
      <c r="AE306" t="s">
        <v>547</v>
      </c>
      <c r="AF306" t="s">
        <v>547</v>
      </c>
      <c r="AG306" s="4" t="s">
        <v>547</v>
      </c>
      <c r="AH306" t="s">
        <v>547</v>
      </c>
      <c r="AI306" t="s">
        <v>547</v>
      </c>
      <c r="AJ306" s="4" t="s">
        <v>547</v>
      </c>
      <c r="AK306" t="s">
        <v>547</v>
      </c>
      <c r="AL306" t="s">
        <v>547</v>
      </c>
      <c r="AM306" s="3" t="s">
        <v>547</v>
      </c>
      <c r="AN306" s="2" t="s">
        <v>547</v>
      </c>
      <c r="AO306" t="s">
        <v>547</v>
      </c>
      <c r="AP306" s="3" t="str">
        <f>HYPERLINK("http://exon.niaid.nih.gov/transcriptome/O_fasciatus/Sup_tab1/links/CDD\of-new-contig_243-CDD.txt","DsbA_DsbA")</f>
        <v>DsbA_DsbA</v>
      </c>
      <c r="AQ306" s="2" t="str">
        <f>HYPERLINK("http://www.ncbi.nlm.nih.gov/Structure/cdd/cddsrv.cgi?uid=cd03019&amp;version=v4.0","0.46")</f>
        <v>0.46</v>
      </c>
      <c r="AR306" t="s">
        <v>364</v>
      </c>
      <c r="AS306" s="3" t="str">
        <f>HYPERLINK("http://exon.niaid.nih.gov/transcriptome/O_fasciatus/Sup_tab1/links/PFAM\of-new-contig_243-PFAM.txt","Herpes_BMRF2")</f>
        <v>Herpes_BMRF2</v>
      </c>
      <c r="AT306" s="2" t="str">
        <f>HYPERLINK("http://pfam.wustl.edu/cgi-bin/getdesc?acc=PF04633","0.63")</f>
        <v>0.63</v>
      </c>
      <c r="AU306" s="3" t="s">
        <v>547</v>
      </c>
      <c r="AV306" s="2" t="s">
        <v>547</v>
      </c>
      <c r="AW306" s="3" t="s">
        <v>547</v>
      </c>
      <c r="AX306" s="2" t="s">
        <v>547</v>
      </c>
      <c r="AY306" s="3" t="s">
        <v>547</v>
      </c>
      <c r="AZ306" s="2" t="s">
        <v>547</v>
      </c>
    </row>
    <row r="307" spans="1:52" ht="11.25">
      <c r="A307" t="str">
        <f>HYPERLINK("http://exon.niaid.nih.gov/transcriptome/O_fasciatus/Sup_tab1/links/of-new\of-new-contig_257.txt","of-new-contig_257")</f>
        <v>of-new-contig_257</v>
      </c>
      <c r="B307" t="str">
        <f>HYPERLINK("http://exon.niaid.nih.gov/transcriptome/O_fasciatus/Sup_tab1/links/of-new\of-new-5-64-64-asb-257.txt","Contig-257")</f>
        <v>Contig-257</v>
      </c>
      <c r="C307" t="str">
        <f>HYPERLINK("http://exon.niaid.nih.gov/transcriptome/O_fasciatus/Sup_tab1/links/of-new\of-new-5-64-64-257-CLU.txt","Contig257")</f>
        <v>Contig257</v>
      </c>
      <c r="D307">
        <v>1</v>
      </c>
      <c r="E307">
        <v>192</v>
      </c>
      <c r="F307" t="str">
        <f>HYPERLINK("http://exon.niaid.nih.gov/transcriptome/O_fasciatus/Sup_tab1/links/of-new\of-new-5-64-64-257-qual.txt","60.6")</f>
        <v>60.6</v>
      </c>
      <c r="G307" t="s">
        <v>541</v>
      </c>
      <c r="H307">
        <v>74.5</v>
      </c>
      <c r="I307">
        <v>173</v>
      </c>
      <c r="J307">
        <v>257</v>
      </c>
      <c r="K307" t="s">
        <v>1335</v>
      </c>
      <c r="L307">
        <v>173</v>
      </c>
      <c r="M307" s="3" t="str">
        <f>HYPERLINK("http://exon.niaid.nih.gov/transcriptome/O_fasciatus/Sup_tab1/links/NR\of-new-contig_257-NR.txt","DNA-directed RNA polymerase subunit beta [Theileria parva strain Muguga]")</f>
        <v>DNA-directed RNA polymerase subunit beta [Theileria parva strain Muguga]</v>
      </c>
      <c r="N307" s="2" t="str">
        <f>HYPERLINK("http://www.ncbi.nlm.nih.gov/sutils/blink.cgi?pid=71025985","7.1")</f>
        <v>7.1</v>
      </c>
      <c r="O307" t="s">
        <v>427</v>
      </c>
      <c r="P307">
        <v>46</v>
      </c>
      <c r="Q307">
        <v>1005</v>
      </c>
      <c r="R307">
        <v>34</v>
      </c>
      <c r="S307">
        <v>5</v>
      </c>
      <c r="T307">
        <v>825</v>
      </c>
      <c r="U307">
        <v>11</v>
      </c>
      <c r="V307">
        <v>1</v>
      </c>
      <c r="W307" t="s">
        <v>1412</v>
      </c>
      <c r="X307" t="s">
        <v>428</v>
      </c>
      <c r="Y307" t="s">
        <v>429</v>
      </c>
      <c r="Z307" s="4" t="s">
        <v>1025</v>
      </c>
      <c r="AA307" t="s">
        <v>1015</v>
      </c>
      <c r="AB307" s="3" t="s">
        <v>547</v>
      </c>
      <c r="AC307" s="2" t="s">
        <v>547</v>
      </c>
      <c r="AD307" s="4" t="s">
        <v>547</v>
      </c>
      <c r="AE307" t="s">
        <v>547</v>
      </c>
      <c r="AF307" t="s">
        <v>547</v>
      </c>
      <c r="AG307" s="4" t="s">
        <v>547</v>
      </c>
      <c r="AH307" t="s">
        <v>547</v>
      </c>
      <c r="AI307" t="s">
        <v>547</v>
      </c>
      <c r="AJ307" s="4" t="s">
        <v>547</v>
      </c>
      <c r="AK307" t="s">
        <v>547</v>
      </c>
      <c r="AL307" t="s">
        <v>547</v>
      </c>
      <c r="AM307" s="3" t="str">
        <f>HYPERLINK("http://exon.niaid.nih.gov/transcriptome/O_fasciatus/Sup_tab1/links/KOG\of-new-contig_257-KOG.txt","Nuclear pore complex, Nup160 component")</f>
        <v>Nuclear pore complex, Nup160 component</v>
      </c>
      <c r="AN307" s="2" t="str">
        <f>HYPERLINK("http://www.ncbi.nlm.nih.gov/COG/new/shokog.cgi?KOG4521","0.72")</f>
        <v>0.72</v>
      </c>
      <c r="AO307" t="s">
        <v>1652</v>
      </c>
      <c r="AP307" s="3" t="str">
        <f>HYPERLINK("http://exon.niaid.nih.gov/transcriptome/O_fasciatus/Sup_tab1/links/CDD\of-new-contig_257-CDD.txt","IPT")</f>
        <v>IPT</v>
      </c>
      <c r="AQ307" s="2" t="str">
        <f>HYPERLINK("http://www.ncbi.nlm.nih.gov/Structure/cdd/cddsrv.cgi?uid=pfam01745&amp;version=v4.0","0.41")</f>
        <v>0.41</v>
      </c>
      <c r="AR307" t="s">
        <v>430</v>
      </c>
      <c r="AS307" s="3" t="str">
        <f>HYPERLINK("http://exon.niaid.nih.gov/transcriptome/O_fasciatus/Sup_tab1/links/PFAM\of-new-contig_257-PFAM.txt","IPT")</f>
        <v>IPT</v>
      </c>
      <c r="AT307" s="2" t="str">
        <f>HYPERLINK("http://pfam.wustl.edu/cgi-bin/getdesc?acc=PF01745","0.21")</f>
        <v>0.21</v>
      </c>
      <c r="AU307" s="3" t="s">
        <v>547</v>
      </c>
      <c r="AV307" s="2" t="s">
        <v>547</v>
      </c>
      <c r="AW307" s="3" t="s">
        <v>547</v>
      </c>
      <c r="AX307" s="2" t="s">
        <v>547</v>
      </c>
      <c r="AY307" s="3" t="s">
        <v>547</v>
      </c>
      <c r="AZ307" s="2" t="s">
        <v>547</v>
      </c>
    </row>
    <row r="308" spans="1:52" ht="11.25">
      <c r="A308" t="str">
        <f>HYPERLINK("http://exon.niaid.nih.gov/transcriptome/O_fasciatus/Sup_tab1/links/of-new\of-new-contig_276.txt","of-new-contig_276")</f>
        <v>of-new-contig_276</v>
      </c>
      <c r="B308" t="str">
        <f>HYPERLINK("http://exon.niaid.nih.gov/transcriptome/O_fasciatus/Sup_tab1/links/of-new\of-new-5-64-64-asb-276.txt","Contig-276")</f>
        <v>Contig-276</v>
      </c>
      <c r="C308" t="str">
        <f>HYPERLINK("http://exon.niaid.nih.gov/transcriptome/O_fasciatus/Sup_tab1/links/of-new\of-new-5-64-64-276-CLU.txt","Contig276")</f>
        <v>Contig276</v>
      </c>
      <c r="D308">
        <v>1</v>
      </c>
      <c r="E308">
        <v>188</v>
      </c>
      <c r="F308" t="str">
        <f>HYPERLINK("http://exon.niaid.nih.gov/transcriptome/O_fasciatus/Sup_tab1/links/of-new\of-new-5-64-64-276-qual.txt","62.3")</f>
        <v>62.3</v>
      </c>
      <c r="G308" t="s">
        <v>541</v>
      </c>
      <c r="H308">
        <v>69.1</v>
      </c>
      <c r="I308">
        <v>169</v>
      </c>
      <c r="J308">
        <v>276</v>
      </c>
      <c r="K308" t="s">
        <v>1354</v>
      </c>
      <c r="L308">
        <v>169</v>
      </c>
      <c r="N308" s="2" t="s">
        <v>547</v>
      </c>
      <c r="O308" t="s">
        <v>547</v>
      </c>
      <c r="P308" t="s">
        <v>547</v>
      </c>
      <c r="Q308" t="s">
        <v>547</v>
      </c>
      <c r="R308" t="s">
        <v>547</v>
      </c>
      <c r="S308" t="s">
        <v>547</v>
      </c>
      <c r="T308" t="s">
        <v>547</v>
      </c>
      <c r="U308" t="s">
        <v>547</v>
      </c>
      <c r="V308" t="s">
        <v>547</v>
      </c>
      <c r="W308" t="s">
        <v>547</v>
      </c>
      <c r="X308" t="s">
        <v>547</v>
      </c>
      <c r="Y308" t="s">
        <v>547</v>
      </c>
      <c r="Z308" s="4" t="s">
        <v>1025</v>
      </c>
      <c r="AA308" t="s">
        <v>1015</v>
      </c>
      <c r="AB308" s="3" t="s">
        <v>547</v>
      </c>
      <c r="AC308" s="2" t="s">
        <v>547</v>
      </c>
      <c r="AD308" s="4" t="s">
        <v>547</v>
      </c>
      <c r="AE308" t="s">
        <v>547</v>
      </c>
      <c r="AF308" t="s">
        <v>547</v>
      </c>
      <c r="AG308" s="4" t="s">
        <v>547</v>
      </c>
      <c r="AH308" t="s">
        <v>547</v>
      </c>
      <c r="AI308" t="s">
        <v>547</v>
      </c>
      <c r="AJ308" s="4" t="s">
        <v>547</v>
      </c>
      <c r="AK308" t="s">
        <v>547</v>
      </c>
      <c r="AL308" t="s">
        <v>547</v>
      </c>
      <c r="AM308" s="3" t="s">
        <v>547</v>
      </c>
      <c r="AN308" s="2" t="s">
        <v>547</v>
      </c>
      <c r="AO308" t="s">
        <v>547</v>
      </c>
      <c r="AP308" s="3" t="s">
        <v>547</v>
      </c>
      <c r="AQ308" s="2" t="s">
        <v>547</v>
      </c>
      <c r="AR308" t="s">
        <v>547</v>
      </c>
      <c r="AS308" s="3" t="s">
        <v>547</v>
      </c>
      <c r="AT308" s="2" t="s">
        <v>547</v>
      </c>
      <c r="AU308" s="3" t="str">
        <f>HYPERLINK("http://exon.niaid.nih.gov/transcriptome/O_fasciatus/Sup_tab1/links/SMART\of-new-contig_276-SMART.txt","ANK")</f>
        <v>ANK</v>
      </c>
      <c r="AV308" s="2" t="str">
        <f>HYPERLINK("http://smart.embl-heidelberg.de/smart/do_annotation.pl?DOMAIN=ANK&amp;BLAST=DUMMY","0.60")</f>
        <v>0.60</v>
      </c>
      <c r="AW308" s="3" t="s">
        <v>547</v>
      </c>
      <c r="AX308" s="2" t="s">
        <v>547</v>
      </c>
      <c r="AY308" s="3" t="s">
        <v>547</v>
      </c>
      <c r="AZ308" s="2" t="s">
        <v>547</v>
      </c>
    </row>
    <row r="309" spans="1:52" ht="11.25">
      <c r="A309" t="str">
        <f>HYPERLINK("http://exon.niaid.nih.gov/transcriptome/O_fasciatus/Sup_tab1/links/of-new\of-new-contig_178.txt","of-new-contig_178")</f>
        <v>of-new-contig_178</v>
      </c>
      <c r="B309" t="str">
        <f>HYPERLINK("http://exon.niaid.nih.gov/transcriptome/O_fasciatus/Sup_tab1/links/of-new\of-new-5-64-64-asb-178.txt","Contig-178")</f>
        <v>Contig-178</v>
      </c>
      <c r="C309" t="str">
        <f>HYPERLINK("http://exon.niaid.nih.gov/transcriptome/O_fasciatus/Sup_tab1/links/of-new\of-new-5-64-64-178-CLU.txt","Contig178")</f>
        <v>Contig178</v>
      </c>
      <c r="D309">
        <v>1</v>
      </c>
      <c r="E309">
        <v>187</v>
      </c>
      <c r="F309" t="str">
        <f>HYPERLINK("http://exon.niaid.nih.gov/transcriptome/O_fasciatus/Sup_tab1/links/of-new\of-new-5-64-64-178-qual.txt","55.8")</f>
        <v>55.8</v>
      </c>
      <c r="G309" t="s">
        <v>541</v>
      </c>
      <c r="H309">
        <v>54</v>
      </c>
      <c r="I309">
        <v>168</v>
      </c>
      <c r="J309">
        <v>178</v>
      </c>
      <c r="K309" t="s">
        <v>1256</v>
      </c>
      <c r="L309">
        <v>168</v>
      </c>
      <c r="M309" s="3" t="str">
        <f>HYPERLINK("http://exon.niaid.nih.gov/transcriptome/O_fasciatus/Sup_tab1/links/NR\of-new-contig_178-NR.txt","conserved hypothetical protein containing TPR repeat [Thiobacillus denitrificans")</f>
        <v>conserved hypothetical protein containing TPR repeat [Thiobacillus denitrificans</v>
      </c>
      <c r="N309" s="2" t="str">
        <f>HYPERLINK("http://www.ncbi.nlm.nih.gov/sutils/blink.cgi?pid=74316784","5.6")</f>
        <v>5.6</v>
      </c>
      <c r="O309" t="s">
        <v>193</v>
      </c>
      <c r="P309">
        <v>43</v>
      </c>
      <c r="Q309">
        <v>369</v>
      </c>
      <c r="R309">
        <v>48</v>
      </c>
      <c r="S309">
        <v>12</v>
      </c>
      <c r="T309">
        <v>39</v>
      </c>
      <c r="U309">
        <v>13</v>
      </c>
      <c r="V309">
        <v>1</v>
      </c>
      <c r="W309" t="s">
        <v>1412</v>
      </c>
      <c r="X309" t="s">
        <v>194</v>
      </c>
      <c r="Y309" t="s">
        <v>195</v>
      </c>
      <c r="Z309" s="4" t="s">
        <v>1025</v>
      </c>
      <c r="AA309" t="s">
        <v>1015</v>
      </c>
      <c r="AB309" s="3" t="s">
        <v>547</v>
      </c>
      <c r="AC309" s="2" t="s">
        <v>547</v>
      </c>
      <c r="AD309" s="4" t="s">
        <v>547</v>
      </c>
      <c r="AE309" t="s">
        <v>547</v>
      </c>
      <c r="AF309" t="s">
        <v>547</v>
      </c>
      <c r="AG309" s="4" t="s">
        <v>547</v>
      </c>
      <c r="AH309" t="s">
        <v>547</v>
      </c>
      <c r="AI309" t="s">
        <v>547</v>
      </c>
      <c r="AJ309" s="4" t="s">
        <v>547</v>
      </c>
      <c r="AK309" t="s">
        <v>547</v>
      </c>
      <c r="AL309" t="s">
        <v>547</v>
      </c>
      <c r="AM309" s="3" t="s">
        <v>547</v>
      </c>
      <c r="AN309" s="2" t="s">
        <v>547</v>
      </c>
      <c r="AO309" t="s">
        <v>547</v>
      </c>
      <c r="AP309" s="3" t="s">
        <v>547</v>
      </c>
      <c r="AQ309" s="2" t="s">
        <v>547</v>
      </c>
      <c r="AR309" t="s">
        <v>547</v>
      </c>
      <c r="AS309" s="3" t="s">
        <v>547</v>
      </c>
      <c r="AT309" s="2" t="s">
        <v>547</v>
      </c>
      <c r="AU309" s="3" t="str">
        <f>HYPERLINK("http://exon.niaid.nih.gov/transcriptome/O_fasciatus/Sup_tab1/links/SMART\of-new-contig_178-SMART.txt","CSF2")</f>
        <v>CSF2</v>
      </c>
      <c r="AV309" s="2" t="str">
        <f>HYPERLINK("http://smart.embl-heidelberg.de/smart/do_annotation.pl?DOMAIN=CSF2&amp;BLAST=DUMMY","0.36")</f>
        <v>0.36</v>
      </c>
      <c r="AW309" s="3" t="s">
        <v>547</v>
      </c>
      <c r="AX309" s="2" t="s">
        <v>547</v>
      </c>
      <c r="AY309" s="3" t="s">
        <v>547</v>
      </c>
      <c r="AZ309" s="2" t="s">
        <v>547</v>
      </c>
    </row>
    <row r="310" spans="1:52" ht="11.25">
      <c r="A310" t="str">
        <f>HYPERLINK("http://exon.niaid.nih.gov/transcriptome/O_fasciatus/Sup_tab1/links/of-new\of-new-contig_281.txt","of-new-contig_281")</f>
        <v>of-new-contig_281</v>
      </c>
      <c r="B310" t="str">
        <f>HYPERLINK("http://exon.niaid.nih.gov/transcriptome/O_fasciatus/Sup_tab1/links/of-new\of-new-5-64-64-asb-281.txt","Contig-281")</f>
        <v>Contig-281</v>
      </c>
      <c r="C310" t="str">
        <f>HYPERLINK("http://exon.niaid.nih.gov/transcriptome/O_fasciatus/Sup_tab1/links/of-new\of-new-5-64-64-281-CLU.txt","Contig281")</f>
        <v>Contig281</v>
      </c>
      <c r="D310">
        <v>1</v>
      </c>
      <c r="E310">
        <v>183</v>
      </c>
      <c r="F310" t="str">
        <f>HYPERLINK("http://exon.niaid.nih.gov/transcriptome/O_fasciatus/Sup_tab1/links/of-new\of-new-5-64-64-281-qual.txt","57.9")</f>
        <v>57.9</v>
      </c>
      <c r="G310" t="s">
        <v>541</v>
      </c>
      <c r="H310">
        <v>82.5</v>
      </c>
      <c r="I310">
        <v>164</v>
      </c>
      <c r="J310">
        <v>281</v>
      </c>
      <c r="K310" t="s">
        <v>1359</v>
      </c>
      <c r="L310">
        <v>164</v>
      </c>
      <c r="M310" s="3" t="str">
        <f>HYPERLINK("http://exon.niaid.nih.gov/transcriptome/O_fasciatus/Sup_tab1/links/NR\of-new-contig_281-NR.txt","NADH dehydrogenase subunit 11 [Naegleria gruberi]")</f>
        <v>NADH dehydrogenase subunit 11 [Naegleria gruberi]</v>
      </c>
      <c r="N310" s="2" t="str">
        <f>HYPERLINK("http://www.ncbi.nlm.nih.gov/sutils/blink.cgi?pid=11466185","7.2")</f>
        <v>7.2</v>
      </c>
      <c r="O310" t="s">
        <v>119</v>
      </c>
      <c r="P310">
        <v>45</v>
      </c>
      <c r="Q310">
        <v>695</v>
      </c>
      <c r="R310">
        <v>33</v>
      </c>
      <c r="S310">
        <v>6</v>
      </c>
      <c r="T310">
        <v>591</v>
      </c>
      <c r="U310">
        <v>10</v>
      </c>
      <c r="V310">
        <v>1</v>
      </c>
      <c r="W310" t="s">
        <v>1412</v>
      </c>
      <c r="X310" t="s">
        <v>120</v>
      </c>
      <c r="Y310" t="s">
        <v>121</v>
      </c>
      <c r="Z310" s="4" t="s">
        <v>1025</v>
      </c>
      <c r="AA310" t="s">
        <v>1015</v>
      </c>
      <c r="AB310" s="3" t="s">
        <v>547</v>
      </c>
      <c r="AC310" s="2" t="s">
        <v>547</v>
      </c>
      <c r="AD310" s="4" t="s">
        <v>547</v>
      </c>
      <c r="AE310" t="s">
        <v>547</v>
      </c>
      <c r="AF310" t="s">
        <v>547</v>
      </c>
      <c r="AG310" s="4" t="s">
        <v>547</v>
      </c>
      <c r="AH310" t="s">
        <v>547</v>
      </c>
      <c r="AI310" t="s">
        <v>547</v>
      </c>
      <c r="AJ310" s="4" t="s">
        <v>547</v>
      </c>
      <c r="AK310" t="s">
        <v>547</v>
      </c>
      <c r="AL310" t="s">
        <v>547</v>
      </c>
      <c r="AM310" s="3" t="s">
        <v>547</v>
      </c>
      <c r="AN310" s="2" t="s">
        <v>547</v>
      </c>
      <c r="AO310" t="s">
        <v>547</v>
      </c>
      <c r="AP310" s="3" t="str">
        <f>HYPERLINK("http://exon.niaid.nih.gov/transcriptome/O_fasciatus/Sup_tab1/links/CDD\of-new-contig_281-CDD.txt","Cyclin_C")</f>
        <v>Cyclin_C</v>
      </c>
      <c r="AQ310" s="2" t="str">
        <f>HYPERLINK("http://www.ncbi.nlm.nih.gov/Structure/cdd/cddsrv.cgi?uid=pfam02984&amp;version=v4.0","0.73")</f>
        <v>0.73</v>
      </c>
      <c r="AR310" t="s">
        <v>122</v>
      </c>
      <c r="AS310" s="3" t="str">
        <f>HYPERLINK("http://exon.niaid.nih.gov/transcriptome/O_fasciatus/Sup_tab1/links/PFAM\of-new-contig_281-PFAM.txt","Cyclin_C")</f>
        <v>Cyclin_C</v>
      </c>
      <c r="AT310" s="2" t="str">
        <f>HYPERLINK("http://pfam.wustl.edu/cgi-bin/getdesc?acc=PF02984","0.36")</f>
        <v>0.36</v>
      </c>
      <c r="AU310" s="3" t="s">
        <v>547</v>
      </c>
      <c r="AV310" s="2" t="s">
        <v>547</v>
      </c>
      <c r="AW310" s="3" t="s">
        <v>547</v>
      </c>
      <c r="AX310" s="2" t="s">
        <v>547</v>
      </c>
      <c r="AY310" s="3" t="s">
        <v>547</v>
      </c>
      <c r="AZ310" s="2" t="s">
        <v>547</v>
      </c>
    </row>
    <row r="311" spans="1:52" ht="11.25">
      <c r="A311" t="str">
        <f>HYPERLINK("http://exon.niaid.nih.gov/transcriptome/O_fasciatus/Sup_tab1/links/of-new\of-new-contig_282.txt","of-new-contig_282")</f>
        <v>of-new-contig_282</v>
      </c>
      <c r="B311" t="str">
        <f>HYPERLINK("http://exon.niaid.nih.gov/transcriptome/O_fasciatus/Sup_tab1/links/of-new\of-new-5-64-64-asb-282.txt","Contig-282")</f>
        <v>Contig-282</v>
      </c>
      <c r="C311" t="str">
        <f>HYPERLINK("http://exon.niaid.nih.gov/transcriptome/O_fasciatus/Sup_tab1/links/of-new\of-new-5-64-64-282-CLU.txt","Contig282")</f>
        <v>Contig282</v>
      </c>
      <c r="D311">
        <v>1</v>
      </c>
      <c r="E311">
        <v>179</v>
      </c>
      <c r="F311" t="str">
        <f>HYPERLINK("http://exon.niaid.nih.gov/transcriptome/O_fasciatus/Sup_tab1/links/of-new\of-new-5-64-64-282-qual.txt","60.5")</f>
        <v>60.5</v>
      </c>
      <c r="G311" t="s">
        <v>541</v>
      </c>
      <c r="H311">
        <v>70.9</v>
      </c>
      <c r="I311">
        <v>160</v>
      </c>
      <c r="J311">
        <v>282</v>
      </c>
      <c r="K311" t="s">
        <v>1360</v>
      </c>
      <c r="L311">
        <v>160</v>
      </c>
      <c r="N311" s="2" t="s">
        <v>547</v>
      </c>
      <c r="O311" t="s">
        <v>547</v>
      </c>
      <c r="P311" t="s">
        <v>547</v>
      </c>
      <c r="Q311" t="s">
        <v>547</v>
      </c>
      <c r="R311" t="s">
        <v>547</v>
      </c>
      <c r="S311" t="s">
        <v>547</v>
      </c>
      <c r="T311" t="s">
        <v>547</v>
      </c>
      <c r="U311" t="s">
        <v>547</v>
      </c>
      <c r="V311" t="s">
        <v>547</v>
      </c>
      <c r="W311" t="s">
        <v>547</v>
      </c>
      <c r="X311" t="s">
        <v>547</v>
      </c>
      <c r="Y311" t="s">
        <v>547</v>
      </c>
      <c r="Z311" s="4" t="s">
        <v>1025</v>
      </c>
      <c r="AA311" t="s">
        <v>1015</v>
      </c>
      <c r="AB311" s="3" t="s">
        <v>547</v>
      </c>
      <c r="AC311" s="2" t="s">
        <v>547</v>
      </c>
      <c r="AD311" s="4" t="s">
        <v>547</v>
      </c>
      <c r="AE311" t="s">
        <v>547</v>
      </c>
      <c r="AF311" t="s">
        <v>547</v>
      </c>
      <c r="AG311" s="4" t="s">
        <v>547</v>
      </c>
      <c r="AH311" t="s">
        <v>547</v>
      </c>
      <c r="AI311" t="s">
        <v>547</v>
      </c>
      <c r="AJ311" s="4" t="s">
        <v>547</v>
      </c>
      <c r="AK311" t="s">
        <v>547</v>
      </c>
      <c r="AL311" t="s">
        <v>547</v>
      </c>
      <c r="AM311" s="3" t="str">
        <f>HYPERLINK("http://exon.niaid.nih.gov/transcriptome/O_fasciatus/Sup_tab1/links/KOG\of-new-contig_282-KOG.txt","Nonsense-mediated mRNA decay 2 protein")</f>
        <v>Nonsense-mediated mRNA decay 2 protein</v>
      </c>
      <c r="AN311" s="2" t="str">
        <f>HYPERLINK("http://www.ncbi.nlm.nih.gov/COG/new/shokog.cgi?KOG2051","0.38")</f>
        <v>0.38</v>
      </c>
      <c r="AO311" t="s">
        <v>1677</v>
      </c>
      <c r="AP311" s="3" t="s">
        <v>547</v>
      </c>
      <c r="AQ311" s="2" t="s">
        <v>547</v>
      </c>
      <c r="AR311" t="s">
        <v>547</v>
      </c>
      <c r="AS311" s="3" t="str">
        <f>HYPERLINK("http://exon.niaid.nih.gov/transcriptome/O_fasciatus/Sup_tab1/links/PFAM\of-new-contig_282-PFAM.txt","CLN3")</f>
        <v>CLN3</v>
      </c>
      <c r="AT311" s="2" t="str">
        <f>HYPERLINK("http://pfam.wustl.edu/cgi-bin/getdesc?acc=PF02487","0.74")</f>
        <v>0.74</v>
      </c>
      <c r="AU311" s="3" t="str">
        <f>HYPERLINK("http://exon.niaid.nih.gov/transcriptome/O_fasciatus/Sup_tab1/links/SMART\of-new-contig_282-SMART.txt","LRR_CC")</f>
        <v>LRR_CC</v>
      </c>
      <c r="AV311" s="2" t="str">
        <f>HYPERLINK("http://smart.embl-heidelberg.de/smart/do_annotation.pl?DOMAIN=LRR_CC&amp;BLAST=DUMMY","0.90")</f>
        <v>0.90</v>
      </c>
      <c r="AW311" s="3" t="s">
        <v>547</v>
      </c>
      <c r="AX311" s="2" t="s">
        <v>547</v>
      </c>
      <c r="AY311" s="3" t="s">
        <v>547</v>
      </c>
      <c r="AZ311" s="2" t="s">
        <v>547</v>
      </c>
    </row>
    <row r="312" spans="1:52" ht="11.25">
      <c r="A312" t="str">
        <f>HYPERLINK("http://exon.niaid.nih.gov/transcriptome/O_fasciatus/Sup_tab1/links/of-new\of-new-contig_273.txt","of-new-contig_273")</f>
        <v>of-new-contig_273</v>
      </c>
      <c r="B312" t="str">
        <f>HYPERLINK("http://exon.niaid.nih.gov/transcriptome/O_fasciatus/Sup_tab1/links/of-new\of-new-5-64-64-asb-273.txt","Contig-273")</f>
        <v>Contig-273</v>
      </c>
      <c r="C312" t="str">
        <f>HYPERLINK("http://exon.niaid.nih.gov/transcriptome/O_fasciatus/Sup_tab1/links/of-new\of-new-5-64-64-273-CLU.txt","Contig273")</f>
        <v>Contig273</v>
      </c>
      <c r="D312">
        <v>1</v>
      </c>
      <c r="E312">
        <v>178</v>
      </c>
      <c r="F312" t="str">
        <f>HYPERLINK("http://exon.niaid.nih.gov/transcriptome/O_fasciatus/Sup_tab1/links/of-new\of-new-5-64-64-273-qual.txt","61.4")</f>
        <v>61.4</v>
      </c>
      <c r="G312" t="s">
        <v>541</v>
      </c>
      <c r="H312">
        <v>66.9</v>
      </c>
      <c r="I312">
        <v>159</v>
      </c>
      <c r="J312">
        <v>273</v>
      </c>
      <c r="K312" t="s">
        <v>1351</v>
      </c>
      <c r="L312">
        <v>159</v>
      </c>
      <c r="N312" s="2" t="s">
        <v>547</v>
      </c>
      <c r="O312" t="s">
        <v>547</v>
      </c>
      <c r="P312" t="s">
        <v>547</v>
      </c>
      <c r="Q312" t="s">
        <v>547</v>
      </c>
      <c r="R312" t="s">
        <v>547</v>
      </c>
      <c r="S312" t="s">
        <v>547</v>
      </c>
      <c r="T312" t="s">
        <v>547</v>
      </c>
      <c r="U312" t="s">
        <v>547</v>
      </c>
      <c r="V312" t="s">
        <v>547</v>
      </c>
      <c r="W312" t="s">
        <v>547</v>
      </c>
      <c r="X312" t="s">
        <v>547</v>
      </c>
      <c r="Y312" t="s">
        <v>547</v>
      </c>
      <c r="Z312" s="4" t="s">
        <v>1025</v>
      </c>
      <c r="AA312" t="s">
        <v>1015</v>
      </c>
      <c r="AB312" s="3" t="s">
        <v>547</v>
      </c>
      <c r="AC312" s="2" t="s">
        <v>547</v>
      </c>
      <c r="AD312" s="4" t="s">
        <v>547</v>
      </c>
      <c r="AE312" t="s">
        <v>547</v>
      </c>
      <c r="AF312" t="s">
        <v>547</v>
      </c>
      <c r="AG312" s="4" t="s">
        <v>547</v>
      </c>
      <c r="AH312" t="s">
        <v>547</v>
      </c>
      <c r="AI312" t="s">
        <v>547</v>
      </c>
      <c r="AJ312" s="4" t="s">
        <v>547</v>
      </c>
      <c r="AK312" t="s">
        <v>547</v>
      </c>
      <c r="AL312" t="s">
        <v>547</v>
      </c>
      <c r="AM312" s="3" t="str">
        <f>HYPERLINK("http://exon.niaid.nih.gov/transcriptome/O_fasciatus/Sup_tab1/links/KOG\of-new-contig_273-KOG.txt","Thyroid hormone receptor-associated protein complex, subunit TRAP230")</f>
        <v>Thyroid hormone receptor-associated protein complex, subunit TRAP230</v>
      </c>
      <c r="AN312" s="2" t="str">
        <f>HYPERLINK("http://www.ncbi.nlm.nih.gov/COG/new/shokog.cgi?KOG3598","0.79")</f>
        <v>0.79</v>
      </c>
      <c r="AO312" t="s">
        <v>1640</v>
      </c>
      <c r="AP312" s="3" t="str">
        <f>HYPERLINK("http://exon.niaid.nih.gov/transcriptome/O_fasciatus/Sup_tab1/links/CDD\of-new-contig_273-CDD.txt","SFT2")</f>
        <v>SFT2</v>
      </c>
      <c r="AQ312" s="2" t="str">
        <f>HYPERLINK("http://www.ncbi.nlm.nih.gov/Structure/cdd/cddsrv.cgi?uid=COG5102&amp;version=v4.0","0.53")</f>
        <v>0.53</v>
      </c>
      <c r="AR312" t="s">
        <v>102</v>
      </c>
      <c r="AS312" s="3" t="str">
        <f>HYPERLINK("http://exon.niaid.nih.gov/transcriptome/O_fasciatus/Sup_tab1/links/PFAM\of-new-contig_273-PFAM.txt","DUF650")</f>
        <v>DUF650</v>
      </c>
      <c r="AT312" s="2" t="str">
        <f>HYPERLINK("http://pfam.wustl.edu/cgi-bin/getdesc?acc=PF04894","0.35")</f>
        <v>0.35</v>
      </c>
      <c r="AU312" s="3" t="s">
        <v>547</v>
      </c>
      <c r="AV312" s="2" t="s">
        <v>547</v>
      </c>
      <c r="AW312" s="3" t="s">
        <v>547</v>
      </c>
      <c r="AX312" s="2" t="s">
        <v>547</v>
      </c>
      <c r="AY312" s="3" t="s">
        <v>547</v>
      </c>
      <c r="AZ312" s="2" t="s">
        <v>547</v>
      </c>
    </row>
    <row r="313" spans="1:52" ht="11.25">
      <c r="A313" t="str">
        <f>HYPERLINK("http://exon.niaid.nih.gov/transcriptome/O_fasciatus/Sup_tab1/links/of-new\of-new-contig_220.txt","of-new-contig_220")</f>
        <v>of-new-contig_220</v>
      </c>
      <c r="B313" t="str">
        <f>HYPERLINK("http://exon.niaid.nih.gov/transcriptome/O_fasciatus/Sup_tab1/links/of-new\of-new-5-64-64-asb-220.txt","Contig-220")</f>
        <v>Contig-220</v>
      </c>
      <c r="C313" t="str">
        <f>HYPERLINK("http://exon.niaid.nih.gov/transcriptome/O_fasciatus/Sup_tab1/links/of-new\of-new-5-64-64-220-CLU.txt","Contig220")</f>
        <v>Contig220</v>
      </c>
      <c r="D313">
        <v>1</v>
      </c>
      <c r="E313">
        <v>172</v>
      </c>
      <c r="F313" t="str">
        <f>HYPERLINK("http://exon.niaid.nih.gov/transcriptome/O_fasciatus/Sup_tab1/links/of-new\of-new-5-64-64-220-qual.txt","55.6")</f>
        <v>55.6</v>
      </c>
      <c r="G313" t="s">
        <v>541</v>
      </c>
      <c r="H313">
        <v>61</v>
      </c>
      <c r="I313">
        <v>153</v>
      </c>
      <c r="J313">
        <v>220</v>
      </c>
      <c r="K313" t="s">
        <v>1298</v>
      </c>
      <c r="L313">
        <v>153</v>
      </c>
      <c r="N313" s="2" t="s">
        <v>547</v>
      </c>
      <c r="O313" t="s">
        <v>547</v>
      </c>
      <c r="P313" t="s">
        <v>547</v>
      </c>
      <c r="Q313" t="s">
        <v>547</v>
      </c>
      <c r="R313" t="s">
        <v>547</v>
      </c>
      <c r="S313" t="s">
        <v>547</v>
      </c>
      <c r="T313" t="s">
        <v>547</v>
      </c>
      <c r="U313" t="s">
        <v>547</v>
      </c>
      <c r="V313" t="s">
        <v>547</v>
      </c>
      <c r="W313" t="s">
        <v>547</v>
      </c>
      <c r="X313" t="s">
        <v>547</v>
      </c>
      <c r="Y313" t="s">
        <v>547</v>
      </c>
      <c r="Z313" s="4" t="s">
        <v>1025</v>
      </c>
      <c r="AA313" t="s">
        <v>1015</v>
      </c>
      <c r="AB313" s="3" t="s">
        <v>547</v>
      </c>
      <c r="AC313" s="2" t="s">
        <v>547</v>
      </c>
      <c r="AD313" s="4" t="s">
        <v>547</v>
      </c>
      <c r="AE313" t="s">
        <v>547</v>
      </c>
      <c r="AF313" t="s">
        <v>547</v>
      </c>
      <c r="AG313" s="4" t="s">
        <v>547</v>
      </c>
      <c r="AH313" t="s">
        <v>547</v>
      </c>
      <c r="AI313" t="s">
        <v>547</v>
      </c>
      <c r="AJ313" s="4" t="s">
        <v>547</v>
      </c>
      <c r="AK313" t="s">
        <v>547</v>
      </c>
      <c r="AL313" t="s">
        <v>547</v>
      </c>
      <c r="AM313" s="3" t="s">
        <v>547</v>
      </c>
      <c r="AN313" s="2" t="s">
        <v>547</v>
      </c>
      <c r="AO313" t="s">
        <v>547</v>
      </c>
      <c r="AP313" s="3" t="s">
        <v>547</v>
      </c>
      <c r="AQ313" s="2" t="s">
        <v>547</v>
      </c>
      <c r="AR313" t="s">
        <v>547</v>
      </c>
      <c r="AS313" s="3" t="s">
        <v>547</v>
      </c>
      <c r="AT313" s="2" t="s">
        <v>547</v>
      </c>
      <c r="AU313" s="3" t="str">
        <f>HYPERLINK("http://exon.niaid.nih.gov/transcriptome/O_fasciatus/Sup_tab1/links/SMART\of-new-contig_220-SMART.txt","GRAM")</f>
        <v>GRAM</v>
      </c>
      <c r="AV313" s="2" t="str">
        <f>HYPERLINK("http://smart.embl-heidelberg.de/smart/do_annotation.pl?DOMAIN=GRAM&amp;BLAST=DUMMY","0.44")</f>
        <v>0.44</v>
      </c>
      <c r="AW313" s="3" t="s">
        <v>547</v>
      </c>
      <c r="AX313" s="2" t="s">
        <v>547</v>
      </c>
      <c r="AY313" s="3" t="s">
        <v>547</v>
      </c>
      <c r="AZ313" s="2" t="s">
        <v>547</v>
      </c>
    </row>
    <row r="314" spans="1:52" ht="11.25">
      <c r="A314" t="str">
        <f>HYPERLINK("http://exon.niaid.nih.gov/transcriptome/O_fasciatus/Sup_tab1/links/of-new\of-new-contig_232.txt","of-new-contig_232")</f>
        <v>of-new-contig_232</v>
      </c>
      <c r="B314" t="str">
        <f>HYPERLINK("http://exon.niaid.nih.gov/transcriptome/O_fasciatus/Sup_tab1/links/of-new\of-new-5-64-64-asb-232.txt","Contig-232")</f>
        <v>Contig-232</v>
      </c>
      <c r="C314" t="str">
        <f>HYPERLINK("http://exon.niaid.nih.gov/transcriptome/O_fasciatus/Sup_tab1/links/of-new\of-new-5-64-64-232-CLU.txt","Contig232")</f>
        <v>Contig232</v>
      </c>
      <c r="D314">
        <v>1</v>
      </c>
      <c r="E314">
        <v>158</v>
      </c>
      <c r="F314" t="str">
        <f>HYPERLINK("http://exon.niaid.nih.gov/transcriptome/O_fasciatus/Sup_tab1/links/of-new\of-new-5-64-64-232-qual.txt","61.5")</f>
        <v>61.5</v>
      </c>
      <c r="G314" t="s">
        <v>541</v>
      </c>
      <c r="H314">
        <v>69.6</v>
      </c>
      <c r="I314">
        <v>139</v>
      </c>
      <c r="J314">
        <v>232</v>
      </c>
      <c r="K314" t="s">
        <v>1310</v>
      </c>
      <c r="L314">
        <v>139</v>
      </c>
      <c r="N314" s="2" t="s">
        <v>547</v>
      </c>
      <c r="O314" t="s">
        <v>547</v>
      </c>
      <c r="P314" t="s">
        <v>547</v>
      </c>
      <c r="Q314" t="s">
        <v>547</v>
      </c>
      <c r="R314" t="s">
        <v>547</v>
      </c>
      <c r="S314" t="s">
        <v>547</v>
      </c>
      <c r="T314" t="s">
        <v>547</v>
      </c>
      <c r="U314" t="s">
        <v>547</v>
      </c>
      <c r="V314" t="s">
        <v>547</v>
      </c>
      <c r="W314" t="s">
        <v>547</v>
      </c>
      <c r="X314" t="s">
        <v>547</v>
      </c>
      <c r="Y314" t="s">
        <v>547</v>
      </c>
      <c r="Z314" s="4" t="s">
        <v>1051</v>
      </c>
      <c r="AA314" t="s">
        <v>1015</v>
      </c>
      <c r="AB314" s="3" t="s">
        <v>547</v>
      </c>
      <c r="AC314" s="2" t="s">
        <v>547</v>
      </c>
      <c r="AD314" s="4" t="s">
        <v>547</v>
      </c>
      <c r="AE314" t="s">
        <v>547</v>
      </c>
      <c r="AF314" t="s">
        <v>547</v>
      </c>
      <c r="AG314" s="4" t="s">
        <v>547</v>
      </c>
      <c r="AH314" t="s">
        <v>547</v>
      </c>
      <c r="AI314" t="s">
        <v>547</v>
      </c>
      <c r="AJ314" s="4" t="s">
        <v>547</v>
      </c>
      <c r="AK314" t="s">
        <v>547</v>
      </c>
      <c r="AL314" t="s">
        <v>547</v>
      </c>
      <c r="AM314" s="3" t="str">
        <f>HYPERLINK("http://exon.niaid.nih.gov/transcriptome/O_fasciatus/Sup_tab1/links/KOG\of-new-contig_232-KOG.txt","Copper transporter")</f>
        <v>Copper transporter</v>
      </c>
      <c r="AN314" s="2" t="str">
        <f>HYPERLINK("http://www.ncbi.nlm.nih.gov/COG/new/shokog.cgi?KOG3386","0.52")</f>
        <v>0.52</v>
      </c>
      <c r="AO314" t="s">
        <v>1518</v>
      </c>
      <c r="AP314" s="3" t="str">
        <f>HYPERLINK("http://exon.niaid.nih.gov/transcriptome/O_fasciatus/Sup_tab1/links/CDD\of-new-contig_232-CDD.txt","COG4906")</f>
        <v>COG4906</v>
      </c>
      <c r="AQ314" s="2" t="str">
        <f>HYPERLINK("http://www.ncbi.nlm.nih.gov/Structure/cdd/cddsrv.cgi?uid=COG4906&amp;version=v4.0","0.15")</f>
        <v>0.15</v>
      </c>
      <c r="AR314" t="s">
        <v>256</v>
      </c>
      <c r="AS314" s="3" t="str">
        <f>HYPERLINK("http://exon.niaid.nih.gov/transcriptome/O_fasciatus/Sup_tab1/links/PFAM\of-new-contig_232-PFAM.txt","Skb1")</f>
        <v>Skb1</v>
      </c>
      <c r="AT314" s="2" t="str">
        <f>HYPERLINK("http://pfam.wustl.edu/cgi-bin/getdesc?acc=PF05185","0.69")</f>
        <v>0.69</v>
      </c>
      <c r="AU314" s="3" t="str">
        <f>HYPERLINK("http://exon.niaid.nih.gov/transcriptome/O_fasciatus/Sup_tab1/links/SMART\of-new-contig_232-SMART.txt","CLb")</f>
        <v>CLb</v>
      </c>
      <c r="AV314" s="2" t="str">
        <f>HYPERLINK("http://smart.embl-heidelberg.de/smart/do_annotation.pl?DOMAIN=CLb&amp;BLAST=DUMMY","0.16")</f>
        <v>0.16</v>
      </c>
      <c r="AW314" s="3" t="s">
        <v>547</v>
      </c>
      <c r="AX314" s="2" t="s">
        <v>547</v>
      </c>
      <c r="AY314" s="3" t="s">
        <v>547</v>
      </c>
      <c r="AZ314" s="2" t="s">
        <v>547</v>
      </c>
    </row>
    <row r="315" spans="1:52" ht="11.25">
      <c r="A315" t="str">
        <f>HYPERLINK("http://exon.niaid.nih.gov/transcriptome/O_fasciatus/Sup_tab1/links/of-new\of-new-contig_291.txt","of-new-contig_291")</f>
        <v>of-new-contig_291</v>
      </c>
      <c r="B315" t="str">
        <f>HYPERLINK("http://exon.niaid.nih.gov/transcriptome/O_fasciatus/Sup_tab1/links/of-new\of-new-5-64-64-asb-291.txt","Contig-291")</f>
        <v>Contig-291</v>
      </c>
      <c r="C315" t="str">
        <f>HYPERLINK("http://exon.niaid.nih.gov/transcriptome/O_fasciatus/Sup_tab1/links/of-new\of-new-5-64-64-291-CLU.txt","Contig291")</f>
        <v>Contig291</v>
      </c>
      <c r="D315">
        <v>1</v>
      </c>
      <c r="E315">
        <v>148</v>
      </c>
      <c r="F315" t="str">
        <f>HYPERLINK("http://exon.niaid.nih.gov/transcriptome/O_fasciatus/Sup_tab1/links/of-new\of-new-5-64-64-291-qual.txt","28.7")</f>
        <v>28.7</v>
      </c>
      <c r="G315" t="s">
        <v>541</v>
      </c>
      <c r="H315">
        <v>72.3</v>
      </c>
      <c r="I315">
        <v>129</v>
      </c>
      <c r="J315">
        <v>291</v>
      </c>
      <c r="K315" t="s">
        <v>1369</v>
      </c>
      <c r="L315">
        <v>129</v>
      </c>
      <c r="N315" s="2" t="s">
        <v>547</v>
      </c>
      <c r="O315" t="s">
        <v>547</v>
      </c>
      <c r="P315" t="s">
        <v>547</v>
      </c>
      <c r="Q315" t="s">
        <v>547</v>
      </c>
      <c r="R315" t="s">
        <v>547</v>
      </c>
      <c r="S315" t="s">
        <v>547</v>
      </c>
      <c r="T315" t="s">
        <v>547</v>
      </c>
      <c r="U315" t="s">
        <v>547</v>
      </c>
      <c r="V315" t="s">
        <v>547</v>
      </c>
      <c r="W315" t="s">
        <v>547</v>
      </c>
      <c r="X315" t="s">
        <v>547</v>
      </c>
      <c r="Y315" t="s">
        <v>547</v>
      </c>
      <c r="Z315" s="4" t="s">
        <v>1051</v>
      </c>
      <c r="AA315" t="s">
        <v>1015</v>
      </c>
      <c r="AB315" s="3" t="s">
        <v>547</v>
      </c>
      <c r="AC315" s="2" t="s">
        <v>547</v>
      </c>
      <c r="AD315" s="4" t="s">
        <v>547</v>
      </c>
      <c r="AE315" t="s">
        <v>547</v>
      </c>
      <c r="AF315" t="s">
        <v>547</v>
      </c>
      <c r="AG315" s="4" t="s">
        <v>547</v>
      </c>
      <c r="AH315" t="s">
        <v>547</v>
      </c>
      <c r="AI315" t="s">
        <v>547</v>
      </c>
      <c r="AJ315" s="4" t="s">
        <v>547</v>
      </c>
      <c r="AK315" t="s">
        <v>547</v>
      </c>
      <c r="AL315" t="s">
        <v>547</v>
      </c>
      <c r="AM315" s="3" t="str">
        <f>HYPERLINK("http://exon.niaid.nih.gov/transcriptome/O_fasciatus/Sup_tab1/links/KOG\of-new-contig_291-KOG.txt","DNA polymerase theta/eta, DEAD-box superfamily")</f>
        <v>DNA polymerase theta/eta, DEAD-box superfamily</v>
      </c>
      <c r="AN315" s="2" t="str">
        <f>HYPERLINK("http://www.ncbi.nlm.nih.gov/COG/new/shokog.cgi?KOG0950","0.70")</f>
        <v>0.70</v>
      </c>
      <c r="AO315" t="s">
        <v>1503</v>
      </c>
      <c r="AP315" s="3" t="s">
        <v>547</v>
      </c>
      <c r="AQ315" s="2" t="s">
        <v>547</v>
      </c>
      <c r="AR315" t="s">
        <v>547</v>
      </c>
      <c r="AS315" s="3" t="s">
        <v>547</v>
      </c>
      <c r="AT315" s="2" t="s">
        <v>547</v>
      </c>
      <c r="AU315" s="3" t="s">
        <v>547</v>
      </c>
      <c r="AV315" s="2" t="s">
        <v>547</v>
      </c>
      <c r="AW315" s="3" t="s">
        <v>547</v>
      </c>
      <c r="AX315" s="2" t="s">
        <v>547</v>
      </c>
      <c r="AY315" s="3" t="s">
        <v>547</v>
      </c>
      <c r="AZ315" s="2" t="s">
        <v>547</v>
      </c>
    </row>
    <row r="316" spans="1:52" ht="11.25">
      <c r="A316" t="str">
        <f>HYPERLINK("http://exon.niaid.nih.gov/transcriptome/O_fasciatus/Sup_tab1/links/of-new\of-new-contig_278.txt","of-new-contig_278")</f>
        <v>of-new-contig_278</v>
      </c>
      <c r="B316" t="str">
        <f>HYPERLINK("http://exon.niaid.nih.gov/transcriptome/O_fasciatus/Sup_tab1/links/of-new\of-new-5-64-64-asb-278.txt","Contig-278")</f>
        <v>Contig-278</v>
      </c>
      <c r="C316" t="str">
        <f>HYPERLINK("http://exon.niaid.nih.gov/transcriptome/O_fasciatus/Sup_tab1/links/of-new\of-new-5-64-64-278-CLU.txt","Contig278")</f>
        <v>Contig278</v>
      </c>
      <c r="D316">
        <v>1</v>
      </c>
      <c r="E316">
        <v>143</v>
      </c>
      <c r="F316" t="str">
        <f>HYPERLINK("http://exon.niaid.nih.gov/transcriptome/O_fasciatus/Sup_tab1/links/of-new\of-new-5-64-64-278-qual.txt","59.8")</f>
        <v>59.8</v>
      </c>
      <c r="G316" t="s">
        <v>541</v>
      </c>
      <c r="H316">
        <v>66.4</v>
      </c>
      <c r="I316">
        <v>124</v>
      </c>
      <c r="J316">
        <v>278</v>
      </c>
      <c r="K316" t="s">
        <v>1356</v>
      </c>
      <c r="L316">
        <v>124</v>
      </c>
      <c r="N316" s="2" t="s">
        <v>547</v>
      </c>
      <c r="O316" t="s">
        <v>547</v>
      </c>
      <c r="P316" t="s">
        <v>547</v>
      </c>
      <c r="Q316" t="s">
        <v>547</v>
      </c>
      <c r="R316" t="s">
        <v>547</v>
      </c>
      <c r="S316" t="s">
        <v>547</v>
      </c>
      <c r="T316" t="s">
        <v>547</v>
      </c>
      <c r="U316" t="s">
        <v>547</v>
      </c>
      <c r="V316" t="s">
        <v>547</v>
      </c>
      <c r="W316" t="s">
        <v>547</v>
      </c>
      <c r="X316" t="s">
        <v>547</v>
      </c>
      <c r="Y316" t="s">
        <v>547</v>
      </c>
      <c r="Z316" s="4" t="s">
        <v>1051</v>
      </c>
      <c r="AA316" t="s">
        <v>1015</v>
      </c>
      <c r="AB316" s="3" t="s">
        <v>547</v>
      </c>
      <c r="AC316" s="2" t="s">
        <v>547</v>
      </c>
      <c r="AD316" s="4" t="s">
        <v>547</v>
      </c>
      <c r="AE316" t="s">
        <v>547</v>
      </c>
      <c r="AF316" t="s">
        <v>547</v>
      </c>
      <c r="AG316" s="4" t="s">
        <v>547</v>
      </c>
      <c r="AH316" t="s">
        <v>547</v>
      </c>
      <c r="AI316" t="s">
        <v>547</v>
      </c>
      <c r="AJ316" s="4" t="s">
        <v>547</v>
      </c>
      <c r="AK316" t="s">
        <v>547</v>
      </c>
      <c r="AL316" t="s">
        <v>547</v>
      </c>
      <c r="AM316" s="3" t="s">
        <v>547</v>
      </c>
      <c r="AN316" s="2" t="s">
        <v>547</v>
      </c>
      <c r="AO316" t="s">
        <v>547</v>
      </c>
      <c r="AP316" s="3" t="s">
        <v>547</v>
      </c>
      <c r="AQ316" s="2" t="s">
        <v>547</v>
      </c>
      <c r="AR316" t="s">
        <v>547</v>
      </c>
      <c r="AS316" s="3" t="s">
        <v>547</v>
      </c>
      <c r="AT316" s="2" t="s">
        <v>547</v>
      </c>
      <c r="AU316" s="3" t="str">
        <f>HYPERLINK("http://exon.niaid.nih.gov/transcriptome/O_fasciatus/Sup_tab1/links/SMART\of-new-contig_278-SMART.txt","DUF2")</f>
        <v>DUF2</v>
      </c>
      <c r="AV316" s="2" t="str">
        <f>HYPERLINK("http://smart.embl-heidelberg.de/smart/do_annotation.pl?DOMAIN=DUF2&amp;BLAST=DUMMY","0.21")</f>
        <v>0.21</v>
      </c>
      <c r="AW316" s="3" t="s">
        <v>547</v>
      </c>
      <c r="AX316" s="2" t="s">
        <v>547</v>
      </c>
      <c r="AY316" s="3" t="s">
        <v>547</v>
      </c>
      <c r="AZ316" s="2" t="s">
        <v>547</v>
      </c>
    </row>
    <row r="317" spans="1:52" ht="11.25">
      <c r="A317" t="str">
        <f>HYPERLINK("http://exon.niaid.nih.gov/transcriptome/O_fasciatus/Sup_tab1/links/of-new\of-new-contig_286.txt","of-new-contig_286")</f>
        <v>of-new-contig_286</v>
      </c>
      <c r="B317" t="str">
        <f>HYPERLINK("http://exon.niaid.nih.gov/transcriptome/O_fasciatus/Sup_tab1/links/of-new\of-new-5-64-64-asb-286.txt","Contig-286")</f>
        <v>Contig-286</v>
      </c>
      <c r="C317" t="str">
        <f>HYPERLINK("http://exon.niaid.nih.gov/transcriptome/O_fasciatus/Sup_tab1/links/of-new\of-new-5-64-64-286-CLU.txt","Contig286")</f>
        <v>Contig286</v>
      </c>
      <c r="D317">
        <v>1</v>
      </c>
      <c r="E317">
        <v>141</v>
      </c>
      <c r="F317" t="str">
        <f>HYPERLINK("http://exon.niaid.nih.gov/transcriptome/O_fasciatus/Sup_tab1/links/of-new\of-new-5-64-64-286-qual.txt","54.9")</f>
        <v>54.9</v>
      </c>
      <c r="G317" t="s">
        <v>541</v>
      </c>
      <c r="H317">
        <v>62.4</v>
      </c>
      <c r="I317">
        <v>122</v>
      </c>
      <c r="J317">
        <v>286</v>
      </c>
      <c r="K317" t="s">
        <v>1364</v>
      </c>
      <c r="L317">
        <v>122</v>
      </c>
      <c r="N317" s="2" t="s">
        <v>547</v>
      </c>
      <c r="O317" t="s">
        <v>547</v>
      </c>
      <c r="P317" t="s">
        <v>547</v>
      </c>
      <c r="Q317" t="s">
        <v>547</v>
      </c>
      <c r="R317" t="s">
        <v>547</v>
      </c>
      <c r="S317" t="s">
        <v>547</v>
      </c>
      <c r="T317" t="s">
        <v>547</v>
      </c>
      <c r="U317" t="s">
        <v>547</v>
      </c>
      <c r="V317" t="s">
        <v>547</v>
      </c>
      <c r="W317" t="s">
        <v>547</v>
      </c>
      <c r="X317" t="s">
        <v>547</v>
      </c>
      <c r="Y317" t="s">
        <v>547</v>
      </c>
      <c r="Z317" s="4" t="s">
        <v>1051</v>
      </c>
      <c r="AA317" t="s">
        <v>1015</v>
      </c>
      <c r="AB317" s="3" t="s">
        <v>547</v>
      </c>
      <c r="AC317" s="2" t="s">
        <v>547</v>
      </c>
      <c r="AD317" s="4" t="s">
        <v>547</v>
      </c>
      <c r="AE317" t="s">
        <v>547</v>
      </c>
      <c r="AF317" t="s">
        <v>547</v>
      </c>
      <c r="AG317" s="4" t="s">
        <v>547</v>
      </c>
      <c r="AH317" t="s">
        <v>547</v>
      </c>
      <c r="AI317" t="s">
        <v>547</v>
      </c>
      <c r="AJ317" s="4" t="s">
        <v>547</v>
      </c>
      <c r="AK317" t="s">
        <v>547</v>
      </c>
      <c r="AL317" t="s">
        <v>547</v>
      </c>
      <c r="AM317" s="3" t="s">
        <v>547</v>
      </c>
      <c r="AN317" s="2" t="s">
        <v>547</v>
      </c>
      <c r="AO317" t="s">
        <v>547</v>
      </c>
      <c r="AP317" s="3" t="s">
        <v>547</v>
      </c>
      <c r="AQ317" s="2" t="s">
        <v>547</v>
      </c>
      <c r="AR317" t="s">
        <v>547</v>
      </c>
      <c r="AS317" s="3" t="s">
        <v>547</v>
      </c>
      <c r="AT317" s="2" t="s">
        <v>547</v>
      </c>
      <c r="AU317" s="3" t="s">
        <v>547</v>
      </c>
      <c r="AV317" s="2" t="s">
        <v>547</v>
      </c>
      <c r="AW317" s="3" t="s">
        <v>547</v>
      </c>
      <c r="AX317" s="2" t="s">
        <v>547</v>
      </c>
      <c r="AY317" s="3" t="s">
        <v>547</v>
      </c>
      <c r="AZ317" s="2" t="s">
        <v>547</v>
      </c>
    </row>
    <row r="318" spans="1:52" ht="11.25">
      <c r="A318" t="str">
        <f>HYPERLINK("http://exon.niaid.nih.gov/transcriptome/O_fasciatus/Sup_tab1/links/of-new\of-new-contig_145.txt","of-new-contig_145")</f>
        <v>of-new-contig_145</v>
      </c>
      <c r="B318" t="str">
        <f>HYPERLINK("http://exon.niaid.nih.gov/transcriptome/O_fasciatus/Sup_tab1/links/of-new\of-new-5-64-64-asb-145.txt","Contig-145")</f>
        <v>Contig-145</v>
      </c>
      <c r="C318" t="str">
        <f>HYPERLINK("http://exon.niaid.nih.gov/transcriptome/O_fasciatus/Sup_tab1/links/of-new\of-new-5-64-64-145-CLU.txt","Contig145")</f>
        <v>Contig145</v>
      </c>
      <c r="D318">
        <v>1</v>
      </c>
      <c r="E318">
        <v>130</v>
      </c>
      <c r="F318" t="str">
        <f>HYPERLINK("http://exon.niaid.nih.gov/transcriptome/O_fasciatus/Sup_tab1/links/of-new\of-new-5-64-64-145-qual.txt","41.3")</f>
        <v>41.3</v>
      </c>
      <c r="G318">
        <v>0.8</v>
      </c>
      <c r="H318">
        <v>76.2</v>
      </c>
      <c r="I318">
        <v>111</v>
      </c>
      <c r="J318">
        <v>145</v>
      </c>
      <c r="K318" t="s">
        <v>1223</v>
      </c>
      <c r="L318">
        <v>111</v>
      </c>
      <c r="N318" s="2" t="s">
        <v>547</v>
      </c>
      <c r="O318" t="s">
        <v>547</v>
      </c>
      <c r="P318" t="s">
        <v>547</v>
      </c>
      <c r="Q318" t="s">
        <v>547</v>
      </c>
      <c r="R318" t="s">
        <v>547</v>
      </c>
      <c r="S318" t="s">
        <v>547</v>
      </c>
      <c r="T318" t="s">
        <v>547</v>
      </c>
      <c r="U318" t="s">
        <v>547</v>
      </c>
      <c r="V318" t="s">
        <v>547</v>
      </c>
      <c r="W318" t="s">
        <v>547</v>
      </c>
      <c r="X318" t="s">
        <v>547</v>
      </c>
      <c r="Y318" t="s">
        <v>547</v>
      </c>
      <c r="Z318" s="4" t="s">
        <v>1051</v>
      </c>
      <c r="AA318" t="s">
        <v>1015</v>
      </c>
      <c r="AB318" s="3" t="s">
        <v>547</v>
      </c>
      <c r="AC318" s="2" t="s">
        <v>547</v>
      </c>
      <c r="AD318" s="4" t="s">
        <v>547</v>
      </c>
      <c r="AE318" t="s">
        <v>547</v>
      </c>
      <c r="AF318" t="s">
        <v>547</v>
      </c>
      <c r="AG318" s="4" t="s">
        <v>547</v>
      </c>
      <c r="AH318" t="s">
        <v>547</v>
      </c>
      <c r="AI318" t="s">
        <v>547</v>
      </c>
      <c r="AJ318" s="4" t="s">
        <v>547</v>
      </c>
      <c r="AK318" t="s">
        <v>547</v>
      </c>
      <c r="AL318" t="s">
        <v>547</v>
      </c>
      <c r="AM318" s="3" t="str">
        <f>HYPERLINK("http://exon.niaid.nih.gov/transcriptome/O_fasciatus/Sup_tab1/links/KOG\of-new-contig_145-KOG.txt","Uncharacterized conserved protein")</f>
        <v>Uncharacterized conserved protein</v>
      </c>
      <c r="AN318" s="2" t="str">
        <f>HYPERLINK("http://www.ncbi.nlm.nih.gov/COG/new/shokog.cgi?KOG2514","0.70")</f>
        <v>0.70</v>
      </c>
      <c r="AO318" t="s">
        <v>881</v>
      </c>
      <c r="AP318" s="3" t="s">
        <v>547</v>
      </c>
      <c r="AQ318" s="2" t="s">
        <v>547</v>
      </c>
      <c r="AR318" t="s">
        <v>547</v>
      </c>
      <c r="AS318" s="3" t="s">
        <v>547</v>
      </c>
      <c r="AT318" s="2" t="s">
        <v>547</v>
      </c>
      <c r="AU318" s="3" t="s">
        <v>547</v>
      </c>
      <c r="AV318" s="2" t="s">
        <v>547</v>
      </c>
      <c r="AW318" s="3" t="s">
        <v>547</v>
      </c>
      <c r="AX318" s="2" t="s">
        <v>547</v>
      </c>
      <c r="AY318" s="3" t="s">
        <v>547</v>
      </c>
      <c r="AZ318" s="2" t="s">
        <v>547</v>
      </c>
    </row>
    <row r="319" spans="1:52" ht="11.25">
      <c r="A319" t="str">
        <f>HYPERLINK("http://exon.niaid.nih.gov/transcriptome/O_fasciatus/Sup_tab1/links/of-new\of-new-contig_176.txt","of-new-contig_176")</f>
        <v>of-new-contig_176</v>
      </c>
      <c r="B319" t="str">
        <f>HYPERLINK("http://exon.niaid.nih.gov/transcriptome/O_fasciatus/Sup_tab1/links/of-new\of-new-5-64-64-asb-176.txt","Contig-176")</f>
        <v>Contig-176</v>
      </c>
      <c r="C319" t="str">
        <f>HYPERLINK("http://exon.niaid.nih.gov/transcriptome/O_fasciatus/Sup_tab1/links/of-new\of-new-5-64-64-176-CLU.txt","Contig176")</f>
        <v>Contig176</v>
      </c>
      <c r="D319">
        <v>1</v>
      </c>
      <c r="E319">
        <v>128</v>
      </c>
      <c r="F319" t="str">
        <f>HYPERLINK("http://exon.niaid.nih.gov/transcriptome/O_fasciatus/Sup_tab1/links/of-new\of-new-5-64-64-176-qual.txt","56.5")</f>
        <v>56.5</v>
      </c>
      <c r="G319" t="s">
        <v>541</v>
      </c>
      <c r="H319">
        <v>84.4</v>
      </c>
      <c r="I319">
        <v>109</v>
      </c>
      <c r="J319">
        <v>176</v>
      </c>
      <c r="K319" t="s">
        <v>1254</v>
      </c>
      <c r="L319">
        <v>109</v>
      </c>
      <c r="N319" s="2" t="s">
        <v>547</v>
      </c>
      <c r="O319" t="s">
        <v>547</v>
      </c>
      <c r="P319" t="s">
        <v>547</v>
      </c>
      <c r="Q319" t="s">
        <v>547</v>
      </c>
      <c r="R319" t="s">
        <v>547</v>
      </c>
      <c r="S319" t="s">
        <v>547</v>
      </c>
      <c r="T319" t="s">
        <v>547</v>
      </c>
      <c r="U319" t="s">
        <v>547</v>
      </c>
      <c r="V319" t="s">
        <v>547</v>
      </c>
      <c r="W319" t="s">
        <v>547</v>
      </c>
      <c r="X319" t="s">
        <v>547</v>
      </c>
      <c r="Y319" t="s">
        <v>547</v>
      </c>
      <c r="Z319" s="4" t="s">
        <v>1051</v>
      </c>
      <c r="AA319" t="s">
        <v>1015</v>
      </c>
      <c r="AB319" s="3" t="s">
        <v>547</v>
      </c>
      <c r="AC319" s="2" t="s">
        <v>547</v>
      </c>
      <c r="AD319" s="4" t="s">
        <v>547</v>
      </c>
      <c r="AE319" t="s">
        <v>547</v>
      </c>
      <c r="AF319" t="s">
        <v>547</v>
      </c>
      <c r="AG319" s="4" t="s">
        <v>547</v>
      </c>
      <c r="AH319" t="s">
        <v>547</v>
      </c>
      <c r="AI319" t="s">
        <v>547</v>
      </c>
      <c r="AJ319" s="4" t="s">
        <v>547</v>
      </c>
      <c r="AK319" t="s">
        <v>547</v>
      </c>
      <c r="AL319" t="s">
        <v>547</v>
      </c>
      <c r="AM319" s="3" t="s">
        <v>547</v>
      </c>
      <c r="AN319" s="2" t="s">
        <v>547</v>
      </c>
      <c r="AO319" t="s">
        <v>547</v>
      </c>
      <c r="AP319" s="3" t="s">
        <v>547</v>
      </c>
      <c r="AQ319" s="2" t="s">
        <v>547</v>
      </c>
      <c r="AR319" t="s">
        <v>547</v>
      </c>
      <c r="AS319" s="3" t="s">
        <v>547</v>
      </c>
      <c r="AT319" s="2" t="s">
        <v>547</v>
      </c>
      <c r="AU319" s="3" t="s">
        <v>547</v>
      </c>
      <c r="AV319" s="2" t="s">
        <v>547</v>
      </c>
      <c r="AW319" s="3" t="s">
        <v>547</v>
      </c>
      <c r="AX319" s="2" t="s">
        <v>547</v>
      </c>
      <c r="AY319" s="3" t="s">
        <v>547</v>
      </c>
      <c r="AZ319" s="2" t="s">
        <v>547</v>
      </c>
    </row>
    <row r="320" spans="1:52" ht="11.25">
      <c r="A320" t="str">
        <f>HYPERLINK("http://exon.niaid.nih.gov/transcriptome/O_fasciatus/Sup_tab1/links/of-new\of-new-contig_242.txt","of-new-contig_242")</f>
        <v>of-new-contig_242</v>
      </c>
      <c r="B320" t="str">
        <f>HYPERLINK("http://exon.niaid.nih.gov/transcriptome/O_fasciatus/Sup_tab1/links/of-new\of-new-5-64-64-asb-242.txt","Contig-242")</f>
        <v>Contig-242</v>
      </c>
      <c r="C320" t="str">
        <f>HYPERLINK("http://exon.niaid.nih.gov/transcriptome/O_fasciatus/Sup_tab1/links/of-new\of-new-5-64-64-242-CLU.txt","Contig242")</f>
        <v>Contig242</v>
      </c>
      <c r="D320">
        <v>1</v>
      </c>
      <c r="E320">
        <v>117</v>
      </c>
      <c r="F320" t="str">
        <f>HYPERLINK("http://exon.niaid.nih.gov/transcriptome/O_fasciatus/Sup_tab1/links/of-new\of-new-5-64-64-242-qual.txt","42.6")</f>
        <v>42.6</v>
      </c>
      <c r="G320" t="s">
        <v>541</v>
      </c>
      <c r="H320">
        <v>73.5</v>
      </c>
      <c r="I320">
        <v>98</v>
      </c>
      <c r="J320">
        <v>242</v>
      </c>
      <c r="K320" t="s">
        <v>1320</v>
      </c>
      <c r="L320">
        <v>98</v>
      </c>
      <c r="N320" s="2" t="s">
        <v>547</v>
      </c>
      <c r="O320" t="s">
        <v>547</v>
      </c>
      <c r="P320" t="s">
        <v>547</v>
      </c>
      <c r="Q320" t="s">
        <v>547</v>
      </c>
      <c r="R320" t="s">
        <v>547</v>
      </c>
      <c r="S320" t="s">
        <v>547</v>
      </c>
      <c r="T320" t="s">
        <v>547</v>
      </c>
      <c r="U320" t="s">
        <v>547</v>
      </c>
      <c r="V320" t="s">
        <v>547</v>
      </c>
      <c r="W320" t="s">
        <v>547</v>
      </c>
      <c r="X320" t="s">
        <v>547</v>
      </c>
      <c r="Y320" t="s">
        <v>547</v>
      </c>
      <c r="Z320" s="4" t="s">
        <v>1051</v>
      </c>
      <c r="AA320" t="s">
        <v>1015</v>
      </c>
      <c r="AB320" s="3" t="s">
        <v>547</v>
      </c>
      <c r="AC320" s="2" t="s">
        <v>547</v>
      </c>
      <c r="AD320" s="4" t="s">
        <v>547</v>
      </c>
      <c r="AE320" t="s">
        <v>547</v>
      </c>
      <c r="AF320" t="s">
        <v>547</v>
      </c>
      <c r="AG320" s="4" t="s">
        <v>547</v>
      </c>
      <c r="AH320" t="s">
        <v>547</v>
      </c>
      <c r="AI320" t="s">
        <v>547</v>
      </c>
      <c r="AJ320" s="4" t="s">
        <v>547</v>
      </c>
      <c r="AK320" t="s">
        <v>547</v>
      </c>
      <c r="AL320" t="s">
        <v>547</v>
      </c>
      <c r="AM320" s="3" t="s">
        <v>547</v>
      </c>
      <c r="AN320" s="2" t="s">
        <v>547</v>
      </c>
      <c r="AO320" t="s">
        <v>547</v>
      </c>
      <c r="AP320" s="3" t="s">
        <v>547</v>
      </c>
      <c r="AQ320" s="2" t="s">
        <v>547</v>
      </c>
      <c r="AR320" t="s">
        <v>547</v>
      </c>
      <c r="AS320" s="3" t="s">
        <v>547</v>
      </c>
      <c r="AT320" s="2" t="s">
        <v>547</v>
      </c>
      <c r="AU320" s="3" t="s">
        <v>547</v>
      </c>
      <c r="AV320" s="2" t="s">
        <v>547</v>
      </c>
      <c r="AW320" s="3" t="s">
        <v>547</v>
      </c>
      <c r="AX320" s="2" t="s">
        <v>547</v>
      </c>
      <c r="AY320" s="3" t="s">
        <v>547</v>
      </c>
      <c r="AZ320" s="2" t="s">
        <v>547</v>
      </c>
    </row>
    <row r="321" spans="1:52" ht="11.25">
      <c r="A321" t="str">
        <f>HYPERLINK("http://exon.niaid.nih.gov/transcriptome/O_fasciatus/Sup_tab1/links/of-new\of-new-contig_296.txt","of-new-contig_296")</f>
        <v>of-new-contig_296</v>
      </c>
      <c r="B321" t="str">
        <f>HYPERLINK("http://exon.niaid.nih.gov/transcriptome/O_fasciatus/Sup_tab1/links/of-new\of-new-5-64-64-asb-296.txt","Contig-296")</f>
        <v>Contig-296</v>
      </c>
      <c r="C321" t="str">
        <f>HYPERLINK("http://exon.niaid.nih.gov/transcriptome/O_fasciatus/Sup_tab1/links/of-new\of-new-5-64-64-296-CLU.txt","Contig296")</f>
        <v>Contig296</v>
      </c>
      <c r="D321">
        <v>1</v>
      </c>
      <c r="E321">
        <v>117</v>
      </c>
      <c r="F321" t="str">
        <f>HYPERLINK("http://exon.niaid.nih.gov/transcriptome/O_fasciatus/Sup_tab1/links/of-new\of-new-5-64-64-296-qual.txt","52.")</f>
        <v>52.</v>
      </c>
      <c r="G321" t="s">
        <v>541</v>
      </c>
      <c r="H321">
        <v>85.5</v>
      </c>
      <c r="I321">
        <v>98</v>
      </c>
      <c r="J321">
        <v>296</v>
      </c>
      <c r="K321" t="s">
        <v>1374</v>
      </c>
      <c r="L321">
        <v>98</v>
      </c>
      <c r="N321" s="2" t="s">
        <v>547</v>
      </c>
      <c r="O321" t="s">
        <v>547</v>
      </c>
      <c r="P321" t="s">
        <v>547</v>
      </c>
      <c r="Q321" t="s">
        <v>547</v>
      </c>
      <c r="R321" t="s">
        <v>547</v>
      </c>
      <c r="S321" t="s">
        <v>547</v>
      </c>
      <c r="T321" t="s">
        <v>547</v>
      </c>
      <c r="U321" t="s">
        <v>547</v>
      </c>
      <c r="V321" t="s">
        <v>547</v>
      </c>
      <c r="W321" t="s">
        <v>547</v>
      </c>
      <c r="X321" t="s">
        <v>547</v>
      </c>
      <c r="Y321" t="s">
        <v>547</v>
      </c>
      <c r="Z321" s="4" t="s">
        <v>1051</v>
      </c>
      <c r="AA321" t="s">
        <v>1015</v>
      </c>
      <c r="AB321" s="3" t="s">
        <v>547</v>
      </c>
      <c r="AC321" s="2" t="s">
        <v>547</v>
      </c>
      <c r="AD321" s="4" t="s">
        <v>547</v>
      </c>
      <c r="AE321" t="s">
        <v>547</v>
      </c>
      <c r="AF321" t="s">
        <v>547</v>
      </c>
      <c r="AG321" s="4" t="s">
        <v>547</v>
      </c>
      <c r="AH321" t="s">
        <v>547</v>
      </c>
      <c r="AI321" t="s">
        <v>547</v>
      </c>
      <c r="AJ321" s="4" t="s">
        <v>547</v>
      </c>
      <c r="AK321" t="s">
        <v>547</v>
      </c>
      <c r="AL321" t="s">
        <v>547</v>
      </c>
      <c r="AM321" s="3" t="s">
        <v>547</v>
      </c>
      <c r="AN321" s="2" t="s">
        <v>547</v>
      </c>
      <c r="AO321" t="s">
        <v>547</v>
      </c>
      <c r="AP321" s="3" t="s">
        <v>547</v>
      </c>
      <c r="AQ321" s="2" t="s">
        <v>547</v>
      </c>
      <c r="AR321" t="s">
        <v>547</v>
      </c>
      <c r="AS321" s="3" t="s">
        <v>547</v>
      </c>
      <c r="AT321" s="2" t="s">
        <v>547</v>
      </c>
      <c r="AU321" s="3" t="s">
        <v>547</v>
      </c>
      <c r="AV321" s="2" t="s">
        <v>547</v>
      </c>
      <c r="AW321" s="3" t="s">
        <v>547</v>
      </c>
      <c r="AX321" s="2" t="s">
        <v>547</v>
      </c>
      <c r="AY321" s="3" t="s">
        <v>547</v>
      </c>
      <c r="AZ321" s="2" t="s">
        <v>547</v>
      </c>
    </row>
    <row r="322" spans="1:52" ht="11.25">
      <c r="A322" t="str">
        <f>HYPERLINK("http://exon.niaid.nih.gov/transcriptome/O_fasciatus/Sup_tab1/links/of-new\of-new-contig_196.txt","of-new-contig_196")</f>
        <v>of-new-contig_196</v>
      </c>
      <c r="B322" t="str">
        <f>HYPERLINK("http://exon.niaid.nih.gov/transcriptome/O_fasciatus/Sup_tab1/links/of-new\of-new-5-64-64-asb-196.txt","Contig-196")</f>
        <v>Contig-196</v>
      </c>
      <c r="C322" t="str">
        <f>HYPERLINK("http://exon.niaid.nih.gov/transcriptome/O_fasciatus/Sup_tab1/links/of-new\of-new-5-64-64-196-CLU.txt","Contig196")</f>
        <v>Contig196</v>
      </c>
      <c r="D322">
        <v>1</v>
      </c>
      <c r="E322">
        <v>109</v>
      </c>
      <c r="F322" t="str">
        <f>HYPERLINK("http://exon.niaid.nih.gov/transcriptome/O_fasciatus/Sup_tab1/links/of-new\of-new-5-64-64-196-qual.txt","56.2")</f>
        <v>56.2</v>
      </c>
      <c r="G322" t="s">
        <v>541</v>
      </c>
      <c r="H322">
        <v>85.3</v>
      </c>
      <c r="I322">
        <v>90</v>
      </c>
      <c r="J322">
        <v>196</v>
      </c>
      <c r="K322" t="s">
        <v>1274</v>
      </c>
      <c r="L322">
        <v>90</v>
      </c>
      <c r="N322" s="2" t="s">
        <v>547</v>
      </c>
      <c r="O322" t="s">
        <v>547</v>
      </c>
      <c r="P322" t="s">
        <v>547</v>
      </c>
      <c r="Q322" t="s">
        <v>547</v>
      </c>
      <c r="R322" t="s">
        <v>547</v>
      </c>
      <c r="S322" t="s">
        <v>547</v>
      </c>
      <c r="T322" t="s">
        <v>547</v>
      </c>
      <c r="U322" t="s">
        <v>547</v>
      </c>
      <c r="V322" t="s">
        <v>547</v>
      </c>
      <c r="W322" t="s">
        <v>547</v>
      </c>
      <c r="X322" t="s">
        <v>547</v>
      </c>
      <c r="Y322" t="s">
        <v>547</v>
      </c>
      <c r="Z322" s="4" t="s">
        <v>1051</v>
      </c>
      <c r="AA322" t="s">
        <v>1015</v>
      </c>
      <c r="AB322" s="3" t="s">
        <v>547</v>
      </c>
      <c r="AC322" s="2" t="s">
        <v>547</v>
      </c>
      <c r="AD322" s="4" t="s">
        <v>547</v>
      </c>
      <c r="AE322" t="s">
        <v>547</v>
      </c>
      <c r="AF322" t="s">
        <v>547</v>
      </c>
      <c r="AG322" s="4" t="s">
        <v>547</v>
      </c>
      <c r="AH322" t="s">
        <v>547</v>
      </c>
      <c r="AI322" t="s">
        <v>547</v>
      </c>
      <c r="AJ322" s="4" t="s">
        <v>547</v>
      </c>
      <c r="AK322" t="s">
        <v>547</v>
      </c>
      <c r="AL322" t="s">
        <v>547</v>
      </c>
      <c r="AM322" s="3" t="s">
        <v>547</v>
      </c>
      <c r="AN322" s="2" t="s">
        <v>547</v>
      </c>
      <c r="AO322" t="s">
        <v>547</v>
      </c>
      <c r="AP322" s="3" t="s">
        <v>547</v>
      </c>
      <c r="AQ322" s="2" t="s">
        <v>547</v>
      </c>
      <c r="AR322" t="s">
        <v>547</v>
      </c>
      <c r="AS322" s="3" t="s">
        <v>547</v>
      </c>
      <c r="AT322" s="2" t="s">
        <v>547</v>
      </c>
      <c r="AU322" s="3" t="s">
        <v>547</v>
      </c>
      <c r="AV322" s="2" t="s">
        <v>547</v>
      </c>
      <c r="AW322" s="3" t="s">
        <v>547</v>
      </c>
      <c r="AX322" s="2" t="s">
        <v>547</v>
      </c>
      <c r="AY322" s="3" t="s">
        <v>547</v>
      </c>
      <c r="AZ322" s="2" t="s">
        <v>547</v>
      </c>
    </row>
    <row r="323" spans="1:52" ht="11.25">
      <c r="A323" t="str">
        <f>HYPERLINK("http://exon.niaid.nih.gov/transcriptome/O_fasciatus/Sup_tab1/links/of-new\of-new-contig_279.txt","of-new-contig_279")</f>
        <v>of-new-contig_279</v>
      </c>
      <c r="B323" t="str">
        <f>HYPERLINK("http://exon.niaid.nih.gov/transcriptome/O_fasciatus/Sup_tab1/links/of-new\of-new-5-64-64-asb-279.txt","Contig-279")</f>
        <v>Contig-279</v>
      </c>
      <c r="C323" t="str">
        <f>HYPERLINK("http://exon.niaid.nih.gov/transcriptome/O_fasciatus/Sup_tab1/links/of-new\of-new-5-64-64-279-CLU.txt","Contig279")</f>
        <v>Contig279</v>
      </c>
      <c r="D323">
        <v>1</v>
      </c>
      <c r="E323">
        <v>107</v>
      </c>
      <c r="F323" t="str">
        <f>HYPERLINK("http://exon.niaid.nih.gov/transcriptome/O_fasciatus/Sup_tab1/links/of-new\of-new-5-64-64-279-qual.txt","50.3")</f>
        <v>50.3</v>
      </c>
      <c r="G323" t="s">
        <v>541</v>
      </c>
      <c r="H323">
        <v>66.4</v>
      </c>
      <c r="I323">
        <v>88</v>
      </c>
      <c r="J323">
        <v>279</v>
      </c>
      <c r="K323" t="s">
        <v>1357</v>
      </c>
      <c r="L323">
        <v>88</v>
      </c>
      <c r="M323" s="3" t="str">
        <f>HYPERLINK("http://exon.niaid.nih.gov/transcriptome/O_fasciatus/Sup_tab1/links/NR\of-new-contig_279-NR.txt","lysyl-tRNA synthetase")</f>
        <v>lysyl-tRNA synthetase</v>
      </c>
      <c r="N323" s="2" t="str">
        <f>HYPERLINK("http://www.ncbi.nlm.nih.gov/sutils/blink.cgi?pid=49619039","0.85")</f>
        <v>0.85</v>
      </c>
      <c r="O323" t="s">
        <v>116</v>
      </c>
      <c r="P323">
        <v>20</v>
      </c>
      <c r="Q323">
        <v>577</v>
      </c>
      <c r="R323">
        <v>75</v>
      </c>
      <c r="S323">
        <v>3</v>
      </c>
      <c r="T323">
        <v>5</v>
      </c>
      <c r="U323">
        <v>28</v>
      </c>
      <c r="V323">
        <v>1</v>
      </c>
      <c r="W323" t="s">
        <v>1412</v>
      </c>
      <c r="X323" t="s">
        <v>828</v>
      </c>
      <c r="Y323" t="s">
        <v>117</v>
      </c>
      <c r="Z323" s="4" t="s">
        <v>1051</v>
      </c>
      <c r="AA323" t="s">
        <v>1015</v>
      </c>
      <c r="AB323" s="3" t="s">
        <v>547</v>
      </c>
      <c r="AC323" s="2" t="s">
        <v>547</v>
      </c>
      <c r="AD323" s="4" t="s">
        <v>547</v>
      </c>
      <c r="AE323" t="s">
        <v>547</v>
      </c>
      <c r="AF323" t="s">
        <v>547</v>
      </c>
      <c r="AG323" s="4" t="s">
        <v>547</v>
      </c>
      <c r="AH323" t="s">
        <v>547</v>
      </c>
      <c r="AI323" t="s">
        <v>547</v>
      </c>
      <c r="AJ323" s="4" t="s">
        <v>547</v>
      </c>
      <c r="AK323" t="s">
        <v>547</v>
      </c>
      <c r="AL323" t="s">
        <v>547</v>
      </c>
      <c r="AM323" s="3" t="s">
        <v>547</v>
      </c>
      <c r="AN323" s="2" t="s">
        <v>547</v>
      </c>
      <c r="AO323" t="s">
        <v>547</v>
      </c>
      <c r="AP323" s="3" t="str">
        <f>HYPERLINK("http://exon.niaid.nih.gov/transcriptome/O_fasciatus/Sup_tab1/links/CDD\of-new-contig_279-CDD.txt","TAP42")</f>
        <v>TAP42</v>
      </c>
      <c r="AQ323" s="2" t="str">
        <f>HYPERLINK("http://www.ncbi.nlm.nih.gov/Structure/cdd/cddsrv.cgi?uid=pfam04177&amp;version=v4.0","0.36")</f>
        <v>0.36</v>
      </c>
      <c r="AR323" t="s">
        <v>118</v>
      </c>
      <c r="AS323" s="3" t="str">
        <f>HYPERLINK("http://exon.niaid.nih.gov/transcriptome/O_fasciatus/Sup_tab1/links/PFAM\of-new-contig_279-PFAM.txt","TAP42")</f>
        <v>TAP42</v>
      </c>
      <c r="AT323" s="2" t="str">
        <f>HYPERLINK("http://pfam.wustl.edu/cgi-bin/getdesc?acc=PF04177","0.18")</f>
        <v>0.18</v>
      </c>
      <c r="AU323" s="3" t="s">
        <v>547</v>
      </c>
      <c r="AV323" s="2" t="s">
        <v>547</v>
      </c>
      <c r="AW323" s="3" t="s">
        <v>547</v>
      </c>
      <c r="AX323" s="2" t="s">
        <v>547</v>
      </c>
      <c r="AY323" s="3" t="s">
        <v>547</v>
      </c>
      <c r="AZ323" s="2" t="s">
        <v>547</v>
      </c>
    </row>
    <row r="324" spans="1:52" ht="11.25">
      <c r="A324" t="str">
        <f>HYPERLINK("http://exon.niaid.nih.gov/transcriptome/O_fasciatus/Sup_tab1/links/of-new\of-new-contig_268.txt","of-new-contig_268")</f>
        <v>of-new-contig_268</v>
      </c>
      <c r="B324" t="str">
        <f>HYPERLINK("http://exon.niaid.nih.gov/transcriptome/O_fasciatus/Sup_tab1/links/of-new\of-new-5-64-64-asb-268.txt","Contig-268")</f>
        <v>Contig-268</v>
      </c>
      <c r="C324" t="str">
        <f>HYPERLINK("http://exon.niaid.nih.gov/transcriptome/O_fasciatus/Sup_tab1/links/of-new\of-new-5-64-64-268-CLU.txt","Contig268")</f>
        <v>Contig268</v>
      </c>
      <c r="D324">
        <v>1</v>
      </c>
      <c r="E324">
        <v>103</v>
      </c>
      <c r="F324" t="str">
        <f>HYPERLINK("http://exon.niaid.nih.gov/transcriptome/O_fasciatus/Sup_tab1/links/of-new\of-new-5-64-64-268-qual.txt","43.7")</f>
        <v>43.7</v>
      </c>
      <c r="G324" t="s">
        <v>541</v>
      </c>
      <c r="H324">
        <v>73.8</v>
      </c>
      <c r="I324">
        <v>84</v>
      </c>
      <c r="J324">
        <v>268</v>
      </c>
      <c r="K324" t="s">
        <v>1346</v>
      </c>
      <c r="L324">
        <v>84</v>
      </c>
      <c r="N324" s="2" t="s">
        <v>547</v>
      </c>
      <c r="O324" t="s">
        <v>547</v>
      </c>
      <c r="P324" t="s">
        <v>547</v>
      </c>
      <c r="Q324" t="s">
        <v>547</v>
      </c>
      <c r="R324" t="s">
        <v>547</v>
      </c>
      <c r="S324" t="s">
        <v>547</v>
      </c>
      <c r="T324" t="s">
        <v>547</v>
      </c>
      <c r="U324" t="s">
        <v>547</v>
      </c>
      <c r="V324" t="s">
        <v>547</v>
      </c>
      <c r="W324" t="s">
        <v>547</v>
      </c>
      <c r="X324" t="s">
        <v>547</v>
      </c>
      <c r="Y324" t="s">
        <v>547</v>
      </c>
      <c r="Z324" s="4" t="s">
        <v>1051</v>
      </c>
      <c r="AA324" t="s">
        <v>1015</v>
      </c>
      <c r="AB324" s="3" t="s">
        <v>547</v>
      </c>
      <c r="AC324" s="2" t="s">
        <v>547</v>
      </c>
      <c r="AD324" s="4" t="s">
        <v>547</v>
      </c>
      <c r="AE324" t="s">
        <v>547</v>
      </c>
      <c r="AF324" t="s">
        <v>547</v>
      </c>
      <c r="AG324" s="4" t="s">
        <v>547</v>
      </c>
      <c r="AH324" t="s">
        <v>547</v>
      </c>
      <c r="AI324" t="s">
        <v>547</v>
      </c>
      <c r="AJ324" s="4" t="s">
        <v>547</v>
      </c>
      <c r="AK324" t="s">
        <v>547</v>
      </c>
      <c r="AL324" t="s">
        <v>547</v>
      </c>
      <c r="AM324" s="3" t="s">
        <v>547</v>
      </c>
      <c r="AN324" s="2" t="s">
        <v>547</v>
      </c>
      <c r="AO324" t="s">
        <v>547</v>
      </c>
      <c r="AP324" s="3" t="s">
        <v>547</v>
      </c>
      <c r="AQ324" s="2" t="s">
        <v>547</v>
      </c>
      <c r="AR324" t="s">
        <v>547</v>
      </c>
      <c r="AS324" s="3" t="s">
        <v>547</v>
      </c>
      <c r="AT324" s="2" t="s">
        <v>547</v>
      </c>
      <c r="AU324" s="3" t="s">
        <v>547</v>
      </c>
      <c r="AV324" s="2" t="s">
        <v>547</v>
      </c>
      <c r="AW324" s="3" t="s">
        <v>547</v>
      </c>
      <c r="AX324" s="2" t="s">
        <v>547</v>
      </c>
      <c r="AY324" s="3" t="s">
        <v>547</v>
      </c>
      <c r="AZ324" s="2" t="s">
        <v>547</v>
      </c>
    </row>
    <row r="325" spans="1:52" ht="11.25">
      <c r="A325" t="str">
        <f>HYPERLINK("http://exon.niaid.nih.gov/transcriptome/O_fasciatus/Sup_tab1/links/of-new\of-new-contig_280.txt","of-new-contig_280")</f>
        <v>of-new-contig_280</v>
      </c>
      <c r="B325" t="str">
        <f>HYPERLINK("http://exon.niaid.nih.gov/transcriptome/O_fasciatus/Sup_tab1/links/of-new\of-new-5-64-64-asb-280.txt","Contig-280")</f>
        <v>Contig-280</v>
      </c>
      <c r="C325" t="str">
        <f>HYPERLINK("http://exon.niaid.nih.gov/transcriptome/O_fasciatus/Sup_tab1/links/of-new\of-new-5-64-64-280-CLU.txt","Contig280")</f>
        <v>Contig280</v>
      </c>
      <c r="D325">
        <v>1</v>
      </c>
      <c r="E325">
        <v>92</v>
      </c>
      <c r="F325" t="str">
        <f>HYPERLINK("http://exon.niaid.nih.gov/transcriptome/O_fasciatus/Sup_tab1/links/of-new\of-new-5-64-64-280-qual.txt","58.5")</f>
        <v>58.5</v>
      </c>
      <c r="G325" t="s">
        <v>541</v>
      </c>
      <c r="H325">
        <v>78.3</v>
      </c>
      <c r="I325">
        <v>73</v>
      </c>
      <c r="J325">
        <v>280</v>
      </c>
      <c r="K325" t="s">
        <v>1358</v>
      </c>
      <c r="L325">
        <v>73</v>
      </c>
      <c r="N325" s="2" t="s">
        <v>547</v>
      </c>
      <c r="O325" t="s">
        <v>547</v>
      </c>
      <c r="P325" t="s">
        <v>547</v>
      </c>
      <c r="Q325" t="s">
        <v>547</v>
      </c>
      <c r="R325" t="s">
        <v>547</v>
      </c>
      <c r="S325" t="s">
        <v>547</v>
      </c>
      <c r="T325" t="s">
        <v>547</v>
      </c>
      <c r="U325" t="s">
        <v>547</v>
      </c>
      <c r="V325" t="s">
        <v>547</v>
      </c>
      <c r="W325" t="s">
        <v>547</v>
      </c>
      <c r="X325" t="s">
        <v>547</v>
      </c>
      <c r="Y325" t="s">
        <v>547</v>
      </c>
      <c r="Z325" s="4" t="s">
        <v>1051</v>
      </c>
      <c r="AA325" t="s">
        <v>1015</v>
      </c>
      <c r="AB325" s="3" t="s">
        <v>547</v>
      </c>
      <c r="AC325" s="2" t="s">
        <v>547</v>
      </c>
      <c r="AD325" s="4" t="s">
        <v>547</v>
      </c>
      <c r="AE325" t="s">
        <v>547</v>
      </c>
      <c r="AF325" t="s">
        <v>547</v>
      </c>
      <c r="AG325" s="4" t="s">
        <v>547</v>
      </c>
      <c r="AH325" t="s">
        <v>547</v>
      </c>
      <c r="AI325" t="s">
        <v>547</v>
      </c>
      <c r="AJ325" s="4" t="s">
        <v>547</v>
      </c>
      <c r="AK325" t="s">
        <v>547</v>
      </c>
      <c r="AL325" t="s">
        <v>547</v>
      </c>
      <c r="AM325" s="3" t="s">
        <v>547</v>
      </c>
      <c r="AN325" s="2" t="s">
        <v>547</v>
      </c>
      <c r="AO325" t="s">
        <v>547</v>
      </c>
      <c r="AP325" s="3" t="s">
        <v>547</v>
      </c>
      <c r="AQ325" s="2" t="s">
        <v>547</v>
      </c>
      <c r="AR325" t="s">
        <v>547</v>
      </c>
      <c r="AS325" s="3" t="s">
        <v>547</v>
      </c>
      <c r="AT325" s="2" t="s">
        <v>547</v>
      </c>
      <c r="AU325" s="3" t="str">
        <f>HYPERLINK("http://exon.niaid.nih.gov/transcriptome/O_fasciatus/Sup_tab1/links/SMART\of-new-contig_280-SMART.txt","LRR_CC")</f>
        <v>LRR_CC</v>
      </c>
      <c r="AV325" s="2" t="str">
        <f>HYPERLINK("http://smart.embl-heidelberg.de/smart/do_annotation.pl?DOMAIN=LRR_CC&amp;BLAST=DUMMY","0.72")</f>
        <v>0.72</v>
      </c>
      <c r="AW325" s="3" t="s">
        <v>547</v>
      </c>
      <c r="AX325" s="2" t="s">
        <v>547</v>
      </c>
      <c r="AY325" s="3" t="s">
        <v>547</v>
      </c>
      <c r="AZ325" s="2" t="s">
        <v>547</v>
      </c>
    </row>
    <row r="326" spans="1:52" ht="11.25">
      <c r="A326" t="str">
        <f>HYPERLINK("http://exon.niaid.nih.gov/transcriptome/O_fasciatus/Sup_tab1/links/of-new\of-new-contig_250.txt","of-new-contig_250")</f>
        <v>of-new-contig_250</v>
      </c>
      <c r="B326" t="str">
        <f>HYPERLINK("http://exon.niaid.nih.gov/transcriptome/O_fasciatus/Sup_tab1/links/of-new\of-new-5-64-64-asb-250.txt","Contig-250")</f>
        <v>Contig-250</v>
      </c>
      <c r="C326" t="str">
        <f>HYPERLINK("http://exon.niaid.nih.gov/transcriptome/O_fasciatus/Sup_tab1/links/of-new\of-new-5-64-64-250-CLU.txt","Contig250")</f>
        <v>Contig250</v>
      </c>
      <c r="D326">
        <v>1</v>
      </c>
      <c r="E326">
        <v>90</v>
      </c>
      <c r="F326" t="str">
        <f>HYPERLINK("http://exon.niaid.nih.gov/transcriptome/O_fasciatus/Sup_tab1/links/of-new\of-new-5-64-64-250-qual.txt","45.")</f>
        <v>45.</v>
      </c>
      <c r="G326" t="s">
        <v>541</v>
      </c>
      <c r="H326">
        <v>86.7</v>
      </c>
      <c r="I326">
        <v>71</v>
      </c>
      <c r="J326">
        <v>250</v>
      </c>
      <c r="K326" t="s">
        <v>1328</v>
      </c>
      <c r="L326">
        <v>71</v>
      </c>
      <c r="N326" s="2" t="s">
        <v>547</v>
      </c>
      <c r="O326" t="s">
        <v>547</v>
      </c>
      <c r="P326" t="s">
        <v>547</v>
      </c>
      <c r="Q326" t="s">
        <v>547</v>
      </c>
      <c r="R326" t="s">
        <v>547</v>
      </c>
      <c r="S326" t="s">
        <v>547</v>
      </c>
      <c r="T326" t="s">
        <v>547</v>
      </c>
      <c r="U326" t="s">
        <v>547</v>
      </c>
      <c r="V326" t="s">
        <v>547</v>
      </c>
      <c r="W326" t="s">
        <v>547</v>
      </c>
      <c r="X326" t="s">
        <v>547</v>
      </c>
      <c r="Y326" t="s">
        <v>547</v>
      </c>
      <c r="Z326" s="4" t="s">
        <v>1051</v>
      </c>
      <c r="AA326" t="s">
        <v>1015</v>
      </c>
      <c r="AB326" s="3" t="s">
        <v>547</v>
      </c>
      <c r="AC326" s="2" t="s">
        <v>547</v>
      </c>
      <c r="AD326" s="4" t="s">
        <v>547</v>
      </c>
      <c r="AE326" t="s">
        <v>547</v>
      </c>
      <c r="AF326" t="s">
        <v>547</v>
      </c>
      <c r="AG326" s="4" t="s">
        <v>547</v>
      </c>
      <c r="AH326" t="s">
        <v>547</v>
      </c>
      <c r="AI326" t="s">
        <v>547</v>
      </c>
      <c r="AJ326" s="4" t="s">
        <v>547</v>
      </c>
      <c r="AK326" t="s">
        <v>547</v>
      </c>
      <c r="AL326" t="s">
        <v>547</v>
      </c>
      <c r="AM326" s="3" t="s">
        <v>547</v>
      </c>
      <c r="AN326" s="2" t="s">
        <v>547</v>
      </c>
      <c r="AO326" t="s">
        <v>547</v>
      </c>
      <c r="AP326" s="3" t="s">
        <v>547</v>
      </c>
      <c r="AQ326" s="2" t="s">
        <v>547</v>
      </c>
      <c r="AR326" t="s">
        <v>547</v>
      </c>
      <c r="AS326" s="3" t="s">
        <v>547</v>
      </c>
      <c r="AT326" s="2" t="s">
        <v>547</v>
      </c>
      <c r="AU326" s="3" t="s">
        <v>547</v>
      </c>
      <c r="AV326" s="2" t="s">
        <v>547</v>
      </c>
      <c r="AW326" s="3" t="s">
        <v>547</v>
      </c>
      <c r="AX326" s="2" t="s">
        <v>547</v>
      </c>
      <c r="AY326" s="3" t="s">
        <v>547</v>
      </c>
      <c r="AZ326" s="2" t="s">
        <v>547</v>
      </c>
    </row>
    <row r="327" spans="1:52" ht="11.25">
      <c r="A327" t="str">
        <f>HYPERLINK("http://exon.niaid.nih.gov/transcriptome/O_fasciatus/Sup_tab1/links/of-new\of-new-contig_251.txt","of-new-contig_251")</f>
        <v>of-new-contig_251</v>
      </c>
      <c r="B327" t="str">
        <f>HYPERLINK("http://exon.niaid.nih.gov/transcriptome/O_fasciatus/Sup_tab1/links/of-new\of-new-5-64-64-asb-251.txt","Contig-251")</f>
        <v>Contig-251</v>
      </c>
      <c r="C327" t="str">
        <f>HYPERLINK("http://exon.niaid.nih.gov/transcriptome/O_fasciatus/Sup_tab1/links/of-new\of-new-5-64-64-251-CLU.txt","Contig251")</f>
        <v>Contig251</v>
      </c>
      <c r="D327">
        <v>1</v>
      </c>
      <c r="E327">
        <v>554</v>
      </c>
      <c r="F327" t="str">
        <f>HYPERLINK("http://exon.niaid.nih.gov/transcriptome/O_fasciatus/Sup_tab1/links/of-new\of-new-5-64-64-251-qual.txt","62.")</f>
        <v>62.</v>
      </c>
      <c r="G327">
        <v>0.4</v>
      </c>
      <c r="H327">
        <v>74.9</v>
      </c>
      <c r="I327">
        <v>535</v>
      </c>
      <c r="J327">
        <v>251</v>
      </c>
      <c r="K327" t="s">
        <v>1329</v>
      </c>
      <c r="L327">
        <v>535</v>
      </c>
      <c r="M327" s="3" t="str">
        <f>HYPERLINK("http://exon.niaid.nih.gov/transcriptome/O_fasciatus/Sup_tab1/links/NR\of-new-contig_251-NR.txt","probable integral membrane protein Cj0157c [Campylobacter lari RM2100]")</f>
        <v>probable integral membrane protein Cj0157c [Campylobacter lari RM2100]</v>
      </c>
      <c r="N327" s="2" t="str">
        <f>HYPERLINK("http://www.ncbi.nlm.nih.gov/sutils/blink.cgi?pid=57241382","0.16")</f>
        <v>0.16</v>
      </c>
      <c r="O327" t="s">
        <v>408</v>
      </c>
      <c r="P327">
        <v>74</v>
      </c>
      <c r="Q327">
        <v>136</v>
      </c>
      <c r="R327">
        <v>31</v>
      </c>
      <c r="S327">
        <v>54</v>
      </c>
      <c r="T327">
        <v>47</v>
      </c>
      <c r="U327">
        <v>192</v>
      </c>
      <c r="V327">
        <v>1</v>
      </c>
      <c r="W327" t="s">
        <v>1412</v>
      </c>
      <c r="X327" t="s">
        <v>409</v>
      </c>
      <c r="Y327" t="s">
        <v>410</v>
      </c>
      <c r="Z327" s="4" t="s">
        <v>1025</v>
      </c>
      <c r="AA327" t="s">
        <v>1015</v>
      </c>
      <c r="AB327" s="3" t="s">
        <v>547</v>
      </c>
      <c r="AC327" s="2" t="s">
        <v>547</v>
      </c>
      <c r="AD327" s="4" t="s">
        <v>547</v>
      </c>
      <c r="AE327" t="s">
        <v>547</v>
      </c>
      <c r="AF327" t="s">
        <v>547</v>
      </c>
      <c r="AG327" s="4" t="s">
        <v>547</v>
      </c>
      <c r="AH327" t="s">
        <v>547</v>
      </c>
      <c r="AI327" t="s">
        <v>547</v>
      </c>
      <c r="AJ327" s="4" t="s">
        <v>547</v>
      </c>
      <c r="AK327" t="s">
        <v>547</v>
      </c>
      <c r="AL327" t="s">
        <v>547</v>
      </c>
      <c r="AM327" s="3" t="str">
        <f>HYPERLINK("http://exon.niaid.nih.gov/transcriptome/O_fasciatus/Sup_tab1/links/KOG\of-new-contig_251-KOG.txt","Lipid exporter ABCA1 and related proteins, ABC superfamily")</f>
        <v>Lipid exporter ABCA1 and related proteins, ABC superfamily</v>
      </c>
      <c r="AN327" s="2" t="str">
        <f>HYPERLINK("http://www.ncbi.nlm.nih.gov/COG/new/shokog.cgi?KOG0059","0.24")</f>
        <v>0.24</v>
      </c>
      <c r="AO327" t="s">
        <v>974</v>
      </c>
      <c r="AP327" s="3" t="str">
        <f>HYPERLINK("http://exon.niaid.nih.gov/transcriptome/O_fasciatus/Sup_tab1/links/CDD\of-new-contig_251-CDD.txt","7tm_5")</f>
        <v>7tm_5</v>
      </c>
      <c r="AQ327" s="2" t="str">
        <f>HYPERLINK("http://www.ncbi.nlm.nih.gov/Structure/cdd/cddsrv.cgi?uid=pfam01604&amp;version=v4.0","7E-004")</f>
        <v>7E-004</v>
      </c>
      <c r="AR327" t="s">
        <v>411</v>
      </c>
      <c r="AS327" s="3" t="str">
        <f>HYPERLINK("http://exon.niaid.nih.gov/transcriptome/O_fasciatus/Sup_tab1/links/PFAM\of-new-contig_251-PFAM.txt","7tm_5")</f>
        <v>7tm_5</v>
      </c>
      <c r="AT327" s="2" t="str">
        <f>HYPERLINK("http://pfam.wustl.edu/cgi-bin/getdesc?acc=PF01604","3E-004")</f>
        <v>3E-004</v>
      </c>
      <c r="AU327" s="3" t="str">
        <f>HYPERLINK("http://exon.niaid.nih.gov/transcriptome/O_fasciatus/Sup_tab1/links/SMART\of-new-contig_251-SMART.txt","PSN")</f>
        <v>PSN</v>
      </c>
      <c r="AV327" s="2" t="str">
        <f>HYPERLINK("http://smart.embl-heidelberg.de/smart/do_annotation.pl?DOMAIN=PSN&amp;BLAST=DUMMY","3E-004")</f>
        <v>3E-004</v>
      </c>
      <c r="AW327" s="3" t="s">
        <v>547</v>
      </c>
      <c r="AX327" s="2" t="s">
        <v>547</v>
      </c>
      <c r="AY327" s="3" t="s">
        <v>547</v>
      </c>
      <c r="AZ327" s="2" t="s">
        <v>547</v>
      </c>
    </row>
    <row r="328" spans="1:52" ht="11.25">
      <c r="A328" t="str">
        <f>HYPERLINK("http://exon.niaid.nih.gov/transcriptome/O_fasciatus/Sup_tab1/links/of-new\of-new-contig_164.txt","of-new-contig_164")</f>
        <v>of-new-contig_164</v>
      </c>
      <c r="B328" t="str">
        <f>HYPERLINK("http://exon.niaid.nih.gov/transcriptome/O_fasciatus/Sup_tab1/links/of-new\of-new-5-64-64-asb-164.txt","Contig-164")</f>
        <v>Contig-164</v>
      </c>
      <c r="C328" t="str">
        <f>HYPERLINK("http://exon.niaid.nih.gov/transcriptome/O_fasciatus/Sup_tab1/links/of-new\of-new-5-64-64-164-CLU.txt","Contig164")</f>
        <v>Contig164</v>
      </c>
      <c r="D328">
        <v>1</v>
      </c>
      <c r="E328">
        <v>303</v>
      </c>
      <c r="F328" t="str">
        <f>HYPERLINK("http://exon.niaid.nih.gov/transcriptome/O_fasciatus/Sup_tab1/links/of-new\of-new-5-64-64-164-qual.txt","30.6")</f>
        <v>30.6</v>
      </c>
      <c r="G328" t="s">
        <v>541</v>
      </c>
      <c r="H328">
        <v>70.3</v>
      </c>
      <c r="I328">
        <v>280</v>
      </c>
      <c r="J328">
        <v>164</v>
      </c>
      <c r="K328" t="s">
        <v>1242</v>
      </c>
      <c r="L328">
        <v>280</v>
      </c>
      <c r="M328" s="3" t="str">
        <f>HYPERLINK("http://exon.niaid.nih.gov/transcriptome/O_fasciatus/Sup_tab1/links/NR\of-new-contig_164-NR.txt","NADH dehydrogenase subunit F")</f>
        <v>NADH dehydrogenase subunit F</v>
      </c>
      <c r="N328" s="2" t="str">
        <f>HYPERLINK("http://www.ncbi.nlm.nih.gov/sutils/blink.cgi?pid=81158438","1.9")</f>
        <v>1.9</v>
      </c>
      <c r="O328" t="s">
        <v>492</v>
      </c>
      <c r="P328">
        <v>40</v>
      </c>
      <c r="Q328">
        <v>700</v>
      </c>
      <c r="R328">
        <v>45</v>
      </c>
      <c r="S328">
        <v>6</v>
      </c>
      <c r="T328">
        <v>517</v>
      </c>
      <c r="U328">
        <v>72</v>
      </c>
      <c r="V328">
        <v>1</v>
      </c>
      <c r="W328" t="s">
        <v>1412</v>
      </c>
      <c r="X328" t="s">
        <v>493</v>
      </c>
      <c r="Y328" t="s">
        <v>494</v>
      </c>
      <c r="Z328" s="4" t="s">
        <v>1025</v>
      </c>
      <c r="AA328" t="s">
        <v>1015</v>
      </c>
      <c r="AB328" s="3" t="s">
        <v>547</v>
      </c>
      <c r="AC328" s="2" t="s">
        <v>547</v>
      </c>
      <c r="AD328" s="4" t="s">
        <v>547</v>
      </c>
      <c r="AE328" t="s">
        <v>547</v>
      </c>
      <c r="AF328" t="s">
        <v>547</v>
      </c>
      <c r="AG328" s="4" t="s">
        <v>547</v>
      </c>
      <c r="AH328" t="s">
        <v>547</v>
      </c>
      <c r="AI328" t="s">
        <v>547</v>
      </c>
      <c r="AJ328" s="4" t="s">
        <v>547</v>
      </c>
      <c r="AK328" t="s">
        <v>547</v>
      </c>
      <c r="AL328" t="s">
        <v>547</v>
      </c>
      <c r="AM328" s="3" t="str">
        <f>HYPERLINK("http://exon.niaid.nih.gov/transcriptome/O_fasciatus/Sup_tab1/links/KOG\of-new-contig_164-KOG.txt","K+-channel ERG and related proteins, contain PAS/PAC sensor domain")</f>
        <v>K+-channel ERG and related proteins, contain PAS/PAC sensor domain</v>
      </c>
      <c r="AN328" s="2" t="str">
        <f>HYPERLINK("http://www.ncbi.nlm.nih.gov/COG/new/shokog.cgi?KOG0498","0.094")</f>
        <v>0.094</v>
      </c>
      <c r="AO328" t="s">
        <v>1529</v>
      </c>
      <c r="AP328" s="3" t="str">
        <f>HYPERLINK("http://exon.niaid.nih.gov/transcriptome/O_fasciatus/Sup_tab1/links/CDD\of-new-contig_164-CDD.txt","PTR2")</f>
        <v>PTR2</v>
      </c>
      <c r="AQ328" s="2" t="str">
        <f>HYPERLINK("http://www.ncbi.nlm.nih.gov/Structure/cdd/cddsrv.cgi?uid=pfam00854&amp;version=v4.0","0.065")</f>
        <v>0.065</v>
      </c>
      <c r="AR328" t="s">
        <v>495</v>
      </c>
      <c r="AS328" s="3" t="str">
        <f>HYPERLINK("http://exon.niaid.nih.gov/transcriptome/O_fasciatus/Sup_tab1/links/PFAM\of-new-contig_164-PFAM.txt","PTR2")</f>
        <v>PTR2</v>
      </c>
      <c r="AT328" s="2" t="str">
        <f>HYPERLINK("http://pfam.wustl.edu/cgi-bin/getdesc?acc=PF00854","0.033")</f>
        <v>0.033</v>
      </c>
      <c r="AU328" s="3" t="str">
        <f>HYPERLINK("http://exon.niaid.nih.gov/transcriptome/O_fasciatus/Sup_tab1/links/SMART\of-new-contig_164-SMART.txt","PSN")</f>
        <v>PSN</v>
      </c>
      <c r="AV328" s="2" t="str">
        <f>HYPERLINK("http://smart.embl-heidelberg.de/smart/do_annotation.pl?DOMAIN=PSN&amp;BLAST=DUMMY","0.081")</f>
        <v>0.081</v>
      </c>
      <c r="AW328" s="3" t="s">
        <v>547</v>
      </c>
      <c r="AX328" s="2" t="s">
        <v>547</v>
      </c>
      <c r="AY328" s="3" t="s">
        <v>547</v>
      </c>
      <c r="AZ328" s="2" t="s">
        <v>547</v>
      </c>
    </row>
    <row r="329" spans="1:52" ht="11.25">
      <c r="A329" t="str">
        <f>HYPERLINK("http://exon.niaid.nih.gov/transcriptome/O_fasciatus/Sup_tab1/links/of-new\of-new-contig_186.txt","of-new-contig_186")</f>
        <v>of-new-contig_186</v>
      </c>
      <c r="B329" t="str">
        <f>HYPERLINK("http://exon.niaid.nih.gov/transcriptome/O_fasciatus/Sup_tab1/links/of-new\of-new-5-64-64-asb-186.txt","Contig-186")</f>
        <v>Contig-186</v>
      </c>
      <c r="C329" t="str">
        <f>HYPERLINK("http://exon.niaid.nih.gov/transcriptome/O_fasciatus/Sup_tab1/links/of-new\of-new-5-64-64-186-CLU.txt","Contig186")</f>
        <v>Contig186</v>
      </c>
      <c r="D329">
        <v>1</v>
      </c>
      <c r="E329">
        <v>190</v>
      </c>
      <c r="F329" t="str">
        <f>HYPERLINK("http://exon.niaid.nih.gov/transcriptome/O_fasciatus/Sup_tab1/links/of-new\of-new-5-64-64-186-qual.txt","59.5")</f>
        <v>59.5</v>
      </c>
      <c r="G329" t="s">
        <v>541</v>
      </c>
      <c r="H329">
        <v>77.9</v>
      </c>
      <c r="I329">
        <v>171</v>
      </c>
      <c r="J329">
        <v>186</v>
      </c>
      <c r="K329" t="s">
        <v>1264</v>
      </c>
      <c r="L329">
        <v>171</v>
      </c>
      <c r="M329" s="3" t="str">
        <f>HYPERLINK("http://exon.niaid.nih.gov/transcriptome/O_fasciatus/Sup_tab1/links/NR\of-new-contig_186-NR.txt","hypothetical protein PC102472.00.0 [Plasmodium chabaudi chabaudi]")</f>
        <v>hypothetical protein PC102472.00.0 [Plasmodium chabaudi chabaudi]</v>
      </c>
      <c r="N329" s="2" t="str">
        <f>HYPERLINK("http://www.ncbi.nlm.nih.gov/sutils/blink.cgi?pid=70944004","0.29")</f>
        <v>0.29</v>
      </c>
      <c r="O329" t="s">
        <v>314</v>
      </c>
      <c r="P329">
        <v>33</v>
      </c>
      <c r="Q329">
        <v>61</v>
      </c>
      <c r="R329">
        <v>39</v>
      </c>
      <c r="S329">
        <v>54</v>
      </c>
      <c r="T329">
        <v>26</v>
      </c>
      <c r="U329">
        <v>28</v>
      </c>
      <c r="V329">
        <v>1</v>
      </c>
      <c r="W329" t="s">
        <v>1412</v>
      </c>
      <c r="X329" t="s">
        <v>1600</v>
      </c>
      <c r="Y329" t="s">
        <v>315</v>
      </c>
      <c r="Z329" s="4" t="s">
        <v>1025</v>
      </c>
      <c r="AA329" t="s">
        <v>1015</v>
      </c>
      <c r="AB329" s="3" t="s">
        <v>547</v>
      </c>
      <c r="AC329" s="2" t="s">
        <v>547</v>
      </c>
      <c r="AD329" s="4" t="s">
        <v>547</v>
      </c>
      <c r="AE329" t="s">
        <v>547</v>
      </c>
      <c r="AF329" t="s">
        <v>547</v>
      </c>
      <c r="AG329" s="4" t="s">
        <v>547</v>
      </c>
      <c r="AH329" t="s">
        <v>547</v>
      </c>
      <c r="AI329" t="s">
        <v>547</v>
      </c>
      <c r="AJ329" s="4" t="s">
        <v>547</v>
      </c>
      <c r="AK329" t="s">
        <v>547</v>
      </c>
      <c r="AL329" t="s">
        <v>547</v>
      </c>
      <c r="AM329" s="3" t="str">
        <f>HYPERLINK("http://exon.niaid.nih.gov/transcriptome/O_fasciatus/Sup_tab1/links/KOG\of-new-contig_186-KOG.txt","Lipid exporter ABCA1 and related proteins, ABC superfamily")</f>
        <v>Lipid exporter ABCA1 and related proteins, ABC superfamily</v>
      </c>
      <c r="AN329" s="2" t="str">
        <f>HYPERLINK("http://www.ncbi.nlm.nih.gov/COG/new/shokog.cgi?KOG0059","0.28")</f>
        <v>0.28</v>
      </c>
      <c r="AO329" t="s">
        <v>974</v>
      </c>
      <c r="AP329" s="3" t="str">
        <f>HYPERLINK("http://exon.niaid.nih.gov/transcriptome/O_fasciatus/Sup_tab1/links/CDD\of-new-contig_186-CDD.txt","CTP_transf_1")</f>
        <v>CTP_transf_1</v>
      </c>
      <c r="AQ329" s="2" t="str">
        <f>HYPERLINK("http://www.ncbi.nlm.nih.gov/Structure/cdd/cddsrv.cgi?uid=pfam01148&amp;version=v4.0","0.005")</f>
        <v>0.005</v>
      </c>
      <c r="AR329" t="s">
        <v>316</v>
      </c>
      <c r="AS329" s="3" t="str">
        <f>HYPERLINK("http://exon.niaid.nih.gov/transcriptome/O_fasciatus/Sup_tab1/links/PFAM\of-new-contig_186-PFAM.txt","CTP_transf_1")</f>
        <v>CTP_transf_1</v>
      </c>
      <c r="AT329" s="2" t="str">
        <f>HYPERLINK("http://pfam.wustl.edu/cgi-bin/getdesc?acc=PF01148","0.003")</f>
        <v>0.003</v>
      </c>
      <c r="AU329" s="3" t="str">
        <f>HYPERLINK("http://exon.niaid.nih.gov/transcriptome/O_fasciatus/Sup_tab1/links/SMART\of-new-contig_186-SMART.txt","TLC")</f>
        <v>TLC</v>
      </c>
      <c r="AV329" s="2" t="str">
        <f>HYPERLINK("http://smart.embl-heidelberg.de/smart/do_annotation.pl?DOMAIN=TLC&amp;BLAST=DUMMY","0.018")</f>
        <v>0.018</v>
      </c>
      <c r="AW329" s="3" t="s">
        <v>547</v>
      </c>
      <c r="AX329" s="2" t="s">
        <v>547</v>
      </c>
      <c r="AY329" s="3" t="s">
        <v>547</v>
      </c>
      <c r="AZ329" s="2" t="s">
        <v>547</v>
      </c>
    </row>
    <row r="330" spans="1:52" ht="11.25">
      <c r="A330" t="str">
        <f>HYPERLINK("http://exon.niaid.nih.gov/transcriptome/O_fasciatus/Sup_tab1/links/of-new\of-new-contig_215.txt","of-new-contig_215")</f>
        <v>of-new-contig_215</v>
      </c>
      <c r="B330" t="str">
        <f>HYPERLINK("http://exon.niaid.nih.gov/transcriptome/O_fasciatus/Sup_tab1/links/of-new\of-new-5-64-64-asb-215.txt","Contig-215")</f>
        <v>Contig-215</v>
      </c>
      <c r="C330" t="str">
        <f>HYPERLINK("http://exon.niaid.nih.gov/transcriptome/O_fasciatus/Sup_tab1/links/of-new\of-new-5-64-64-215-CLU.txt","Contig215")</f>
        <v>Contig215</v>
      </c>
      <c r="D330">
        <v>1</v>
      </c>
      <c r="E330">
        <v>120</v>
      </c>
      <c r="F330" t="str">
        <f>HYPERLINK("http://exon.niaid.nih.gov/transcriptome/O_fasciatus/Sup_tab1/links/of-new\of-new-5-64-64-215-qual.txt","46.4")</f>
        <v>46.4</v>
      </c>
      <c r="G330" t="s">
        <v>541</v>
      </c>
      <c r="H330">
        <v>70.8</v>
      </c>
      <c r="I330">
        <v>101</v>
      </c>
      <c r="J330">
        <v>215</v>
      </c>
      <c r="K330" t="s">
        <v>1293</v>
      </c>
      <c r="L330">
        <v>101</v>
      </c>
      <c r="M330" s="3" t="str">
        <f>HYPERLINK("http://exon.niaid.nih.gov/transcriptome/O_fasciatus/Sup_tab1/links/NR\of-new-contig_215-NR.txt","ATP synthase F0 subunit 6 [Podura aquatica]")</f>
        <v>ATP synthase F0 subunit 6 [Podura aquatica]</v>
      </c>
      <c r="N330" s="2" t="str">
        <f>HYPERLINK("http://www.ncbi.nlm.nih.gov/sutils/blink.cgi?pid=50812122","0.38")</f>
        <v>0.38</v>
      </c>
      <c r="O330" t="s">
        <v>764</v>
      </c>
      <c r="P330">
        <v>21</v>
      </c>
      <c r="Q330">
        <v>220</v>
      </c>
      <c r="R330">
        <v>85</v>
      </c>
      <c r="S330">
        <v>10</v>
      </c>
      <c r="T330">
        <v>200</v>
      </c>
      <c r="U330">
        <v>34</v>
      </c>
      <c r="V330">
        <v>1</v>
      </c>
      <c r="W330" t="s">
        <v>1412</v>
      </c>
      <c r="X330" t="s">
        <v>765</v>
      </c>
      <c r="Y330" t="s">
        <v>766</v>
      </c>
      <c r="Z330" s="4" t="s">
        <v>1051</v>
      </c>
      <c r="AA330" t="s">
        <v>1015</v>
      </c>
      <c r="AB330" s="3" t="s">
        <v>767</v>
      </c>
      <c r="AC330" s="2">
        <f>HYPERLINK("http://exon.niaid.nih.gov/transcriptome/O_fasciatus/Sup_tab1/links/GO\of-new-contig_215-GO.txt",0.086)</f>
        <v>0</v>
      </c>
      <c r="AD330" s="4" t="s">
        <v>768</v>
      </c>
      <c r="AE330" t="s">
        <v>769</v>
      </c>
      <c r="AF330">
        <v>0.086</v>
      </c>
      <c r="AG330" s="4" t="s">
        <v>1657</v>
      </c>
      <c r="AH330" t="s">
        <v>1658</v>
      </c>
      <c r="AI330">
        <v>0.086</v>
      </c>
      <c r="AJ330" s="4" t="s">
        <v>770</v>
      </c>
      <c r="AK330" t="s">
        <v>771</v>
      </c>
      <c r="AL330">
        <v>0.086</v>
      </c>
      <c r="AM330" s="3" t="str">
        <f>HYPERLINK("http://exon.niaid.nih.gov/transcriptome/O_fasciatus/Sup_tab1/links/KOG\of-new-contig_215-KOG.txt","ATP synthase F0 subunit 6 and related proteins")</f>
        <v>ATP synthase F0 subunit 6 and related proteins</v>
      </c>
      <c r="AN330" s="2" t="str">
        <f>HYPERLINK("http://www.ncbi.nlm.nih.gov/COG/new/shokog.cgi?KOG4665","4E-004")</f>
        <v>4E-004</v>
      </c>
      <c r="AO330" t="s">
        <v>1430</v>
      </c>
      <c r="AP330" s="3" t="str">
        <f>HYPERLINK("http://exon.niaid.nih.gov/transcriptome/O_fasciatus/Sup_tab1/links/CDD\of-new-contig_215-CDD.txt","ATP-synt_A")</f>
        <v>ATP-synt_A</v>
      </c>
      <c r="AQ330" s="2" t="str">
        <f>HYPERLINK("http://www.ncbi.nlm.nih.gov/Structure/cdd/cddsrv.cgi?uid=pfam00119&amp;version=v4.0","0.002")</f>
        <v>0.002</v>
      </c>
      <c r="AR330" t="s">
        <v>772</v>
      </c>
      <c r="AS330" s="3" t="str">
        <f>HYPERLINK("http://exon.niaid.nih.gov/transcriptome/O_fasciatus/Sup_tab1/links/PFAM\of-new-contig_215-PFAM.txt","ATP-synt_A")</f>
        <v>ATP-synt_A</v>
      </c>
      <c r="AT330" s="2" t="str">
        <f>HYPERLINK("http://pfam.wustl.edu/cgi-bin/getdesc?acc=PF00119","0.001")</f>
        <v>0.001</v>
      </c>
      <c r="AU330" s="3" t="s">
        <v>547</v>
      </c>
      <c r="AV330" s="2" t="s">
        <v>547</v>
      </c>
      <c r="AW330" s="3" t="s">
        <v>547</v>
      </c>
      <c r="AX330" s="2" t="s">
        <v>547</v>
      </c>
      <c r="AY330" s="3" t="s">
        <v>547</v>
      </c>
      <c r="AZ330" s="2" t="s">
        <v>547</v>
      </c>
    </row>
    <row r="331" spans="1:52" ht="11.25">
      <c r="A331" t="str">
        <f>HYPERLINK("http://exon.niaid.nih.gov/transcriptome/O_fasciatus/Sup_tab1/links/of-new\of-new-contig_236.txt","of-new-contig_236")</f>
        <v>of-new-contig_236</v>
      </c>
      <c r="B331" t="str">
        <f>HYPERLINK("http://exon.niaid.nih.gov/transcriptome/O_fasciatus/Sup_tab1/links/of-new\of-new-5-64-64-asb-236.txt","Contig-236")</f>
        <v>Contig-236</v>
      </c>
      <c r="C331" t="str">
        <f>HYPERLINK("http://exon.niaid.nih.gov/transcriptome/O_fasciatus/Sup_tab1/links/of-new\of-new-5-64-64-236-CLU.txt","Contig236")</f>
        <v>Contig236</v>
      </c>
      <c r="D331">
        <v>1</v>
      </c>
      <c r="E331">
        <v>119</v>
      </c>
      <c r="F331" t="str">
        <f>HYPERLINK("http://exon.niaid.nih.gov/transcriptome/O_fasciatus/Sup_tab1/links/of-new\of-new-5-64-64-236-qual.txt","46.4")</f>
        <v>46.4</v>
      </c>
      <c r="G331" t="s">
        <v>541</v>
      </c>
      <c r="H331">
        <v>69.7</v>
      </c>
      <c r="I331">
        <v>100</v>
      </c>
      <c r="J331">
        <v>236</v>
      </c>
      <c r="K331" t="s">
        <v>1314</v>
      </c>
      <c r="L331">
        <v>100</v>
      </c>
      <c r="N331" s="2" t="s">
        <v>547</v>
      </c>
      <c r="O331" t="s">
        <v>547</v>
      </c>
      <c r="P331" t="s">
        <v>547</v>
      </c>
      <c r="Q331" t="s">
        <v>547</v>
      </c>
      <c r="R331" t="s">
        <v>547</v>
      </c>
      <c r="S331" t="s">
        <v>547</v>
      </c>
      <c r="T331" t="s">
        <v>547</v>
      </c>
      <c r="U331" t="s">
        <v>547</v>
      </c>
      <c r="V331" t="s">
        <v>547</v>
      </c>
      <c r="W331" t="s">
        <v>547</v>
      </c>
      <c r="X331" t="s">
        <v>547</v>
      </c>
      <c r="Y331" t="s">
        <v>547</v>
      </c>
      <c r="Z331" s="4" t="s">
        <v>1051</v>
      </c>
      <c r="AA331" t="s">
        <v>1015</v>
      </c>
      <c r="AB331" s="3" t="s">
        <v>547</v>
      </c>
      <c r="AC331" s="2" t="s">
        <v>547</v>
      </c>
      <c r="AD331" s="4" t="s">
        <v>547</v>
      </c>
      <c r="AE331" t="s">
        <v>547</v>
      </c>
      <c r="AF331" t="s">
        <v>547</v>
      </c>
      <c r="AG331" s="4" t="s">
        <v>547</v>
      </c>
      <c r="AH331" t="s">
        <v>547</v>
      </c>
      <c r="AI331" t="s">
        <v>547</v>
      </c>
      <c r="AJ331" s="4" t="s">
        <v>547</v>
      </c>
      <c r="AK331" t="s">
        <v>547</v>
      </c>
      <c r="AL331" t="s">
        <v>547</v>
      </c>
      <c r="AM331" s="3" t="s">
        <v>547</v>
      </c>
      <c r="AN331" s="2" t="s">
        <v>547</v>
      </c>
      <c r="AO331" t="s">
        <v>547</v>
      </c>
      <c r="AP331" s="3" t="s">
        <v>547</v>
      </c>
      <c r="AQ331" s="2" t="s">
        <v>547</v>
      </c>
      <c r="AR331" t="s">
        <v>547</v>
      </c>
      <c r="AS331" s="3" t="s">
        <v>547</v>
      </c>
      <c r="AT331" s="2" t="s">
        <v>547</v>
      </c>
      <c r="AU331" s="3" t="s">
        <v>547</v>
      </c>
      <c r="AV331" s="2" t="s">
        <v>547</v>
      </c>
      <c r="AW331" s="3" t="s">
        <v>547</v>
      </c>
      <c r="AX331" s="2" t="s">
        <v>547</v>
      </c>
      <c r="AY331" s="3" t="s">
        <v>547</v>
      </c>
      <c r="AZ331" s="2" t="s">
        <v>547</v>
      </c>
    </row>
    <row r="333" ht="11.25">
      <c r="D333">
        <f>SUM(D5:D331)</f>
        <v>1018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 Ribeiro</cp:lastModifiedBy>
  <dcterms:created xsi:type="dcterms:W3CDTF">2006-12-06T16:04:25Z</dcterms:created>
  <dcterms:modified xsi:type="dcterms:W3CDTF">2007-01-24T14:26:08Z</dcterms:modified>
  <cp:category/>
  <cp:version/>
  <cp:contentType/>
  <cp:contentStatus/>
</cp:coreProperties>
</file>