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7185" windowHeight="6555" firstSheet="4" activeTab="4"/>
  </bookViews>
  <sheets>
    <sheet name="Enter Here - Procedure" sheetId="1" r:id="rId1"/>
    <sheet name="Site Data" sheetId="2" r:id="rId2"/>
    <sheet name="Baseline Report" sheetId="3" r:id="rId3"/>
    <sheet name="Equipment" sheetId="4" r:id="rId4"/>
    <sheet name="RESULTS" sheetId="5" r:id="rId5"/>
    <sheet name="Graphs" sheetId="6" r:id="rId6"/>
    <sheet name="Electric_Usage" sheetId="7" r:id="rId7"/>
    <sheet name="Load Profile Chart" sheetId="8" r:id="rId8"/>
    <sheet name="CHP Electric" sheetId="9" r:id="rId9"/>
    <sheet name="Electric Load vs Generation" sheetId="10" r:id="rId10"/>
    <sheet name="Peak Demand Profile" sheetId="11" r:id="rId11"/>
    <sheet name="Average Demand Profile" sheetId="12" r:id="rId12"/>
    <sheet name="Thermal Load vs Generation" sheetId="13" r:id="rId13"/>
    <sheet name="SUPPORTING INFORMATION" sheetId="14" r:id="rId14"/>
    <sheet name="Baseline" sheetId="15" r:id="rId15"/>
    <sheet name="Energy Consumption &amp; Costs" sheetId="16" r:id="rId16"/>
    <sheet name="Electric Load Profile" sheetId="17" r:id="rId17"/>
    <sheet name="Total Thermal Profile" sheetId="18" r:id="rId18"/>
    <sheet name="CHP" sheetId="19" r:id="rId19"/>
    <sheet name="CHP Electric Load Profile" sheetId="20" r:id="rId20"/>
    <sheet name="Generation Capability" sheetId="21" r:id="rId21"/>
    <sheet name="Thermal Profile inc TAT" sheetId="22" r:id="rId22"/>
    <sheet name="Equipment Factors" sheetId="23" r:id="rId23"/>
    <sheet name="Rules of Thumb &amp; Definitions " sheetId="24" r:id="rId24"/>
    <sheet name=" Conversions" sheetId="25" r:id="rId25"/>
  </sheets>
  <definedNames>
    <definedName name="Absopt_Hours">'Equipment'!$I$11</definedName>
    <definedName name="Avg_E_Load">'Generation Capability'!$E$5:$E$16</definedName>
    <definedName name="Base_Electric_Cost">'Energy Consumption &amp; Costs'!$F$17</definedName>
    <definedName name="Boiler_Eff">'RESULTS'!$C$12</definedName>
    <definedName name="CHP_Dollars">'Equipment'!$I$22</definedName>
    <definedName name="Class">'Site Data'!$F$8</definedName>
    <definedName name="EE_kWH">'Energy Consumption &amp; Costs'!$C$5:$C$16</definedName>
    <definedName name="Elec_Cap_Factor">'Generation Capability'!$K$4</definedName>
    <definedName name="Gen_Cap">'Equipment'!$C$20</definedName>
    <definedName name="Gen_Hours">'Equipment'!$G$11</definedName>
    <definedName name="Gen_Para">'Equipment'!$C$25</definedName>
    <definedName name="Gen_Selected">'Equipment'!$C$14</definedName>
    <definedName name="M_EE_kWH">'Energy Consumption &amp; Costs'!$C$5:$C$16</definedName>
    <definedName name="M_NG_Therms">'Energy Consumption &amp; Costs'!$G$5:$G$16</definedName>
    <definedName name="M_Peak_Demand_kw">'Energy Consumption &amp; Costs'!$D$5:$D$16</definedName>
    <definedName name="Sell_Back">'Generation Capability'!$K$6</definedName>
    <definedName name="Site_Data">'Site Data'!$K$11</definedName>
    <definedName name="T_E_Ratio">'Equipment'!$C$6</definedName>
  </definedNames>
  <calcPr fullCalcOnLoad="1"/>
</workbook>
</file>

<file path=xl/sharedStrings.xml><?xml version="1.0" encoding="utf-8"?>
<sst xmlns="http://schemas.openxmlformats.org/spreadsheetml/2006/main" count="704" uniqueCount="415">
  <si>
    <t>kW</t>
  </si>
  <si>
    <t>Cost</t>
  </si>
  <si>
    <t>Hours</t>
  </si>
  <si>
    <t>kWh</t>
  </si>
  <si>
    <t>Energy</t>
  </si>
  <si>
    <t>Peak Demand</t>
  </si>
  <si>
    <t>Average Demand</t>
  </si>
  <si>
    <t>Electricity</t>
  </si>
  <si>
    <t>Thermal</t>
  </si>
  <si>
    <t>lbm/h</t>
  </si>
  <si>
    <t>Gas</t>
  </si>
  <si>
    <t>$</t>
  </si>
  <si>
    <t>Fuels</t>
  </si>
  <si>
    <t>Hour/Month</t>
  </si>
  <si>
    <t>Month</t>
  </si>
  <si>
    <t>Total</t>
  </si>
  <si>
    <t>Cumulative</t>
  </si>
  <si>
    <t>$(1000)</t>
  </si>
  <si>
    <t>Years</t>
  </si>
  <si>
    <t>MWh</t>
  </si>
  <si>
    <t>ASSUMPTIONS</t>
  </si>
  <si>
    <t>%</t>
  </si>
  <si>
    <t>COSTS WITH COGENERATION  $(1000)</t>
  </si>
  <si>
    <t>¢/kWh</t>
  </si>
  <si>
    <t>Average</t>
  </si>
  <si>
    <t>N/A</t>
  </si>
  <si>
    <t>=</t>
  </si>
  <si>
    <t>Electric</t>
  </si>
  <si>
    <t>Maximum</t>
  </si>
  <si>
    <t>Microturbine</t>
  </si>
  <si>
    <t>Thermal-to-Electric Ratio</t>
  </si>
  <si>
    <t>Recommended Prime Mover(s)</t>
  </si>
  <si>
    <t>Select Prime Mover</t>
  </si>
  <si>
    <t>kWe</t>
  </si>
  <si>
    <t>Known</t>
  </si>
  <si>
    <t>Costs</t>
  </si>
  <si>
    <t>Generator</t>
  </si>
  <si>
    <t>Gas Engine</t>
  </si>
  <si>
    <t>** Phosphoric Acid Fuel Cells (PAFC) are being produced commercially for electric generation.  Solid Acid (SO) Fuel Cells and  Molten Carbonate (MC) may be future players in applications &gt;200 kWe.</t>
  </si>
  <si>
    <t>Absorption Cooling - Single Affect, Indirect Fired</t>
  </si>
  <si>
    <t>Engine Driven Chillers</t>
  </si>
  <si>
    <t>SCFM</t>
  </si>
  <si>
    <t>Units</t>
  </si>
  <si>
    <t>% (LHV)</t>
  </si>
  <si>
    <t>$/kWe</t>
  </si>
  <si>
    <t xml:space="preserve">Size Range </t>
  </si>
  <si>
    <t>Efficiency</t>
  </si>
  <si>
    <t>Installed Cost With Heat Recovery*</t>
  </si>
  <si>
    <t>O &amp; M Costs</t>
  </si>
  <si>
    <t>RT</t>
  </si>
  <si>
    <t>$/RT</t>
  </si>
  <si>
    <t>$/RT/yr</t>
  </si>
  <si>
    <t>kWe/RT</t>
  </si>
  <si>
    <t>O&amp;M Costs</t>
  </si>
  <si>
    <t>Thermal Input</t>
  </si>
  <si>
    <t>Electric Use</t>
  </si>
  <si>
    <t>$/SCFM</t>
  </si>
  <si>
    <t>Refrigeration Tons</t>
  </si>
  <si>
    <t>Phosphoric Acid Fuel Cells</t>
  </si>
  <si>
    <t>Recommended Generation</t>
  </si>
  <si>
    <t>Total Selected Capacity</t>
  </si>
  <si>
    <t>per kWe</t>
  </si>
  <si>
    <t>Estimated*</t>
  </si>
  <si>
    <t>Installation*</t>
  </si>
  <si>
    <t>Absorption Chiller</t>
  </si>
  <si>
    <t>Desiccant</t>
  </si>
  <si>
    <t>* Estimated Costs includes heat recovery unit and installation costs.</t>
  </si>
  <si>
    <t>Heat Recovery Unit*</t>
  </si>
  <si>
    <t>Select Desiccant</t>
  </si>
  <si>
    <t>Yes</t>
  </si>
  <si>
    <t>No</t>
  </si>
  <si>
    <t>Chose Size (per Unit)</t>
  </si>
  <si>
    <t>Chose Number of Units</t>
  </si>
  <si>
    <t>per RT</t>
  </si>
  <si>
    <t>per SCFM</t>
  </si>
  <si>
    <t>Unit(s)</t>
  </si>
  <si>
    <t>BTU/kWh</t>
  </si>
  <si>
    <t>COSTS WITHOUT COGENERATION $(1000)</t>
  </si>
  <si>
    <t>$/kw/month</t>
  </si>
  <si>
    <t>or</t>
  </si>
  <si>
    <t>BTU/h</t>
  </si>
  <si>
    <t>hp</t>
  </si>
  <si>
    <t>BTUs</t>
  </si>
  <si>
    <t>BTU</t>
  </si>
  <si>
    <t>ft-lbs</t>
  </si>
  <si>
    <t>Steam to Thermal</t>
  </si>
  <si>
    <t>Rate of Energy = Power</t>
  </si>
  <si>
    <t>lbm stm/h*</t>
  </si>
  <si>
    <t>Based on site load data</t>
  </si>
  <si>
    <t>Load Factor:</t>
  </si>
  <si>
    <t>Based on equipment output vs. capacity</t>
  </si>
  <si>
    <t>Capacity Factor:</t>
  </si>
  <si>
    <r>
      <t>Avg. kW output (for period)</t>
    </r>
    <r>
      <rPr>
        <sz val="10"/>
        <rFont val="Arial"/>
        <family val="0"/>
      </rPr>
      <t xml:space="preserve">
System kW capacity</t>
    </r>
  </si>
  <si>
    <r>
      <t xml:space="preserve">Electric
</t>
    </r>
    <r>
      <rPr>
        <i/>
        <sz val="9"/>
        <rFont val="Arial"/>
        <family val="2"/>
      </rPr>
      <t>(&gt; 70% Desirable)</t>
    </r>
  </si>
  <si>
    <r>
      <t xml:space="preserve">Thermal
</t>
    </r>
    <r>
      <rPr>
        <i/>
        <sz val="9"/>
        <rFont val="Arial"/>
        <family val="2"/>
      </rPr>
      <t>(&gt;80% Desirable)</t>
    </r>
  </si>
  <si>
    <r>
      <t xml:space="preserve">Steam
</t>
    </r>
    <r>
      <rPr>
        <i/>
        <sz val="9"/>
        <rFont val="Arial"/>
        <family val="2"/>
      </rPr>
      <t>(&gt;80% Desirable)</t>
    </r>
  </si>
  <si>
    <t>Thermal/Power Ratio</t>
  </si>
  <si>
    <r>
      <t>Avg. BTUs</t>
    </r>
    <r>
      <rPr>
        <sz val="10"/>
        <rFont val="Arial"/>
        <family val="0"/>
      </rPr>
      <t xml:space="preserve">
Avg. kW x 3412 BTUs/kW</t>
    </r>
  </si>
  <si>
    <r>
      <t>lbm/h steam</t>
    </r>
    <r>
      <rPr>
        <sz val="10"/>
        <rFont val="Arial"/>
        <family val="0"/>
      </rPr>
      <t xml:space="preserve">
kW</t>
    </r>
    <r>
      <rPr>
        <sz val="8"/>
        <rFont val="Arial"/>
        <family val="2"/>
      </rPr>
      <t>e</t>
    </r>
    <r>
      <rPr>
        <sz val="10"/>
        <rFont val="Arial"/>
        <family val="0"/>
      </rPr>
      <t xml:space="preserve"> out </t>
    </r>
    <r>
      <rPr>
        <i/>
        <sz val="10"/>
        <rFont val="Arial"/>
        <family val="2"/>
      </rPr>
      <t>(power)</t>
    </r>
  </si>
  <si>
    <r>
      <t>lbm steam</t>
    </r>
    <r>
      <rPr>
        <sz val="10"/>
        <rFont val="Arial"/>
        <family val="0"/>
      </rPr>
      <t xml:space="preserve">
kWh</t>
    </r>
    <r>
      <rPr>
        <sz val="8"/>
        <rFont val="Arial"/>
        <family val="2"/>
      </rPr>
      <t xml:space="preserve">e </t>
    </r>
    <r>
      <rPr>
        <sz val="10"/>
        <rFont val="Arial"/>
        <family val="0"/>
      </rPr>
      <t xml:space="preserve">out </t>
    </r>
    <r>
      <rPr>
        <i/>
        <sz val="10"/>
        <rFont val="Arial"/>
        <family val="2"/>
      </rPr>
      <t>(energy)</t>
    </r>
  </si>
  <si>
    <t>BTUs/h</t>
  </si>
  <si>
    <t>RT-h</t>
  </si>
  <si>
    <t>Single Effect</t>
  </si>
  <si>
    <r>
      <t xml:space="preserve">18 lbm/h/RT </t>
    </r>
    <r>
      <rPr>
        <i/>
        <sz val="10"/>
        <rFont val="Arial"/>
        <family val="2"/>
      </rPr>
      <t>(@ 15 psig)</t>
    </r>
  </si>
  <si>
    <t>Double Effect</t>
  </si>
  <si>
    <t>Triple Effect</t>
  </si>
  <si>
    <r>
      <t xml:space="preserve">11 lbm/h/RT </t>
    </r>
    <r>
      <rPr>
        <i/>
        <sz val="10"/>
        <rFont val="Arial"/>
        <family val="2"/>
      </rPr>
      <t>(@125 psig)</t>
    </r>
  </si>
  <si>
    <r>
      <t xml:space="preserve">8 lbm/h/RT </t>
    </r>
    <r>
      <rPr>
        <i/>
        <sz val="10"/>
        <rFont val="Arial"/>
        <family val="2"/>
      </rPr>
      <t>(@ 125 psig)</t>
    </r>
  </si>
  <si>
    <t>COP</t>
  </si>
  <si>
    <t>Not yet commercial</t>
  </si>
  <si>
    <r>
      <t>4 to 5 lbm/h/kW</t>
    </r>
    <r>
      <rPr>
        <sz val="8"/>
        <rFont val="Arial"/>
        <family val="2"/>
      </rPr>
      <t>e</t>
    </r>
  </si>
  <si>
    <r>
      <t>0.22 to 0.28 RT/kW</t>
    </r>
    <r>
      <rPr>
        <sz val="8"/>
        <rFont val="Arial"/>
        <family val="2"/>
      </rPr>
      <t>e</t>
    </r>
  </si>
  <si>
    <r>
      <t xml:space="preserve">Steam Output 
</t>
    </r>
    <r>
      <rPr>
        <i/>
        <sz val="9"/>
        <rFont val="Arial"/>
        <family val="2"/>
      </rPr>
      <t>(15 - 30 psig)</t>
    </r>
  </si>
  <si>
    <t>Gas Turbines</t>
  </si>
  <si>
    <r>
      <t xml:space="preserve">Steam Output 
</t>
    </r>
    <r>
      <rPr>
        <i/>
        <sz val="9"/>
        <rFont val="Arial"/>
        <family val="2"/>
      </rPr>
      <t>(300 - 600  psig)</t>
    </r>
  </si>
  <si>
    <r>
      <t>5 to 6 lbm/h/kW</t>
    </r>
    <r>
      <rPr>
        <sz val="8"/>
        <rFont val="Arial"/>
        <family val="2"/>
      </rPr>
      <t>e</t>
    </r>
  </si>
  <si>
    <r>
      <t>0.28 to 0.33 RT/kW</t>
    </r>
    <r>
      <rPr>
        <sz val="8"/>
        <rFont val="Arial"/>
        <family val="2"/>
      </rPr>
      <t>e</t>
    </r>
  </si>
  <si>
    <t>Natural Gas</t>
  </si>
  <si>
    <t>therm</t>
  </si>
  <si>
    <t>LHV</t>
  </si>
  <si>
    <t>LHV/HHV</t>
  </si>
  <si>
    <t>HHV</t>
  </si>
  <si>
    <t>Propane</t>
  </si>
  <si>
    <t>BTU/CF</t>
  </si>
  <si>
    <t>BTU/Gallon</t>
  </si>
  <si>
    <t>#2 Fuel Oil</t>
  </si>
  <si>
    <t>#6 Fuel Oil</t>
  </si>
  <si>
    <t>Sewage/Landfill</t>
  </si>
  <si>
    <t>Coal - Bituminous</t>
  </si>
  <si>
    <t>BTU/lbm</t>
  </si>
  <si>
    <t>Heat Recovery from Exhaust</t>
  </si>
  <si>
    <r>
      <t>MFR</t>
    </r>
    <r>
      <rPr>
        <sz val="8"/>
        <rFont val="Arial"/>
        <family val="2"/>
      </rPr>
      <t>e</t>
    </r>
  </si>
  <si>
    <t>Mass Flow Rate Exhaust Gas</t>
  </si>
  <si>
    <t>Cp</t>
  </si>
  <si>
    <t>BTU/lbm-°F</t>
  </si>
  <si>
    <t>°F</t>
  </si>
  <si>
    <r>
      <t>T</t>
    </r>
    <r>
      <rPr>
        <sz val="8"/>
        <rFont val="Arial"/>
        <family val="2"/>
      </rPr>
      <t>e</t>
    </r>
  </si>
  <si>
    <r>
      <t>T</t>
    </r>
    <r>
      <rPr>
        <sz val="8"/>
        <rFont val="Arial"/>
        <family val="2"/>
      </rPr>
      <t>s</t>
    </r>
  </si>
  <si>
    <t>Temperature of Exhaust</t>
  </si>
  <si>
    <t>Temperature of Stack</t>
  </si>
  <si>
    <r>
      <t xml:space="preserve">Where:       </t>
    </r>
    <r>
      <rPr>
        <sz val="10"/>
        <rFont val="Arial"/>
        <family val="2"/>
      </rPr>
      <t xml:space="preserve">   Q</t>
    </r>
  </si>
  <si>
    <t>Heat Recovered</t>
  </si>
  <si>
    <t>Gross Heat Rate</t>
  </si>
  <si>
    <r>
      <t>Fuel Input (LHV ) (BTU)</t>
    </r>
    <r>
      <rPr>
        <sz val="10"/>
        <rFont val="Arial"/>
        <family val="0"/>
      </rPr>
      <t xml:space="preserve">
Power Output (kWh</t>
    </r>
    <r>
      <rPr>
        <sz val="8"/>
        <rFont val="Arial"/>
        <family val="2"/>
      </rPr>
      <t>e</t>
    </r>
    <r>
      <rPr>
        <sz val="10"/>
        <rFont val="Arial"/>
        <family val="0"/>
      </rPr>
      <t>)</t>
    </r>
  </si>
  <si>
    <t>Gross Heat Exhaust (LHV)</t>
  </si>
  <si>
    <t>CHP Recoverable Heat (LHV)</t>
  </si>
  <si>
    <r>
      <t>BTU/kWh</t>
    </r>
    <r>
      <rPr>
        <sz val="8"/>
        <rFont val="Arial"/>
        <family val="2"/>
      </rPr>
      <t>e</t>
    </r>
  </si>
  <si>
    <t>Gross Heat Rate (LHV)</t>
  </si>
  <si>
    <t>Recoverable Heat Rate (LHV)</t>
  </si>
  <si>
    <r>
      <t>Avg. BTU output (for period)</t>
    </r>
    <r>
      <rPr>
        <sz val="10"/>
        <rFont val="Arial"/>
        <family val="0"/>
      </rPr>
      <t xml:space="preserve">
System capacity in BTUs</t>
    </r>
  </si>
  <si>
    <t>Hours/Year</t>
  </si>
  <si>
    <t>kWe @</t>
  </si>
  <si>
    <t>Electric Capacity Factor</t>
  </si>
  <si>
    <t>Hours &gt; System Capacity</t>
  </si>
  <si>
    <t>Total Thermal Use</t>
  </si>
  <si>
    <t>Thermal Capacity Factor</t>
  </si>
  <si>
    <r>
      <t>kW</t>
    </r>
    <r>
      <rPr>
        <i/>
        <sz val="8"/>
        <rFont val="Arial"/>
        <family val="2"/>
      </rPr>
      <t>t</t>
    </r>
  </si>
  <si>
    <t>MMBTU</t>
  </si>
  <si>
    <t>$/kWh</t>
  </si>
  <si>
    <t>Other</t>
  </si>
  <si>
    <t>kWe/kWe</t>
  </si>
  <si>
    <t>Estimated Hours of Operation</t>
  </si>
  <si>
    <t>Electric Displaced</t>
  </si>
  <si>
    <t>Electric Generators</t>
  </si>
  <si>
    <r>
      <t xml:space="preserve">Gas Turbine </t>
    </r>
    <r>
      <rPr>
        <i/>
        <sz val="10"/>
        <rFont val="Arial"/>
        <family val="2"/>
      </rPr>
      <t>(Simple Cycle)</t>
    </r>
  </si>
  <si>
    <t>0.6 kWe/RT</t>
  </si>
  <si>
    <t>Total kWh/Year</t>
  </si>
  <si>
    <t>Fuel Requirements:</t>
  </si>
  <si>
    <t>Steam Requirements</t>
  </si>
  <si>
    <t>$/MMBTU</t>
  </si>
  <si>
    <t>Generation Costs</t>
  </si>
  <si>
    <t>Total Electric Displaced by Non-Electric Chillers</t>
  </si>
  <si>
    <t>$/kWh/yr</t>
  </si>
  <si>
    <t>$/yr</t>
  </si>
  <si>
    <t>Qualified Facility</t>
  </si>
  <si>
    <t>(Assuming Gas or Liquid Fuel Fired)</t>
  </si>
  <si>
    <t>Sell Back Desired</t>
  </si>
  <si>
    <t>Electric Generation Thermal (Estimated)</t>
  </si>
  <si>
    <t>Average Power</t>
  </si>
  <si>
    <t>Electric Generation Electricity (Estimated)</t>
  </si>
  <si>
    <r>
      <t>kWh</t>
    </r>
    <r>
      <rPr>
        <sz val="8"/>
        <rFont val="Arial"/>
        <family val="2"/>
      </rPr>
      <t>e</t>
    </r>
  </si>
  <si>
    <r>
      <t>kW</t>
    </r>
    <r>
      <rPr>
        <sz val="8"/>
        <rFont val="Arial"/>
        <family val="2"/>
      </rPr>
      <t>e</t>
    </r>
  </si>
  <si>
    <r>
      <t>kWh</t>
    </r>
    <r>
      <rPr>
        <sz val="8"/>
        <rFont val="Arial"/>
        <family val="2"/>
      </rPr>
      <t>t</t>
    </r>
  </si>
  <si>
    <r>
      <t>kW</t>
    </r>
    <r>
      <rPr>
        <sz val="8"/>
        <rFont val="Arial"/>
        <family val="2"/>
      </rPr>
      <t>t</t>
    </r>
  </si>
  <si>
    <t>Including TAT Load</t>
  </si>
  <si>
    <t>MBTU/hr-RT</t>
  </si>
  <si>
    <t>MBTU/hr</t>
  </si>
  <si>
    <t>BTU/hr</t>
  </si>
  <si>
    <t>PURPA</t>
  </si>
  <si>
    <t>QF Efficiency</t>
  </si>
  <si>
    <r>
      <t>Q = MFR</t>
    </r>
    <r>
      <rPr>
        <sz val="8"/>
        <rFont val="Arial"/>
        <family val="2"/>
      </rPr>
      <t>e</t>
    </r>
    <r>
      <rPr>
        <sz val="10"/>
        <rFont val="Arial"/>
        <family val="2"/>
      </rPr>
      <t xml:space="preserve"> x Cp x (T</t>
    </r>
    <r>
      <rPr>
        <sz val="8"/>
        <rFont val="Arial"/>
        <family val="2"/>
      </rPr>
      <t>e</t>
    </r>
    <r>
      <rPr>
        <sz val="10"/>
        <rFont val="Arial"/>
        <family val="2"/>
      </rPr>
      <t xml:space="preserve"> - T</t>
    </r>
    <r>
      <rPr>
        <sz val="8"/>
        <rFont val="Arial"/>
        <family val="2"/>
      </rPr>
      <t>s</t>
    </r>
    <r>
      <rPr>
        <sz val="10"/>
        <rFont val="Arial"/>
        <family val="2"/>
      </rPr>
      <t>)</t>
    </r>
  </si>
  <si>
    <t>Fuel Input (BTU/h in LHV)</t>
  </si>
  <si>
    <t>&gt;</t>
  </si>
  <si>
    <t>42.5% or</t>
  </si>
  <si>
    <t>45% if &lt; 15% Thermal Recovery</t>
  </si>
  <si>
    <t>Heating Values:</t>
  </si>
  <si>
    <t>Higher Heating Value (HHV)</t>
  </si>
  <si>
    <t>Lower Heating Value (LHV)</t>
  </si>
  <si>
    <t>Assumes heat of condensation cannot be recovered</t>
  </si>
  <si>
    <t>LHV is used for majority of calculations.</t>
  </si>
  <si>
    <t>Heating Values - LHV/HHV</t>
  </si>
  <si>
    <t>Recoverable Heat Rate:</t>
  </si>
  <si>
    <t>Auxiliary Firing Rate:</t>
  </si>
  <si>
    <t>Rate at which fuel is added to the exhaust of the prime mover to increase the thermal output to met the thermal demands of the facility (BTU/h)</t>
  </si>
  <si>
    <t>Electrical output of the prime mover (kWe)</t>
  </si>
  <si>
    <t>Energy recovered from the thermal output from the prime mover that is used to provide the useful thermal output to meet the thermal demands of the facility (BTU/h)</t>
  </si>
  <si>
    <r>
      <t xml:space="preserve">Heating Values of Fuels
</t>
    </r>
    <r>
      <rPr>
        <i/>
        <sz val="9"/>
        <rFont val="Arial"/>
        <family val="2"/>
      </rPr>
      <t>(Typical</t>
    </r>
    <r>
      <rPr>
        <i/>
        <sz val="10"/>
        <rFont val="Arial"/>
        <family val="2"/>
      </rPr>
      <t xml:space="preserve">) </t>
    </r>
  </si>
  <si>
    <t xml:space="preserve">Coal </t>
  </si>
  <si>
    <t xml:space="preserve"> Bituminous</t>
  </si>
  <si>
    <t>Thermal Coincidence:</t>
  </si>
  <si>
    <t>Recoverable heat that can provide useful thermal output</t>
  </si>
  <si>
    <r>
      <t>Total recoverable heat from the prime mover</t>
    </r>
    <r>
      <rPr>
        <i/>
        <sz val="10"/>
        <rFont val="Arial"/>
        <family val="2"/>
      </rPr>
      <t xml:space="preserve">
(adjusted for availability)</t>
    </r>
  </si>
  <si>
    <r>
      <t xml:space="preserve">Electrical output of the engine (kWe)
</t>
    </r>
    <r>
      <rPr>
        <i/>
        <sz val="10"/>
        <rFont val="Arial"/>
        <family val="2"/>
      </rPr>
      <t>(adjusted for availability)</t>
    </r>
  </si>
  <si>
    <t>Internal Rate of Return (IRR):</t>
  </si>
  <si>
    <t>Standby Charge:</t>
  </si>
  <si>
    <t>Reciprocating Engines</t>
  </si>
  <si>
    <t>Absorption Chillers</t>
  </si>
  <si>
    <t>Estimated Recoverable CHP Heat</t>
  </si>
  <si>
    <t>*   Costs can vary significantly due to interconnection and other siting requirements.</t>
  </si>
  <si>
    <t>Average Electric Offset</t>
  </si>
  <si>
    <r>
      <t>Avg. lbm/h output (for period)</t>
    </r>
    <r>
      <rPr>
        <sz val="10"/>
        <rFont val="Arial"/>
        <family val="0"/>
      </rPr>
      <t xml:space="preserve">
System capacity in lbm/h</t>
    </r>
  </si>
  <si>
    <r>
      <t xml:space="preserve">Absorption Chiller 
</t>
    </r>
    <r>
      <rPr>
        <i/>
        <sz val="10"/>
        <rFont val="Arial"/>
        <family val="2"/>
      </rPr>
      <t>(Single Effect)</t>
    </r>
  </si>
  <si>
    <t>Heat Capacity</t>
  </si>
  <si>
    <t>Total energy from combustion process</t>
  </si>
  <si>
    <t>Determines the discount rate necessary for a zero net present value of the cash flow beginning with the negative cash in the zero year and extending through 10 years following the beginning of operation.</t>
  </si>
  <si>
    <r>
      <t>Avg. kW (for period)</t>
    </r>
    <r>
      <rPr>
        <sz val="10"/>
        <rFont val="Arial"/>
        <family val="0"/>
      </rPr>
      <t xml:space="preserve">
Peak kW (for period)</t>
    </r>
  </si>
  <si>
    <r>
      <t>Avg. BTUs (for period)</t>
    </r>
    <r>
      <rPr>
        <sz val="10"/>
        <rFont val="Arial"/>
        <family val="0"/>
      </rPr>
      <t xml:space="preserve">
Peak BTUs (for period)</t>
    </r>
  </si>
  <si>
    <t>PURPA Minimum Qualifying Facility (QF):</t>
  </si>
  <si>
    <r>
      <t xml:space="preserve">Absorption Chiller </t>
    </r>
    <r>
      <rPr>
        <i/>
        <sz val="10"/>
        <rFont val="Arial"/>
        <family val="2"/>
      </rPr>
      <t>(Single Effect)</t>
    </r>
  </si>
  <si>
    <r>
      <t xml:space="preserve">Steam Rates
</t>
    </r>
    <r>
      <rPr>
        <i/>
        <sz val="8"/>
        <rFont val="Arial"/>
        <family val="2"/>
      </rPr>
      <t>(Industrial Steam Turbines)</t>
    </r>
  </si>
  <si>
    <t>Monthly charge in $/kWe by the local power company for the right to buy purchase capacity and energy on an as required basis to backup the prime mover for any unscheduled outages or scheduled maintenance.</t>
  </si>
  <si>
    <t>Electrical to Thermal</t>
  </si>
  <si>
    <t>lbm steam*</t>
  </si>
  <si>
    <t>* Use actual enthalpy values from steam tables at given pressure and temperature for more accuracy!</t>
  </si>
  <si>
    <t>Therms</t>
  </si>
  <si>
    <t>Fuel Oil</t>
  </si>
  <si>
    <t>Thermal Load</t>
  </si>
  <si>
    <t>Facility Name</t>
  </si>
  <si>
    <t>Street Address</t>
  </si>
  <si>
    <t>City</t>
  </si>
  <si>
    <t>State</t>
  </si>
  <si>
    <t>Zipcode</t>
  </si>
  <si>
    <t>Contact</t>
  </si>
  <si>
    <t>Title</t>
  </si>
  <si>
    <t>Phone Number</t>
  </si>
  <si>
    <t>Fax Number</t>
  </si>
  <si>
    <t>E-Mail Address</t>
  </si>
  <si>
    <t>Facility Type</t>
  </si>
  <si>
    <t>SIC</t>
  </si>
  <si>
    <t>Classification</t>
  </si>
  <si>
    <t>Industrial</t>
  </si>
  <si>
    <t>Commercial</t>
  </si>
  <si>
    <t>Institutional</t>
  </si>
  <si>
    <t>Average Output</t>
  </si>
  <si>
    <t>Gallons</t>
  </si>
  <si>
    <t>Gallon</t>
  </si>
  <si>
    <t>Fuel Oil #2</t>
  </si>
  <si>
    <t>Fuel Oil #6</t>
  </si>
  <si>
    <t>#2</t>
  </si>
  <si>
    <t>#6</t>
  </si>
  <si>
    <t>Sell Back</t>
  </si>
  <si>
    <t>Electric Efficiency</t>
  </si>
  <si>
    <t>1234 W. Main St</t>
  </si>
  <si>
    <t>SITE</t>
  </si>
  <si>
    <t>FINANCIAL RESULTS</t>
  </si>
  <si>
    <t>SAVINGS</t>
  </si>
  <si>
    <t xml:space="preserve">TOTAL </t>
  </si>
  <si>
    <t>TOTAL</t>
  </si>
  <si>
    <t>CHP RESULTS</t>
  </si>
  <si>
    <t>RESULTS</t>
  </si>
  <si>
    <t>SIMPLE PAYBACK</t>
  </si>
  <si>
    <t>RULES OF THUMB</t>
  </si>
  <si>
    <t>CONVERSIONS</t>
  </si>
  <si>
    <t>Average Electric Cost</t>
  </si>
  <si>
    <t>Initial Electric Sell Back</t>
  </si>
  <si>
    <t>Supplemental Elect  Cost</t>
  </si>
  <si>
    <t>Cogen Initial Fuel Cost</t>
  </si>
  <si>
    <t>W/O Cogen Fuel Cost</t>
  </si>
  <si>
    <t>Existing Boiler Efficiency</t>
  </si>
  <si>
    <t>Standby Demand Charge</t>
  </si>
  <si>
    <t>Standby Capacity Required</t>
  </si>
  <si>
    <t>O&amp;M Charge</t>
  </si>
  <si>
    <t>Annual Electric Load</t>
  </si>
  <si>
    <t>Annual Heat Load</t>
  </si>
  <si>
    <t>Electricity  Costs</t>
  </si>
  <si>
    <t>Thermal Energy Costs</t>
  </si>
  <si>
    <t>Supplemental Electric Purchase</t>
  </si>
  <si>
    <t>Fuel</t>
  </si>
  <si>
    <t>Electricity Sold</t>
  </si>
  <si>
    <t>O&amp;M</t>
  </si>
  <si>
    <t>Standby Charges</t>
  </si>
  <si>
    <t>Total ECP Cost</t>
  </si>
  <si>
    <t>Prime Mover</t>
  </si>
  <si>
    <t>Parasitic Load</t>
  </si>
  <si>
    <t>Total Generation Capacity</t>
  </si>
  <si>
    <t>Electrical Output</t>
  </si>
  <si>
    <t>Absorption Chiller Credit</t>
  </si>
  <si>
    <t>Net Total Generation Effect</t>
  </si>
  <si>
    <t>Elecectric Capacity  Factor</t>
  </si>
  <si>
    <t>Recoverable Heat</t>
  </si>
  <si>
    <t>Thermal Loads</t>
  </si>
  <si>
    <t>TAT Thermal Loads (June, July, August)</t>
  </si>
  <si>
    <t>Total Thermal Load with TAT</t>
  </si>
  <si>
    <t>Thermal Energy Output</t>
  </si>
  <si>
    <t xml:space="preserve">   From Generator</t>
  </si>
  <si>
    <t xml:space="preserve">   From Auxiliary Boiler</t>
  </si>
  <si>
    <t xml:space="preserve">   For Generator (HHV)</t>
  </si>
  <si>
    <t xml:space="preserve">   For Auxiliary Boiler (HHV)</t>
  </si>
  <si>
    <t>Gross Heat Rate Exhaust (LHV)</t>
  </si>
  <si>
    <t>(kWe x 3412.8) + 1/2(Useful Thermal Energy)</t>
  </si>
  <si>
    <t>Electric Sold</t>
  </si>
  <si>
    <r>
      <t>kWh</t>
    </r>
    <r>
      <rPr>
        <sz val="9"/>
        <rFont val="Arial"/>
        <family val="2"/>
      </rPr>
      <t>e</t>
    </r>
  </si>
  <si>
    <t>kWhe</t>
  </si>
  <si>
    <t>Actual Energy</t>
  </si>
  <si>
    <t>Generated Energy</t>
  </si>
  <si>
    <t>~ 850 Hours/Year</t>
  </si>
  <si>
    <t xml:space="preserve">Commercial/Institutional </t>
  </si>
  <si>
    <t>Building Occupancy</t>
  </si>
  <si>
    <t>9 Hours/Day</t>
  </si>
  <si>
    <t xml:space="preserve">Absorption Chillers </t>
  </si>
  <si>
    <t>3 Months</t>
  </si>
  <si>
    <r>
      <t>(Based on operating only during peak summer demand hours)</t>
    </r>
    <r>
      <rPr>
        <sz val="8"/>
        <rFont val="Arial"/>
        <family val="2"/>
      </rPr>
      <t xml:space="preserve"> </t>
    </r>
  </si>
  <si>
    <t xml:space="preserve">Industrial </t>
  </si>
  <si>
    <t>2 Shifts</t>
  </si>
  <si>
    <t>3 Shifts</t>
  </si>
  <si>
    <t>Continuous</t>
  </si>
  <si>
    <t>~</t>
  </si>
  <si>
    <t xml:space="preserve">2400 Hours/Year </t>
  </si>
  <si>
    <t xml:space="preserve">3200 Hours/Year </t>
  </si>
  <si>
    <t xml:space="preserve">4200 Hours/Year </t>
  </si>
  <si>
    <t xml:space="preserve">6300 Hours/Year </t>
  </si>
  <si>
    <t xml:space="preserve">8760 Hours/Year </t>
  </si>
  <si>
    <t>Operational Hours Consideration:</t>
  </si>
  <si>
    <t>Phosphoric Acid Fuel Cells**</t>
  </si>
  <si>
    <t>Guidelines for Estimating Hours</t>
  </si>
  <si>
    <t>Peak Demand:</t>
  </si>
  <si>
    <t>9a - 10p</t>
  </si>
  <si>
    <t>Peak Energy:</t>
  </si>
  <si>
    <t>9a -  6p</t>
  </si>
  <si>
    <t>Summer Peak Demand:</t>
  </si>
  <si>
    <t>Summer Peak Energy:</t>
  </si>
  <si>
    <t>2 Shifts:</t>
  </si>
  <si>
    <t>16 Hours (Weekdays)</t>
  </si>
  <si>
    <t>3 Shifts:</t>
  </si>
  <si>
    <t>24 Hours (Weekdays)</t>
  </si>
  <si>
    <t>Continous:</t>
  </si>
  <si>
    <t>"24/7/365"</t>
  </si>
  <si>
    <t>Installed Cost (1)</t>
  </si>
  <si>
    <t>(1) Installed cost includes cooling tower, cooling tower pumps, and gas connection.</t>
  </si>
  <si>
    <t>Desiccants - Solid</t>
  </si>
  <si>
    <t>Parameter</t>
  </si>
  <si>
    <t>Flow Rate</t>
  </si>
  <si>
    <t>¢/SCFM/yr</t>
  </si>
  <si>
    <t>BTU/hr per SCFM</t>
  </si>
  <si>
    <t>Latent Heat Removal</t>
  </si>
  <si>
    <t>Desiccants - Liquid</t>
  </si>
  <si>
    <t>Installed Cost</t>
  </si>
  <si>
    <t>NG Reciprocating Engines</t>
  </si>
  <si>
    <t>CO</t>
  </si>
  <si>
    <t>VOM</t>
  </si>
  <si>
    <t>12 -7.6</t>
  </si>
  <si>
    <r>
      <t>Emissions</t>
    </r>
    <r>
      <rPr>
        <i/>
        <sz val="10"/>
        <rFont val="Arial"/>
        <family val="2"/>
      </rPr>
      <t xml:space="preserve"> (lbs/MWh)</t>
    </r>
  </si>
  <si>
    <t>Generating Size</t>
  </si>
  <si>
    <t>7.8 - 5.0</t>
  </si>
  <si>
    <t>1.6 -1.0</t>
  </si>
  <si>
    <r>
      <t>CO</t>
    </r>
    <r>
      <rPr>
        <sz val="8"/>
        <rFont val="Arial"/>
        <family val="2"/>
      </rPr>
      <t>2</t>
    </r>
  </si>
  <si>
    <r>
      <t>NO</t>
    </r>
    <r>
      <rPr>
        <sz val="8"/>
        <rFont val="Arial"/>
        <family val="2"/>
      </rPr>
      <t>x</t>
    </r>
  </si>
  <si>
    <t>4.5 - 3.0</t>
  </si>
  <si>
    <t>1.2 - 0.8</t>
  </si>
  <si>
    <t>0.030 - 0.020</t>
  </si>
  <si>
    <t>Unknown</t>
  </si>
  <si>
    <r>
      <t>100 - 2,000 kW</t>
    </r>
    <r>
      <rPr>
        <i/>
        <sz val="8"/>
        <rFont val="Arial"/>
        <family val="2"/>
      </rPr>
      <t>e</t>
    </r>
  </si>
  <si>
    <r>
      <t>1,000 - 50,000 kW</t>
    </r>
    <r>
      <rPr>
        <i/>
        <sz val="8"/>
        <rFont val="Arial"/>
        <family val="2"/>
      </rPr>
      <t>e</t>
    </r>
  </si>
  <si>
    <t>Regeneration Requirements (200°F)</t>
  </si>
  <si>
    <t>None</t>
  </si>
  <si>
    <t>Solid</t>
  </si>
  <si>
    <t>Liquid</t>
  </si>
  <si>
    <t>Solid &amp; Com or Inst</t>
  </si>
  <si>
    <t>Solid &amp; Indus</t>
  </si>
  <si>
    <t>Liquid  &amp; Com or Inst</t>
  </si>
  <si>
    <t>Liquid  &amp; Ind</t>
  </si>
  <si>
    <t>Latent Heat Removal Rate</t>
  </si>
  <si>
    <t>kWh per 1000 SCFM</t>
  </si>
  <si>
    <t>MN Hospital</t>
  </si>
  <si>
    <t>Peak Averge Electric Cost</t>
  </si>
  <si>
    <t>Electric Sell Back Desired</t>
  </si>
  <si>
    <t>Electric Sell Back Price</t>
  </si>
  <si>
    <t>Peak Electric Rates Apply</t>
  </si>
  <si>
    <t>Peak Electric Charge Adjustment</t>
  </si>
  <si>
    <t>Size</t>
  </si>
  <si>
    <t>Will the Absorption ChillerDisplace an Electric Chiller?</t>
  </si>
  <si>
    <t>Would a desicant have been installed anyway?</t>
  </si>
  <si>
    <t>Would backup generation have been installed anyway?</t>
  </si>
  <si>
    <t>If "Yes", indicated planned size</t>
  </si>
  <si>
    <t>Credit for Planned Installed Backup</t>
  </si>
  <si>
    <t>Credit for Displacced Electric Chillers</t>
  </si>
  <si>
    <t>Include Absorption Chiller</t>
  </si>
  <si>
    <t>Cost*</t>
  </si>
  <si>
    <t>Cogen Fuel Cost</t>
  </si>
  <si>
    <t>Maxium</t>
  </si>
  <si>
    <t>Minimum</t>
  </si>
  <si>
    <t>1=Commercial, 2=Institttional, 6000=Industrial</t>
  </si>
  <si>
    <t>Demand Follow Capability</t>
  </si>
  <si>
    <t>Peak kW</t>
  </si>
  <si>
    <t>Avg kW</t>
  </si>
  <si>
    <t>Baseline Report for</t>
  </si>
  <si>
    <t>* Excludes Taxes</t>
  </si>
  <si>
    <t>Parasitic Electric Use</t>
  </si>
  <si>
    <t>Paraitic Electric Use</t>
  </si>
  <si>
    <r>
      <t>kW</t>
    </r>
    <r>
      <rPr>
        <sz val="8"/>
        <rFont val="Arial"/>
        <family val="2"/>
      </rPr>
      <t>e</t>
    </r>
    <r>
      <rPr>
        <sz val="10"/>
        <rFont val="Arial"/>
        <family val="0"/>
      </rPr>
      <t>/kW</t>
    </r>
    <r>
      <rPr>
        <sz val="8"/>
        <rFont val="Arial"/>
        <family val="2"/>
      </rPr>
      <t>e</t>
    </r>
  </si>
  <si>
    <r>
      <t>kW</t>
    </r>
    <r>
      <rPr>
        <sz val="8"/>
        <rFont val="Arial"/>
        <family val="2"/>
      </rPr>
      <t>e</t>
    </r>
    <r>
      <rPr>
        <sz val="10"/>
        <rFont val="Arial"/>
        <family val="0"/>
      </rPr>
      <t xml:space="preserve"> per kSCFM</t>
    </r>
  </si>
  <si>
    <t>% of Total Cost from Peak Demand Charges</t>
  </si>
  <si>
    <t>$/RT-yr</t>
  </si>
  <si>
    <t>Milwakee</t>
  </si>
  <si>
    <t>WI</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</si>
</sst>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quot;#,##0.00000_);[Red]\(&quot;$&quot;#,##0.00000\)"/>
    <numFmt numFmtId="168" formatCode="&quot;$&quot;#,##0"/>
    <numFmt numFmtId="169" formatCode="&quot;$&quot;#,##0.00"/>
    <numFmt numFmtId="170" formatCode="&quot;$&quot;#,##0.0000_);[Red]\(&quot;$&quot;#,##0.0000\)"/>
    <numFmt numFmtId="171" formatCode="&quot;$&quot;#,##0.000"/>
    <numFmt numFmtId="172" formatCode="&quot;Yes&quot;;&quot;Yes&quot;;&quot;No&quot;"/>
    <numFmt numFmtId="173" formatCode="&quot;True&quot;;&quot;True&quot;;&quot;False&quot;"/>
    <numFmt numFmtId="174" formatCode="&quot;On&quot;;&quot;On&quot;;&quot;Off&quot;"/>
    <numFmt numFmtId="175" formatCode="&quot;$&quot;#,##0.0000"/>
    <numFmt numFmtId="176" formatCode="#,##0.0"/>
    <numFmt numFmtId="177" formatCode="#,##0.0000"/>
    <numFmt numFmtId="178" formatCode="#,##0.000_);[Red]\(#,##0.000\)"/>
    <numFmt numFmtId="179" formatCode="0.000000000"/>
    <numFmt numFmtId="180" formatCode="0.000000000000000%"/>
    <numFmt numFmtId="181" formatCode="#,##0.000"/>
    <numFmt numFmtId="182" formatCode="&quot;$&quot;#,##0.000_);[Red]\(&quot;$&quot;#,##0.000\)"/>
    <numFmt numFmtId="183" formatCode="0.00000"/>
    <numFmt numFmtId="184" formatCode="0.000000"/>
    <numFmt numFmtId="185" formatCode="_(&quot;$&quot;* #,##0.000000_);_(&quot;$&quot;* \(#,##0.000000\);_(&quot;$&quot;* &quot;-&quot;??????_);_(@_)"/>
    <numFmt numFmtId="186" formatCode="&quot;$&quot;#,##0.000000_);[Red]\(&quot;$&quot;#,##0.000000\)"/>
    <numFmt numFmtId="187" formatCode="&quot;$&quot;#,##0.000000"/>
    <numFmt numFmtId="188" formatCode="&quot;$&quot;#,##0.0000000"/>
    <numFmt numFmtId="189" formatCode="yyyy"/>
    <numFmt numFmtId="190" formatCode="mmmm\-yy"/>
    <numFmt numFmtId="191" formatCode="&quot;$&quot;#,##0.0_);[Red]\(&quot;$&quot;#,##0.0\)"/>
  </numFmts>
  <fonts count="54">
    <font>
      <sz val="10"/>
      <name val="Arial"/>
      <family val="0"/>
    </font>
    <font>
      <u val="single"/>
      <sz val="10"/>
      <color indexed="36"/>
      <name val="Arial"/>
      <family val="0"/>
    </font>
    <font>
      <u val="single"/>
      <sz val="10"/>
      <color indexed="12"/>
      <name val="Arial"/>
      <family val="0"/>
    </font>
    <font>
      <b/>
      <sz val="10"/>
      <name val="Arial"/>
      <family val="2"/>
    </font>
    <font>
      <sz val="9.5"/>
      <name val="Arial"/>
      <family val="0"/>
    </font>
    <font>
      <b/>
      <sz val="9.5"/>
      <name val="Arial"/>
      <family val="0"/>
    </font>
    <font>
      <i/>
      <sz val="10"/>
      <name val="Arial"/>
      <family val="2"/>
    </font>
    <font>
      <sz val="10"/>
      <color indexed="9"/>
      <name val="Arial"/>
      <family val="2"/>
    </font>
    <font>
      <b/>
      <sz val="10"/>
      <color indexed="12"/>
      <name val="Arial"/>
      <family val="2"/>
    </font>
    <font>
      <b/>
      <i/>
      <sz val="10"/>
      <name val="Arial"/>
      <family val="2"/>
    </font>
    <font>
      <b/>
      <sz val="11"/>
      <name val="Arial"/>
      <family val="2"/>
    </font>
    <font>
      <u val="single"/>
      <sz val="10"/>
      <name val="Arial"/>
      <family val="2"/>
    </font>
    <font>
      <i/>
      <sz val="9"/>
      <name val="Arial"/>
      <family val="2"/>
    </font>
    <font>
      <i/>
      <sz val="8"/>
      <name val="Arial"/>
      <family val="2"/>
    </font>
    <font>
      <sz val="8"/>
      <name val="Arial"/>
      <family val="2"/>
    </font>
    <font>
      <sz val="10"/>
      <color indexed="8"/>
      <name val="Arial"/>
      <family val="2"/>
    </font>
    <font>
      <i/>
      <u val="single"/>
      <sz val="10"/>
      <name val="Arial"/>
      <family val="2"/>
    </font>
    <font>
      <sz val="10"/>
      <color indexed="10"/>
      <name val="Arial"/>
      <family val="2"/>
    </font>
    <font>
      <b/>
      <sz val="9.5"/>
      <color indexed="18"/>
      <name val="Arial"/>
      <family val="2"/>
    </font>
    <font>
      <b/>
      <sz val="13.25"/>
      <name val="Arial"/>
      <family val="2"/>
    </font>
    <font>
      <sz val="12"/>
      <name val="Arial"/>
      <family val="2"/>
    </font>
    <font>
      <b/>
      <sz val="14"/>
      <name val="Arial"/>
      <family val="2"/>
    </font>
    <font>
      <sz val="11"/>
      <name val="Arial"/>
      <family val="2"/>
    </font>
    <font>
      <b/>
      <i/>
      <sz val="11"/>
      <name val="Arial"/>
      <family val="2"/>
    </font>
    <font>
      <b/>
      <sz val="15.25"/>
      <name val="Arial"/>
      <family val="2"/>
    </font>
    <font>
      <sz val="10"/>
      <color indexed="44"/>
      <name val="Arial"/>
      <family val="2"/>
    </font>
    <font>
      <sz val="10"/>
      <color indexed="11"/>
      <name val="Arial"/>
      <family val="2"/>
    </font>
    <font>
      <b/>
      <sz val="16"/>
      <name val="Arial"/>
      <family val="2"/>
    </font>
    <font>
      <b/>
      <sz val="8"/>
      <name val="Arial"/>
      <family val="2"/>
    </font>
    <font>
      <b/>
      <sz val="8"/>
      <color indexed="48"/>
      <name val="Arial"/>
      <family val="2"/>
    </font>
    <font>
      <sz val="8"/>
      <color indexed="9"/>
      <name val="Arial"/>
      <family val="2"/>
    </font>
    <font>
      <b/>
      <sz val="8"/>
      <color indexed="9"/>
      <name val="Arial"/>
      <family val="2"/>
    </font>
    <font>
      <b/>
      <sz val="8"/>
      <color indexed="12"/>
      <name val="Arial"/>
      <family val="2"/>
    </font>
    <font>
      <b/>
      <sz val="8"/>
      <color indexed="57"/>
      <name val="Arial"/>
      <family val="2"/>
    </font>
    <font>
      <sz val="9"/>
      <name val="Arial"/>
      <family val="2"/>
    </font>
    <font>
      <b/>
      <sz val="11.5"/>
      <name val="Arial"/>
      <family val="0"/>
    </font>
    <font>
      <b/>
      <sz val="10"/>
      <color indexed="8"/>
      <name val="Arial"/>
      <family val="2"/>
    </font>
    <font>
      <b/>
      <sz val="12"/>
      <name val="Arial"/>
      <family val="2"/>
    </font>
    <font>
      <b/>
      <sz val="24"/>
      <name val="Arial"/>
      <family val="2"/>
    </font>
    <font>
      <sz val="16"/>
      <name val="Arial"/>
      <family val="2"/>
    </font>
    <font>
      <b/>
      <sz val="5.75"/>
      <name val="Arial"/>
      <family val="0"/>
    </font>
    <font>
      <sz val="5.75"/>
      <name val="Arial"/>
      <family val="0"/>
    </font>
    <font>
      <b/>
      <sz val="9"/>
      <name val="Arial"/>
      <family val="2"/>
    </font>
    <font>
      <b/>
      <sz val="9"/>
      <color indexed="18"/>
      <name val="Arial"/>
      <family val="2"/>
    </font>
    <font>
      <u val="single"/>
      <sz val="14"/>
      <color indexed="12"/>
      <name val="Arial"/>
      <family val="2"/>
    </font>
    <font>
      <b/>
      <sz val="10"/>
      <color indexed="9"/>
      <name val="Arial"/>
      <family val="2"/>
    </font>
    <font>
      <b/>
      <i/>
      <sz val="20"/>
      <color indexed="12"/>
      <name val="Arial"/>
      <family val="2"/>
    </font>
    <font>
      <sz val="5"/>
      <name val="Arial"/>
      <family val="0"/>
    </font>
    <font>
      <b/>
      <sz val="5"/>
      <name val="Arial"/>
      <family val="0"/>
    </font>
    <font>
      <b/>
      <sz val="8.25"/>
      <name val="Arial"/>
      <family val="2"/>
    </font>
    <font>
      <b/>
      <sz val="5.25"/>
      <name val="Arial"/>
      <family val="0"/>
    </font>
    <font>
      <sz val="5.25"/>
      <name val="Arial"/>
      <family val="0"/>
    </font>
    <font>
      <sz val="6"/>
      <name val="Arial"/>
      <family val="2"/>
    </font>
    <font>
      <sz val="8"/>
      <name val="Tahoma"/>
      <family val="2"/>
    </font>
  </fonts>
  <fills count="11">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9"/>
        <bgColor indexed="64"/>
      </patternFill>
    </fill>
    <fill>
      <patternFill patternType="solid">
        <fgColor indexed="34"/>
        <bgColor indexed="64"/>
      </patternFill>
    </fill>
  </fills>
  <borders count="82">
    <border>
      <left/>
      <right/>
      <top/>
      <bottom/>
      <diagonal/>
    </border>
    <border>
      <left style="medium"/>
      <right style="medium"/>
      <top style="medium"/>
      <bottom>
        <color indexed="63"/>
      </bottom>
    </border>
    <border>
      <left style="medium"/>
      <right>
        <color indexed="63"/>
      </right>
      <top style="medium"/>
      <bottom style="thin"/>
    </border>
    <border>
      <left style="medium"/>
      <right style="thin"/>
      <top style="medium"/>
      <bottom style="thin"/>
    </border>
    <border>
      <left>
        <color indexed="63"/>
      </left>
      <right>
        <color indexed="63"/>
      </right>
      <top style="medium"/>
      <bottom style="thin"/>
    </border>
    <border>
      <left style="medium"/>
      <right>
        <color indexed="63"/>
      </right>
      <top style="thin"/>
      <bottom style="thin"/>
    </border>
    <border>
      <left style="medium"/>
      <right style="thin"/>
      <top style="thin"/>
      <bottom style="thin"/>
    </border>
    <border>
      <left>
        <color indexed="63"/>
      </left>
      <right>
        <color indexed="63"/>
      </right>
      <top style="thin"/>
      <bottom style="thin"/>
    </border>
    <border>
      <left style="thin"/>
      <right style="medium"/>
      <top style="thin"/>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style="medium"/>
      <bottom>
        <color indexed="63"/>
      </bottom>
    </border>
    <border>
      <left style="thin"/>
      <right style="medium"/>
      <top>
        <color indexed="63"/>
      </top>
      <bottom style="thin"/>
    </border>
    <border>
      <left>
        <color indexed="63"/>
      </left>
      <right style="medium"/>
      <top style="medium"/>
      <bottom style="medium"/>
    </border>
    <border>
      <left style="thin"/>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color indexed="63"/>
      </bottom>
    </border>
    <border>
      <left style="thin"/>
      <right style="medium"/>
      <top style="thin"/>
      <bottom style="medium"/>
    </border>
    <border>
      <left style="thin"/>
      <right style="medium"/>
      <top style="medium"/>
      <bottom style="medium"/>
    </border>
    <border>
      <left style="medium"/>
      <right style="thin"/>
      <top style="medium"/>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medium"/>
      <top>
        <color indexed="63"/>
      </top>
      <bottom style="thin"/>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style="medium"/>
      <right style="medium"/>
      <top>
        <color indexed="63"/>
      </top>
      <bottom style="medium"/>
    </border>
    <border>
      <left style="medium"/>
      <right style="thin"/>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medium"/>
      <top style="thin"/>
      <bottom style="medium"/>
    </border>
    <border>
      <left>
        <color indexed="63"/>
      </left>
      <right>
        <color indexed="63"/>
      </right>
      <top style="thin"/>
      <bottom style="medium"/>
    </border>
    <border>
      <left style="medium"/>
      <right style="medium"/>
      <top style="thin"/>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style="medium"/>
      <right style="medium"/>
      <top>
        <color indexed="63"/>
      </top>
      <bottom style="thin"/>
    </border>
    <border>
      <left style="medium">
        <color indexed="9"/>
      </left>
      <right style="medium">
        <color indexed="9"/>
      </right>
      <top style="medium">
        <color indexed="9"/>
      </top>
      <bottom style="medium">
        <color indexed="9"/>
      </bottom>
    </border>
    <border>
      <left style="medium"/>
      <right style="medium">
        <color indexed="9"/>
      </right>
      <top style="medium">
        <color indexed="9"/>
      </top>
      <bottom style="medium">
        <color indexed="9"/>
      </bottom>
    </border>
    <border>
      <left style="medium"/>
      <right style="medium">
        <color indexed="9"/>
      </right>
      <top style="medium">
        <color indexed="9"/>
      </top>
      <bottom>
        <color indexed="63"/>
      </bottom>
    </border>
    <border>
      <left style="medium">
        <color indexed="9"/>
      </left>
      <right style="medium">
        <color indexed="9"/>
      </right>
      <top style="medium">
        <color indexed="9"/>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71">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1" xfId="0" applyFont="1" applyBorder="1" applyAlignment="1">
      <alignment horizontal="center" vertical="center" wrapText="1"/>
    </xf>
    <xf numFmtId="0" fontId="0" fillId="0" borderId="0" xfId="0" applyFont="1" applyBorder="1" applyAlignment="1">
      <alignment horizontal="center"/>
    </xf>
    <xf numFmtId="0" fontId="0" fillId="0" borderId="2" xfId="0" applyFont="1" applyBorder="1" applyAlignment="1">
      <alignment/>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left"/>
    </xf>
    <xf numFmtId="9" fontId="0" fillId="0" borderId="6" xfId="0" applyNumberFormat="1" applyFont="1" applyBorder="1" applyAlignment="1">
      <alignment horizontal="center"/>
    </xf>
    <xf numFmtId="9" fontId="0" fillId="0" borderId="7" xfId="0" applyNumberFormat="1" applyFont="1" applyBorder="1" applyAlignment="1">
      <alignment horizontal="center"/>
    </xf>
    <xf numFmtId="0" fontId="0" fillId="0" borderId="5" xfId="0" applyFont="1" applyBorder="1" applyAlignment="1">
      <alignment/>
    </xf>
    <xf numFmtId="168" fontId="0" fillId="0" borderId="6" xfId="0" applyNumberFormat="1"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left" vertical="center"/>
    </xf>
    <xf numFmtId="0" fontId="0" fillId="0" borderId="13" xfId="0" applyFont="1" applyBorder="1" applyAlignment="1">
      <alignment horizontal="left" vertical="center" indent="1"/>
    </xf>
    <xf numFmtId="0" fontId="0" fillId="0" borderId="5" xfId="0" applyFont="1" applyBorder="1" applyAlignment="1">
      <alignment horizontal="left" vertical="center" indent="1"/>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vertical="center"/>
    </xf>
    <xf numFmtId="49" fontId="0" fillId="0" borderId="6"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0" fontId="0" fillId="0" borderId="17" xfId="0" applyFont="1" applyBorder="1" applyAlignment="1">
      <alignment horizontal="left" vertical="center" indent="1"/>
    </xf>
    <xf numFmtId="0" fontId="0" fillId="0" borderId="0" xfId="0" applyFont="1" applyAlignment="1">
      <alignment horizontal="center" vertical="center"/>
    </xf>
    <xf numFmtId="0" fontId="0" fillId="0" borderId="18" xfId="0" applyFont="1" applyBorder="1" applyAlignment="1">
      <alignment horizontal="righ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xf>
    <xf numFmtId="168" fontId="0" fillId="0" borderId="21" xfId="0" applyNumberFormat="1" applyFont="1" applyBorder="1" applyAlignment="1">
      <alignment horizontal="center" vertical="center"/>
    </xf>
    <xf numFmtId="168" fontId="0" fillId="0" borderId="22" xfId="0" applyNumberFormat="1" applyFont="1" applyBorder="1" applyAlignment="1">
      <alignment horizontal="center" vertical="center"/>
    </xf>
    <xf numFmtId="168" fontId="0" fillId="0" borderId="23" xfId="0" applyNumberFormat="1" applyFont="1" applyBorder="1" applyAlignment="1">
      <alignment horizontal="center" vertical="center"/>
    </xf>
    <xf numFmtId="168" fontId="0" fillId="0" borderId="24" xfId="0" applyNumberFormat="1" applyFont="1" applyBorder="1" applyAlignment="1">
      <alignment horizontal="center" vertical="center"/>
    </xf>
    <xf numFmtId="168" fontId="0" fillId="0" borderId="6" xfId="0" applyNumberFormat="1" applyFont="1" applyBorder="1" applyAlignment="1">
      <alignment horizontal="center" vertical="center"/>
    </xf>
    <xf numFmtId="168" fontId="0" fillId="0" borderId="14" xfId="0" applyNumberFormat="1" applyFont="1" applyBorder="1" applyAlignment="1">
      <alignment horizontal="center" vertical="center"/>
    </xf>
    <xf numFmtId="168" fontId="0" fillId="0" borderId="15" xfId="0" applyNumberFormat="1" applyFont="1" applyBorder="1" applyAlignment="1">
      <alignment horizontal="center" vertical="center"/>
    </xf>
    <xf numFmtId="168" fontId="0" fillId="0" borderId="16" xfId="0" applyNumberFormat="1" applyFont="1" applyBorder="1" applyAlignment="1">
      <alignment horizontal="center" vertical="center"/>
    </xf>
    <xf numFmtId="168" fontId="0" fillId="0" borderId="8" xfId="0" applyNumberFormat="1" applyFont="1" applyFill="1" applyBorder="1" applyAlignment="1">
      <alignment horizontal="center" vertical="center"/>
    </xf>
    <xf numFmtId="3" fontId="0" fillId="0" borderId="15" xfId="0" applyNumberFormat="1" applyFont="1" applyBorder="1" applyAlignment="1">
      <alignment horizontal="center" vertical="center"/>
    </xf>
    <xf numFmtId="3" fontId="0" fillId="0" borderId="8" xfId="0" applyNumberFormat="1" applyFont="1" applyFill="1" applyBorder="1" applyAlignment="1">
      <alignment horizontal="center" vertical="center"/>
    </xf>
    <xf numFmtId="0" fontId="0" fillId="0" borderId="25" xfId="0" applyFont="1" applyFill="1" applyBorder="1" applyAlignment="1">
      <alignment horizontal="center" vertical="center"/>
    </xf>
    <xf numFmtId="168" fontId="0" fillId="0" borderId="26" xfId="0" applyNumberFormat="1" applyFont="1" applyFill="1" applyBorder="1" applyAlignment="1">
      <alignment horizontal="center" vertical="center"/>
    </xf>
    <xf numFmtId="0" fontId="0" fillId="0" borderId="27" xfId="0" applyFont="1" applyBorder="1" applyAlignment="1">
      <alignment horizontal="center"/>
    </xf>
    <xf numFmtId="168" fontId="0" fillId="0" borderId="28" xfId="0" applyNumberFormat="1" applyFont="1" applyBorder="1" applyAlignment="1">
      <alignment horizontal="center"/>
    </xf>
    <xf numFmtId="168" fontId="0" fillId="0" borderId="8" xfId="0" applyNumberFormat="1" applyFont="1" applyBorder="1" applyAlignment="1">
      <alignment horizont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xf>
    <xf numFmtId="9" fontId="0" fillId="0" borderId="33" xfId="0" applyNumberFormat="1" applyFont="1" applyBorder="1" applyAlignment="1">
      <alignment horizontal="center"/>
    </xf>
    <xf numFmtId="0" fontId="0" fillId="0" borderId="28" xfId="0" applyFont="1" applyBorder="1" applyAlignment="1">
      <alignment horizontal="center"/>
    </xf>
    <xf numFmtId="9" fontId="0" fillId="0" borderId="8" xfId="0" applyNumberFormat="1" applyFont="1" applyBorder="1" applyAlignment="1">
      <alignment horizontal="center"/>
    </xf>
    <xf numFmtId="0" fontId="3" fillId="0" borderId="0" xfId="0" applyFont="1" applyAlignment="1">
      <alignment vertical="center"/>
    </xf>
    <xf numFmtId="0" fontId="0" fillId="0" borderId="0" xfId="0" applyAlignment="1">
      <alignment vertical="center"/>
    </xf>
    <xf numFmtId="3" fontId="0" fillId="0" borderId="31" xfId="0" applyNumberFormat="1" applyFont="1" applyBorder="1" applyAlignment="1">
      <alignment horizontal="center"/>
    </xf>
    <xf numFmtId="0" fontId="0" fillId="0" borderId="34" xfId="0" applyFont="1" applyBorder="1" applyAlignment="1">
      <alignment horizontal="left" vertical="center" inden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 fontId="0" fillId="0" borderId="0" xfId="0" applyNumberFormat="1" applyAlignment="1" applyProtection="1">
      <alignment/>
      <protection/>
    </xf>
    <xf numFmtId="1" fontId="0" fillId="0" borderId="0" xfId="0" applyNumberFormat="1" applyAlignment="1" applyProtection="1">
      <alignment horizontal="center"/>
      <protection/>
    </xf>
    <xf numFmtId="0" fontId="0" fillId="0" borderId="0" xfId="0" applyAlignment="1" applyProtection="1">
      <alignment/>
      <protection/>
    </xf>
    <xf numFmtId="17" fontId="0" fillId="0" borderId="0" xfId="0" applyNumberFormat="1" applyAlignment="1" applyProtection="1">
      <alignment horizontal="center" wrapText="1"/>
      <protection/>
    </xf>
    <xf numFmtId="1" fontId="0" fillId="0" borderId="0" xfId="0" applyNumberFormat="1" applyAlignment="1" applyProtection="1">
      <alignment horizontal="center" wrapText="1"/>
      <protection/>
    </xf>
    <xf numFmtId="0" fontId="3" fillId="0" borderId="15" xfId="0" applyFont="1" applyBorder="1" applyAlignment="1" applyProtection="1">
      <alignment horizontal="center" wrapText="1"/>
      <protection/>
    </xf>
    <xf numFmtId="17" fontId="3" fillId="0" borderId="37" xfId="0" applyNumberFormat="1" applyFont="1" applyBorder="1" applyAlignment="1" applyProtection="1">
      <alignment horizontal="center"/>
      <protection/>
    </xf>
    <xf numFmtId="1" fontId="3" fillId="0" borderId="36" xfId="0" applyNumberFormat="1" applyFont="1" applyBorder="1" applyAlignment="1" applyProtection="1">
      <alignment horizontal="center"/>
      <protection/>
    </xf>
    <xf numFmtId="0" fontId="6" fillId="0" borderId="38" xfId="0" applyFont="1" applyBorder="1" applyAlignment="1" applyProtection="1">
      <alignment horizontal="center"/>
      <protection/>
    </xf>
    <xf numFmtId="0" fontId="6" fillId="0" borderId="39" xfId="0" applyFont="1" applyBorder="1" applyAlignment="1" applyProtection="1">
      <alignment horizontal="center"/>
      <protection/>
    </xf>
    <xf numFmtId="0" fontId="6" fillId="0" borderId="40" xfId="0" applyFont="1" applyBorder="1" applyAlignment="1" applyProtection="1">
      <alignment horizontal="center"/>
      <protection/>
    </xf>
    <xf numFmtId="17" fontId="0" fillId="0" borderId="21" xfId="0" applyNumberFormat="1" applyBorder="1" applyAlignment="1" applyProtection="1">
      <alignment/>
      <protection/>
    </xf>
    <xf numFmtId="1" fontId="0" fillId="0" borderId="26" xfId="0" applyNumberFormat="1" applyBorder="1" applyAlignment="1" applyProtection="1">
      <alignment horizontal="center"/>
      <protection/>
    </xf>
    <xf numFmtId="3" fontId="0" fillId="0" borderId="23" xfId="0" applyNumberFormat="1" applyBorder="1" applyAlignment="1" applyProtection="1">
      <alignment/>
      <protection/>
    </xf>
    <xf numFmtId="3" fontId="0" fillId="0" borderId="41" xfId="0" applyNumberFormat="1" applyBorder="1" applyAlignment="1" applyProtection="1">
      <alignment/>
      <protection/>
    </xf>
    <xf numFmtId="3" fontId="0" fillId="0" borderId="23" xfId="0" applyNumberFormat="1" applyFill="1" applyBorder="1" applyAlignment="1" applyProtection="1">
      <alignment/>
      <protection/>
    </xf>
    <xf numFmtId="17" fontId="0" fillId="0" borderId="6" xfId="0" applyNumberFormat="1" applyBorder="1" applyAlignment="1" applyProtection="1">
      <alignment/>
      <protection/>
    </xf>
    <xf numFmtId="1" fontId="0" fillId="0" borderId="8" xfId="0" applyNumberFormat="1" applyBorder="1" applyAlignment="1" applyProtection="1">
      <alignment horizontal="center"/>
      <protection/>
    </xf>
    <xf numFmtId="17" fontId="0" fillId="0" borderId="42" xfId="0" applyNumberFormat="1" applyBorder="1" applyAlignment="1" applyProtection="1">
      <alignment/>
      <protection/>
    </xf>
    <xf numFmtId="1" fontId="0" fillId="0" borderId="43" xfId="0" applyNumberFormat="1" applyBorder="1" applyAlignment="1" applyProtection="1">
      <alignment horizontal="center"/>
      <protection/>
    </xf>
    <xf numFmtId="3" fontId="0" fillId="0" borderId="44" xfId="0" applyNumberFormat="1" applyBorder="1" applyAlignment="1" applyProtection="1">
      <alignment/>
      <protection/>
    </xf>
    <xf numFmtId="3" fontId="0" fillId="0" borderId="40" xfId="0" applyNumberFormat="1" applyBorder="1" applyAlignment="1" applyProtection="1">
      <alignment/>
      <protection/>
    </xf>
    <xf numFmtId="17" fontId="3" fillId="0" borderId="3" xfId="0" applyNumberFormat="1" applyFont="1" applyBorder="1" applyAlignment="1" applyProtection="1">
      <alignment horizontal="right"/>
      <protection/>
    </xf>
    <xf numFmtId="1" fontId="0" fillId="0" borderId="41" xfId="0" applyNumberFormat="1" applyBorder="1" applyAlignment="1" applyProtection="1">
      <alignment horizontal="center"/>
      <protection/>
    </xf>
    <xf numFmtId="0" fontId="0" fillId="0" borderId="41" xfId="0" applyBorder="1" applyAlignment="1" applyProtection="1">
      <alignment horizontal="center"/>
      <protection/>
    </xf>
    <xf numFmtId="6" fontId="0" fillId="0" borderId="41" xfId="0" applyNumberFormat="1" applyBorder="1" applyAlignment="1" applyProtection="1">
      <alignment/>
      <protection/>
    </xf>
    <xf numFmtId="0" fontId="0" fillId="0" borderId="41" xfId="0" applyBorder="1" applyAlignment="1" applyProtection="1">
      <alignment/>
      <protection/>
    </xf>
    <xf numFmtId="3" fontId="0" fillId="0" borderId="41" xfId="0" applyNumberFormat="1" applyBorder="1" applyAlignment="1" applyProtection="1">
      <alignment horizontal="center"/>
      <protection/>
    </xf>
    <xf numFmtId="6" fontId="0" fillId="0" borderId="28" xfId="0" applyNumberFormat="1" applyBorder="1" applyAlignment="1" applyProtection="1">
      <alignment/>
      <protection/>
    </xf>
    <xf numFmtId="17" fontId="3" fillId="0" borderId="42" xfId="0" applyNumberFormat="1" applyFont="1" applyBorder="1" applyAlignment="1" applyProtection="1">
      <alignment horizontal="right"/>
      <protection/>
    </xf>
    <xf numFmtId="3" fontId="0" fillId="0" borderId="44" xfId="0" applyNumberFormat="1" applyBorder="1" applyAlignment="1" applyProtection="1">
      <alignment horizontal="center"/>
      <protection/>
    </xf>
    <xf numFmtId="6" fontId="0" fillId="0" borderId="44" xfId="0" applyNumberFormat="1" applyBorder="1" applyAlignment="1" applyProtection="1">
      <alignment/>
      <protection/>
    </xf>
    <xf numFmtId="6" fontId="0" fillId="0" borderId="43" xfId="0" applyNumberFormat="1" applyBorder="1" applyAlignment="1" applyProtection="1">
      <alignment/>
      <protection/>
    </xf>
    <xf numFmtId="0" fontId="3" fillId="0" borderId="38" xfId="0" applyFont="1" applyBorder="1" applyAlignment="1" applyProtection="1">
      <alignment/>
      <protection/>
    </xf>
    <xf numFmtId="1" fontId="0" fillId="0" borderId="40" xfId="0" applyNumberFormat="1" applyBorder="1" applyAlignment="1" applyProtection="1">
      <alignment horizontal="center"/>
      <protection/>
    </xf>
    <xf numFmtId="168" fontId="0" fillId="0" borderId="40" xfId="0" applyNumberFormat="1" applyBorder="1" applyAlignment="1" applyProtection="1">
      <alignment/>
      <protection/>
    </xf>
    <xf numFmtId="3" fontId="0" fillId="0" borderId="0" xfId="0" applyNumberFormat="1" applyAlignment="1" applyProtection="1">
      <alignment/>
      <protection/>
    </xf>
    <xf numFmtId="0" fontId="0" fillId="0" borderId="0" xfId="0" applyNumberFormat="1" applyFill="1" applyBorder="1" applyAlignment="1" applyProtection="1">
      <alignment/>
      <protection/>
    </xf>
    <xf numFmtId="3" fontId="0" fillId="0" borderId="0" xfId="0" applyNumberFormat="1" applyBorder="1" applyAlignment="1" applyProtection="1">
      <alignment/>
      <protection locked="0"/>
    </xf>
    <xf numFmtId="3" fontId="0" fillId="0" borderId="0" xfId="0" applyNumberFormat="1" applyAlignment="1" applyProtection="1">
      <alignment/>
      <protection locked="0"/>
    </xf>
    <xf numFmtId="3" fontId="0" fillId="0" borderId="0" xfId="0" applyNumberFormat="1" applyAlignment="1" applyProtection="1">
      <alignment horizontal="center"/>
      <protection locked="0"/>
    </xf>
    <xf numFmtId="3" fontId="0" fillId="0" borderId="0" xfId="0" applyNumberFormat="1" applyBorder="1" applyAlignment="1" applyProtection="1">
      <alignment/>
      <protection/>
    </xf>
    <xf numFmtId="3" fontId="0" fillId="0" borderId="0" xfId="0" applyNumberFormat="1" applyBorder="1" applyAlignment="1" applyProtection="1">
      <alignment horizontal="center"/>
      <protection/>
    </xf>
    <xf numFmtId="3" fontId="0" fillId="0" borderId="45" xfId="0" applyNumberFormat="1" applyBorder="1" applyAlignment="1" applyProtection="1">
      <alignment horizontal="center"/>
      <protection/>
    </xf>
    <xf numFmtId="3" fontId="0" fillId="0" borderId="37" xfId="0" applyNumberFormat="1" applyBorder="1" applyAlignment="1" applyProtection="1">
      <alignment horizontal="center"/>
      <protection/>
    </xf>
    <xf numFmtId="3" fontId="0" fillId="0" borderId="11" xfId="0" applyNumberFormat="1" applyBorder="1" applyAlignment="1" applyProtection="1">
      <alignment horizontal="center"/>
      <protection/>
    </xf>
    <xf numFmtId="3" fontId="0" fillId="0" borderId="21" xfId="0" applyNumberFormat="1" applyBorder="1" applyAlignment="1" applyProtection="1">
      <alignment horizontal="center"/>
      <protection/>
    </xf>
    <xf numFmtId="3" fontId="0" fillId="0" borderId="23" xfId="0" applyNumberFormat="1" applyBorder="1" applyAlignment="1" applyProtection="1">
      <alignment horizontal="right"/>
      <protection/>
    </xf>
    <xf numFmtId="3" fontId="0" fillId="0" borderId="8" xfId="0" applyNumberFormat="1" applyBorder="1" applyAlignment="1" applyProtection="1">
      <alignment/>
      <protection/>
    </xf>
    <xf numFmtId="3" fontId="7" fillId="0" borderId="0" xfId="0" applyNumberFormat="1" applyFont="1" applyBorder="1" applyAlignment="1" applyProtection="1">
      <alignment horizontal="center"/>
      <protection/>
    </xf>
    <xf numFmtId="3" fontId="0" fillId="0" borderId="42" xfId="0" applyNumberFormat="1" applyBorder="1" applyAlignment="1" applyProtection="1">
      <alignment/>
      <protection/>
    </xf>
    <xf numFmtId="3" fontId="3" fillId="0" borderId="37" xfId="0" applyNumberFormat="1" applyFont="1" applyBorder="1" applyAlignment="1" applyProtection="1">
      <alignment horizontal="right"/>
      <protection/>
    </xf>
    <xf numFmtId="3" fontId="0" fillId="0" borderId="36" xfId="0" applyNumberFormat="1" applyBorder="1" applyAlignment="1" applyProtection="1">
      <alignment/>
      <protection/>
    </xf>
    <xf numFmtId="3" fontId="0" fillId="0" borderId="43" xfId="0" applyNumberFormat="1" applyBorder="1" applyAlignment="1" applyProtection="1">
      <alignment/>
      <protection/>
    </xf>
    <xf numFmtId="0" fontId="0" fillId="0" borderId="0" xfId="0" applyAlignment="1" applyProtection="1">
      <alignment vertical="center"/>
      <protection/>
    </xf>
    <xf numFmtId="0" fontId="0" fillId="0" borderId="14" xfId="0" applyBorder="1" applyAlignment="1" applyProtection="1">
      <alignment vertical="center"/>
      <protection/>
    </xf>
    <xf numFmtId="0" fontId="0" fillId="0" borderId="46" xfId="0" applyBorder="1" applyAlignment="1" applyProtection="1">
      <alignment vertical="center"/>
      <protection/>
    </xf>
    <xf numFmtId="0" fontId="0" fillId="0" borderId="0" xfId="0" applyBorder="1" applyAlignment="1" applyProtection="1">
      <alignment vertical="center"/>
      <protection/>
    </xf>
    <xf numFmtId="0" fontId="0" fillId="0" borderId="47" xfId="0" applyBorder="1" applyAlignment="1" applyProtection="1">
      <alignment vertical="center"/>
      <protection/>
    </xf>
    <xf numFmtId="0" fontId="0" fillId="0" borderId="33" xfId="0" applyBorder="1" applyAlignment="1" applyProtection="1">
      <alignment vertical="center"/>
      <protection/>
    </xf>
    <xf numFmtId="164" fontId="0" fillId="0" borderId="33" xfId="0" applyNumberFormat="1" applyBorder="1" applyAlignment="1" applyProtection="1">
      <alignment vertical="center"/>
      <protection/>
    </xf>
    <xf numFmtId="0" fontId="0" fillId="0" borderId="0" xfId="0" applyAlignment="1">
      <alignment horizontal="right" vertical="center"/>
    </xf>
    <xf numFmtId="0" fontId="6" fillId="0" borderId="0" xfId="0" applyFont="1" applyAlignment="1">
      <alignment vertical="center"/>
    </xf>
    <xf numFmtId="0" fontId="11" fillId="0" borderId="0" xfId="0" applyFont="1" applyAlignment="1">
      <alignment horizontal="center" vertical="center" wrapText="1"/>
    </xf>
    <xf numFmtId="0" fontId="0" fillId="0" borderId="0" xfId="0" applyAlignment="1">
      <alignment horizontal="right" vertical="center" wrapText="1"/>
    </xf>
    <xf numFmtId="0" fontId="0" fillId="0" borderId="0" xfId="0" applyAlignment="1">
      <alignment horizontal="center" vertical="center"/>
    </xf>
    <xf numFmtId="0" fontId="3" fillId="0" borderId="0" xfId="0" applyFont="1" applyAlignment="1">
      <alignment vertical="center" wrapText="1"/>
    </xf>
    <xf numFmtId="3" fontId="0" fillId="0" borderId="0" xfId="0" applyNumberFormat="1" applyAlignment="1">
      <alignment vertical="center"/>
    </xf>
    <xf numFmtId="0" fontId="0" fillId="0" borderId="0" xfId="0" applyFont="1" applyAlignment="1">
      <alignment horizontal="right" vertical="center"/>
    </xf>
    <xf numFmtId="0" fontId="0" fillId="0" borderId="0" xfId="0" applyAlignment="1">
      <alignment horizontal="left" vertical="center"/>
    </xf>
    <xf numFmtId="0" fontId="11"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horizontal="center" vertical="center" wrapText="1"/>
    </xf>
    <xf numFmtId="0" fontId="6" fillId="0" borderId="0" xfId="0" applyFont="1" applyAlignment="1">
      <alignment horizontal="right" vertical="center" wrapText="1"/>
    </xf>
    <xf numFmtId="0" fontId="11" fillId="0" borderId="0" xfId="0" applyFont="1" applyAlignment="1">
      <alignment horizontal="center" wrapText="1"/>
    </xf>
    <xf numFmtId="0" fontId="11" fillId="0" borderId="0" xfId="0" applyFont="1" applyAlignment="1">
      <alignment horizontal="center"/>
    </xf>
    <xf numFmtId="3" fontId="0" fillId="0" borderId="0" xfId="0" applyNumberFormat="1" applyFont="1" applyAlignment="1">
      <alignment horizontal="center" vertical="center" wrapText="1"/>
    </xf>
    <xf numFmtId="3" fontId="0" fillId="0" borderId="0" xfId="0" applyNumberFormat="1" applyFont="1" applyAlignment="1">
      <alignment horizontal="center" vertical="center"/>
    </xf>
    <xf numFmtId="165" fontId="0" fillId="0" borderId="0" xfId="0" applyNumberFormat="1" applyFont="1" applyAlignment="1">
      <alignment horizontal="center" vertical="center"/>
    </xf>
    <xf numFmtId="3" fontId="0" fillId="0" borderId="0" xfId="0" applyNumberFormat="1" applyAlignment="1">
      <alignment horizontal="center" vertical="center"/>
    </xf>
    <xf numFmtId="0" fontId="3" fillId="0" borderId="0" xfId="0" applyFont="1" applyAlignment="1">
      <alignment horizontal="left" vertical="center" wrapText="1"/>
    </xf>
    <xf numFmtId="3" fontId="0" fillId="0" borderId="6" xfId="0" applyNumberFormat="1" applyFont="1" applyBorder="1" applyAlignment="1">
      <alignment horizontal="center"/>
    </xf>
    <xf numFmtId="3" fontId="0" fillId="0" borderId="15" xfId="0" applyNumberFormat="1" applyFont="1" applyBorder="1" applyAlignment="1">
      <alignment horizontal="center"/>
    </xf>
    <xf numFmtId="3" fontId="0" fillId="0" borderId="8" xfId="0" applyNumberFormat="1" applyFont="1" applyBorder="1" applyAlignment="1">
      <alignment horizontal="center"/>
    </xf>
    <xf numFmtId="3" fontId="0" fillId="0" borderId="33" xfId="0" applyNumberFormat="1" applyFont="1" applyBorder="1" applyAlignment="1">
      <alignment horizontal="center"/>
    </xf>
    <xf numFmtId="0" fontId="0" fillId="0" borderId="41" xfId="0" applyFont="1" applyBorder="1" applyAlignment="1">
      <alignment horizontal="center"/>
    </xf>
    <xf numFmtId="9" fontId="0" fillId="0" borderId="15" xfId="0" applyNumberFormat="1" applyFont="1" applyBorder="1" applyAlignment="1">
      <alignment horizontal="center"/>
    </xf>
    <xf numFmtId="3" fontId="0" fillId="0" borderId="14" xfId="0" applyNumberFormat="1" applyFont="1" applyBorder="1" applyAlignment="1">
      <alignment horizontal="center"/>
    </xf>
    <xf numFmtId="3" fontId="0" fillId="0" borderId="29" xfId="0" applyNumberFormat="1" applyFont="1" applyBorder="1" applyAlignment="1">
      <alignment horizontal="center"/>
    </xf>
    <xf numFmtId="9" fontId="0" fillId="0" borderId="29" xfId="0" applyNumberFormat="1" applyFont="1" applyBorder="1" applyAlignment="1">
      <alignment horizontal="center"/>
    </xf>
    <xf numFmtId="3" fontId="0" fillId="0" borderId="7" xfId="0" applyNumberFormat="1" applyFont="1" applyBorder="1" applyAlignment="1">
      <alignment horizontal="center"/>
    </xf>
    <xf numFmtId="9" fontId="0" fillId="0" borderId="14" xfId="0" applyNumberFormat="1" applyFont="1" applyBorder="1" applyAlignment="1">
      <alignment horizontal="center"/>
    </xf>
    <xf numFmtId="0" fontId="0" fillId="0" borderId="0" xfId="0" applyAlignment="1" applyProtection="1">
      <alignment horizontal="right"/>
      <protection/>
    </xf>
    <xf numFmtId="0" fontId="0" fillId="0" borderId="0" xfId="0" applyNumberFormat="1" applyFill="1" applyBorder="1" applyAlignment="1" applyProtection="1">
      <alignment horizontal="left" vertical="center" indent="1"/>
      <protection/>
    </xf>
    <xf numFmtId="0" fontId="6" fillId="0" borderId="48" xfId="0" applyFont="1" applyBorder="1" applyAlignment="1" applyProtection="1">
      <alignment horizontal="center"/>
      <protection/>
    </xf>
    <xf numFmtId="6" fontId="0" fillId="0" borderId="49" xfId="0" applyNumberFormat="1" applyBorder="1" applyAlignment="1" applyProtection="1">
      <alignment/>
      <protection/>
    </xf>
    <xf numFmtId="6" fontId="0" fillId="0" borderId="50" xfId="0" applyNumberFormat="1" applyBorder="1" applyAlignment="1" applyProtection="1">
      <alignment/>
      <protection/>
    </xf>
    <xf numFmtId="3" fontId="0" fillId="0" borderId="48" xfId="0" applyNumberFormat="1" applyBorder="1" applyAlignment="1" applyProtection="1">
      <alignment/>
      <protection/>
    </xf>
    <xf numFmtId="0" fontId="3" fillId="0" borderId="6" xfId="0" applyFont="1" applyBorder="1" applyAlignment="1" applyProtection="1">
      <alignment horizontal="center" wrapText="1"/>
      <protection/>
    </xf>
    <xf numFmtId="0" fontId="6" fillId="0" borderId="35" xfId="0" applyFont="1" applyFill="1" applyBorder="1" applyAlignment="1" applyProtection="1">
      <alignment horizontal="center"/>
      <protection/>
    </xf>
    <xf numFmtId="3" fontId="0" fillId="0" borderId="28" xfId="0" applyNumberFormat="1" applyBorder="1" applyAlignment="1" applyProtection="1">
      <alignment/>
      <protection/>
    </xf>
    <xf numFmtId="3" fontId="0" fillId="0" borderId="35" xfId="0" applyNumberFormat="1" applyBorder="1" applyAlignment="1" applyProtection="1">
      <alignment/>
      <protection/>
    </xf>
    <xf numFmtId="0" fontId="0" fillId="0" borderId="28" xfId="0" applyBorder="1" applyAlignment="1" applyProtection="1">
      <alignment horizontal="center"/>
      <protection/>
    </xf>
    <xf numFmtId="3" fontId="0" fillId="0" borderId="38" xfId="0" applyNumberFormat="1" applyBorder="1" applyAlignment="1" applyProtection="1">
      <alignment/>
      <protection/>
    </xf>
    <xf numFmtId="0" fontId="0" fillId="0" borderId="0" xfId="0" applyBorder="1" applyAlignment="1" applyProtection="1">
      <alignment/>
      <protection/>
    </xf>
    <xf numFmtId="3" fontId="0" fillId="0" borderId="3" xfId="0" applyNumberFormat="1" applyBorder="1" applyAlignment="1" applyProtection="1">
      <alignment/>
      <protection/>
    </xf>
    <xf numFmtId="169" fontId="0" fillId="0" borderId="0" xfId="0" applyNumberFormat="1" applyBorder="1" applyAlignment="1" applyProtection="1">
      <alignment/>
      <protection/>
    </xf>
    <xf numFmtId="168" fontId="0" fillId="0" borderId="0" xfId="0" applyNumberFormat="1" applyBorder="1" applyAlignment="1" applyProtection="1">
      <alignment/>
      <protection/>
    </xf>
    <xf numFmtId="3" fontId="0" fillId="0" borderId="51" xfId="0" applyNumberFormat="1" applyBorder="1" applyAlignment="1" applyProtection="1">
      <alignment horizontal="center"/>
      <protection locked="0"/>
    </xf>
    <xf numFmtId="3" fontId="0" fillId="0" borderId="16" xfId="0" applyNumberFormat="1" applyBorder="1" applyAlignment="1" applyProtection="1">
      <alignment/>
      <protection/>
    </xf>
    <xf numFmtId="3" fontId="0" fillId="0" borderId="52" xfId="0" applyNumberFormat="1" applyBorder="1" applyAlignment="1" applyProtection="1">
      <alignment/>
      <protection/>
    </xf>
    <xf numFmtId="3" fontId="0" fillId="0" borderId="0" xfId="0" applyNumberFormat="1" applyFont="1" applyAlignment="1" applyProtection="1">
      <alignment horizontal="center"/>
      <protection locked="0"/>
    </xf>
    <xf numFmtId="3" fontId="0" fillId="0" borderId="53" xfId="0" applyNumberFormat="1" applyBorder="1" applyAlignment="1" applyProtection="1">
      <alignment/>
      <protection/>
    </xf>
    <xf numFmtId="3" fontId="0" fillId="0" borderId="0" xfId="0" applyNumberFormat="1" applyBorder="1" applyAlignment="1" applyProtection="1">
      <alignment horizontal="center"/>
      <protection locked="0"/>
    </xf>
    <xf numFmtId="3" fontId="0" fillId="0" borderId="0" xfId="0" applyNumberFormat="1" applyBorder="1" applyAlignment="1" applyProtection="1">
      <alignment horizontal="left" indent="1"/>
      <protection locked="0"/>
    </xf>
    <xf numFmtId="3" fontId="0" fillId="0" borderId="24" xfId="0" applyNumberFormat="1" applyBorder="1" applyAlignment="1" applyProtection="1">
      <alignment horizontal="center"/>
      <protection/>
    </xf>
    <xf numFmtId="3" fontId="0" fillId="0" borderId="13" xfId="0" applyNumberFormat="1" applyBorder="1" applyAlignment="1" applyProtection="1">
      <alignment/>
      <protection/>
    </xf>
    <xf numFmtId="3" fontId="0" fillId="0" borderId="13" xfId="0" applyNumberFormat="1" applyBorder="1" applyAlignment="1" applyProtection="1">
      <alignment horizontal="right"/>
      <protection/>
    </xf>
    <xf numFmtId="3" fontId="0" fillId="0" borderId="47" xfId="0" applyNumberFormat="1" applyBorder="1" applyAlignment="1" applyProtection="1">
      <alignment horizontal="right"/>
      <protection/>
    </xf>
    <xf numFmtId="3" fontId="0" fillId="0" borderId="33" xfId="0" applyNumberFormat="1" applyBorder="1" applyAlignment="1" applyProtection="1">
      <alignment/>
      <protection/>
    </xf>
    <xf numFmtId="3" fontId="0" fillId="0" borderId="15" xfId="0" applyNumberFormat="1" applyBorder="1" applyAlignment="1" applyProtection="1">
      <alignment horizontal="right"/>
      <protection/>
    </xf>
    <xf numFmtId="3" fontId="0" fillId="0" borderId="34" xfId="0" applyNumberFormat="1" applyBorder="1" applyAlignment="1" applyProtection="1">
      <alignment horizontal="center" wrapText="1"/>
      <protection/>
    </xf>
    <xf numFmtId="3" fontId="0" fillId="0" borderId="44" xfId="0" applyNumberFormat="1" applyBorder="1" applyAlignment="1" applyProtection="1">
      <alignment horizontal="center" wrapText="1"/>
      <protection/>
    </xf>
    <xf numFmtId="3" fontId="6" fillId="0" borderId="40" xfId="0" applyNumberFormat="1" applyFont="1" applyBorder="1" applyAlignment="1" applyProtection="1">
      <alignment horizontal="center"/>
      <protection/>
    </xf>
    <xf numFmtId="3" fontId="6" fillId="0" borderId="35" xfId="0" applyNumberFormat="1" applyFont="1" applyBorder="1" applyAlignment="1" applyProtection="1">
      <alignment horizontal="center"/>
      <protection/>
    </xf>
    <xf numFmtId="3" fontId="0" fillId="0" borderId="11" xfId="0" applyNumberFormat="1" applyBorder="1" applyAlignment="1" applyProtection="1">
      <alignment/>
      <protection/>
    </xf>
    <xf numFmtId="0" fontId="0" fillId="0" borderId="54" xfId="0" applyBorder="1" applyAlignment="1" applyProtection="1">
      <alignment/>
      <protection/>
    </xf>
    <xf numFmtId="3" fontId="0" fillId="0" borderId="0" xfId="0" applyNumberFormat="1" applyFill="1" applyBorder="1" applyAlignment="1" applyProtection="1">
      <alignment/>
      <protection locked="0"/>
    </xf>
    <xf numFmtId="0" fontId="0" fillId="0" borderId="0" xfId="0" applyFill="1" applyBorder="1" applyAlignment="1" applyProtection="1">
      <alignment/>
      <protection/>
    </xf>
    <xf numFmtId="176" fontId="0" fillId="0" borderId="0" xfId="0" applyNumberFormat="1" applyAlignment="1">
      <alignment vertical="center"/>
    </xf>
    <xf numFmtId="3" fontId="0" fillId="0" borderId="0" xfId="0" applyNumberFormat="1" applyAlignment="1" applyProtection="1">
      <alignment vertical="center"/>
      <protection/>
    </xf>
    <xf numFmtId="0" fontId="3" fillId="0" borderId="0" xfId="0" applyFont="1" applyAlignment="1" applyProtection="1">
      <alignment vertical="center"/>
      <protection/>
    </xf>
    <xf numFmtId="0" fontId="0" fillId="0" borderId="12" xfId="0" applyBorder="1" applyAlignment="1" applyProtection="1">
      <alignment vertical="center"/>
      <protection/>
    </xf>
    <xf numFmtId="0" fontId="0" fillId="0" borderId="20" xfId="0" applyBorder="1" applyAlignment="1" applyProtection="1">
      <alignment vertical="center"/>
      <protection/>
    </xf>
    <xf numFmtId="2" fontId="0" fillId="0" borderId="27" xfId="0" applyNumberFormat="1" applyBorder="1" applyAlignment="1" applyProtection="1">
      <alignment horizontal="left" vertical="center"/>
      <protection/>
    </xf>
    <xf numFmtId="0" fontId="0" fillId="0" borderId="37" xfId="0" applyBorder="1" applyAlignment="1" applyProtection="1">
      <alignment vertical="center"/>
      <protection/>
    </xf>
    <xf numFmtId="0" fontId="9" fillId="0" borderId="11" xfId="0" applyFont="1" applyBorder="1" applyAlignment="1" applyProtection="1">
      <alignment horizontal="left" vertical="center" indent="1"/>
      <protection/>
    </xf>
    <xf numFmtId="0" fontId="0" fillId="0" borderId="21" xfId="0" applyBorder="1" applyAlignment="1" applyProtection="1">
      <alignment horizontal="left" vertical="center" indent="1"/>
      <protection/>
    </xf>
    <xf numFmtId="0" fontId="0" fillId="0" borderId="6" xfId="0" applyBorder="1" applyAlignment="1" applyProtection="1">
      <alignment horizontal="left" vertical="center" indent="1"/>
      <protection/>
    </xf>
    <xf numFmtId="0" fontId="0" fillId="0" borderId="38" xfId="0" applyBorder="1" applyAlignment="1" applyProtection="1">
      <alignment horizontal="left" vertical="center" indent="1"/>
      <protection/>
    </xf>
    <xf numFmtId="0" fontId="0" fillId="0" borderId="9" xfId="0" applyBorder="1" applyAlignment="1" applyProtection="1">
      <alignment vertical="center"/>
      <protection/>
    </xf>
    <xf numFmtId="0" fontId="10" fillId="0" borderId="55"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0" fillId="0" borderId="13" xfId="0" applyBorder="1" applyAlignment="1" applyProtection="1">
      <alignment horizontal="left" vertical="center" indent="1"/>
      <protection/>
    </xf>
    <xf numFmtId="0" fontId="0" fillId="0" borderId="22" xfId="0" applyBorder="1" applyAlignment="1" applyProtection="1">
      <alignment vertical="center"/>
      <protection/>
    </xf>
    <xf numFmtId="0" fontId="0" fillId="0" borderId="32" xfId="0" applyBorder="1" applyAlignment="1" applyProtection="1">
      <alignment vertical="center"/>
      <protection/>
    </xf>
    <xf numFmtId="0" fontId="0" fillId="0" borderId="3" xfId="0" applyBorder="1" applyAlignment="1" applyProtection="1">
      <alignment horizontal="left" vertical="center" indent="1"/>
      <protection/>
    </xf>
    <xf numFmtId="168" fontId="0" fillId="0" borderId="49" xfId="0" applyNumberFormat="1" applyBorder="1" applyAlignment="1" applyProtection="1">
      <alignment horizontal="right" vertical="center"/>
      <protection/>
    </xf>
    <xf numFmtId="0" fontId="0" fillId="0" borderId="4" xfId="0" applyBorder="1" applyAlignment="1" applyProtection="1">
      <alignment horizontal="left" vertical="center"/>
      <protection/>
    </xf>
    <xf numFmtId="168" fontId="0" fillId="0" borderId="3" xfId="0" applyNumberFormat="1" applyBorder="1" applyAlignment="1" applyProtection="1">
      <alignment vertical="center"/>
      <protection/>
    </xf>
    <xf numFmtId="0" fontId="0" fillId="0" borderId="5" xfId="0" applyBorder="1" applyAlignment="1" applyProtection="1">
      <alignment horizontal="left" vertical="center" indent="1"/>
      <protection/>
    </xf>
    <xf numFmtId="0" fontId="0" fillId="0" borderId="16" xfId="0" applyBorder="1" applyAlignment="1" applyProtection="1">
      <alignment/>
      <protection/>
    </xf>
    <xf numFmtId="0" fontId="0" fillId="0" borderId="7" xfId="0" applyBorder="1" applyAlignment="1" applyProtection="1">
      <alignment/>
      <protection/>
    </xf>
    <xf numFmtId="0" fontId="0" fillId="0" borderId="56" xfId="0" applyBorder="1" applyAlignment="1" applyProtection="1">
      <alignment horizontal="left" vertical="center" indent="1"/>
      <protection/>
    </xf>
    <xf numFmtId="0" fontId="0" fillId="0" borderId="57" xfId="0" applyBorder="1" applyAlignment="1" applyProtection="1">
      <alignment vertical="center"/>
      <protection/>
    </xf>
    <xf numFmtId="168" fontId="0" fillId="0" borderId="16" xfId="0" applyNumberFormat="1" applyBorder="1" applyAlignment="1" applyProtection="1">
      <alignment horizontal="right" vertical="center"/>
      <protection/>
    </xf>
    <xf numFmtId="168" fontId="0" fillId="0" borderId="6" xfId="0" applyNumberFormat="1" applyBorder="1" applyAlignment="1" applyProtection="1">
      <alignment/>
      <protection/>
    </xf>
    <xf numFmtId="0" fontId="0" fillId="0" borderId="55" xfId="0" applyBorder="1" applyAlignment="1" applyProtection="1">
      <alignment horizontal="left" vertical="center" indent="1"/>
      <protection/>
    </xf>
    <xf numFmtId="0" fontId="0" fillId="0" borderId="58" xfId="0" applyBorder="1" applyAlignment="1" applyProtection="1">
      <alignment vertical="center"/>
      <protection/>
    </xf>
    <xf numFmtId="3" fontId="0" fillId="0" borderId="59" xfId="0" applyNumberFormat="1" applyFill="1" applyBorder="1" applyAlignment="1" applyProtection="1">
      <alignment vertical="center"/>
      <protection/>
    </xf>
    <xf numFmtId="0" fontId="0" fillId="0" borderId="60" xfId="0" applyBorder="1" applyAlignment="1" applyProtection="1">
      <alignment vertical="center"/>
      <protection/>
    </xf>
    <xf numFmtId="0" fontId="0" fillId="0" borderId="2" xfId="0" applyBorder="1" applyAlignment="1" applyProtection="1">
      <alignment horizontal="left" vertical="center" indent="1"/>
      <protection/>
    </xf>
    <xf numFmtId="0" fontId="0" fillId="0" borderId="61" xfId="0" applyBorder="1" applyAlignment="1" applyProtection="1">
      <alignment vertical="center"/>
      <protection/>
    </xf>
    <xf numFmtId="3" fontId="0" fillId="0" borderId="49" xfId="0" applyNumberFormat="1" applyBorder="1" applyAlignment="1" applyProtection="1">
      <alignment horizontal="right" vertical="center"/>
      <protection/>
    </xf>
    <xf numFmtId="0" fontId="0" fillId="0" borderId="17" xfId="0" applyBorder="1" applyAlignment="1" applyProtection="1">
      <alignment horizontal="left" vertical="center" indent="1"/>
      <protection/>
    </xf>
    <xf numFmtId="0" fontId="0" fillId="0" borderId="39" xfId="0" applyBorder="1" applyAlignment="1" applyProtection="1">
      <alignment vertical="center"/>
      <protection/>
    </xf>
    <xf numFmtId="3" fontId="0" fillId="0" borderId="48" xfId="0" applyNumberFormat="1" applyFill="1" applyBorder="1" applyAlignment="1" applyProtection="1">
      <alignment vertical="center"/>
      <protection/>
    </xf>
    <xf numFmtId="0" fontId="0" fillId="0" borderId="62" xfId="0" applyBorder="1" applyAlignment="1" applyProtection="1">
      <alignment vertical="center"/>
      <protection/>
    </xf>
    <xf numFmtId="0" fontId="0" fillId="0" borderId="12" xfId="0" applyBorder="1" applyAlignment="1" applyProtection="1">
      <alignment horizontal="left" vertical="center" indent="1"/>
      <protection/>
    </xf>
    <xf numFmtId="0" fontId="0" fillId="0" borderId="27" xfId="0" applyBorder="1" applyAlignment="1" applyProtection="1">
      <alignment vertical="center"/>
      <protection/>
    </xf>
    <xf numFmtId="0" fontId="0" fillId="0" borderId="0" xfId="0" applyAlignment="1" applyProtection="1">
      <alignment horizontal="left" vertical="center" indent="1"/>
      <protection/>
    </xf>
    <xf numFmtId="3" fontId="0" fillId="0" borderId="0" xfId="0" applyNumberFormat="1" applyFill="1" applyAlignment="1" applyProtection="1">
      <alignment vertical="center"/>
      <protection/>
    </xf>
    <xf numFmtId="168" fontId="3" fillId="0" borderId="12" xfId="0" applyNumberFormat="1" applyFont="1" applyBorder="1" applyAlignment="1" applyProtection="1">
      <alignment vertical="center"/>
      <protection/>
    </xf>
    <xf numFmtId="6" fontId="3" fillId="2" borderId="36" xfId="0" applyNumberFormat="1" applyFont="1" applyFill="1" applyBorder="1" applyAlignment="1" applyProtection="1">
      <alignment vertical="center"/>
      <protection/>
    </xf>
    <xf numFmtId="168" fontId="3" fillId="0" borderId="0" xfId="0" applyNumberFormat="1" applyFont="1" applyAlignment="1" applyProtection="1">
      <alignment/>
      <protection/>
    </xf>
    <xf numFmtId="0" fontId="0" fillId="0" borderId="12" xfId="0" applyBorder="1" applyAlignment="1" applyProtection="1">
      <alignment horizontal="left" vertical="center"/>
      <protection/>
    </xf>
    <xf numFmtId="3" fontId="0" fillId="0" borderId="11" xfId="0" applyNumberFormat="1" applyFill="1" applyBorder="1" applyAlignment="1" applyProtection="1">
      <alignment horizontal="right" vertical="center"/>
      <protection/>
    </xf>
    <xf numFmtId="0" fontId="0" fillId="0" borderId="4" xfId="0" applyBorder="1" applyAlignment="1" applyProtection="1">
      <alignment vertical="center"/>
      <protection/>
    </xf>
    <xf numFmtId="0" fontId="0" fillId="0" borderId="63" xfId="0" applyBorder="1" applyAlignment="1" applyProtection="1">
      <alignment vertical="center"/>
      <protection/>
    </xf>
    <xf numFmtId="17" fontId="0" fillId="0" borderId="6" xfId="0" applyNumberFormat="1" applyBorder="1" applyAlignment="1" applyProtection="1">
      <alignment/>
      <protection locked="0"/>
    </xf>
    <xf numFmtId="3" fontId="0" fillId="0" borderId="15" xfId="0" applyNumberFormat="1" applyBorder="1" applyAlignment="1" applyProtection="1">
      <alignment/>
      <protection locked="0"/>
    </xf>
    <xf numFmtId="3" fontId="0" fillId="0" borderId="34" xfId="0" applyNumberFormat="1" applyBorder="1" applyAlignment="1" applyProtection="1">
      <alignment horizontal="center"/>
      <protection locked="0"/>
    </xf>
    <xf numFmtId="3" fontId="0" fillId="0" borderId="0" xfId="0" applyNumberFormat="1" applyBorder="1" applyAlignment="1" applyProtection="1">
      <alignment horizontal="center" wrapText="1"/>
      <protection locked="0"/>
    </xf>
    <xf numFmtId="3" fontId="0" fillId="0" borderId="45" xfId="0" applyNumberFormat="1" applyBorder="1" applyAlignment="1" applyProtection="1">
      <alignment horizontal="center"/>
      <protection locked="0"/>
    </xf>
    <xf numFmtId="3" fontId="0" fillId="0" borderId="37" xfId="0" applyNumberFormat="1" applyBorder="1" applyAlignment="1" applyProtection="1">
      <alignment horizontal="center"/>
      <protection locked="0"/>
    </xf>
    <xf numFmtId="3" fontId="0" fillId="0" borderId="10" xfId="0" applyNumberFormat="1" applyBorder="1" applyAlignment="1" applyProtection="1">
      <alignment horizontal="center"/>
      <protection locked="0"/>
    </xf>
    <xf numFmtId="3" fontId="0" fillId="0" borderId="11" xfId="0" applyNumberFormat="1" applyBorder="1" applyAlignment="1" applyProtection="1">
      <alignment horizontal="center"/>
      <protection locked="0"/>
    </xf>
    <xf numFmtId="3" fontId="0" fillId="0" borderId="21" xfId="0" applyNumberFormat="1" applyBorder="1" applyAlignment="1" applyProtection="1">
      <alignment horizontal="center"/>
      <protection locked="0"/>
    </xf>
    <xf numFmtId="3" fontId="0" fillId="0" borderId="23" xfId="0" applyNumberFormat="1" applyBorder="1" applyAlignment="1" applyProtection="1">
      <alignment horizontal="center"/>
      <protection locked="0"/>
    </xf>
    <xf numFmtId="3" fontId="0" fillId="0" borderId="23" xfId="0" applyNumberFormat="1" applyBorder="1" applyAlignment="1" applyProtection="1">
      <alignment horizontal="right"/>
      <protection locked="0"/>
    </xf>
    <xf numFmtId="3" fontId="0" fillId="0" borderId="24" xfId="0" applyNumberFormat="1" applyBorder="1" applyAlignment="1" applyProtection="1">
      <alignment horizontal="right"/>
      <protection locked="0"/>
    </xf>
    <xf numFmtId="3" fontId="0" fillId="0" borderId="8" xfId="0" applyNumberFormat="1" applyBorder="1" applyAlignment="1" applyProtection="1">
      <alignment/>
      <protection locked="0"/>
    </xf>
    <xf numFmtId="3" fontId="0" fillId="0" borderId="42" xfId="0" applyNumberFormat="1" applyBorder="1" applyAlignment="1" applyProtection="1">
      <alignment/>
      <protection locked="0"/>
    </xf>
    <xf numFmtId="3" fontId="0" fillId="0" borderId="44" xfId="0" applyNumberFormat="1" applyBorder="1" applyAlignment="1" applyProtection="1">
      <alignment/>
      <protection locked="0"/>
    </xf>
    <xf numFmtId="3" fontId="0" fillId="0" borderId="43" xfId="0" applyNumberFormat="1" applyBorder="1" applyAlignment="1" applyProtection="1">
      <alignment/>
      <protection locked="0"/>
    </xf>
    <xf numFmtId="3" fontId="3" fillId="0" borderId="37" xfId="0" applyNumberFormat="1" applyFont="1" applyBorder="1" applyAlignment="1" applyProtection="1">
      <alignment horizontal="right"/>
      <protection locked="0"/>
    </xf>
    <xf numFmtId="3" fontId="0" fillId="0" borderId="10" xfId="0" applyNumberFormat="1" applyBorder="1" applyAlignment="1" applyProtection="1">
      <alignment/>
      <protection locked="0"/>
    </xf>
    <xf numFmtId="3" fontId="0" fillId="0" borderId="36" xfId="0" applyNumberFormat="1" applyBorder="1" applyAlignment="1" applyProtection="1">
      <alignment/>
      <protection locked="0"/>
    </xf>
    <xf numFmtId="3" fontId="0" fillId="0" borderId="55" xfId="0" applyNumberFormat="1" applyBorder="1" applyAlignment="1" applyProtection="1">
      <alignment/>
      <protection locked="0"/>
    </xf>
    <xf numFmtId="3" fontId="0" fillId="0" borderId="54" xfId="0" applyNumberFormat="1" applyBorder="1" applyAlignment="1" applyProtection="1">
      <alignment/>
      <protection locked="0"/>
    </xf>
    <xf numFmtId="3" fontId="7" fillId="0" borderId="0" xfId="0" applyNumberFormat="1" applyFont="1" applyBorder="1" applyAlignment="1" applyProtection="1">
      <alignment horizontal="center"/>
      <protection locked="0"/>
    </xf>
    <xf numFmtId="3" fontId="0" fillId="0" borderId="0" xfId="0" applyNumberFormat="1" applyFill="1" applyAlignment="1" applyProtection="1">
      <alignment/>
      <protection locked="0"/>
    </xf>
    <xf numFmtId="0" fontId="0" fillId="0" borderId="42" xfId="0" applyBorder="1" applyAlignment="1" applyProtection="1">
      <alignment horizontal="left" vertical="center" indent="1"/>
      <protection/>
    </xf>
    <xf numFmtId="0" fontId="0" fillId="0" borderId="50" xfId="0" applyBorder="1" applyAlignment="1" applyProtection="1">
      <alignment/>
      <protection/>
    </xf>
    <xf numFmtId="0" fontId="0" fillId="0" borderId="53" xfId="0" applyBorder="1" applyAlignment="1" applyProtection="1">
      <alignment/>
      <protection/>
    </xf>
    <xf numFmtId="168" fontId="0" fillId="2" borderId="17" xfId="0" applyNumberFormat="1" applyFill="1" applyBorder="1" applyAlignment="1" applyProtection="1">
      <alignment horizontal="right" vertical="center"/>
      <protection/>
    </xf>
    <xf numFmtId="0" fontId="0" fillId="0" borderId="1"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pplyProtection="1">
      <alignment/>
      <protection/>
    </xf>
    <xf numFmtId="0" fontId="0" fillId="0" borderId="33" xfId="0" applyBorder="1" applyAlignment="1" applyProtection="1">
      <alignment/>
      <protection/>
    </xf>
    <xf numFmtId="0" fontId="0" fillId="0" borderId="57" xfId="0" applyBorder="1" applyAlignment="1" applyProtection="1">
      <alignment/>
      <protection/>
    </xf>
    <xf numFmtId="0" fontId="0" fillId="0" borderId="54" xfId="0" applyBorder="1" applyAlignment="1" applyProtection="1">
      <alignment vertical="center"/>
      <protection/>
    </xf>
    <xf numFmtId="0" fontId="0" fillId="0" borderId="56" xfId="0" applyFont="1" applyBorder="1" applyAlignment="1">
      <alignment horizontal="left" vertical="center" indent="1"/>
    </xf>
    <xf numFmtId="0" fontId="0" fillId="0" borderId="64" xfId="0" applyFont="1" applyFill="1" applyBorder="1" applyAlignment="1">
      <alignment horizontal="center" vertical="center"/>
    </xf>
    <xf numFmtId="0" fontId="0" fillId="0" borderId="42"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50" xfId="0" applyFont="1" applyBorder="1" applyAlignment="1">
      <alignment horizontal="center" vertical="center"/>
    </xf>
    <xf numFmtId="0" fontId="0" fillId="2" borderId="11" xfId="0" applyFill="1" applyBorder="1" applyAlignment="1" applyProtection="1">
      <alignment/>
      <protection/>
    </xf>
    <xf numFmtId="164" fontId="0" fillId="0" borderId="21" xfId="0" applyNumberFormat="1" applyBorder="1" applyAlignment="1" applyProtection="1">
      <alignment/>
      <protection/>
    </xf>
    <xf numFmtId="164" fontId="0" fillId="0" borderId="6" xfId="0" applyNumberFormat="1" applyBorder="1" applyAlignment="1" applyProtection="1">
      <alignment/>
      <protection/>
    </xf>
    <xf numFmtId="164" fontId="0" fillId="2" borderId="6" xfId="0" applyNumberFormat="1" applyFill="1" applyBorder="1" applyAlignment="1" applyProtection="1">
      <alignment/>
      <protection/>
    </xf>
    <xf numFmtId="164" fontId="3" fillId="0" borderId="37" xfId="0" applyNumberFormat="1" applyFont="1" applyBorder="1" applyAlignment="1" applyProtection="1">
      <alignment/>
      <protection/>
    </xf>
    <xf numFmtId="177" fontId="0" fillId="0" borderId="50" xfId="0" applyNumberFormat="1" applyFill="1" applyBorder="1" applyAlignment="1" applyProtection="1">
      <alignment vertical="center"/>
      <protection/>
    </xf>
    <xf numFmtId="177" fontId="0" fillId="0" borderId="48" xfId="0" applyNumberFormat="1" applyFill="1" applyBorder="1" applyAlignment="1" applyProtection="1">
      <alignment vertical="center"/>
      <protection/>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3" xfId="0" applyFont="1" applyBorder="1" applyAlignment="1">
      <alignment horizontal="center"/>
    </xf>
    <xf numFmtId="0" fontId="0" fillId="0" borderId="18" xfId="0" applyBorder="1" applyAlignment="1" applyProtection="1">
      <alignment vertical="center"/>
      <protection/>
    </xf>
    <xf numFmtId="0" fontId="0" fillId="0" borderId="62" xfId="0" applyBorder="1" applyAlignment="1" applyProtection="1">
      <alignment/>
      <protection/>
    </xf>
    <xf numFmtId="0" fontId="0" fillId="0" borderId="62" xfId="0" applyNumberFormat="1" applyFill="1" applyBorder="1" applyAlignment="1" applyProtection="1">
      <alignment horizontal="left" vertical="center" indent="1"/>
      <protection/>
    </xf>
    <xf numFmtId="3" fontId="0" fillId="0" borderId="34" xfId="0" applyNumberFormat="1" applyBorder="1" applyAlignment="1" applyProtection="1">
      <alignment/>
      <protection/>
    </xf>
    <xf numFmtId="168" fontId="0" fillId="0" borderId="54" xfId="0" applyNumberFormat="1" applyBorder="1" applyAlignment="1" applyProtection="1">
      <alignment/>
      <protection/>
    </xf>
    <xf numFmtId="6" fontId="0" fillId="0" borderId="35" xfId="0" applyNumberFormat="1" applyBorder="1" applyAlignment="1" applyProtection="1">
      <alignment/>
      <protection/>
    </xf>
    <xf numFmtId="0" fontId="3" fillId="0" borderId="27" xfId="0" applyFont="1" applyBorder="1" applyAlignment="1" applyProtection="1">
      <alignment/>
      <protection/>
    </xf>
    <xf numFmtId="0" fontId="0" fillId="2" borderId="33" xfId="0" applyFill="1" applyBorder="1" applyAlignment="1" applyProtection="1">
      <alignment/>
      <protection/>
    </xf>
    <xf numFmtId="0" fontId="0" fillId="2" borderId="5" xfId="0" applyFill="1" applyBorder="1" applyAlignment="1" applyProtection="1">
      <alignment/>
      <protection/>
    </xf>
    <xf numFmtId="0" fontId="3" fillId="0" borderId="65" xfId="0" applyFont="1" applyBorder="1" applyAlignment="1" applyProtection="1">
      <alignment/>
      <protection/>
    </xf>
    <xf numFmtId="3" fontId="0" fillId="0" borderId="50" xfId="0" applyNumberFormat="1" applyBorder="1" applyAlignment="1" applyProtection="1">
      <alignment/>
      <protection/>
    </xf>
    <xf numFmtId="3" fontId="0" fillId="0" borderId="44" xfId="0" applyNumberFormat="1" applyBorder="1" applyAlignment="1" applyProtection="1">
      <alignment horizontal="right"/>
      <protection/>
    </xf>
    <xf numFmtId="3" fontId="0" fillId="0" borderId="57" xfId="0" applyNumberFormat="1" applyBorder="1" applyAlignment="1" applyProtection="1">
      <alignment/>
      <protection/>
    </xf>
    <xf numFmtId="0" fontId="0" fillId="0" borderId="39" xfId="0" applyFont="1" applyFill="1" applyBorder="1" applyAlignment="1">
      <alignment horizontal="center" vertical="center"/>
    </xf>
    <xf numFmtId="3" fontId="0" fillId="0" borderId="2" xfId="0" applyNumberFormat="1" applyBorder="1" applyAlignment="1" applyProtection="1">
      <alignment horizontal="right"/>
      <protection/>
    </xf>
    <xf numFmtId="3" fontId="0" fillId="0" borderId="5" xfId="0" applyNumberFormat="1" applyBorder="1" applyAlignment="1" applyProtection="1">
      <alignment horizontal="right"/>
      <protection/>
    </xf>
    <xf numFmtId="3" fontId="3" fillId="0" borderId="12" xfId="0" applyNumberFormat="1" applyFont="1" applyBorder="1" applyAlignment="1" applyProtection="1">
      <alignment horizontal="right"/>
      <protection/>
    </xf>
    <xf numFmtId="0" fontId="3" fillId="0" borderId="37" xfId="0" applyFont="1" applyBorder="1" applyAlignment="1" applyProtection="1">
      <alignment horizontal="center" vertical="center"/>
      <protection/>
    </xf>
    <xf numFmtId="8" fontId="0" fillId="0" borderId="0" xfId="0" applyNumberFormat="1" applyAlignment="1" applyProtection="1">
      <alignment/>
      <protection/>
    </xf>
    <xf numFmtId="0" fontId="7" fillId="0" borderId="0" xfId="0" applyFont="1" applyAlignment="1" applyProtection="1">
      <alignment/>
      <protection/>
    </xf>
    <xf numFmtId="3" fontId="0" fillId="0" borderId="16" xfId="0" applyNumberFormat="1" applyBorder="1" applyAlignment="1" applyProtection="1">
      <alignment/>
      <protection locked="0"/>
    </xf>
    <xf numFmtId="3" fontId="0" fillId="0" borderId="6" xfId="0" applyNumberFormat="1" applyBorder="1" applyAlignment="1" applyProtection="1">
      <alignment/>
      <protection locked="0"/>
    </xf>
    <xf numFmtId="3" fontId="0" fillId="0" borderId="38" xfId="0" applyNumberFormat="1" applyBorder="1" applyAlignment="1" applyProtection="1">
      <alignment/>
      <protection locked="0"/>
    </xf>
    <xf numFmtId="3" fontId="0" fillId="0" borderId="40" xfId="0" applyNumberFormat="1" applyBorder="1" applyAlignment="1" applyProtection="1">
      <alignment/>
      <protection locked="0"/>
    </xf>
    <xf numFmtId="3" fontId="0" fillId="0" borderId="35" xfId="0" applyNumberFormat="1" applyBorder="1" applyAlignment="1" applyProtection="1">
      <alignment/>
      <protection locked="0"/>
    </xf>
    <xf numFmtId="3" fontId="0" fillId="0" borderId="50" xfId="0" applyNumberFormat="1" applyBorder="1" applyAlignment="1" applyProtection="1">
      <alignment/>
      <protection locked="0"/>
    </xf>
    <xf numFmtId="3" fontId="3" fillId="0" borderId="0" xfId="0" applyNumberFormat="1" applyFont="1" applyBorder="1" applyAlignment="1" applyProtection="1">
      <alignment horizontal="center"/>
      <protection locked="0"/>
    </xf>
    <xf numFmtId="3" fontId="0" fillId="0" borderId="0" xfId="0" applyNumberFormat="1" applyBorder="1" applyAlignment="1" applyProtection="1">
      <alignment/>
      <protection locked="0"/>
    </xf>
    <xf numFmtId="3" fontId="6" fillId="0" borderId="17" xfId="0" applyNumberFormat="1" applyFont="1" applyBorder="1" applyAlignment="1" applyProtection="1">
      <alignment horizontal="center"/>
      <protection/>
    </xf>
    <xf numFmtId="3" fontId="0" fillId="0" borderId="17" xfId="0" applyNumberFormat="1" applyBorder="1" applyAlignment="1" applyProtection="1">
      <alignment/>
      <protection/>
    </xf>
    <xf numFmtId="0" fontId="0" fillId="0" borderId="34" xfId="0" applyBorder="1" applyAlignment="1" applyProtection="1">
      <alignment horizontal="left" vertical="center" indent="1"/>
      <protection/>
    </xf>
    <xf numFmtId="168" fontId="0" fillId="0" borderId="66" xfId="0" applyNumberFormat="1" applyFill="1" applyBorder="1" applyAlignment="1" applyProtection="1">
      <alignment horizontal="right" vertical="center"/>
      <protection/>
    </xf>
    <xf numFmtId="3" fontId="0" fillId="0" borderId="45" xfId="0" applyNumberFormat="1" applyFill="1" applyBorder="1" applyAlignment="1" applyProtection="1">
      <alignment vertical="center"/>
      <protection/>
    </xf>
    <xf numFmtId="3" fontId="0" fillId="0" borderId="49" xfId="0" applyNumberFormat="1" applyFill="1" applyBorder="1" applyAlignment="1" applyProtection="1">
      <alignment horizontal="right" vertical="center"/>
      <protection/>
    </xf>
    <xf numFmtId="3" fontId="0" fillId="0" borderId="65" xfId="0" applyNumberFormat="1" applyBorder="1" applyAlignment="1" applyProtection="1">
      <alignment horizontal="center"/>
      <protection/>
    </xf>
    <xf numFmtId="3" fontId="0" fillId="0" borderId="46" xfId="0" applyNumberFormat="1" applyBorder="1" applyAlignment="1" applyProtection="1">
      <alignment horizontal="center" wrapText="1"/>
      <protection/>
    </xf>
    <xf numFmtId="3" fontId="6" fillId="0" borderId="12" xfId="0" applyNumberFormat="1" applyFont="1" applyBorder="1" applyAlignment="1" applyProtection="1">
      <alignment horizontal="center"/>
      <protection/>
    </xf>
    <xf numFmtId="3" fontId="6" fillId="0" borderId="10" xfId="0" applyNumberFormat="1" applyFont="1" applyBorder="1" applyAlignment="1" applyProtection="1">
      <alignment horizontal="center"/>
      <protection/>
    </xf>
    <xf numFmtId="3" fontId="6" fillId="0" borderId="36" xfId="0" applyNumberFormat="1" applyFont="1" applyBorder="1" applyAlignment="1" applyProtection="1">
      <alignment horizontal="center"/>
      <protection/>
    </xf>
    <xf numFmtId="3" fontId="0" fillId="0" borderId="7" xfId="0" applyNumberFormat="1" applyBorder="1" applyAlignment="1" applyProtection="1">
      <alignment/>
      <protection/>
    </xf>
    <xf numFmtId="3" fontId="0" fillId="0" borderId="19" xfId="0" applyNumberFormat="1" applyBorder="1" applyAlignment="1" applyProtection="1">
      <alignment/>
      <protection/>
    </xf>
    <xf numFmtId="9" fontId="0" fillId="0" borderId="30" xfId="0" applyNumberFormat="1" applyBorder="1" applyAlignment="1" applyProtection="1">
      <alignment horizontal="center"/>
      <protection locked="0"/>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0" xfId="0" applyFont="1" applyAlignment="1">
      <alignment horizontal="left" vertical="center"/>
    </xf>
    <xf numFmtId="4" fontId="0" fillId="0" borderId="0" xfId="0" applyNumberFormat="1" applyAlignment="1">
      <alignment vertical="center"/>
    </xf>
    <xf numFmtId="0" fontId="16" fillId="0" borderId="0" xfId="0" applyFont="1" applyAlignment="1">
      <alignment horizontal="left" indent="5"/>
    </xf>
    <xf numFmtId="0" fontId="6" fillId="0" borderId="0" xfId="0" applyFont="1" applyAlignment="1">
      <alignment horizontal="left" vertical="center" indent="5"/>
    </xf>
    <xf numFmtId="0" fontId="0" fillId="0" borderId="0" xfId="0" applyAlignment="1">
      <alignment horizontal="left" vertical="center" indent="2"/>
    </xf>
    <xf numFmtId="165" fontId="0" fillId="0" borderId="0" xfId="0" applyNumberFormat="1" applyFont="1" applyAlignment="1">
      <alignment horizontal="right" vertical="center"/>
    </xf>
    <xf numFmtId="181" fontId="0" fillId="0" borderId="0" xfId="0" applyNumberFormat="1" applyAlignment="1">
      <alignment vertical="center"/>
    </xf>
    <xf numFmtId="0" fontId="0" fillId="0" borderId="0" xfId="0" applyFont="1" applyAlignment="1">
      <alignment horizontal="left" indent="1"/>
    </xf>
    <xf numFmtId="0" fontId="6" fillId="0" borderId="0" xfId="0" applyFont="1" applyBorder="1" applyAlignment="1" applyProtection="1">
      <alignment horizontal="left"/>
      <protection/>
    </xf>
    <xf numFmtId="0" fontId="0" fillId="0" borderId="0" xfId="0" applyBorder="1" applyAlignment="1">
      <alignment vertical="center"/>
    </xf>
    <xf numFmtId="3" fontId="0" fillId="0" borderId="6" xfId="0" applyNumberFormat="1" applyFill="1" applyBorder="1" applyAlignment="1" applyProtection="1">
      <alignment/>
      <protection locked="0"/>
    </xf>
    <xf numFmtId="3" fontId="0" fillId="0" borderId="42" xfId="0" applyNumberFormat="1" applyFill="1" applyBorder="1" applyAlignment="1" applyProtection="1">
      <alignment/>
      <protection locked="0"/>
    </xf>
    <xf numFmtId="0" fontId="0" fillId="0" borderId="0" xfId="0" applyFill="1" applyAlignment="1">
      <alignment vertical="center"/>
    </xf>
    <xf numFmtId="0" fontId="0" fillId="0" borderId="49" xfId="0" applyBorder="1" applyAlignment="1" applyProtection="1">
      <alignment/>
      <protection/>
    </xf>
    <xf numFmtId="3" fontId="0" fillId="0" borderId="24" xfId="0" applyNumberFormat="1" applyFill="1" applyBorder="1" applyAlignment="1" applyProtection="1">
      <alignment vertical="center"/>
      <protection/>
    </xf>
    <xf numFmtId="0" fontId="3" fillId="0" borderId="23" xfId="0" applyFont="1" applyBorder="1" applyAlignment="1" applyProtection="1">
      <alignment horizontal="center" wrapText="1"/>
      <protection/>
    </xf>
    <xf numFmtId="3" fontId="0" fillId="0" borderId="21" xfId="0" applyNumberFormat="1" applyFill="1" applyBorder="1" applyAlignment="1" applyProtection="1">
      <alignment/>
      <protection locked="0"/>
    </xf>
    <xf numFmtId="168" fontId="0" fillId="0" borderId="6" xfId="0" applyNumberFormat="1" applyFont="1" applyFill="1" applyBorder="1" applyAlignment="1">
      <alignment horizontal="center"/>
    </xf>
    <xf numFmtId="168" fontId="0" fillId="0" borderId="15" xfId="0" applyNumberFormat="1" applyFont="1" applyFill="1" applyBorder="1" applyAlignment="1">
      <alignment horizontal="center"/>
    </xf>
    <xf numFmtId="168" fontId="0" fillId="0" borderId="33" xfId="0" applyNumberFormat="1" applyFont="1" applyFill="1" applyBorder="1" applyAlignment="1">
      <alignment horizontal="center"/>
    </xf>
    <xf numFmtId="0" fontId="7" fillId="0" borderId="0" xfId="0" applyNumberFormat="1" applyFont="1" applyAlignment="1" applyProtection="1">
      <alignment horizontal="center" vertical="center"/>
      <protection/>
    </xf>
    <xf numFmtId="0" fontId="0" fillId="0" borderId="63" xfId="0" applyNumberFormat="1" applyFill="1" applyBorder="1" applyAlignment="1" applyProtection="1">
      <alignment horizontal="left" vertical="center"/>
      <protection/>
    </xf>
    <xf numFmtId="3" fontId="0" fillId="0" borderId="63" xfId="0" applyNumberFormat="1" applyBorder="1" applyAlignment="1" applyProtection="1">
      <alignment/>
      <protection locked="0"/>
    </xf>
    <xf numFmtId="3" fontId="7" fillId="0" borderId="54" xfId="0" applyNumberFormat="1" applyFont="1" applyBorder="1" applyAlignment="1" applyProtection="1">
      <alignment/>
      <protection locked="0"/>
    </xf>
    <xf numFmtId="3" fontId="0" fillId="0" borderId="45" xfId="0" applyNumberFormat="1" applyBorder="1" applyAlignment="1" applyProtection="1">
      <alignment/>
      <protection/>
    </xf>
    <xf numFmtId="177" fontId="0" fillId="0" borderId="18" xfId="0" applyNumberFormat="1" applyFill="1" applyBorder="1" applyAlignment="1" applyProtection="1">
      <alignment vertical="center"/>
      <protection/>
    </xf>
    <xf numFmtId="0" fontId="0" fillId="0" borderId="60" xfId="0" applyFont="1" applyBorder="1" applyAlignment="1">
      <alignment horizontal="center" vertical="center" wrapText="1"/>
    </xf>
    <xf numFmtId="3" fontId="0" fillId="0" borderId="32" xfId="0" applyNumberFormat="1" applyFont="1" applyBorder="1" applyAlignment="1">
      <alignment horizontal="center"/>
    </xf>
    <xf numFmtId="6" fontId="0" fillId="0" borderId="33" xfId="0" applyNumberFormat="1" applyFont="1" applyBorder="1" applyAlignment="1">
      <alignment horizontal="center"/>
    </xf>
    <xf numFmtId="182" fontId="0" fillId="0" borderId="57" xfId="0" applyNumberFormat="1" applyFont="1" applyBorder="1" applyAlignment="1">
      <alignment horizontal="center"/>
    </xf>
    <xf numFmtId="0" fontId="0" fillId="3" borderId="62" xfId="0" applyFont="1" applyFill="1" applyBorder="1" applyAlignment="1">
      <alignment horizontal="center"/>
    </xf>
    <xf numFmtId="3" fontId="7" fillId="0" borderId="67" xfId="0" applyNumberFormat="1" applyFont="1" applyBorder="1" applyAlignment="1" applyProtection="1">
      <alignment horizontal="center"/>
      <protection locked="0"/>
    </xf>
    <xf numFmtId="3" fontId="7" fillId="0" borderId="67" xfId="0" applyNumberFormat="1" applyFont="1" applyBorder="1" applyAlignment="1" applyProtection="1">
      <alignment horizontal="center"/>
      <protection/>
    </xf>
    <xf numFmtId="3" fontId="7" fillId="0" borderId="0" xfId="0" applyNumberFormat="1" applyFont="1" applyBorder="1" applyAlignment="1" applyProtection="1">
      <alignment/>
      <protection/>
    </xf>
    <xf numFmtId="3" fontId="7" fillId="0" borderId="0" xfId="0" applyNumberFormat="1" applyFont="1" applyAlignment="1" applyProtection="1">
      <alignment/>
      <protection locked="0"/>
    </xf>
    <xf numFmtId="3" fontId="7" fillId="0" borderId="34" xfId="0" applyNumberFormat="1" applyFont="1" applyBorder="1" applyAlignment="1" applyProtection="1">
      <alignment horizontal="center"/>
      <protection/>
    </xf>
    <xf numFmtId="3" fontId="7" fillId="0" borderId="34" xfId="0" applyNumberFormat="1" applyFont="1" applyBorder="1" applyAlignment="1" applyProtection="1">
      <alignment horizontal="center"/>
      <protection locked="0"/>
    </xf>
    <xf numFmtId="17" fontId="0" fillId="0" borderId="0" xfId="0" applyNumberFormat="1" applyBorder="1" applyAlignment="1" applyProtection="1">
      <alignment/>
      <protection/>
    </xf>
    <xf numFmtId="3" fontId="0" fillId="0" borderId="15" xfId="0" applyNumberFormat="1" applyFill="1" applyBorder="1" applyAlignment="1" applyProtection="1">
      <alignment/>
      <protection/>
    </xf>
    <xf numFmtId="3" fontId="0" fillId="0" borderId="44" xfId="0" applyNumberFormat="1" applyFill="1" applyBorder="1" applyAlignment="1" applyProtection="1">
      <alignment/>
      <protection/>
    </xf>
    <xf numFmtId="0" fontId="3" fillId="0" borderId="8" xfId="0" applyFont="1" applyFill="1" applyBorder="1" applyAlignment="1" applyProtection="1">
      <alignment horizontal="center"/>
      <protection/>
    </xf>
    <xf numFmtId="0" fontId="3" fillId="0" borderId="26" xfId="0" applyFont="1" applyFill="1" applyBorder="1" applyAlignment="1" applyProtection="1">
      <alignment horizontal="center" wrapText="1"/>
      <protection/>
    </xf>
    <xf numFmtId="0" fontId="0" fillId="0" borderId="68" xfId="0" applyBorder="1" applyAlignment="1" applyProtection="1">
      <alignment vertical="center"/>
      <protection/>
    </xf>
    <xf numFmtId="3" fontId="0" fillId="0" borderId="20" xfId="0" applyNumberFormat="1" applyBorder="1" applyAlignment="1" applyProtection="1">
      <alignment horizontal="center" wrapText="1"/>
      <protection/>
    </xf>
    <xf numFmtId="3" fontId="0" fillId="0" borderId="10" xfId="0" applyNumberFormat="1" applyBorder="1" applyAlignment="1" applyProtection="1">
      <alignment horizontal="center" wrapText="1"/>
      <protection/>
    </xf>
    <xf numFmtId="3" fontId="0" fillId="0" borderId="36" xfId="0" applyNumberFormat="1" applyBorder="1" applyAlignment="1" applyProtection="1">
      <alignment horizontal="center"/>
      <protection/>
    </xf>
    <xf numFmtId="3" fontId="0" fillId="0" borderId="20" xfId="0" applyNumberFormat="1" applyBorder="1" applyAlignment="1" applyProtection="1">
      <alignment horizontal="center"/>
      <protection/>
    </xf>
    <xf numFmtId="3" fontId="0" fillId="0" borderId="12" xfId="0" applyNumberFormat="1" applyBorder="1" applyAlignment="1" applyProtection="1">
      <alignment horizontal="center"/>
      <protection/>
    </xf>
    <xf numFmtId="3" fontId="0" fillId="0" borderId="10" xfId="0" applyNumberFormat="1" applyBorder="1" applyAlignment="1" applyProtection="1">
      <alignment horizontal="center"/>
      <protection/>
    </xf>
    <xf numFmtId="166" fontId="0" fillId="0" borderId="55" xfId="0" applyNumberFormat="1" applyBorder="1" applyAlignment="1" applyProtection="1">
      <alignment horizontal="right"/>
      <protection/>
    </xf>
    <xf numFmtId="166" fontId="15" fillId="0" borderId="54" xfId="0" applyNumberFormat="1" applyFont="1" applyBorder="1" applyAlignment="1" applyProtection="1">
      <alignment/>
      <protection/>
    </xf>
    <xf numFmtId="180" fontId="0" fillId="0" borderId="0" xfId="0" applyNumberFormat="1" applyAlignment="1" applyProtection="1">
      <alignment/>
      <protection/>
    </xf>
    <xf numFmtId="0" fontId="0" fillId="0" borderId="18" xfId="0" applyBorder="1" applyAlignment="1" applyProtection="1">
      <alignment/>
      <protection/>
    </xf>
    <xf numFmtId="0" fontId="0" fillId="0" borderId="65" xfId="0" applyBorder="1" applyAlignment="1" applyProtection="1">
      <alignment/>
      <protection/>
    </xf>
    <xf numFmtId="164" fontId="0" fillId="0" borderId="24" xfId="0" applyNumberFormat="1" applyBorder="1" applyAlignment="1" applyProtection="1">
      <alignment/>
      <protection/>
    </xf>
    <xf numFmtId="1" fontId="8" fillId="0" borderId="54" xfId="0" applyNumberFormat="1" applyFont="1" applyFill="1" applyBorder="1" applyAlignment="1" applyProtection="1">
      <alignment/>
      <protection/>
    </xf>
    <xf numFmtId="1" fontId="0" fillId="0" borderId="0" xfId="0" applyNumberFormat="1" applyAlignment="1" applyProtection="1">
      <alignment/>
      <protection/>
    </xf>
    <xf numFmtId="3" fontId="3" fillId="0" borderId="19" xfId="0" applyNumberFormat="1" applyFont="1" applyBorder="1" applyAlignment="1" applyProtection="1">
      <alignment horizontal="right"/>
      <protection/>
    </xf>
    <xf numFmtId="3" fontId="0" fillId="0" borderId="12" xfId="0" applyNumberFormat="1" applyBorder="1" applyAlignment="1" applyProtection="1">
      <alignment/>
      <protection/>
    </xf>
    <xf numFmtId="3" fontId="0" fillId="0" borderId="20" xfId="0" applyNumberFormat="1" applyFill="1" applyBorder="1" applyAlignment="1" applyProtection="1">
      <alignment/>
      <protection/>
    </xf>
    <xf numFmtId="3" fontId="0" fillId="0" borderId="55" xfId="0" applyNumberFormat="1" applyBorder="1" applyAlignment="1" applyProtection="1">
      <alignment/>
      <protection/>
    </xf>
    <xf numFmtId="0" fontId="3" fillId="0" borderId="19" xfId="0" applyFont="1" applyBorder="1" applyAlignment="1" applyProtection="1">
      <alignment horizontal="right"/>
      <protection/>
    </xf>
    <xf numFmtId="3" fontId="0" fillId="0" borderId="20" xfId="0" applyNumberFormat="1" applyBorder="1" applyAlignment="1" applyProtection="1">
      <alignment/>
      <protection/>
    </xf>
    <xf numFmtId="0" fontId="0" fillId="4" borderId="0" xfId="0" applyFill="1" applyAlignment="1" applyProtection="1">
      <alignment/>
      <protection/>
    </xf>
    <xf numFmtId="3" fontId="0" fillId="0" borderId="0" xfId="0" applyNumberFormat="1" applyFill="1" applyBorder="1" applyAlignment="1" applyProtection="1">
      <alignment/>
      <protection/>
    </xf>
    <xf numFmtId="3" fontId="17" fillId="0" borderId="0" xfId="0" applyNumberFormat="1" applyFont="1" applyAlignment="1" applyProtection="1">
      <alignment horizontal="center"/>
      <protection locked="0"/>
    </xf>
    <xf numFmtId="3" fontId="9" fillId="2" borderId="6" xfId="0" applyNumberFormat="1" applyFont="1" applyFill="1" applyBorder="1" applyAlignment="1" applyProtection="1">
      <alignment horizontal="right" vertical="center"/>
      <protection/>
    </xf>
    <xf numFmtId="168" fontId="6" fillId="2" borderId="6" xfId="0" applyNumberFormat="1" applyFont="1" applyFill="1" applyBorder="1" applyAlignment="1" applyProtection="1">
      <alignment horizontal="right" vertical="center"/>
      <protection/>
    </xf>
    <xf numFmtId="168" fontId="6" fillId="2" borderId="42"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protection/>
    </xf>
    <xf numFmtId="0" fontId="22" fillId="0" borderId="0" xfId="0" applyFont="1" applyAlignment="1" applyProtection="1">
      <alignment vertical="center"/>
      <protection/>
    </xf>
    <xf numFmtId="164" fontId="22" fillId="0" borderId="0" xfId="0" applyNumberFormat="1" applyFont="1" applyAlignment="1" applyProtection="1">
      <alignment vertical="center"/>
      <protection/>
    </xf>
    <xf numFmtId="164" fontId="10" fillId="0" borderId="0" xfId="0" applyNumberFormat="1" applyFont="1" applyAlignment="1" applyProtection="1">
      <alignment vertical="center"/>
      <protection/>
    </xf>
    <xf numFmtId="164" fontId="22" fillId="0" borderId="0" xfId="0" applyNumberFormat="1" applyFont="1" applyBorder="1" applyAlignment="1" applyProtection="1">
      <alignment vertical="center"/>
      <protection/>
    </xf>
    <xf numFmtId="164" fontId="22" fillId="0" borderId="0" xfId="0" applyNumberFormat="1" applyFont="1" applyBorder="1" applyAlignment="1" applyProtection="1">
      <alignment horizontal="center" vertical="center"/>
      <protection/>
    </xf>
    <xf numFmtId="164" fontId="10" fillId="0" borderId="34" xfId="0" applyNumberFormat="1" applyFont="1" applyBorder="1" applyAlignment="1" applyProtection="1">
      <alignment horizontal="center" vertical="center"/>
      <protection/>
    </xf>
    <xf numFmtId="164" fontId="10" fillId="0" borderId="0" xfId="0" applyNumberFormat="1" applyFont="1" applyBorder="1" applyAlignment="1" applyProtection="1">
      <alignment horizontal="center" vertical="center"/>
      <protection/>
    </xf>
    <xf numFmtId="0" fontId="22" fillId="0" borderId="0" xfId="0" applyFont="1" applyBorder="1" applyAlignment="1" applyProtection="1">
      <alignment vertical="center"/>
      <protection/>
    </xf>
    <xf numFmtId="164" fontId="10" fillId="0" borderId="13" xfId="0" applyNumberFormat="1" applyFont="1" applyBorder="1" applyAlignment="1" applyProtection="1">
      <alignment horizontal="left" vertical="center"/>
      <protection/>
    </xf>
    <xf numFmtId="164" fontId="10" fillId="0" borderId="24" xfId="0" applyNumberFormat="1" applyFont="1" applyBorder="1" applyAlignment="1" applyProtection="1">
      <alignment horizontal="center" vertical="center"/>
      <protection/>
    </xf>
    <xf numFmtId="0" fontId="22" fillId="0" borderId="34" xfId="0" applyFont="1" applyBorder="1" applyAlignment="1" applyProtection="1">
      <alignment vertical="center"/>
      <protection/>
    </xf>
    <xf numFmtId="164" fontId="22" fillId="0" borderId="6" xfId="0" applyNumberFormat="1" applyFont="1" applyBorder="1" applyAlignment="1" applyProtection="1">
      <alignment horizontal="left" vertical="center" indent="1"/>
      <protection/>
    </xf>
    <xf numFmtId="164" fontId="22" fillId="0" borderId="33" xfId="0" applyNumberFormat="1" applyFont="1" applyBorder="1" applyAlignment="1" applyProtection="1">
      <alignment vertical="center"/>
      <protection/>
    </xf>
    <xf numFmtId="5" fontId="22" fillId="0" borderId="7" xfId="0" applyNumberFormat="1" applyFont="1" applyFill="1" applyBorder="1" applyAlignment="1" applyProtection="1">
      <alignment vertical="center"/>
      <protection/>
    </xf>
    <xf numFmtId="164" fontId="22" fillId="0" borderId="6" xfId="0" applyNumberFormat="1" applyFont="1" applyBorder="1" applyAlignment="1" applyProtection="1">
      <alignment horizontal="left" vertical="center" indent="2"/>
      <protection/>
    </xf>
    <xf numFmtId="37" fontId="22" fillId="0" borderId="7" xfId="0" applyNumberFormat="1" applyFont="1" applyFill="1" applyBorder="1" applyAlignment="1" applyProtection="1">
      <alignment vertical="center"/>
      <protection/>
    </xf>
    <xf numFmtId="164" fontId="22" fillId="0" borderId="34" xfId="0" applyNumberFormat="1" applyFont="1" applyBorder="1" applyAlignment="1" applyProtection="1">
      <alignment horizontal="left" vertical="center" indent="1"/>
      <protection/>
    </xf>
    <xf numFmtId="164" fontId="22" fillId="0" borderId="62" xfId="0" applyNumberFormat="1" applyFont="1" applyBorder="1" applyAlignment="1" applyProtection="1">
      <alignment vertical="center"/>
      <protection/>
    </xf>
    <xf numFmtId="0" fontId="22" fillId="0" borderId="34" xfId="0" applyFont="1" applyBorder="1" applyAlignment="1" applyProtection="1">
      <alignment horizontal="left" vertical="center" indent="1"/>
      <protection/>
    </xf>
    <xf numFmtId="0" fontId="22" fillId="0" borderId="0" xfId="0" applyFont="1" applyBorder="1" applyAlignment="1" applyProtection="1">
      <alignment horizontal="left" vertical="center" indent="1"/>
      <protection/>
    </xf>
    <xf numFmtId="164" fontId="22" fillId="0" borderId="0" xfId="0" applyNumberFormat="1" applyFont="1" applyBorder="1" applyAlignment="1" applyProtection="1">
      <alignment horizontal="left" vertical="center" indent="1"/>
      <protection/>
    </xf>
    <xf numFmtId="164" fontId="22" fillId="0" borderId="45" xfId="0" applyNumberFormat="1" applyFont="1" applyBorder="1" applyAlignment="1" applyProtection="1">
      <alignment vertical="center"/>
      <protection/>
    </xf>
    <xf numFmtId="0" fontId="10" fillId="0" borderId="6" xfId="0" applyFont="1" applyBorder="1" applyAlignment="1" applyProtection="1">
      <alignment vertical="center"/>
      <protection/>
    </xf>
    <xf numFmtId="0" fontId="10" fillId="0" borderId="2" xfId="0" applyFont="1" applyBorder="1" applyAlignment="1" applyProtection="1">
      <alignment vertical="center"/>
      <protection/>
    </xf>
    <xf numFmtId="0" fontId="22" fillId="0" borderId="4" xfId="0" applyFont="1" applyBorder="1" applyAlignment="1" applyProtection="1">
      <alignment vertical="center"/>
      <protection/>
    </xf>
    <xf numFmtId="0" fontId="22" fillId="0" borderId="32" xfId="0" applyFont="1" applyBorder="1" applyAlignment="1" applyProtection="1">
      <alignment vertical="center"/>
      <protection/>
    </xf>
    <xf numFmtId="0" fontId="22" fillId="0" borderId="47" xfId="0" applyFont="1" applyBorder="1" applyAlignment="1" applyProtection="1">
      <alignment vertical="center"/>
      <protection/>
    </xf>
    <xf numFmtId="164" fontId="22" fillId="0" borderId="33" xfId="0" applyNumberFormat="1" applyFont="1" applyFill="1" applyBorder="1" applyAlignment="1" applyProtection="1">
      <alignment vertical="center"/>
      <protection/>
    </xf>
    <xf numFmtId="0" fontId="22" fillId="0" borderId="0" xfId="0" applyNumberFormat="1" applyFont="1" applyBorder="1" applyAlignment="1" applyProtection="1">
      <alignment vertical="center"/>
      <protection/>
    </xf>
    <xf numFmtId="0" fontId="22" fillId="0" borderId="33" xfId="0" applyFont="1" applyBorder="1" applyAlignment="1" applyProtection="1">
      <alignment vertical="center"/>
      <protection/>
    </xf>
    <xf numFmtId="0" fontId="22" fillId="0" borderId="0" xfId="0" applyNumberFormat="1" applyFont="1" applyAlignment="1" applyProtection="1">
      <alignment vertical="center"/>
      <protection/>
    </xf>
    <xf numFmtId="10" fontId="22" fillId="0" borderId="0" xfId="0" applyNumberFormat="1" applyFont="1" applyAlignment="1" applyProtection="1">
      <alignment vertical="center"/>
      <protection/>
    </xf>
    <xf numFmtId="0" fontId="22" fillId="0" borderId="62" xfId="0" applyFont="1" applyBorder="1" applyAlignment="1" applyProtection="1">
      <alignment vertical="center"/>
      <protection/>
    </xf>
    <xf numFmtId="164" fontId="22" fillId="0" borderId="56" xfId="0" applyNumberFormat="1" applyFont="1" applyBorder="1" applyAlignment="1" applyProtection="1">
      <alignment horizontal="left" vertical="center" indent="1"/>
      <protection/>
    </xf>
    <xf numFmtId="1" fontId="22" fillId="0" borderId="50" xfId="0" applyNumberFormat="1" applyFont="1" applyBorder="1" applyAlignment="1" applyProtection="1">
      <alignment horizontal="right"/>
      <protection/>
    </xf>
    <xf numFmtId="164" fontId="22" fillId="0" borderId="57" xfId="0" applyNumberFormat="1" applyFont="1" applyBorder="1" applyAlignment="1" applyProtection="1">
      <alignment vertical="center"/>
      <protection/>
    </xf>
    <xf numFmtId="1" fontId="22" fillId="0" borderId="0" xfId="0" applyNumberFormat="1" applyFont="1" applyAlignment="1" applyProtection="1">
      <alignment vertical="center"/>
      <protection/>
    </xf>
    <xf numFmtId="3" fontId="22" fillId="0" borderId="0" xfId="0" applyNumberFormat="1" applyFont="1" applyFill="1" applyBorder="1" applyAlignment="1" applyProtection="1">
      <alignment horizontal="center"/>
      <protection/>
    </xf>
    <xf numFmtId="0" fontId="22" fillId="0" borderId="45" xfId="0" applyFont="1" applyBorder="1" applyAlignment="1" applyProtection="1">
      <alignment vertical="center"/>
      <protection/>
    </xf>
    <xf numFmtId="164" fontId="10" fillId="0" borderId="13" xfId="0" applyNumberFormat="1" applyFont="1" applyBorder="1" applyAlignment="1" applyProtection="1">
      <alignment horizontal="left" vertical="center" indent="1"/>
      <protection/>
    </xf>
    <xf numFmtId="164" fontId="22" fillId="0" borderId="21" xfId="0" applyNumberFormat="1" applyFont="1" applyBorder="1" applyAlignment="1" applyProtection="1">
      <alignment horizontal="left" vertical="center" indent="2"/>
      <protection/>
    </xf>
    <xf numFmtId="0" fontId="22" fillId="0" borderId="23" xfId="0" applyFont="1" applyBorder="1" applyAlignment="1" applyProtection="1">
      <alignment vertical="center"/>
      <protection/>
    </xf>
    <xf numFmtId="0" fontId="22" fillId="0" borderId="16" xfId="0" applyFont="1" applyBorder="1" applyAlignment="1" applyProtection="1">
      <alignment vertical="center"/>
      <protection/>
    </xf>
    <xf numFmtId="6" fontId="22" fillId="0" borderId="47" xfId="0" applyNumberFormat="1" applyFont="1" applyFill="1" applyBorder="1" applyAlignment="1" applyProtection="1">
      <alignment vertical="center"/>
      <protection/>
    </xf>
    <xf numFmtId="164" fontId="10" fillId="0" borderId="6" xfId="0" applyNumberFormat="1" applyFont="1" applyBorder="1" applyAlignment="1" applyProtection="1">
      <alignment horizontal="left" vertical="center"/>
      <protection/>
    </xf>
    <xf numFmtId="164" fontId="22" fillId="0" borderId="7" xfId="0" applyNumberFormat="1" applyFont="1" applyBorder="1" applyAlignment="1" applyProtection="1">
      <alignment horizontal="left" vertical="center"/>
      <protection/>
    </xf>
    <xf numFmtId="3" fontId="22" fillId="0" borderId="33" xfId="0" applyNumberFormat="1" applyFont="1" applyBorder="1" applyAlignment="1" applyProtection="1">
      <alignment vertical="center"/>
      <protection/>
    </xf>
    <xf numFmtId="9" fontId="22" fillId="0" borderId="0" xfId="0" applyNumberFormat="1" applyFont="1" applyFill="1" applyBorder="1" applyAlignment="1" applyProtection="1">
      <alignment vertical="center"/>
      <protection/>
    </xf>
    <xf numFmtId="0" fontId="22" fillId="0" borderId="15" xfId="0" applyFont="1" applyBorder="1" applyAlignment="1" applyProtection="1">
      <alignment vertical="center"/>
      <protection/>
    </xf>
    <xf numFmtId="6" fontId="22" fillId="0" borderId="33" xfId="0" applyNumberFormat="1" applyFont="1" applyBorder="1" applyAlignment="1" applyProtection="1">
      <alignment vertical="center"/>
      <protection/>
    </xf>
    <xf numFmtId="164" fontId="22" fillId="0" borderId="6" xfId="0" applyNumberFormat="1" applyFont="1" applyBorder="1" applyAlignment="1" applyProtection="1">
      <alignment horizontal="left" vertical="center"/>
      <protection/>
    </xf>
    <xf numFmtId="0" fontId="22" fillId="0" borderId="12" xfId="0" applyFont="1" applyBorder="1" applyAlignment="1" applyProtection="1">
      <alignment vertical="center"/>
      <protection/>
    </xf>
    <xf numFmtId="164" fontId="10" fillId="0" borderId="27" xfId="0" applyNumberFormat="1" applyFont="1" applyBorder="1" applyAlignment="1" applyProtection="1">
      <alignment horizontal="right" vertical="center"/>
      <protection/>
    </xf>
    <xf numFmtId="164" fontId="10" fillId="0" borderId="12" xfId="0" applyNumberFormat="1" applyFont="1" applyBorder="1" applyAlignment="1" applyProtection="1">
      <alignment horizontal="right" vertical="center"/>
      <protection/>
    </xf>
    <xf numFmtId="6" fontId="22" fillId="0" borderId="27" xfId="0" applyNumberFormat="1" applyFont="1" applyBorder="1" applyAlignment="1" applyProtection="1">
      <alignment vertical="center"/>
      <protection/>
    </xf>
    <xf numFmtId="164" fontId="22" fillId="0" borderId="38" xfId="0" applyNumberFormat="1" applyFont="1" applyBorder="1" applyAlignment="1" applyProtection="1">
      <alignment vertical="center"/>
      <protection/>
    </xf>
    <xf numFmtId="164" fontId="10" fillId="0" borderId="3" xfId="0" applyNumberFormat="1" applyFont="1" applyBorder="1" applyAlignment="1" applyProtection="1">
      <alignment horizontal="left" vertical="center" indent="1"/>
      <protection/>
    </xf>
    <xf numFmtId="178" fontId="22" fillId="0" borderId="32" xfId="0" applyNumberFormat="1" applyFont="1" applyBorder="1" applyAlignment="1" applyProtection="1">
      <alignment vertical="center"/>
      <protection/>
    </xf>
    <xf numFmtId="164" fontId="22" fillId="0" borderId="5" xfId="0" applyNumberFormat="1" applyFont="1" applyBorder="1" applyAlignment="1" applyProtection="1">
      <alignment horizontal="left" vertical="center" indent="2"/>
      <protection/>
    </xf>
    <xf numFmtId="0" fontId="22" fillId="0" borderId="14" xfId="0" applyFont="1" applyBorder="1" applyAlignment="1" applyProtection="1">
      <alignment vertical="center"/>
      <protection/>
    </xf>
    <xf numFmtId="164" fontId="22" fillId="0" borderId="17" xfId="0" applyNumberFormat="1" applyFont="1" applyBorder="1" applyAlignment="1" applyProtection="1">
      <alignment horizontal="left" vertical="center" indent="2"/>
      <protection/>
    </xf>
    <xf numFmtId="0" fontId="22" fillId="0" borderId="39" xfId="0" applyFont="1" applyBorder="1" applyAlignment="1" applyProtection="1">
      <alignment vertical="center"/>
      <protection/>
    </xf>
    <xf numFmtId="0" fontId="22" fillId="0" borderId="48" xfId="0" applyFont="1" applyBorder="1" applyAlignment="1" applyProtection="1">
      <alignment vertical="center"/>
      <protection/>
    </xf>
    <xf numFmtId="6" fontId="22" fillId="0" borderId="62" xfId="0" applyNumberFormat="1" applyFont="1" applyBorder="1" applyAlignment="1" applyProtection="1">
      <alignment vertical="center"/>
      <protection/>
    </xf>
    <xf numFmtId="1" fontId="23" fillId="0" borderId="0" xfId="0" applyNumberFormat="1" applyFont="1" applyBorder="1" applyAlignment="1" applyProtection="1">
      <alignment horizontal="center" vertical="center"/>
      <protection/>
    </xf>
    <xf numFmtId="0" fontId="22" fillId="0" borderId="54" xfId="0" applyFont="1" applyBorder="1" applyAlignment="1" applyProtection="1">
      <alignment vertical="center"/>
      <protection/>
    </xf>
    <xf numFmtId="164" fontId="10" fillId="0" borderId="54" xfId="0" applyNumberFormat="1" applyFont="1" applyBorder="1" applyAlignment="1" applyProtection="1">
      <alignment horizontal="right" vertical="center"/>
      <protection/>
    </xf>
    <xf numFmtId="6" fontId="22" fillId="0" borderId="0" xfId="0" applyNumberFormat="1" applyFont="1" applyBorder="1" applyAlignment="1" applyProtection="1">
      <alignment vertical="center"/>
      <protection/>
    </xf>
    <xf numFmtId="6" fontId="22" fillId="0" borderId="0" xfId="0" applyNumberFormat="1" applyFont="1" applyFill="1" applyBorder="1" applyAlignment="1" applyProtection="1">
      <alignment vertical="center"/>
      <protection/>
    </xf>
    <xf numFmtId="5" fontId="22" fillId="0" borderId="0" xfId="0" applyNumberFormat="1" applyFont="1" applyBorder="1" applyAlignment="1" applyProtection="1">
      <alignment vertical="center"/>
      <protection/>
    </xf>
    <xf numFmtId="2" fontId="22" fillId="0" borderId="0" xfId="0" applyNumberFormat="1" applyFont="1" applyBorder="1" applyAlignment="1" applyProtection="1">
      <alignment vertical="center"/>
      <protection/>
    </xf>
    <xf numFmtId="164" fontId="22" fillId="0" borderId="0" xfId="0" applyNumberFormat="1" applyFont="1" applyBorder="1" applyAlignment="1" applyProtection="1">
      <alignment horizontal="right" vertical="center"/>
      <protection/>
    </xf>
    <xf numFmtId="165" fontId="22" fillId="0" borderId="0" xfId="0" applyNumberFormat="1" applyFont="1" applyBorder="1" applyAlignment="1" applyProtection="1">
      <alignment vertical="center"/>
      <protection/>
    </xf>
    <xf numFmtId="10" fontId="22" fillId="0" borderId="0" xfId="0" applyNumberFormat="1" applyFont="1" applyBorder="1" applyAlignment="1" applyProtection="1">
      <alignment vertical="center"/>
      <protection/>
    </xf>
    <xf numFmtId="0" fontId="25" fillId="5" borderId="0" xfId="0" applyFont="1" applyFill="1" applyAlignment="1">
      <alignment/>
    </xf>
    <xf numFmtId="0" fontId="26" fillId="5" borderId="0" xfId="0" applyFont="1" applyFill="1" applyAlignment="1">
      <alignment/>
    </xf>
    <xf numFmtId="168" fontId="0" fillId="0" borderId="6" xfId="0" applyNumberFormat="1" applyBorder="1" applyAlignment="1" applyProtection="1">
      <alignment horizontal="right" vertical="center"/>
      <protection/>
    </xf>
    <xf numFmtId="0" fontId="0" fillId="0" borderId="63" xfId="0" applyBorder="1" applyAlignment="1" applyProtection="1">
      <alignment/>
      <protection/>
    </xf>
    <xf numFmtId="0" fontId="0" fillId="0" borderId="17" xfId="0" applyFont="1" applyBorder="1" applyAlignment="1" applyProtection="1">
      <alignment horizontal="left" vertical="center" indent="1"/>
      <protection/>
    </xf>
    <xf numFmtId="0" fontId="0" fillId="0" borderId="56" xfId="0" applyFont="1" applyBorder="1" applyAlignment="1" applyProtection="1">
      <alignment horizontal="left" vertical="center" indent="1"/>
      <protection/>
    </xf>
    <xf numFmtId="0" fontId="0" fillId="0" borderId="18" xfId="0" applyFont="1" applyBorder="1" applyAlignment="1" applyProtection="1">
      <alignment horizontal="left" vertical="center" indent="1"/>
      <protection/>
    </xf>
    <xf numFmtId="3" fontId="0" fillId="0" borderId="21" xfId="0" applyNumberFormat="1" applyFill="1" applyBorder="1" applyAlignment="1" applyProtection="1">
      <alignment/>
      <protection/>
    </xf>
    <xf numFmtId="3" fontId="0" fillId="0" borderId="22" xfId="0" applyNumberFormat="1" applyFill="1" applyBorder="1" applyAlignment="1" applyProtection="1">
      <alignment/>
      <protection/>
    </xf>
    <xf numFmtId="6" fontId="0" fillId="0" borderId="24" xfId="0" applyNumberFormat="1" applyFill="1" applyBorder="1" applyAlignment="1" applyProtection="1">
      <alignment/>
      <protection/>
    </xf>
    <xf numFmtId="3" fontId="0" fillId="0" borderId="3" xfId="0" applyNumberFormat="1" applyFill="1" applyBorder="1" applyAlignment="1" applyProtection="1">
      <alignment/>
      <protection/>
    </xf>
    <xf numFmtId="6" fontId="0" fillId="0" borderId="23" xfId="0" applyNumberFormat="1" applyFill="1" applyBorder="1" applyAlignment="1" applyProtection="1">
      <alignment/>
      <protection/>
    </xf>
    <xf numFmtId="0" fontId="0" fillId="0" borderId="23" xfId="0" applyFill="1" applyBorder="1" applyAlignment="1" applyProtection="1">
      <alignment/>
      <protection/>
    </xf>
    <xf numFmtId="0" fontId="0" fillId="0" borderId="24" xfId="0" applyFill="1" applyBorder="1" applyAlignment="1" applyProtection="1">
      <alignment/>
      <protection/>
    </xf>
    <xf numFmtId="6" fontId="0" fillId="0" borderId="28" xfId="0" applyNumberFormat="1" applyFill="1" applyBorder="1" applyAlignment="1" applyProtection="1">
      <alignment/>
      <protection/>
    </xf>
    <xf numFmtId="3" fontId="0" fillId="0" borderId="6" xfId="0" applyNumberFormat="1" applyFill="1" applyBorder="1" applyAlignment="1" applyProtection="1">
      <alignment/>
      <protection/>
    </xf>
    <xf numFmtId="3" fontId="0" fillId="0" borderId="14" xfId="0" applyNumberFormat="1" applyFill="1" applyBorder="1" applyAlignment="1" applyProtection="1">
      <alignment/>
      <protection/>
    </xf>
    <xf numFmtId="6" fontId="0" fillId="0" borderId="16" xfId="0" applyNumberFormat="1"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6" fontId="0" fillId="0" borderId="8" xfId="0" applyNumberFormat="1" applyFill="1" applyBorder="1" applyAlignment="1" applyProtection="1">
      <alignment/>
      <protection/>
    </xf>
    <xf numFmtId="3" fontId="0" fillId="0" borderId="42" xfId="0" applyNumberFormat="1" applyFill="1" applyBorder="1" applyAlignment="1" applyProtection="1">
      <alignment/>
      <protection/>
    </xf>
    <xf numFmtId="3" fontId="0" fillId="0" borderId="46" xfId="0" applyNumberFormat="1" applyFill="1" applyBorder="1" applyAlignment="1" applyProtection="1">
      <alignment/>
      <protection/>
    </xf>
    <xf numFmtId="6" fontId="0" fillId="0" borderId="50" xfId="0" applyNumberFormat="1" applyFill="1" applyBorder="1" applyAlignment="1" applyProtection="1">
      <alignment/>
      <protection/>
    </xf>
    <xf numFmtId="3" fontId="0" fillId="0" borderId="38" xfId="0" applyNumberFormat="1" applyFill="1" applyBorder="1" applyAlignment="1" applyProtection="1">
      <alignment/>
      <protection/>
    </xf>
    <xf numFmtId="0" fontId="0" fillId="0" borderId="44" xfId="0" applyFill="1" applyBorder="1" applyAlignment="1" applyProtection="1">
      <alignment/>
      <protection/>
    </xf>
    <xf numFmtId="0" fontId="0" fillId="0" borderId="50" xfId="0" applyFill="1" applyBorder="1" applyAlignment="1" applyProtection="1">
      <alignment/>
      <protection/>
    </xf>
    <xf numFmtId="6" fontId="0" fillId="0" borderId="35" xfId="0" applyNumberFormat="1" applyFill="1" applyBorder="1" applyAlignment="1" applyProtection="1">
      <alignment/>
      <protection/>
    </xf>
    <xf numFmtId="3" fontId="0" fillId="0" borderId="17" xfId="0" applyNumberFormat="1" applyFill="1" applyBorder="1" applyAlignment="1" applyProtection="1">
      <alignment horizontal="right" vertical="center"/>
      <protection/>
    </xf>
    <xf numFmtId="3" fontId="0" fillId="0" borderId="0" xfId="0" applyNumberFormat="1" applyFill="1" applyBorder="1" applyAlignment="1" applyProtection="1">
      <alignment horizontal="right" vertical="center"/>
      <protection/>
    </xf>
    <xf numFmtId="0" fontId="0" fillId="0" borderId="0" xfId="0" applyBorder="1" applyAlignment="1" applyProtection="1">
      <alignment horizontal="center"/>
      <protection/>
    </xf>
    <xf numFmtId="0" fontId="14" fillId="0" borderId="0" xfId="0" applyFont="1" applyAlignment="1" applyProtection="1">
      <alignment/>
      <protection/>
    </xf>
    <xf numFmtId="0" fontId="28" fillId="0" borderId="28" xfId="0" applyFont="1" applyBorder="1" applyAlignment="1" applyProtection="1">
      <alignment/>
      <protection/>
    </xf>
    <xf numFmtId="0" fontId="29" fillId="4" borderId="35" xfId="0" applyFont="1" applyFill="1" applyBorder="1" applyAlignment="1" applyProtection="1">
      <alignment/>
      <protection locked="0"/>
    </xf>
    <xf numFmtId="0" fontId="14" fillId="0" borderId="55" xfId="0" applyFont="1" applyFill="1" applyBorder="1" applyAlignment="1" applyProtection="1">
      <alignment/>
      <protection/>
    </xf>
    <xf numFmtId="0" fontId="14" fillId="0" borderId="54" xfId="0" applyFont="1" applyFill="1" applyBorder="1" applyAlignment="1" applyProtection="1">
      <alignment/>
      <protection/>
    </xf>
    <xf numFmtId="0" fontId="14" fillId="0" borderId="68" xfId="0" applyFont="1" applyFill="1" applyBorder="1" applyAlignment="1" applyProtection="1">
      <alignment/>
      <protection/>
    </xf>
    <xf numFmtId="0" fontId="14" fillId="0" borderId="18" xfId="0" applyFont="1" applyFill="1" applyBorder="1" applyAlignment="1" applyProtection="1">
      <alignment/>
      <protection/>
    </xf>
    <xf numFmtId="0" fontId="30" fillId="0" borderId="0" xfId="0" applyFont="1" applyAlignment="1" applyProtection="1">
      <alignment/>
      <protection/>
    </xf>
    <xf numFmtId="0" fontId="28" fillId="0" borderId="34" xfId="0" applyFont="1" applyBorder="1" applyAlignment="1" applyProtection="1">
      <alignment horizontal="center"/>
      <protection/>
    </xf>
    <xf numFmtId="0" fontId="28" fillId="0" borderId="0" xfId="0" applyFont="1" applyBorder="1" applyAlignment="1" applyProtection="1">
      <alignment horizontal="center"/>
      <protection/>
    </xf>
    <xf numFmtId="0" fontId="28" fillId="0" borderId="15" xfId="0" applyFont="1" applyBorder="1" applyAlignment="1" applyProtection="1">
      <alignment horizontal="center"/>
      <protection/>
    </xf>
    <xf numFmtId="0" fontId="29" fillId="4" borderId="8" xfId="0" applyFont="1" applyFill="1" applyBorder="1" applyAlignment="1" applyProtection="1">
      <alignment horizontal="center"/>
      <protection locked="0"/>
    </xf>
    <xf numFmtId="0" fontId="31" fillId="0" borderId="0" xfId="0" applyFont="1" applyAlignment="1" applyProtection="1">
      <alignment horizontal="center"/>
      <protection/>
    </xf>
    <xf numFmtId="0" fontId="28" fillId="0" borderId="23" xfId="0" applyFont="1" applyBorder="1" applyAlignment="1" applyProtection="1">
      <alignment horizontal="center" wrapText="1"/>
      <protection/>
    </xf>
    <xf numFmtId="0" fontId="28" fillId="0" borderId="26" xfId="0" applyFont="1" applyBorder="1" applyAlignment="1" applyProtection="1">
      <alignment horizontal="center" wrapText="1"/>
      <protection/>
    </xf>
    <xf numFmtId="0" fontId="28" fillId="0" borderId="6" xfId="0" applyFont="1" applyBorder="1" applyAlignment="1" applyProtection="1">
      <alignment horizontal="center" wrapText="1"/>
      <protection/>
    </xf>
    <xf numFmtId="0" fontId="28" fillId="0" borderId="15" xfId="0" applyFont="1" applyBorder="1" applyAlignment="1" applyProtection="1">
      <alignment horizontal="center" wrapText="1"/>
      <protection/>
    </xf>
    <xf numFmtId="0" fontId="31" fillId="0" borderId="0" xfId="0" applyFont="1" applyFill="1" applyBorder="1" applyAlignment="1" applyProtection="1">
      <alignment horizontal="center" wrapText="1"/>
      <protection/>
    </xf>
    <xf numFmtId="0" fontId="13" fillId="0" borderId="42" xfId="0" applyFont="1" applyBorder="1" applyAlignment="1" applyProtection="1">
      <alignment horizontal="center"/>
      <protection/>
    </xf>
    <xf numFmtId="0" fontId="13" fillId="0" borderId="46" xfId="0" applyFont="1" applyBorder="1" applyAlignment="1" applyProtection="1">
      <alignment horizontal="center"/>
      <protection/>
    </xf>
    <xf numFmtId="0" fontId="13" fillId="0" borderId="50" xfId="0" applyFont="1" applyBorder="1" applyAlignment="1" applyProtection="1">
      <alignment horizontal="center"/>
      <protection/>
    </xf>
    <xf numFmtId="0" fontId="13" fillId="0" borderId="44" xfId="0" applyFont="1" applyBorder="1" applyAlignment="1" applyProtection="1">
      <alignment horizontal="center"/>
      <protection/>
    </xf>
    <xf numFmtId="0" fontId="13" fillId="0" borderId="43" xfId="0" applyFont="1" applyBorder="1" applyAlignment="1" applyProtection="1">
      <alignment horizontal="center"/>
      <protection/>
    </xf>
    <xf numFmtId="0" fontId="29" fillId="4" borderId="41" xfId="0" applyFont="1" applyFill="1" applyBorder="1" applyAlignment="1" applyProtection="1">
      <alignment/>
      <protection locked="0"/>
    </xf>
    <xf numFmtId="6" fontId="29" fillId="4" borderId="28" xfId="0" applyNumberFormat="1" applyFont="1" applyFill="1" applyBorder="1" applyAlignment="1" applyProtection="1">
      <alignment/>
      <protection locked="0"/>
    </xf>
    <xf numFmtId="0" fontId="29" fillId="4" borderId="15" xfId="0" applyFont="1" applyFill="1" applyBorder="1" applyAlignment="1" applyProtection="1">
      <alignment/>
      <protection locked="0"/>
    </xf>
    <xf numFmtId="6" fontId="29" fillId="4" borderId="8" xfId="0" applyNumberFormat="1" applyFont="1" applyFill="1" applyBorder="1" applyAlignment="1" applyProtection="1">
      <alignment/>
      <protection locked="0"/>
    </xf>
    <xf numFmtId="164" fontId="14" fillId="0" borderId="33" xfId="0" applyNumberFormat="1" applyFont="1" applyBorder="1" applyAlignment="1" applyProtection="1">
      <alignment vertical="center"/>
      <protection/>
    </xf>
    <xf numFmtId="164" fontId="14" fillId="0" borderId="62" xfId="0" applyNumberFormat="1" applyFont="1" applyBorder="1" applyAlignment="1" applyProtection="1">
      <alignment vertical="center"/>
      <protection/>
    </xf>
    <xf numFmtId="0" fontId="29" fillId="4" borderId="40" xfId="0" applyFont="1" applyFill="1" applyBorder="1" applyAlignment="1" applyProtection="1">
      <alignment/>
      <protection locked="0"/>
    </xf>
    <xf numFmtId="6" fontId="29" fillId="4" borderId="35" xfId="0" applyNumberFormat="1" applyFont="1" applyFill="1" applyBorder="1" applyAlignment="1" applyProtection="1">
      <alignment/>
      <protection locked="0"/>
    </xf>
    <xf numFmtId="3" fontId="30" fillId="0" borderId="0" xfId="0" applyNumberFormat="1" applyFont="1" applyFill="1" applyBorder="1" applyAlignment="1" applyProtection="1">
      <alignment horizontal="center"/>
      <protection/>
    </xf>
    <xf numFmtId="3" fontId="29" fillId="4" borderId="17" xfId="0" applyNumberFormat="1" applyFont="1" applyFill="1" applyBorder="1" applyAlignment="1" applyProtection="1">
      <alignment horizontal="right" vertical="center"/>
      <protection locked="0"/>
    </xf>
    <xf numFmtId="0" fontId="14" fillId="0" borderId="63" xfId="0" applyNumberFormat="1" applyFont="1" applyFill="1" applyBorder="1" applyAlignment="1" applyProtection="1">
      <alignment horizontal="left" vertical="center"/>
      <protection/>
    </xf>
    <xf numFmtId="0" fontId="14" fillId="0" borderId="0" xfId="0" applyFont="1" applyBorder="1" applyAlignment="1" applyProtection="1">
      <alignment/>
      <protection/>
    </xf>
    <xf numFmtId="0" fontId="14" fillId="0" borderId="0" xfId="0" applyFont="1" applyBorder="1" applyAlignment="1" applyProtection="1">
      <alignment horizontal="right"/>
      <protection/>
    </xf>
    <xf numFmtId="3" fontId="14" fillId="0" borderId="0" xfId="0" applyNumberFormat="1" applyFont="1" applyFill="1" applyBorder="1" applyAlignment="1" applyProtection="1">
      <alignment/>
      <protection/>
    </xf>
    <xf numFmtId="0" fontId="14" fillId="0" borderId="0" xfId="0" applyFont="1" applyBorder="1" applyAlignment="1" applyProtection="1">
      <alignment horizontal="left" indent="1"/>
      <protection/>
    </xf>
    <xf numFmtId="8" fontId="32" fillId="0" borderId="0" xfId="0" applyNumberFormat="1"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3" fontId="0" fillId="0" borderId="0" xfId="0" applyNumberFormat="1" applyFill="1" applyAlignment="1" applyProtection="1">
      <alignment horizontal="center"/>
      <protection locked="0"/>
    </xf>
    <xf numFmtId="0" fontId="22" fillId="0" borderId="3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2" fontId="0" fillId="0" borderId="0" xfId="0" applyNumberFormat="1" applyAlignment="1" applyProtection="1">
      <alignment/>
      <protection/>
    </xf>
    <xf numFmtId="3" fontId="0" fillId="0" borderId="16" xfId="0" applyNumberFormat="1" applyFill="1" applyBorder="1" applyAlignment="1" applyProtection="1">
      <alignment/>
      <protection/>
    </xf>
    <xf numFmtId="37" fontId="22" fillId="0" borderId="63" xfId="0" applyNumberFormat="1" applyFont="1" applyFill="1" applyBorder="1" applyAlignment="1" applyProtection="1">
      <alignment vertical="center"/>
      <protection/>
    </xf>
    <xf numFmtId="3" fontId="17" fillId="0" borderId="0" xfId="0" applyNumberFormat="1" applyFont="1" applyBorder="1" applyAlignment="1" applyProtection="1">
      <alignment/>
      <protection/>
    </xf>
    <xf numFmtId="3" fontId="17" fillId="0" borderId="0" xfId="0" applyNumberFormat="1" applyFont="1" applyBorder="1" applyAlignment="1" applyProtection="1">
      <alignment horizontal="center"/>
      <protection/>
    </xf>
    <xf numFmtId="1" fontId="22" fillId="0" borderId="7" xfId="0" applyNumberFormat="1" applyFont="1" applyBorder="1" applyAlignment="1" applyProtection="1">
      <alignment horizontal="right"/>
      <protection/>
    </xf>
    <xf numFmtId="3" fontId="0" fillId="0" borderId="37" xfId="0" applyNumberFormat="1" applyBorder="1" applyAlignment="1" applyProtection="1">
      <alignment horizontal="center" wrapText="1"/>
      <protection/>
    </xf>
    <xf numFmtId="0" fontId="0" fillId="0" borderId="0" xfId="0" applyFont="1" applyAlignment="1">
      <alignment/>
    </xf>
    <xf numFmtId="0" fontId="11" fillId="0" borderId="0" xfId="0" applyFont="1" applyAlignment="1">
      <alignment/>
    </xf>
    <xf numFmtId="0" fontId="0" fillId="0" borderId="0" xfId="0" applyFont="1" applyAlignment="1">
      <alignment horizontal="right"/>
    </xf>
    <xf numFmtId="0" fontId="13" fillId="0" borderId="0" xfId="0" applyFont="1" applyAlignment="1">
      <alignment horizontal="center"/>
    </xf>
    <xf numFmtId="0" fontId="22" fillId="0" borderId="55" xfId="0" applyFont="1" applyFill="1" applyBorder="1" applyAlignment="1" applyProtection="1">
      <alignment vertical="center"/>
      <protection/>
    </xf>
    <xf numFmtId="0" fontId="22" fillId="0" borderId="0" xfId="0" applyFont="1" applyFill="1" applyAlignment="1" applyProtection="1">
      <alignment vertical="center"/>
      <protection/>
    </xf>
    <xf numFmtId="3" fontId="8" fillId="4" borderId="16" xfId="0" applyNumberFormat="1" applyFont="1" applyFill="1" applyBorder="1" applyAlignment="1" applyProtection="1">
      <alignment vertical="center"/>
      <protection locked="0"/>
    </xf>
    <xf numFmtId="3" fontId="8" fillId="4" borderId="50" xfId="0" applyNumberFormat="1" applyFont="1" applyFill="1" applyBorder="1" applyAlignment="1" applyProtection="1">
      <alignment vertical="center"/>
      <protection locked="0"/>
    </xf>
    <xf numFmtId="3" fontId="8" fillId="4" borderId="49" xfId="0" applyNumberFormat="1" applyFont="1" applyFill="1" applyBorder="1" applyAlignment="1" applyProtection="1">
      <alignment vertical="center"/>
      <protection locked="0"/>
    </xf>
    <xf numFmtId="3" fontId="8" fillId="4" borderId="48" xfId="0" applyNumberFormat="1" applyFont="1" applyFill="1" applyBorder="1" applyAlignment="1" applyProtection="1">
      <alignment vertical="center"/>
      <protection locked="0"/>
    </xf>
    <xf numFmtId="6" fontId="8" fillId="4" borderId="28" xfId="0" applyNumberFormat="1" applyFont="1" applyFill="1" applyBorder="1" applyAlignment="1" applyProtection="1">
      <alignment vertical="center"/>
      <protection locked="0"/>
    </xf>
    <xf numFmtId="6" fontId="8" fillId="4" borderId="8" xfId="0" applyNumberFormat="1" applyFont="1" applyFill="1" applyBorder="1" applyAlignment="1" applyProtection="1">
      <alignment vertical="center"/>
      <protection locked="0"/>
    </xf>
    <xf numFmtId="6" fontId="8" fillId="4" borderId="43" xfId="0" applyNumberFormat="1" applyFont="1" applyFill="1" applyBorder="1" applyAlignment="1" applyProtection="1">
      <alignment vertical="center"/>
      <protection locked="0"/>
    </xf>
    <xf numFmtId="6" fontId="8" fillId="4" borderId="35" xfId="0" applyNumberFormat="1" applyFont="1" applyFill="1" applyBorder="1" applyAlignment="1" applyProtection="1">
      <alignment vertical="center"/>
      <protection locked="0"/>
    </xf>
    <xf numFmtId="164" fontId="8" fillId="4" borderId="4" xfId="0" applyNumberFormat="1" applyFont="1" applyFill="1" applyBorder="1" applyAlignment="1" applyProtection="1">
      <alignment/>
      <protection locked="0"/>
    </xf>
    <xf numFmtId="164" fontId="8" fillId="4" borderId="7" xfId="0" applyNumberFormat="1" applyFont="1" applyFill="1" applyBorder="1" applyAlignment="1" applyProtection="1">
      <alignment/>
      <protection locked="0"/>
    </xf>
    <xf numFmtId="164" fontId="8" fillId="2" borderId="7" xfId="0" applyNumberFormat="1" applyFont="1" applyFill="1" applyBorder="1" applyAlignment="1" applyProtection="1">
      <alignment/>
      <protection/>
    </xf>
    <xf numFmtId="164" fontId="8" fillId="4" borderId="53" xfId="0" applyNumberFormat="1" applyFont="1" applyFill="1" applyBorder="1" applyAlignment="1" applyProtection="1">
      <alignment/>
      <protection locked="0"/>
    </xf>
    <xf numFmtId="0" fontId="22" fillId="6" borderId="55" xfId="0" applyFont="1" applyFill="1" applyBorder="1" applyAlignment="1" applyProtection="1">
      <alignment vertical="center"/>
      <protection/>
    </xf>
    <xf numFmtId="0" fontId="22" fillId="6" borderId="54" xfId="0" applyFont="1" applyFill="1" applyBorder="1" applyAlignment="1" applyProtection="1">
      <alignment vertical="center"/>
      <protection/>
    </xf>
    <xf numFmtId="0" fontId="22" fillId="6" borderId="60" xfId="0" applyFont="1" applyFill="1" applyBorder="1" applyAlignment="1" applyProtection="1">
      <alignment vertical="center"/>
      <protection/>
    </xf>
    <xf numFmtId="0" fontId="22" fillId="6" borderId="68" xfId="0" applyFont="1" applyFill="1" applyBorder="1" applyAlignment="1" applyProtection="1">
      <alignment vertical="center"/>
      <protection/>
    </xf>
    <xf numFmtId="0" fontId="22" fillId="6" borderId="18" xfId="0" applyFont="1" applyFill="1" applyBorder="1" applyAlignment="1" applyProtection="1">
      <alignment vertical="center"/>
      <protection/>
    </xf>
    <xf numFmtId="0" fontId="22" fillId="6" borderId="65" xfId="0" applyFont="1" applyFill="1" applyBorder="1" applyAlignment="1" applyProtection="1">
      <alignment vertical="center"/>
      <protection/>
    </xf>
    <xf numFmtId="3" fontId="0" fillId="0" borderId="36" xfId="0" applyNumberFormat="1" applyBorder="1" applyAlignment="1" applyProtection="1">
      <alignment horizontal="center" wrapText="1"/>
      <protection/>
    </xf>
    <xf numFmtId="3" fontId="0" fillId="0" borderId="26" xfId="0" applyNumberFormat="1" applyFill="1" applyBorder="1" applyAlignment="1" applyProtection="1">
      <alignment/>
      <protection locked="0"/>
    </xf>
    <xf numFmtId="3" fontId="0" fillId="0" borderId="36" xfId="0" applyNumberFormat="1" applyFill="1" applyBorder="1" applyAlignment="1" applyProtection="1">
      <alignment/>
      <protection/>
    </xf>
    <xf numFmtId="3" fontId="0" fillId="0" borderId="69" xfId="0" applyNumberFormat="1" applyFill="1" applyBorder="1" applyAlignment="1" applyProtection="1">
      <alignment/>
      <protection locked="0"/>
    </xf>
    <xf numFmtId="3" fontId="0" fillId="0" borderId="7" xfId="0" applyNumberFormat="1" applyFill="1" applyBorder="1" applyAlignment="1" applyProtection="1">
      <alignment/>
      <protection locked="0"/>
    </xf>
    <xf numFmtId="3" fontId="0" fillId="0" borderId="53" xfId="0" applyNumberFormat="1" applyFill="1" applyBorder="1" applyAlignment="1" applyProtection="1">
      <alignment/>
      <protection locked="0"/>
    </xf>
    <xf numFmtId="3" fontId="0" fillId="0" borderId="10" xfId="0" applyNumberFormat="1" applyBorder="1" applyAlignment="1" applyProtection="1">
      <alignment/>
      <protection/>
    </xf>
    <xf numFmtId="3" fontId="7" fillId="0" borderId="21" xfId="0" applyNumberFormat="1" applyFont="1" applyBorder="1" applyAlignment="1" applyProtection="1">
      <alignment horizontal="center"/>
      <protection locked="0"/>
    </xf>
    <xf numFmtId="3" fontId="7" fillId="0" borderId="24" xfId="0" applyNumberFormat="1" applyFont="1" applyBorder="1" applyAlignment="1" applyProtection="1">
      <alignment horizontal="center"/>
      <protection locked="0"/>
    </xf>
    <xf numFmtId="3" fontId="7" fillId="0" borderId="23" xfId="0" applyNumberFormat="1" applyFont="1" applyBorder="1" applyAlignment="1" applyProtection="1">
      <alignment horizontal="right"/>
      <protection locked="0"/>
    </xf>
    <xf numFmtId="3" fontId="7" fillId="0" borderId="69" xfId="0" applyNumberFormat="1" applyFont="1" applyBorder="1" applyAlignment="1" applyProtection="1">
      <alignment horizontal="right"/>
      <protection locked="0"/>
    </xf>
    <xf numFmtId="3" fontId="7" fillId="0" borderId="26" xfId="0" applyNumberFormat="1" applyFont="1" applyBorder="1" applyAlignment="1" applyProtection="1">
      <alignment horizontal="right"/>
      <protection locked="0"/>
    </xf>
    <xf numFmtId="168" fontId="0" fillId="0" borderId="7" xfId="0" applyNumberFormat="1" applyFont="1" applyFill="1" applyBorder="1" applyAlignment="1">
      <alignment horizontal="center"/>
    </xf>
    <xf numFmtId="6" fontId="0" fillId="0" borderId="29" xfId="0" applyNumberFormat="1" applyFont="1" applyFill="1" applyBorder="1" applyAlignment="1">
      <alignment horizontal="center"/>
    </xf>
    <xf numFmtId="0" fontId="0" fillId="0" borderId="68" xfId="0" applyFont="1" applyBorder="1" applyAlignment="1">
      <alignment horizontal="left" vertical="center"/>
    </xf>
    <xf numFmtId="0" fontId="0" fillId="0" borderId="51" xfId="0" applyFont="1" applyBorder="1" applyAlignment="1">
      <alignment horizontal="center" vertical="center"/>
    </xf>
    <xf numFmtId="0" fontId="0" fillId="3" borderId="70" xfId="0" applyFont="1" applyFill="1" applyBorder="1" applyAlignment="1">
      <alignment/>
    </xf>
    <xf numFmtId="0" fontId="0" fillId="3" borderId="71" xfId="0" applyFont="1" applyFill="1" applyBorder="1" applyAlignment="1">
      <alignment/>
    </xf>
    <xf numFmtId="0" fontId="0" fillId="3" borderId="72" xfId="0" applyFont="1" applyFill="1" applyBorder="1" applyAlignment="1">
      <alignment/>
    </xf>
    <xf numFmtId="0" fontId="0" fillId="3" borderId="73" xfId="0" applyFont="1" applyFill="1" applyBorder="1" applyAlignment="1">
      <alignment/>
    </xf>
    <xf numFmtId="0" fontId="0" fillId="3" borderId="74" xfId="0" applyFont="1" applyFill="1" applyBorder="1" applyAlignment="1">
      <alignment/>
    </xf>
    <xf numFmtId="0" fontId="0" fillId="3" borderId="72" xfId="0" applyFont="1" applyFill="1" applyBorder="1" applyAlignment="1">
      <alignment horizontal="center"/>
    </xf>
    <xf numFmtId="0" fontId="0" fillId="0" borderId="17" xfId="0" applyFont="1" applyBorder="1" applyAlignment="1">
      <alignment/>
    </xf>
    <xf numFmtId="171" fontId="0" fillId="0" borderId="38" xfId="0" applyNumberFormat="1" applyFont="1" applyBorder="1" applyAlignment="1">
      <alignment horizontal="center"/>
    </xf>
    <xf numFmtId="171" fontId="0" fillId="0" borderId="40" xfId="0" applyNumberFormat="1" applyFont="1" applyBorder="1" applyAlignment="1">
      <alignment horizontal="center"/>
    </xf>
    <xf numFmtId="171" fontId="0" fillId="0" borderId="62" xfId="0" applyNumberFormat="1" applyFont="1" applyBorder="1" applyAlignment="1">
      <alignment horizontal="center"/>
    </xf>
    <xf numFmtId="171" fontId="0" fillId="0" borderId="35" xfId="0" applyNumberFormat="1" applyFont="1" applyBorder="1" applyAlignment="1">
      <alignment horizontal="center"/>
    </xf>
    <xf numFmtId="171" fontId="0" fillId="0" borderId="63" xfId="0" applyNumberFormat="1" applyFont="1" applyBorder="1" applyAlignment="1">
      <alignment horizontal="center"/>
    </xf>
    <xf numFmtId="182" fontId="0" fillId="0" borderId="30" xfId="0" applyNumberFormat="1" applyFont="1" applyBorder="1" applyAlignment="1">
      <alignment horizontal="center"/>
    </xf>
    <xf numFmtId="0" fontId="0" fillId="0" borderId="54" xfId="0" applyFont="1" applyFill="1" applyBorder="1" applyAlignment="1">
      <alignment horizontal="center" vertical="center"/>
    </xf>
    <xf numFmtId="3" fontId="0" fillId="0" borderId="0" xfId="0" applyNumberFormat="1" applyAlignment="1">
      <alignment horizontal="right" vertical="center"/>
    </xf>
    <xf numFmtId="0" fontId="0" fillId="0" borderId="0" xfId="0" applyFont="1" applyBorder="1" applyAlignment="1">
      <alignment horizontal="left" vertical="center" indent="1"/>
    </xf>
    <xf numFmtId="0" fontId="0" fillId="0" borderId="0" xfId="0" applyFont="1" applyFill="1" applyBorder="1" applyAlignment="1">
      <alignment horizontal="center" vertical="center"/>
    </xf>
    <xf numFmtId="0" fontId="15" fillId="0" borderId="22" xfId="0" applyFont="1" applyBorder="1" applyAlignment="1">
      <alignment horizontal="center" vertical="top" wrapText="1"/>
    </xf>
    <xf numFmtId="3" fontId="15" fillId="0" borderId="22" xfId="0" applyNumberFormat="1" applyFont="1" applyBorder="1" applyAlignment="1">
      <alignment horizontal="center" vertical="top" wrapText="1"/>
    </xf>
    <xf numFmtId="3" fontId="15" fillId="0" borderId="47" xfId="0" applyNumberFormat="1" applyFont="1" applyBorder="1" applyAlignment="1">
      <alignment horizontal="center" vertical="top" wrapText="1"/>
    </xf>
    <xf numFmtId="0" fontId="15" fillId="0" borderId="47" xfId="0" applyFont="1" applyBorder="1" applyAlignment="1">
      <alignment horizontal="center" vertical="top" wrapText="1"/>
    </xf>
    <xf numFmtId="0" fontId="15" fillId="0" borderId="70" xfId="0" applyFont="1" applyBorder="1" applyAlignment="1">
      <alignment vertical="top" wrapText="1"/>
    </xf>
    <xf numFmtId="0" fontId="15" fillId="0" borderId="73" xfId="0" applyFont="1" applyBorder="1" applyAlignment="1">
      <alignment horizontal="center" vertical="top" wrapText="1"/>
    </xf>
    <xf numFmtId="0" fontId="15" fillId="0" borderId="65" xfId="0" applyFont="1" applyBorder="1" applyAlignment="1">
      <alignment horizontal="center" vertical="top" wrapText="1"/>
    </xf>
    <xf numFmtId="8" fontId="15" fillId="0" borderId="22" xfId="0" applyNumberFormat="1" applyFont="1" applyBorder="1" applyAlignment="1">
      <alignment horizontal="center" vertical="top" wrapText="1"/>
    </xf>
    <xf numFmtId="8" fontId="15" fillId="0" borderId="47" xfId="0" applyNumberFormat="1" applyFont="1" applyBorder="1" applyAlignment="1">
      <alignment horizontal="center" vertical="top" wrapText="1"/>
    </xf>
    <xf numFmtId="169" fontId="15" fillId="0" borderId="22" xfId="0" applyNumberFormat="1" applyFont="1" applyBorder="1" applyAlignment="1">
      <alignment horizontal="center" vertical="top" wrapText="1"/>
    </xf>
    <xf numFmtId="169" fontId="15" fillId="0" borderId="47" xfId="0" applyNumberFormat="1" applyFont="1" applyBorder="1" applyAlignment="1">
      <alignment horizontal="center" vertical="top" wrapText="1"/>
    </xf>
    <xf numFmtId="165" fontId="15" fillId="0" borderId="22" xfId="0" applyNumberFormat="1" applyFont="1" applyBorder="1" applyAlignment="1">
      <alignment horizontal="center" vertical="top" wrapText="1"/>
    </xf>
    <xf numFmtId="165" fontId="15" fillId="0" borderId="47" xfId="0" applyNumberFormat="1" applyFont="1" applyBorder="1" applyAlignment="1">
      <alignment horizontal="center" vertical="top" wrapText="1"/>
    </xf>
    <xf numFmtId="178" fontId="15" fillId="0" borderId="22" xfId="0" applyNumberFormat="1" applyFont="1" applyBorder="1" applyAlignment="1">
      <alignment horizontal="center" vertical="top" wrapText="1"/>
    </xf>
    <xf numFmtId="178" fontId="15" fillId="0" borderId="47" xfId="0" applyNumberFormat="1" applyFont="1" applyBorder="1" applyAlignment="1">
      <alignment horizontal="center" vertical="top" wrapText="1"/>
    </xf>
    <xf numFmtId="0" fontId="0" fillId="0" borderId="0" xfId="0" applyFont="1" applyFill="1" applyBorder="1" applyAlignment="1">
      <alignment/>
    </xf>
    <xf numFmtId="0" fontId="0" fillId="0" borderId="75" xfId="0" applyBorder="1" applyAlignment="1">
      <alignment horizontal="right" vertical="center" wrapText="1"/>
    </xf>
    <xf numFmtId="0" fontId="6" fillId="0" borderId="75" xfId="0" applyFont="1" applyBorder="1" applyAlignment="1">
      <alignment horizontal="right" vertical="center"/>
    </xf>
    <xf numFmtId="0" fontId="15" fillId="0" borderId="0" xfId="0" applyFont="1" applyAlignment="1" applyProtection="1">
      <alignment/>
      <protection/>
    </xf>
    <xf numFmtId="0" fontId="0" fillId="0" borderId="7" xfId="0" applyBorder="1" applyAlignment="1" applyProtection="1">
      <alignment vertical="center"/>
      <protection/>
    </xf>
    <xf numFmtId="3" fontId="0" fillId="0" borderId="33" xfId="0" applyNumberFormat="1" applyFill="1" applyBorder="1" applyAlignment="1" applyProtection="1">
      <alignment vertical="center"/>
      <protection/>
    </xf>
    <xf numFmtId="165" fontId="8" fillId="4" borderId="7" xfId="0" applyNumberFormat="1" applyFont="1" applyFill="1" applyBorder="1" applyAlignment="1" applyProtection="1">
      <alignment/>
      <protection locked="0"/>
    </xf>
    <xf numFmtId="169" fontId="0" fillId="0" borderId="16" xfId="0" applyNumberFormat="1" applyBorder="1" applyAlignment="1" applyProtection="1">
      <alignment horizontal="right"/>
      <protection/>
    </xf>
    <xf numFmtId="168" fontId="0" fillId="0" borderId="0" xfId="0" applyNumberFormat="1" applyAlignment="1" applyProtection="1">
      <alignment/>
      <protection/>
    </xf>
    <xf numFmtId="0" fontId="7" fillId="0" borderId="0" xfId="0" applyFont="1" applyAlignment="1" applyProtection="1">
      <alignment horizontal="center"/>
      <protection/>
    </xf>
    <xf numFmtId="164" fontId="10" fillId="0" borderId="0" xfId="0" applyNumberFormat="1" applyFont="1" applyAlignment="1" applyProtection="1">
      <alignment horizontal="left" vertical="center"/>
      <protection/>
    </xf>
    <xf numFmtId="165" fontId="22" fillId="0" borderId="16" xfId="0" applyNumberFormat="1" applyFont="1" applyFill="1" applyBorder="1" applyAlignment="1" applyProtection="1">
      <alignment vertical="center"/>
      <protection/>
    </xf>
    <xf numFmtId="164" fontId="10" fillId="0" borderId="0" xfId="0" applyNumberFormat="1" applyFont="1" applyFill="1" applyBorder="1" applyAlignment="1" applyProtection="1">
      <alignment vertical="center"/>
      <protection/>
    </xf>
    <xf numFmtId="2" fontId="22" fillId="0" borderId="16" xfId="0" applyNumberFormat="1" applyFont="1" applyFill="1" applyBorder="1" applyAlignment="1" applyProtection="1">
      <alignment vertical="center"/>
      <protection/>
    </xf>
    <xf numFmtId="164" fontId="22" fillId="0" borderId="7" xfId="0" applyNumberFormat="1" applyFont="1" applyFill="1" applyBorder="1" applyAlignment="1" applyProtection="1">
      <alignment vertical="center"/>
      <protection/>
    </xf>
    <xf numFmtId="164" fontId="22" fillId="0" borderId="16" xfId="0" applyNumberFormat="1" applyFont="1" applyFill="1" applyBorder="1" applyAlignment="1" applyProtection="1">
      <alignment vertical="center"/>
      <protection/>
    </xf>
    <xf numFmtId="169" fontId="22" fillId="0" borderId="16" xfId="0" applyNumberFormat="1" applyFont="1" applyFill="1" applyBorder="1" applyAlignment="1" applyProtection="1">
      <alignment vertical="center"/>
      <protection/>
    </xf>
    <xf numFmtId="3" fontId="22" fillId="0" borderId="16" xfId="0" applyNumberFormat="1" applyFont="1" applyFill="1" applyBorder="1" applyAlignment="1" applyProtection="1">
      <alignment vertical="center"/>
      <protection/>
    </xf>
    <xf numFmtId="168" fontId="22" fillId="0" borderId="16" xfId="0" applyNumberFormat="1" applyFont="1" applyFill="1" applyBorder="1" applyAlignment="1" applyProtection="1">
      <alignment vertical="center"/>
      <protection/>
    </xf>
    <xf numFmtId="37" fontId="22" fillId="0" borderId="16" xfId="0" applyNumberFormat="1" applyFont="1" applyFill="1" applyBorder="1" applyAlignment="1" applyProtection="1">
      <alignment vertical="center"/>
      <protection/>
    </xf>
    <xf numFmtId="37" fontId="22" fillId="0" borderId="48" xfId="0" applyNumberFormat="1" applyFont="1" applyFill="1" applyBorder="1" applyAlignment="1" applyProtection="1">
      <alignment vertical="center"/>
      <protection/>
    </xf>
    <xf numFmtId="37" fontId="22" fillId="0" borderId="0" xfId="0" applyNumberFormat="1" applyFont="1" applyFill="1" applyBorder="1" applyAlignment="1" applyProtection="1">
      <alignment vertical="center"/>
      <protection/>
    </xf>
    <xf numFmtId="3" fontId="22" fillId="0" borderId="0" xfId="0" applyNumberFormat="1" applyFont="1" applyAlignment="1" applyProtection="1">
      <alignment vertical="center"/>
      <protection/>
    </xf>
    <xf numFmtId="0" fontId="22" fillId="0" borderId="0" xfId="0" applyNumberFormat="1" applyFont="1" applyAlignment="1" applyProtection="1">
      <alignment horizontal="center" vertical="center"/>
      <protection/>
    </xf>
    <xf numFmtId="0" fontId="0" fillId="0" borderId="54" xfId="0" applyFont="1" applyFill="1" applyBorder="1" applyAlignment="1">
      <alignment horizontal="left" vertical="center" indent="1"/>
    </xf>
    <xf numFmtId="0" fontId="0" fillId="0" borderId="0" xfId="0" applyFont="1" applyFill="1" applyBorder="1" applyAlignment="1">
      <alignment horizontal="left" vertical="center" indent="1"/>
    </xf>
    <xf numFmtId="3" fontId="0" fillId="0" borderId="18" xfId="0" applyNumberFormat="1" applyBorder="1" applyAlignment="1" applyProtection="1">
      <alignment horizontal="center"/>
      <protection/>
    </xf>
    <xf numFmtId="3" fontId="0" fillId="0" borderId="31" xfId="0" applyNumberFormat="1" applyBorder="1" applyAlignment="1" applyProtection="1">
      <alignment horizontal="center" wrapText="1"/>
      <protection locked="0"/>
    </xf>
    <xf numFmtId="181" fontId="0" fillId="0" borderId="66" xfId="0" applyNumberFormat="1" applyFill="1" applyBorder="1" applyAlignment="1" applyProtection="1">
      <alignment horizontal="right" vertical="center"/>
      <protection/>
    </xf>
    <xf numFmtId="3" fontId="0" fillId="0" borderId="16" xfId="0" applyNumberFormat="1" applyFill="1" applyBorder="1" applyAlignment="1" applyProtection="1">
      <alignment horizontal="right" vertical="center"/>
      <protection/>
    </xf>
    <xf numFmtId="8" fontId="14" fillId="0" borderId="0" xfId="0" applyNumberFormat="1" applyFont="1" applyAlignment="1" applyProtection="1">
      <alignment/>
      <protection/>
    </xf>
    <xf numFmtId="3" fontId="30" fillId="0" borderId="0" xfId="0" applyNumberFormat="1" applyFont="1" applyAlignment="1" applyProtection="1">
      <alignment/>
      <protection/>
    </xf>
    <xf numFmtId="0" fontId="14" fillId="0" borderId="0" xfId="0" applyFont="1" applyBorder="1" applyAlignment="1" applyProtection="1">
      <alignment horizontal="center" vertical="center"/>
      <protection/>
    </xf>
    <xf numFmtId="0" fontId="14" fillId="0" borderId="0" xfId="0" applyNumberFormat="1" applyFont="1" applyFill="1" applyBorder="1" applyAlignment="1" applyProtection="1">
      <alignment horizontal="left" vertical="center" indent="1"/>
      <protection/>
    </xf>
    <xf numFmtId="0" fontId="14" fillId="0" borderId="0" xfId="0" applyFont="1" applyBorder="1" applyAlignment="1" applyProtection="1">
      <alignment horizontal="left" vertical="center" indent="1"/>
      <protection/>
    </xf>
    <xf numFmtId="0" fontId="28" fillId="0" borderId="0" xfId="0" applyFont="1" applyBorder="1" applyAlignment="1" applyProtection="1">
      <alignment horizontal="center" vertical="center" wrapText="1"/>
      <protection/>
    </xf>
    <xf numFmtId="0" fontId="14" fillId="0" borderId="0" xfId="0" applyNumberFormat="1" applyFont="1" applyFill="1" applyBorder="1" applyAlignment="1" applyProtection="1">
      <alignment horizontal="left" vertical="center"/>
      <protection/>
    </xf>
    <xf numFmtId="3" fontId="29" fillId="0" borderId="0" xfId="0" applyNumberFormat="1" applyFont="1" applyFill="1" applyBorder="1" applyAlignment="1" applyProtection="1">
      <alignment horizontal="right" vertical="center"/>
      <protection locked="0"/>
    </xf>
    <xf numFmtId="187" fontId="14" fillId="0" borderId="0" xfId="0" applyNumberFormat="1" applyFont="1" applyBorder="1" applyAlignment="1" applyProtection="1">
      <alignment horizontal="left" indent="1"/>
      <protection/>
    </xf>
    <xf numFmtId="4" fontId="10" fillId="7" borderId="20" xfId="0" applyNumberFormat="1" applyFont="1" applyFill="1" applyBorder="1" applyAlignment="1" applyProtection="1">
      <alignment horizontal="center" vertical="center"/>
      <protection/>
    </xf>
    <xf numFmtId="165" fontId="22" fillId="0" borderId="24" xfId="0" applyNumberFormat="1" applyFont="1" applyFill="1" applyBorder="1" applyAlignment="1" applyProtection="1">
      <alignment vertical="center"/>
      <protection/>
    </xf>
    <xf numFmtId="164" fontId="22" fillId="0" borderId="47" xfId="0" applyNumberFormat="1" applyFont="1" applyFill="1" applyBorder="1" applyAlignment="1" applyProtection="1">
      <alignment vertical="center"/>
      <protection/>
    </xf>
    <xf numFmtId="1" fontId="33" fillId="4" borderId="18" xfId="0" applyNumberFormat="1" applyFont="1" applyFill="1" applyBorder="1" applyAlignment="1" applyProtection="1">
      <alignment/>
      <protection locked="0"/>
    </xf>
    <xf numFmtId="165" fontId="32" fillId="4" borderId="24" xfId="0" applyNumberFormat="1" applyFont="1" applyFill="1" applyBorder="1" applyAlignment="1" applyProtection="1">
      <alignment vertical="center"/>
      <protection locked="0"/>
    </xf>
    <xf numFmtId="164" fontId="14" fillId="0" borderId="47" xfId="0" applyNumberFormat="1" applyFont="1" applyBorder="1" applyAlignment="1" applyProtection="1">
      <alignment vertical="center"/>
      <protection/>
    </xf>
    <xf numFmtId="169" fontId="32" fillId="4" borderId="24" xfId="0" applyNumberFormat="1" applyFont="1" applyFill="1" applyBorder="1" applyAlignment="1" applyProtection="1">
      <alignment vertical="center"/>
      <protection locked="0"/>
    </xf>
    <xf numFmtId="0" fontId="0" fillId="0" borderId="69" xfId="0" applyBorder="1" applyAlignment="1" applyProtection="1">
      <alignment vertical="center"/>
      <protection/>
    </xf>
    <xf numFmtId="3" fontId="0" fillId="0" borderId="24" xfId="0" applyNumberFormat="1" applyFill="1" applyBorder="1" applyAlignment="1" applyProtection="1">
      <alignment horizontal="right" vertical="center"/>
      <protection/>
    </xf>
    <xf numFmtId="0" fontId="0" fillId="0" borderId="47" xfId="0" applyFont="1" applyFill="1" applyBorder="1" applyAlignment="1" applyProtection="1">
      <alignment horizontal="left" vertical="center"/>
      <protection/>
    </xf>
    <xf numFmtId="3" fontId="0" fillId="0" borderId="49" xfId="0" applyNumberFormat="1" applyFill="1" applyBorder="1" applyAlignment="1" applyProtection="1">
      <alignment vertical="center"/>
      <protection/>
    </xf>
    <xf numFmtId="0" fontId="0" fillId="0" borderId="68" xfId="0" applyBorder="1" applyAlignment="1" applyProtection="1">
      <alignment horizontal="left" vertical="center" wrapText="1"/>
      <protection/>
    </xf>
    <xf numFmtId="0" fontId="0" fillId="0" borderId="73" xfId="0" applyBorder="1" applyAlignment="1" applyProtection="1">
      <alignment horizontal="left" vertical="center" wrapText="1"/>
      <protection/>
    </xf>
    <xf numFmtId="3" fontId="8" fillId="4" borderId="74" xfId="0" applyNumberFormat="1" applyFont="1" applyFill="1" applyBorder="1" applyAlignment="1" applyProtection="1">
      <alignment horizontal="center" vertical="center"/>
      <protection locked="0"/>
    </xf>
    <xf numFmtId="0" fontId="0" fillId="0" borderId="19" xfId="0" applyFont="1" applyBorder="1" applyAlignment="1">
      <alignment/>
    </xf>
    <xf numFmtId="6" fontId="0" fillId="0" borderId="19" xfId="0" applyNumberFormat="1" applyFont="1" applyBorder="1" applyAlignment="1">
      <alignment/>
    </xf>
    <xf numFmtId="0" fontId="15" fillId="0" borderId="31" xfId="0" applyFont="1" applyBorder="1" applyAlignment="1">
      <alignment horizontal="center" vertical="top" wrapText="1"/>
    </xf>
    <xf numFmtId="0" fontId="15" fillId="0" borderId="76" xfId="0" applyFont="1" applyBorder="1" applyAlignment="1">
      <alignment vertical="top" wrapText="1"/>
    </xf>
    <xf numFmtId="0" fontId="15" fillId="0" borderId="51" xfId="0" applyFont="1" applyBorder="1" applyAlignment="1">
      <alignment vertical="top" wrapText="1"/>
    </xf>
    <xf numFmtId="0" fontId="15" fillId="0" borderId="76" xfId="0" applyFont="1" applyBorder="1" applyAlignment="1">
      <alignment horizontal="center" vertical="top" wrapText="1"/>
    </xf>
    <xf numFmtId="0" fontId="15" fillId="0" borderId="51" xfId="0" applyFont="1" applyBorder="1" applyAlignment="1">
      <alignment horizontal="center" vertical="top" wrapText="1"/>
    </xf>
    <xf numFmtId="0" fontId="15" fillId="0" borderId="13" xfId="0" applyFont="1" applyBorder="1" applyAlignment="1">
      <alignment horizontal="center" vertical="top" wrapText="1"/>
    </xf>
    <xf numFmtId="0" fontId="15" fillId="0" borderId="13" xfId="0" applyFont="1" applyBorder="1" applyAlignment="1">
      <alignment vertical="top" wrapText="1"/>
    </xf>
    <xf numFmtId="0" fontId="28" fillId="0" borderId="0" xfId="0" applyFont="1" applyFill="1" applyAlignment="1" applyProtection="1">
      <alignment/>
      <protection/>
    </xf>
    <xf numFmtId="0" fontId="28" fillId="0" borderId="0" xfId="0" applyFont="1" applyFill="1" applyBorder="1" applyAlignment="1" applyProtection="1">
      <alignment horizontal="center" vertical="center"/>
      <protection/>
    </xf>
    <xf numFmtId="187" fontId="28" fillId="0" borderId="0" xfId="0" applyNumberFormat="1" applyFont="1" applyFill="1" applyBorder="1" applyAlignment="1" applyProtection="1">
      <alignment horizontal="right" vertical="center"/>
      <protection/>
    </xf>
    <xf numFmtId="49" fontId="28" fillId="0" borderId="0" xfId="0" applyNumberFormat="1" applyFont="1" applyFill="1" applyBorder="1" applyAlignment="1" applyProtection="1">
      <alignment horizontal="left" vertical="center"/>
      <protection/>
    </xf>
    <xf numFmtId="0" fontId="28" fillId="0" borderId="0" xfId="0" applyFont="1" applyFill="1" applyBorder="1" applyAlignment="1" applyProtection="1">
      <alignment horizontal="right"/>
      <protection/>
    </xf>
    <xf numFmtId="0" fontId="28" fillId="0" borderId="0" xfId="0" applyFont="1" applyFill="1" applyBorder="1" applyAlignment="1" applyProtection="1">
      <alignment horizontal="left"/>
      <protection/>
    </xf>
    <xf numFmtId="3" fontId="28" fillId="0" borderId="0" xfId="0" applyNumberFormat="1" applyFont="1" applyFill="1" applyBorder="1" applyAlignment="1" applyProtection="1">
      <alignment/>
      <protection/>
    </xf>
    <xf numFmtId="8" fontId="28" fillId="0" borderId="0" xfId="0" applyNumberFormat="1" applyFont="1" applyFill="1" applyBorder="1" applyAlignment="1" applyProtection="1">
      <alignment/>
      <protection/>
    </xf>
    <xf numFmtId="169" fontId="28" fillId="0" borderId="0" xfId="0" applyNumberFormat="1" applyFont="1" applyFill="1" applyBorder="1" applyAlignment="1" applyProtection="1">
      <alignment horizontal="right"/>
      <protection/>
    </xf>
    <xf numFmtId="3" fontId="28" fillId="0" borderId="0" xfId="0" applyNumberFormat="1" applyFont="1" applyFill="1" applyBorder="1" applyAlignment="1" applyProtection="1">
      <alignment horizontal="right"/>
      <protection/>
    </xf>
    <xf numFmtId="0" fontId="28" fillId="0" borderId="0" xfId="0" applyNumberFormat="1" applyFont="1" applyFill="1" applyBorder="1" applyAlignment="1" applyProtection="1">
      <alignment vertical="center"/>
      <protection/>
    </xf>
    <xf numFmtId="0" fontId="17" fillId="0" borderId="0" xfId="0" applyFont="1" applyFill="1" applyAlignment="1" applyProtection="1">
      <alignment/>
      <protection/>
    </xf>
    <xf numFmtId="0" fontId="17" fillId="0" borderId="0" xfId="0" applyFont="1" applyAlignment="1" applyProtection="1">
      <alignment/>
      <protection/>
    </xf>
    <xf numFmtId="3" fontId="17" fillId="0" borderId="0" xfId="0" applyNumberFormat="1" applyFont="1" applyAlignment="1" applyProtection="1">
      <alignment/>
      <protection/>
    </xf>
    <xf numFmtId="0" fontId="14" fillId="0" borderId="62" xfId="0" applyNumberFormat="1" applyFont="1" applyFill="1" applyBorder="1" applyAlignment="1" applyProtection="1">
      <alignment horizontal="left" vertical="center" indent="1"/>
      <protection/>
    </xf>
    <xf numFmtId="17" fontId="0" fillId="0" borderId="6" xfId="0" applyNumberFormat="1" applyBorder="1" applyAlignment="1">
      <alignment/>
    </xf>
    <xf numFmtId="3" fontId="0" fillId="0" borderId="15" xfId="0" applyNumberFormat="1" applyBorder="1" applyAlignment="1">
      <alignment/>
    </xf>
    <xf numFmtId="0" fontId="2" fillId="0" borderId="0" xfId="20" applyAlignment="1">
      <alignment/>
    </xf>
    <xf numFmtId="0" fontId="39" fillId="0" borderId="0" xfId="0" applyFont="1" applyBorder="1" applyAlignment="1">
      <alignment horizontal="center" vertical="center"/>
    </xf>
    <xf numFmtId="0" fontId="6" fillId="0" borderId="0" xfId="0" applyFont="1" applyAlignment="1">
      <alignment horizontal="center"/>
    </xf>
    <xf numFmtId="0" fontId="0" fillId="0" borderId="15" xfId="0" applyBorder="1" applyAlignment="1">
      <alignment horizontal="center"/>
    </xf>
    <xf numFmtId="0" fontId="0" fillId="0" borderId="8" xfId="0" applyBorder="1" applyAlignment="1">
      <alignment horizontal="center"/>
    </xf>
    <xf numFmtId="3" fontId="0" fillId="0" borderId="6" xfId="0" applyNumberFormat="1" applyBorder="1" applyAlignment="1">
      <alignment/>
    </xf>
    <xf numFmtId="168" fontId="0" fillId="0" borderId="15" xfId="0" applyNumberFormat="1" applyBorder="1" applyAlignment="1">
      <alignment/>
    </xf>
    <xf numFmtId="3" fontId="0" fillId="0" borderId="15" xfId="0" applyNumberFormat="1" applyBorder="1" applyAlignment="1">
      <alignment horizontal="right"/>
    </xf>
    <xf numFmtId="3" fontId="0" fillId="0" borderId="8" xfId="0" applyNumberFormat="1" applyBorder="1" applyAlignment="1">
      <alignment horizontal="right"/>
    </xf>
    <xf numFmtId="3" fontId="0" fillId="0" borderId="38" xfId="0" applyNumberFormat="1" applyBorder="1" applyAlignment="1">
      <alignment/>
    </xf>
    <xf numFmtId="3" fontId="0" fillId="0" borderId="40" xfId="0" applyNumberFormat="1" applyBorder="1" applyAlignment="1">
      <alignment/>
    </xf>
    <xf numFmtId="168" fontId="0" fillId="0" borderId="40" xfId="0" applyNumberFormat="1" applyBorder="1" applyAlignment="1">
      <alignment/>
    </xf>
    <xf numFmtId="3" fontId="0" fillId="0" borderId="40" xfId="0" applyNumberFormat="1" applyBorder="1" applyAlignment="1">
      <alignment horizontal="right"/>
    </xf>
    <xf numFmtId="3" fontId="0" fillId="0" borderId="35" xfId="0" applyNumberFormat="1" applyBorder="1" applyAlignment="1">
      <alignment horizontal="right"/>
    </xf>
    <xf numFmtId="0" fontId="0" fillId="0" borderId="14" xfId="0" applyBorder="1" applyAlignment="1">
      <alignment horizontal="center"/>
    </xf>
    <xf numFmtId="3" fontId="0" fillId="0" borderId="14" xfId="0" applyNumberFormat="1" applyBorder="1" applyAlignment="1">
      <alignment/>
    </xf>
    <xf numFmtId="3" fontId="0" fillId="0" borderId="39" xfId="0" applyNumberFormat="1" applyBorder="1" applyAlignment="1">
      <alignment/>
    </xf>
    <xf numFmtId="168" fontId="0" fillId="0" borderId="8" xfId="0" applyNumberFormat="1" applyBorder="1" applyAlignment="1">
      <alignment/>
    </xf>
    <xf numFmtId="168" fontId="0" fillId="0" borderId="35" xfId="0" applyNumberFormat="1" applyBorder="1" applyAlignment="1">
      <alignment/>
    </xf>
    <xf numFmtId="17" fontId="0" fillId="0" borderId="31" xfId="0" applyNumberFormat="1" applyBorder="1" applyAlignment="1">
      <alignment/>
    </xf>
    <xf numFmtId="17" fontId="0" fillId="0" borderId="29" xfId="0" applyNumberFormat="1" applyBorder="1" applyAlignment="1">
      <alignment/>
    </xf>
    <xf numFmtId="17" fontId="0" fillId="0" borderId="30" xfId="0" applyNumberFormat="1" applyBorder="1" applyAlignment="1">
      <alignment/>
    </xf>
    <xf numFmtId="0" fontId="6" fillId="0" borderId="42" xfId="0" applyFont="1" applyBorder="1" applyAlignment="1">
      <alignment horizontal="center"/>
    </xf>
    <xf numFmtId="0" fontId="6" fillId="0" borderId="44" xfId="0" applyFont="1" applyBorder="1" applyAlignment="1">
      <alignment horizontal="center"/>
    </xf>
    <xf numFmtId="0" fontId="6" fillId="0" borderId="43" xfId="0" applyFont="1" applyBorder="1" applyAlignment="1">
      <alignment horizontal="center"/>
    </xf>
    <xf numFmtId="0" fontId="6" fillId="0" borderId="46" xfId="0" applyFont="1" applyBorder="1" applyAlignment="1">
      <alignment horizontal="center"/>
    </xf>
    <xf numFmtId="3" fontId="0" fillId="0" borderId="3" xfId="0" applyNumberFormat="1" applyBorder="1" applyAlignment="1">
      <alignment/>
    </xf>
    <xf numFmtId="3" fontId="0" fillId="0" borderId="41" xfId="0" applyNumberFormat="1" applyBorder="1" applyAlignment="1">
      <alignment/>
    </xf>
    <xf numFmtId="168" fontId="0" fillId="0" borderId="28" xfId="0" applyNumberFormat="1" applyBorder="1" applyAlignment="1">
      <alignment/>
    </xf>
    <xf numFmtId="3" fontId="0" fillId="0" borderId="61" xfId="0" applyNumberFormat="1" applyBorder="1" applyAlignment="1">
      <alignment/>
    </xf>
    <xf numFmtId="168" fontId="0" fillId="0" borderId="41" xfId="0" applyNumberFormat="1" applyBorder="1" applyAlignment="1">
      <alignment/>
    </xf>
    <xf numFmtId="3" fontId="0" fillId="0" borderId="41" xfId="0" applyNumberFormat="1" applyBorder="1" applyAlignment="1">
      <alignment horizontal="right"/>
    </xf>
    <xf numFmtId="3" fontId="0" fillId="0" borderId="28" xfId="0" applyNumberFormat="1" applyBorder="1" applyAlignment="1">
      <alignment horizontal="right"/>
    </xf>
    <xf numFmtId="0" fontId="39" fillId="0" borderId="12" xfId="0" applyFont="1" applyBorder="1" applyAlignment="1">
      <alignment horizontal="left" vertical="center" indent="1"/>
    </xf>
    <xf numFmtId="0" fontId="39" fillId="0" borderId="20" xfId="0" applyFont="1" applyBorder="1" applyAlignment="1">
      <alignment horizontal="left" vertical="center" indent="1"/>
    </xf>
    <xf numFmtId="0" fontId="39" fillId="0" borderId="20" xfId="0" applyFont="1" applyBorder="1" applyAlignment="1">
      <alignment horizontal="left" vertical="center"/>
    </xf>
    <xf numFmtId="0" fontId="39" fillId="0" borderId="27" xfId="0" applyFont="1" applyBorder="1" applyAlignment="1">
      <alignment horizontal="left" vertical="center"/>
    </xf>
    <xf numFmtId="0" fontId="2" fillId="0" borderId="20" xfId="20" applyBorder="1" applyAlignment="1">
      <alignment horizontal="left" vertical="center" indent="1"/>
    </xf>
    <xf numFmtId="0" fontId="44" fillId="0" borderId="0" xfId="20" applyFont="1" applyAlignment="1">
      <alignment horizontal="center" vertical="center"/>
    </xf>
    <xf numFmtId="164" fontId="10" fillId="0" borderId="0" xfId="0" applyNumberFormat="1" applyFont="1" applyBorder="1" applyAlignment="1" applyProtection="1">
      <alignment horizontal="right" vertical="center"/>
      <protection/>
    </xf>
    <xf numFmtId="0" fontId="26" fillId="8" borderId="0" xfId="0" applyFont="1" applyFill="1" applyAlignment="1">
      <alignment/>
    </xf>
    <xf numFmtId="0" fontId="25" fillId="8" borderId="0" xfId="0" applyFont="1" applyFill="1" applyAlignment="1">
      <alignment/>
    </xf>
    <xf numFmtId="0" fontId="0" fillId="4" borderId="0" xfId="0" applyFill="1" applyAlignment="1">
      <alignment/>
    </xf>
    <xf numFmtId="0" fontId="0" fillId="8" borderId="0" xfId="0" applyFill="1" applyAlignment="1">
      <alignment/>
    </xf>
    <xf numFmtId="0" fontId="0" fillId="9" borderId="0" xfId="0" applyFill="1" applyAlignment="1">
      <alignment/>
    </xf>
    <xf numFmtId="3" fontId="7" fillId="0" borderId="0" xfId="0" applyNumberFormat="1" applyFont="1" applyFill="1" applyAlignment="1" applyProtection="1">
      <alignment/>
      <protection locked="0"/>
    </xf>
    <xf numFmtId="164" fontId="22" fillId="0" borderId="16" xfId="0" applyNumberFormat="1" applyFont="1" applyBorder="1" applyAlignment="1" applyProtection="1">
      <alignment vertical="center"/>
      <protection/>
    </xf>
    <xf numFmtId="0" fontId="22" fillId="0" borderId="16" xfId="0" applyNumberFormat="1" applyFont="1" applyBorder="1" applyAlignment="1" applyProtection="1">
      <alignment horizontal="center" vertical="center"/>
      <protection/>
    </xf>
    <xf numFmtId="3" fontId="22" fillId="0" borderId="16" xfId="0" applyNumberFormat="1" applyFont="1" applyFill="1" applyBorder="1" applyAlignment="1" applyProtection="1">
      <alignment horizontal="center" vertical="center"/>
      <protection/>
    </xf>
    <xf numFmtId="3" fontId="22" fillId="0" borderId="48" xfId="0" applyNumberFormat="1" applyFont="1" applyFill="1" applyBorder="1" applyAlignment="1" applyProtection="1">
      <alignment horizontal="center"/>
      <protection/>
    </xf>
    <xf numFmtId="164" fontId="23" fillId="0" borderId="69" xfId="0" applyNumberFormat="1" applyFont="1" applyFill="1" applyBorder="1" applyAlignment="1" applyProtection="1">
      <alignment horizontal="center" vertical="center"/>
      <protection/>
    </xf>
    <xf numFmtId="1" fontId="23" fillId="0" borderId="47" xfId="0" applyNumberFormat="1" applyFont="1" applyBorder="1" applyAlignment="1" applyProtection="1">
      <alignment horizontal="center" vertical="center"/>
      <protection/>
    </xf>
    <xf numFmtId="164" fontId="23" fillId="0" borderId="4" xfId="0" applyNumberFormat="1" applyFont="1" applyBorder="1" applyAlignment="1" applyProtection="1">
      <alignment horizontal="center" vertical="center"/>
      <protection/>
    </xf>
    <xf numFmtId="164" fontId="22" fillId="0" borderId="49" xfId="0" applyNumberFormat="1" applyFont="1" applyBorder="1" applyAlignment="1" applyProtection="1">
      <alignment vertical="center"/>
      <protection/>
    </xf>
    <xf numFmtId="164" fontId="10" fillId="0" borderId="47" xfId="0" applyNumberFormat="1" applyFont="1" applyBorder="1" applyAlignment="1" applyProtection="1">
      <alignment horizontal="center" vertical="center"/>
      <protection/>
    </xf>
    <xf numFmtId="37" fontId="22" fillId="0" borderId="0" xfId="0" applyNumberFormat="1" applyFont="1" applyBorder="1" applyAlignment="1" applyProtection="1">
      <alignment vertical="center"/>
      <protection/>
    </xf>
    <xf numFmtId="1" fontId="10" fillId="0" borderId="0" xfId="0" applyNumberFormat="1" applyFont="1" applyFill="1" applyBorder="1" applyAlignment="1" applyProtection="1">
      <alignment/>
      <protection/>
    </xf>
    <xf numFmtId="3" fontId="7" fillId="0" borderId="0" xfId="0" applyNumberFormat="1" applyFont="1" applyAlignment="1" applyProtection="1">
      <alignment horizontal="center"/>
      <protection locked="0"/>
    </xf>
    <xf numFmtId="1" fontId="7" fillId="0" borderId="0" xfId="0" applyNumberFormat="1" applyFont="1" applyBorder="1" applyAlignment="1" applyProtection="1">
      <alignment horizontal="center"/>
      <protection locked="0"/>
    </xf>
    <xf numFmtId="1" fontId="7" fillId="0" borderId="0" xfId="0" applyNumberFormat="1" applyFont="1" applyBorder="1" applyAlignment="1" applyProtection="1">
      <alignment horizontal="center"/>
      <protection/>
    </xf>
    <xf numFmtId="1" fontId="7" fillId="0" borderId="0" xfId="0" applyNumberFormat="1" applyFont="1" applyAlignment="1" applyProtection="1">
      <alignment horizontal="center"/>
      <protection/>
    </xf>
    <xf numFmtId="1" fontId="7" fillId="0" borderId="0" xfId="0" applyNumberFormat="1" applyFont="1" applyAlignment="1" applyProtection="1">
      <alignment horizontal="center"/>
      <protection locked="0"/>
    </xf>
    <xf numFmtId="1" fontId="7" fillId="0" borderId="0" xfId="0" applyNumberFormat="1" applyFont="1" applyFill="1" applyBorder="1" applyAlignment="1" applyProtection="1">
      <alignment horizontal="center"/>
      <protection locked="0"/>
    </xf>
    <xf numFmtId="3" fontId="7" fillId="0" borderId="0" xfId="0" applyNumberFormat="1" applyFont="1" applyFill="1" applyBorder="1" applyAlignment="1" applyProtection="1">
      <alignment/>
      <protection locked="0"/>
    </xf>
    <xf numFmtId="0" fontId="7" fillId="0" borderId="0" xfId="0" applyFont="1" applyFill="1" applyBorder="1" applyAlignment="1" applyProtection="1">
      <alignment/>
      <protection/>
    </xf>
    <xf numFmtId="3" fontId="7" fillId="0" borderId="0" xfId="0" applyNumberFormat="1" applyFont="1" applyFill="1" applyAlignment="1" applyProtection="1">
      <alignment horizontal="center"/>
      <protection locked="0"/>
    </xf>
    <xf numFmtId="3" fontId="7" fillId="0" borderId="77" xfId="0" applyNumberFormat="1" applyFont="1" applyBorder="1" applyAlignment="1" applyProtection="1">
      <alignment horizontal="left" indent="1"/>
      <protection locked="0"/>
    </xf>
    <xf numFmtId="3" fontId="7" fillId="0" borderId="77" xfId="0" applyNumberFormat="1" applyFont="1" applyBorder="1" applyAlignment="1" applyProtection="1">
      <alignment horizontal="center"/>
      <protection locked="0"/>
    </xf>
    <xf numFmtId="3" fontId="7" fillId="0" borderId="78" xfId="0" applyNumberFormat="1" applyFont="1" applyFill="1" applyBorder="1" applyAlignment="1" applyProtection="1">
      <alignment horizontal="right" vertical="center" wrapText="1"/>
      <protection locked="0"/>
    </xf>
    <xf numFmtId="3" fontId="7" fillId="0" borderId="78" xfId="0" applyNumberFormat="1" applyFont="1" applyBorder="1" applyAlignment="1" applyProtection="1">
      <alignment horizontal="center"/>
      <protection locked="0"/>
    </xf>
    <xf numFmtId="9" fontId="0" fillId="0" borderId="0" xfId="0" applyNumberFormat="1" applyBorder="1" applyAlignment="1" applyProtection="1">
      <alignment horizontal="center"/>
      <protection locked="0"/>
    </xf>
    <xf numFmtId="3" fontId="7" fillId="0" borderId="78" xfId="0" applyNumberFormat="1" applyFont="1" applyBorder="1" applyAlignment="1" applyProtection="1">
      <alignment horizontal="center"/>
      <protection/>
    </xf>
    <xf numFmtId="3" fontId="7" fillId="0" borderId="78" xfId="0" applyNumberFormat="1" applyFont="1" applyBorder="1" applyAlignment="1" applyProtection="1">
      <alignment horizontal="right" vertical="center" wrapText="1"/>
      <protection locked="0"/>
    </xf>
    <xf numFmtId="0" fontId="7" fillId="0" borderId="77" xfId="0" applyFont="1" applyBorder="1" applyAlignment="1" applyProtection="1">
      <alignment horizontal="center"/>
      <protection/>
    </xf>
    <xf numFmtId="0" fontId="7" fillId="0" borderId="77" xfId="0" applyFont="1" applyBorder="1" applyAlignment="1" applyProtection="1">
      <alignment/>
      <protection/>
    </xf>
    <xf numFmtId="3" fontId="7" fillId="0" borderId="77" xfId="0" applyNumberFormat="1" applyFont="1" applyBorder="1" applyAlignment="1" applyProtection="1">
      <alignment/>
      <protection locked="0"/>
    </xf>
    <xf numFmtId="9" fontId="7" fillId="0" borderId="77" xfId="0" applyNumberFormat="1" applyFont="1" applyFill="1" applyBorder="1" applyAlignment="1" applyProtection="1">
      <alignment horizontal="center"/>
      <protection locked="0"/>
    </xf>
    <xf numFmtId="3" fontId="45" fillId="0" borderId="77" xfId="0" applyNumberFormat="1" applyFont="1" applyBorder="1" applyAlignment="1" applyProtection="1">
      <alignment horizontal="center"/>
      <protection locked="0"/>
    </xf>
    <xf numFmtId="3" fontId="7" fillId="0" borderId="79" xfId="0" applyNumberFormat="1" applyFont="1" applyBorder="1" applyAlignment="1" applyProtection="1">
      <alignment horizontal="center"/>
      <protection locked="0"/>
    </xf>
    <xf numFmtId="3" fontId="7" fillId="0" borderId="80" xfId="0" applyNumberFormat="1" applyFont="1" applyBorder="1" applyAlignment="1" applyProtection="1">
      <alignment horizontal="center"/>
      <protection locked="0"/>
    </xf>
    <xf numFmtId="3" fontId="7" fillId="0" borderId="80" xfId="0" applyNumberFormat="1" applyFont="1" applyBorder="1" applyAlignment="1" applyProtection="1">
      <alignment/>
      <protection/>
    </xf>
    <xf numFmtId="0" fontId="0" fillId="0" borderId="10" xfId="0" applyFill="1" applyBorder="1" applyAlignment="1" applyProtection="1">
      <alignment/>
      <protection/>
    </xf>
    <xf numFmtId="0" fontId="10" fillId="0" borderId="12" xfId="0" applyFont="1" applyFill="1" applyBorder="1" applyAlignment="1" applyProtection="1">
      <alignment horizontal="center" vertical="center"/>
      <protection/>
    </xf>
    <xf numFmtId="0" fontId="10" fillId="0" borderId="27" xfId="0" applyFont="1" applyFill="1" applyBorder="1" applyAlignment="1" applyProtection="1">
      <alignment vertical="center"/>
      <protection/>
    </xf>
    <xf numFmtId="164" fontId="10" fillId="0" borderId="12" xfId="0" applyNumberFormat="1" applyFont="1" applyFill="1" applyBorder="1" applyAlignment="1" applyProtection="1">
      <alignment horizontal="center" vertical="center"/>
      <protection/>
    </xf>
    <xf numFmtId="164" fontId="10" fillId="0" borderId="12" xfId="0" applyNumberFormat="1" applyFont="1" applyFill="1" applyBorder="1" applyAlignment="1" applyProtection="1">
      <alignment horizontal="right" vertical="center"/>
      <protection/>
    </xf>
    <xf numFmtId="2" fontId="10" fillId="0" borderId="11" xfId="0" applyNumberFormat="1" applyFont="1" applyFill="1" applyBorder="1" applyAlignment="1" applyProtection="1">
      <alignment vertical="center"/>
      <protection/>
    </xf>
    <xf numFmtId="164" fontId="10" fillId="0" borderId="27" xfId="0" applyNumberFormat="1" applyFont="1" applyFill="1" applyBorder="1" applyAlignment="1" applyProtection="1">
      <alignment horizontal="center" vertical="center"/>
      <protection/>
    </xf>
    <xf numFmtId="176" fontId="7" fillId="0" borderId="0" xfId="0" applyNumberFormat="1" applyFont="1" applyAlignment="1" applyProtection="1">
      <alignment/>
      <protection/>
    </xf>
    <xf numFmtId="0" fontId="0" fillId="0" borderId="68" xfId="0" applyFont="1" applyBorder="1" applyAlignment="1" applyProtection="1">
      <alignment horizontal="left" vertical="center" indent="1"/>
      <protection/>
    </xf>
    <xf numFmtId="0" fontId="0" fillId="0" borderId="73" xfId="0" applyBorder="1" applyAlignment="1" applyProtection="1">
      <alignment vertical="center"/>
      <protection/>
    </xf>
    <xf numFmtId="177" fontId="0" fillId="7" borderId="74" xfId="0" applyNumberFormat="1" applyFill="1" applyBorder="1" applyAlignment="1" applyProtection="1">
      <alignment vertical="center"/>
      <protection/>
    </xf>
    <xf numFmtId="0" fontId="0" fillId="0" borderId="65" xfId="0" applyBorder="1" applyAlignment="1" applyProtection="1">
      <alignment vertical="center"/>
      <protection/>
    </xf>
    <xf numFmtId="175" fontId="0" fillId="0" borderId="11" xfId="0" applyNumberFormat="1" applyFill="1" applyBorder="1" applyAlignment="1" applyProtection="1">
      <alignment vertical="center"/>
      <protection/>
    </xf>
    <xf numFmtId="3" fontId="8" fillId="0" borderId="27" xfId="0" applyNumberFormat="1" applyFont="1" applyFill="1" applyBorder="1" applyAlignment="1" applyProtection="1">
      <alignment horizontal="center" vertical="center"/>
      <protection/>
    </xf>
    <xf numFmtId="17" fontId="0" fillId="0" borderId="15" xfId="0" applyNumberFormat="1" applyBorder="1" applyAlignment="1">
      <alignment/>
    </xf>
    <xf numFmtId="4" fontId="0" fillId="0" borderId="48" xfId="0" applyNumberFormat="1" applyFill="1" applyBorder="1" applyAlignment="1" applyProtection="1">
      <alignment vertical="center"/>
      <protection/>
    </xf>
    <xf numFmtId="9" fontId="32" fillId="4" borderId="35" xfId="0" applyNumberFormat="1" applyFont="1" applyFill="1" applyBorder="1" applyAlignment="1" applyProtection="1">
      <alignment/>
      <protection/>
    </xf>
    <xf numFmtId="9" fontId="32" fillId="4" borderId="8" xfId="0" applyNumberFormat="1" applyFont="1" applyFill="1" applyBorder="1" applyAlignment="1" applyProtection="1">
      <alignment/>
      <protection/>
    </xf>
    <xf numFmtId="9" fontId="32" fillId="4" borderId="28" xfId="0" applyNumberFormat="1" applyFont="1" applyFill="1" applyBorder="1" applyAlignment="1" applyProtection="1">
      <alignment/>
      <protection/>
    </xf>
    <xf numFmtId="9" fontId="30" fillId="0" borderId="0" xfId="0" applyNumberFormat="1" applyFont="1" applyAlignment="1" applyProtection="1">
      <alignment/>
      <protection/>
    </xf>
    <xf numFmtId="6" fontId="30" fillId="0" borderId="0" xfId="0" applyNumberFormat="1" applyFont="1" applyAlignment="1" applyProtection="1">
      <alignment/>
      <protection/>
    </xf>
    <xf numFmtId="168" fontId="0" fillId="0" borderId="16" xfId="0" applyNumberFormat="1" applyFont="1" applyFill="1" applyBorder="1" applyAlignment="1">
      <alignment horizontal="center" vertical="center"/>
    </xf>
    <xf numFmtId="0" fontId="0" fillId="0" borderId="43" xfId="0" applyBorder="1" applyAlignment="1">
      <alignment horizontal="center"/>
    </xf>
    <xf numFmtId="0" fontId="0" fillId="0" borderId="23" xfId="0" applyBorder="1" applyAlignment="1">
      <alignment horizontal="center" wrapText="1"/>
    </xf>
    <xf numFmtId="0" fontId="0" fillId="0" borderId="44" xfId="0" applyBorder="1" applyAlignment="1">
      <alignment horizontal="center" wrapText="1"/>
    </xf>
    <xf numFmtId="0" fontId="0" fillId="0" borderId="21" xfId="0" applyBorder="1" applyAlignment="1">
      <alignment horizontal="center"/>
    </xf>
    <xf numFmtId="0" fontId="3" fillId="0" borderId="3" xfId="0" applyFont="1" applyBorder="1" applyAlignment="1">
      <alignment horizontal="center"/>
    </xf>
    <xf numFmtId="0" fontId="0" fillId="0" borderId="42" xfId="0" applyBorder="1" applyAlignment="1">
      <alignment horizontal="center"/>
    </xf>
    <xf numFmtId="0" fontId="3" fillId="0" borderId="61" xfId="0" applyFont="1" applyBorder="1" applyAlignment="1">
      <alignment horizontal="center"/>
    </xf>
    <xf numFmtId="0" fontId="3" fillId="0" borderId="41" xfId="0" applyFont="1" applyBorder="1" applyAlignment="1">
      <alignment horizontal="center"/>
    </xf>
    <xf numFmtId="0" fontId="3" fillId="0" borderId="28" xfId="0" applyFont="1" applyBorder="1" applyAlignment="1">
      <alignment horizontal="center"/>
    </xf>
    <xf numFmtId="17" fontId="32" fillId="4" borderId="3" xfId="0" applyNumberFormat="1" applyFont="1" applyFill="1" applyBorder="1" applyAlignment="1" applyProtection="1">
      <alignment/>
      <protection locked="0"/>
    </xf>
    <xf numFmtId="17" fontId="32" fillId="4" borderId="6" xfId="0" applyNumberFormat="1" applyFont="1" applyFill="1" applyBorder="1" applyAlignment="1" applyProtection="1">
      <alignment/>
      <protection locked="0"/>
    </xf>
    <xf numFmtId="17" fontId="32" fillId="4" borderId="5" xfId="0" applyNumberFormat="1" applyFont="1" applyFill="1" applyBorder="1" applyAlignment="1" applyProtection="1">
      <alignment/>
      <protection locked="0"/>
    </xf>
    <xf numFmtId="17" fontId="32" fillId="4" borderId="38" xfId="0" applyNumberFormat="1" applyFont="1" applyFill="1" applyBorder="1" applyAlignment="1" applyProtection="1">
      <alignment/>
      <protection locked="0"/>
    </xf>
    <xf numFmtId="3" fontId="32" fillId="4" borderId="3" xfId="0" applyNumberFormat="1" applyFont="1" applyFill="1" applyBorder="1" applyAlignment="1" applyProtection="1">
      <alignment/>
      <protection locked="0"/>
    </xf>
    <xf numFmtId="3" fontId="32" fillId="4" borderId="6" xfId="0" applyNumberFormat="1" applyFont="1" applyFill="1" applyBorder="1" applyAlignment="1" applyProtection="1">
      <alignment/>
      <protection locked="0"/>
    </xf>
    <xf numFmtId="3" fontId="32" fillId="4" borderId="38" xfId="0" applyNumberFormat="1" applyFont="1" applyFill="1" applyBorder="1" applyAlignment="1" applyProtection="1">
      <alignment/>
      <protection locked="0"/>
    </xf>
    <xf numFmtId="3" fontId="32" fillId="4" borderId="61" xfId="0" applyNumberFormat="1" applyFont="1" applyFill="1" applyBorder="1" applyAlignment="1" applyProtection="1">
      <alignment/>
      <protection locked="0"/>
    </xf>
    <xf numFmtId="3" fontId="32" fillId="4" borderId="14" xfId="0" applyNumberFormat="1" applyFont="1" applyFill="1" applyBorder="1" applyAlignment="1" applyProtection="1">
      <alignment/>
      <protection locked="0"/>
    </xf>
    <xf numFmtId="3" fontId="32" fillId="4" borderId="39" xfId="0" applyNumberFormat="1" applyFont="1" applyFill="1" applyBorder="1" applyAlignment="1" applyProtection="1">
      <alignment/>
      <protection locked="0"/>
    </xf>
    <xf numFmtId="6" fontId="32" fillId="10" borderId="28" xfId="0" applyNumberFormat="1" applyFont="1" applyFill="1" applyBorder="1" applyAlignment="1" applyProtection="1">
      <alignment/>
      <protection locked="0"/>
    </xf>
    <xf numFmtId="6" fontId="32" fillId="4" borderId="41" xfId="0" applyNumberFormat="1" applyFont="1" applyFill="1" applyBorder="1" applyAlignment="1" applyProtection="1">
      <alignment/>
      <protection locked="0"/>
    </xf>
    <xf numFmtId="6" fontId="32" fillId="10" borderId="8" xfId="0" applyNumberFormat="1" applyFont="1" applyFill="1" applyBorder="1" applyAlignment="1" applyProtection="1">
      <alignment/>
      <protection locked="0"/>
    </xf>
    <xf numFmtId="6" fontId="32" fillId="4" borderId="15" xfId="0" applyNumberFormat="1" applyFont="1" applyFill="1" applyBorder="1" applyAlignment="1" applyProtection="1">
      <alignment/>
      <protection locked="0"/>
    </xf>
    <xf numFmtId="0" fontId="28" fillId="0" borderId="32" xfId="0" applyFont="1" applyBorder="1" applyAlignment="1" applyProtection="1">
      <alignment horizontal="center"/>
      <protection/>
    </xf>
    <xf numFmtId="0" fontId="14" fillId="0" borderId="2" xfId="0" applyFont="1" applyBorder="1" applyAlignment="1" applyProtection="1">
      <alignment horizontal="left" vertical="center" wrapText="1" indent="1"/>
      <protection/>
    </xf>
    <xf numFmtId="0" fontId="14" fillId="0" borderId="61" xfId="0" applyFont="1" applyBorder="1" applyAlignment="1" applyProtection="1">
      <alignment horizontal="left" vertical="center" wrapText="1" indent="1"/>
      <protection/>
    </xf>
    <xf numFmtId="3" fontId="29" fillId="4" borderId="49" xfId="0" applyNumberFormat="1" applyFont="1" applyFill="1" applyBorder="1" applyAlignment="1" applyProtection="1">
      <alignment horizontal="center" vertical="center"/>
      <protection locked="0"/>
    </xf>
    <xf numFmtId="3" fontId="29" fillId="4" borderId="32" xfId="0" applyNumberFormat="1" applyFont="1" applyFill="1" applyBorder="1" applyAlignment="1" applyProtection="1">
      <alignment horizontal="center" vertical="center"/>
      <protection locked="0"/>
    </xf>
    <xf numFmtId="0" fontId="14" fillId="0" borderId="5" xfId="0" applyFont="1" applyBorder="1" applyAlignment="1" applyProtection="1">
      <alignment horizontal="left" vertical="center" wrapText="1" indent="1"/>
      <protection/>
    </xf>
    <xf numFmtId="0" fontId="14" fillId="0" borderId="14" xfId="0" applyFont="1" applyBorder="1" applyAlignment="1" applyProtection="1">
      <alignment horizontal="left" vertical="center" wrapText="1" indent="1"/>
      <protection/>
    </xf>
    <xf numFmtId="3" fontId="29" fillId="4" borderId="24" xfId="0" applyNumberFormat="1" applyFont="1" applyFill="1" applyBorder="1" applyAlignment="1" applyProtection="1">
      <alignment horizontal="center" vertical="center"/>
      <protection locked="0"/>
    </xf>
    <xf numFmtId="3" fontId="29" fillId="4" borderId="47" xfId="0" applyNumberFormat="1" applyFont="1" applyFill="1" applyBorder="1" applyAlignment="1" applyProtection="1">
      <alignment horizontal="center" vertical="center"/>
      <protection locked="0"/>
    </xf>
    <xf numFmtId="6" fontId="32" fillId="10" borderId="35" xfId="0" applyNumberFormat="1" applyFont="1" applyFill="1" applyBorder="1" applyAlignment="1" applyProtection="1">
      <alignment/>
      <protection locked="0"/>
    </xf>
    <xf numFmtId="6" fontId="32" fillId="4" borderId="40" xfId="0" applyNumberFormat="1" applyFont="1" applyFill="1" applyBorder="1" applyAlignment="1" applyProtection="1">
      <alignment/>
      <protection locked="0"/>
    </xf>
    <xf numFmtId="169" fontId="32" fillId="4" borderId="16" xfId="0" applyNumberFormat="1" applyFont="1" applyFill="1" applyBorder="1" applyAlignment="1" applyProtection="1">
      <alignment vertical="center"/>
      <protection locked="0"/>
    </xf>
    <xf numFmtId="169" fontId="14" fillId="0" borderId="16" xfId="0" applyNumberFormat="1" applyFont="1" applyFill="1" applyBorder="1" applyAlignment="1" applyProtection="1">
      <alignment vertical="center"/>
      <protection/>
    </xf>
    <xf numFmtId="0" fontId="28" fillId="0" borderId="44" xfId="0" applyFont="1" applyBorder="1" applyAlignment="1" applyProtection="1">
      <alignment horizontal="center" wrapText="1"/>
      <protection/>
    </xf>
    <xf numFmtId="0" fontId="28" fillId="0" borderId="23" xfId="0" applyFont="1" applyBorder="1" applyAlignment="1" applyProtection="1">
      <alignment horizontal="center" wrapText="1"/>
      <protection/>
    </xf>
    <xf numFmtId="0" fontId="28" fillId="0" borderId="43" xfId="0" applyFont="1" applyBorder="1" applyAlignment="1" applyProtection="1">
      <alignment horizontal="center" wrapText="1"/>
      <protection/>
    </xf>
    <xf numFmtId="0" fontId="28" fillId="0" borderId="26" xfId="0" applyFont="1" applyBorder="1" applyAlignment="1" applyProtection="1">
      <alignment horizontal="center" wrapText="1"/>
      <protection/>
    </xf>
    <xf numFmtId="0" fontId="14" fillId="0" borderId="0" xfId="0" applyFont="1" applyFill="1" applyBorder="1" applyAlignment="1" applyProtection="1">
      <alignment horizontal="left" vertical="center" indent="1"/>
      <protection/>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left"/>
      <protection/>
    </xf>
    <xf numFmtId="0" fontId="28" fillId="0" borderId="42" xfId="0" applyFont="1" applyBorder="1" applyAlignment="1" applyProtection="1">
      <alignment horizontal="center" wrapText="1"/>
      <protection/>
    </xf>
    <xf numFmtId="0" fontId="28" fillId="0" borderId="21" xfId="0" applyFont="1" applyBorder="1" applyAlignment="1" applyProtection="1">
      <alignment horizontal="center" wrapText="1"/>
      <protection/>
    </xf>
    <xf numFmtId="0" fontId="28" fillId="0" borderId="81" xfId="0" applyFont="1" applyBorder="1" applyAlignment="1" applyProtection="1">
      <alignment horizontal="center" wrapText="1"/>
      <protection/>
    </xf>
    <xf numFmtId="164" fontId="14" fillId="0" borderId="6" xfId="0" applyNumberFormat="1" applyFont="1" applyBorder="1" applyAlignment="1" applyProtection="1">
      <alignment horizontal="left" vertical="center" indent="1"/>
      <protection/>
    </xf>
    <xf numFmtId="164" fontId="14" fillId="0" borderId="15" xfId="0" applyNumberFormat="1" applyFont="1" applyBorder="1" applyAlignment="1" applyProtection="1">
      <alignment horizontal="left" vertical="center" indent="1"/>
      <protection/>
    </xf>
    <xf numFmtId="164" fontId="14" fillId="0" borderId="38" xfId="0" applyNumberFormat="1" applyFont="1" applyBorder="1" applyAlignment="1" applyProtection="1">
      <alignment horizontal="left" vertical="center" indent="1"/>
      <protection/>
    </xf>
    <xf numFmtId="164" fontId="14" fillId="0" borderId="40" xfId="0" applyNumberFormat="1" applyFont="1" applyBorder="1" applyAlignment="1" applyProtection="1">
      <alignment horizontal="left" vertical="center" indent="1"/>
      <protection/>
    </xf>
    <xf numFmtId="164" fontId="14" fillId="0" borderId="21" xfId="0" applyNumberFormat="1" applyFont="1" applyBorder="1" applyAlignment="1" applyProtection="1">
      <alignment horizontal="left" vertical="center" indent="1"/>
      <protection/>
    </xf>
    <xf numFmtId="164" fontId="14" fillId="0" borderId="23" xfId="0" applyNumberFormat="1" applyFont="1" applyBorder="1" applyAlignment="1" applyProtection="1">
      <alignment horizontal="left" vertical="center" indent="1"/>
      <protection/>
    </xf>
    <xf numFmtId="0" fontId="29" fillId="4" borderId="17" xfId="0" applyFont="1" applyFill="1" applyBorder="1" applyAlignment="1" applyProtection="1">
      <alignment horizontal="center"/>
      <protection locked="0"/>
    </xf>
    <xf numFmtId="0" fontId="29" fillId="4" borderId="39" xfId="0" applyFont="1" applyFill="1" applyBorder="1" applyAlignment="1" applyProtection="1">
      <alignment horizontal="center"/>
      <protection locked="0"/>
    </xf>
    <xf numFmtId="0" fontId="29" fillId="4" borderId="48" xfId="0" applyFont="1" applyFill="1" applyBorder="1" applyAlignment="1" applyProtection="1">
      <alignment horizontal="center"/>
      <protection locked="0"/>
    </xf>
    <xf numFmtId="0" fontId="28" fillId="0" borderId="2" xfId="0" applyFont="1" applyBorder="1" applyAlignment="1" applyProtection="1">
      <alignment horizontal="center"/>
      <protection/>
    </xf>
    <xf numFmtId="0" fontId="28" fillId="0" borderId="61" xfId="0" applyFont="1" applyBorder="1" applyAlignment="1" applyProtection="1">
      <alignment horizontal="center"/>
      <protection/>
    </xf>
    <xf numFmtId="0" fontId="28" fillId="0" borderId="49" xfId="0" applyFont="1" applyBorder="1" applyAlignment="1" applyProtection="1">
      <alignment horizontal="center"/>
      <protection/>
    </xf>
    <xf numFmtId="0" fontId="28" fillId="0" borderId="59" xfId="0" applyFont="1" applyBorder="1" applyAlignment="1" applyProtection="1">
      <alignment horizontal="center"/>
      <protection/>
    </xf>
    <xf numFmtId="0" fontId="28" fillId="0" borderId="60" xfId="0" applyFont="1" applyBorder="1" applyAlignment="1" applyProtection="1">
      <alignment horizontal="center"/>
      <protection/>
    </xf>
    <xf numFmtId="0" fontId="28" fillId="0" borderId="5" xfId="0" applyFont="1" applyBorder="1" applyAlignment="1" applyProtection="1">
      <alignment horizontal="center"/>
      <protection/>
    </xf>
    <xf numFmtId="0" fontId="28" fillId="0" borderId="14" xfId="0" applyFont="1" applyBorder="1" applyAlignment="1" applyProtection="1">
      <alignment horizontal="center"/>
      <protection/>
    </xf>
    <xf numFmtId="0" fontId="28" fillId="0" borderId="4" xfId="0" applyFont="1" applyBorder="1" applyAlignment="1" applyProtection="1">
      <alignment horizontal="center"/>
      <protection/>
    </xf>
    <xf numFmtId="0" fontId="29" fillId="4" borderId="62" xfId="0" applyFont="1" applyFill="1" applyBorder="1" applyAlignment="1" applyProtection="1">
      <alignment horizontal="center"/>
      <protection locked="0"/>
    </xf>
    <xf numFmtId="0" fontId="0" fillId="0" borderId="26" xfId="0" applyBorder="1" applyAlignment="1">
      <alignment horizontal="center"/>
    </xf>
    <xf numFmtId="0" fontId="0" fillId="0" borderId="32" xfId="0" applyBorder="1" applyAlignment="1">
      <alignment horizontal="center"/>
    </xf>
    <xf numFmtId="3" fontId="3" fillId="0" borderId="68" xfId="0" applyNumberFormat="1" applyFont="1" applyBorder="1" applyAlignment="1" applyProtection="1">
      <alignment horizontal="right"/>
      <protection/>
    </xf>
    <xf numFmtId="3" fontId="3" fillId="0" borderId="18" xfId="0" applyNumberFormat="1" applyFont="1" applyBorder="1" applyAlignment="1" applyProtection="1">
      <alignment horizontal="right"/>
      <protection/>
    </xf>
    <xf numFmtId="0" fontId="3" fillId="0" borderId="12"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18"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28" fillId="0" borderId="55" xfId="0" applyFont="1" applyBorder="1" applyAlignment="1" applyProtection="1">
      <alignment horizontal="center" vertical="center" wrapText="1"/>
      <protection/>
    </xf>
    <xf numFmtId="0" fontId="28" fillId="0" borderId="68" xfId="0" applyFont="1" applyBorder="1" applyAlignment="1" applyProtection="1">
      <alignment horizontal="center" vertical="center" wrapText="1"/>
      <protection/>
    </xf>
    <xf numFmtId="0" fontId="0" fillId="0" borderId="12" xfId="0" applyBorder="1" applyAlignment="1" applyProtection="1">
      <alignment horizontal="left" vertical="center" wrapText="1"/>
      <protection/>
    </xf>
    <xf numFmtId="0" fontId="0" fillId="0" borderId="9" xfId="0" applyBorder="1" applyAlignment="1" applyProtection="1">
      <alignment horizontal="left" vertical="center" wrapText="1"/>
      <protection/>
    </xf>
    <xf numFmtId="3" fontId="8" fillId="4" borderId="11" xfId="0" applyNumberFormat="1" applyFont="1" applyFill="1" applyBorder="1" applyAlignment="1" applyProtection="1">
      <alignment horizontal="center" vertical="center"/>
      <protection locked="0"/>
    </xf>
    <xf numFmtId="3" fontId="8" fillId="4" borderId="27" xfId="0" applyNumberFormat="1" applyFont="1" applyFill="1" applyBorder="1" applyAlignment="1" applyProtection="1">
      <alignment horizontal="center" vertical="center"/>
      <protection locked="0"/>
    </xf>
    <xf numFmtId="0" fontId="9" fillId="0" borderId="20"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8" fillId="4" borderId="10" xfId="0" applyFont="1" applyFill="1" applyBorder="1" applyAlignment="1" applyProtection="1">
      <alignment horizontal="center" vertical="center" wrapText="1"/>
      <protection locked="0"/>
    </xf>
    <xf numFmtId="0" fontId="8" fillId="4" borderId="36" xfId="0" applyFont="1" applyFill="1" applyBorder="1" applyAlignment="1" applyProtection="1">
      <alignment horizontal="center" vertical="center" wrapText="1"/>
      <protection locked="0"/>
    </xf>
    <xf numFmtId="0" fontId="0" fillId="0" borderId="49" xfId="0"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62" xfId="0" applyBorder="1" applyAlignment="1" applyProtection="1">
      <alignment horizontal="center" vertical="center"/>
      <protection/>
    </xf>
    <xf numFmtId="0" fontId="3" fillId="0" borderId="68" xfId="0" applyFont="1" applyBorder="1" applyAlignment="1" applyProtection="1">
      <alignment horizontal="right" vertical="center"/>
      <protection/>
    </xf>
    <xf numFmtId="0" fontId="3" fillId="0" borderId="18" xfId="0" applyFont="1" applyBorder="1" applyAlignment="1" applyProtection="1">
      <alignment horizontal="right" vertical="center"/>
      <protection/>
    </xf>
    <xf numFmtId="164" fontId="10" fillId="0" borderId="12" xfId="0" applyNumberFormat="1" applyFont="1" applyBorder="1" applyAlignment="1" applyProtection="1">
      <alignment horizontal="center" vertical="center"/>
      <protection/>
    </xf>
    <xf numFmtId="164" fontId="10" fillId="0" borderId="20" xfId="0" applyNumberFormat="1" applyFont="1" applyBorder="1" applyAlignment="1" applyProtection="1">
      <alignment horizontal="center" vertical="center"/>
      <protection/>
    </xf>
    <xf numFmtId="164" fontId="10" fillId="0" borderId="27" xfId="0" applyNumberFormat="1" applyFont="1" applyBorder="1" applyAlignment="1" applyProtection="1">
      <alignment horizontal="center" vertical="center"/>
      <protection/>
    </xf>
    <xf numFmtId="164" fontId="22" fillId="0" borderId="6" xfId="0" applyNumberFormat="1" applyFont="1" applyBorder="1" applyAlignment="1" applyProtection="1">
      <alignment horizontal="left" vertical="center" indent="1"/>
      <protection/>
    </xf>
    <xf numFmtId="164" fontId="22" fillId="0" borderId="15" xfId="0" applyNumberFormat="1" applyFont="1" applyBorder="1" applyAlignment="1" applyProtection="1">
      <alignment horizontal="left" vertical="center" indent="1"/>
      <protection/>
    </xf>
    <xf numFmtId="0" fontId="22" fillId="0" borderId="13" xfId="0" applyFont="1" applyBorder="1" applyAlignment="1" applyProtection="1">
      <alignment horizontal="left" vertical="center" indent="1"/>
      <protection/>
    </xf>
    <xf numFmtId="0" fontId="22" fillId="0" borderId="69" xfId="0" applyFont="1" applyBorder="1" applyAlignment="1" applyProtection="1">
      <alignment horizontal="left" vertical="center" indent="1"/>
      <protection/>
    </xf>
    <xf numFmtId="0" fontId="22" fillId="0" borderId="5" xfId="0" applyFont="1" applyBorder="1" applyAlignment="1" applyProtection="1">
      <alignment horizontal="left" vertical="center" indent="1"/>
      <protection/>
    </xf>
    <xf numFmtId="0" fontId="22" fillId="0" borderId="7" xfId="0" applyFont="1" applyBorder="1" applyAlignment="1" applyProtection="1">
      <alignment horizontal="left" vertical="center" indent="1"/>
      <protection/>
    </xf>
    <xf numFmtId="0" fontId="22" fillId="0" borderId="17" xfId="0" applyFont="1" applyBorder="1" applyAlignment="1" applyProtection="1">
      <alignment horizontal="left" vertical="center" indent="1"/>
      <protection/>
    </xf>
    <xf numFmtId="0" fontId="22" fillId="0" borderId="63" xfId="0" applyFont="1" applyBorder="1" applyAlignment="1" applyProtection="1">
      <alignment horizontal="left" vertical="center" indent="1"/>
      <protection/>
    </xf>
    <xf numFmtId="164" fontId="22" fillId="0" borderId="21" xfId="0" applyNumberFormat="1" applyFont="1" applyFill="1" applyBorder="1" applyAlignment="1" applyProtection="1">
      <alignment horizontal="left" vertical="center" indent="1"/>
      <protection/>
    </xf>
    <xf numFmtId="164" fontId="22" fillId="0" borderId="23" xfId="0" applyNumberFormat="1" applyFont="1" applyFill="1" applyBorder="1" applyAlignment="1" applyProtection="1">
      <alignment horizontal="left" vertical="center" indent="1"/>
      <protection/>
    </xf>
    <xf numFmtId="164" fontId="22" fillId="0" borderId="5" xfId="0" applyNumberFormat="1" applyFont="1" applyFill="1" applyBorder="1" applyAlignment="1" applyProtection="1">
      <alignment horizontal="left" vertical="center" indent="1"/>
      <protection/>
    </xf>
    <xf numFmtId="164" fontId="22" fillId="0" borderId="14" xfId="0" applyNumberFormat="1" applyFont="1" applyFill="1" applyBorder="1" applyAlignment="1" applyProtection="1">
      <alignment horizontal="left" vertical="center" indent="1"/>
      <protection/>
    </xf>
    <xf numFmtId="164" fontId="21" fillId="0" borderId="55" xfId="0" applyNumberFormat="1" applyFont="1" applyBorder="1" applyAlignment="1" applyProtection="1">
      <alignment horizontal="center" vertical="center"/>
      <protection/>
    </xf>
    <xf numFmtId="164" fontId="21" fillId="0" borderId="54" xfId="0" applyNumberFormat="1" applyFont="1" applyBorder="1" applyAlignment="1" applyProtection="1">
      <alignment horizontal="center" vertical="center"/>
      <protection/>
    </xf>
    <xf numFmtId="164" fontId="21" fillId="0" borderId="60" xfId="0" applyNumberFormat="1" applyFont="1" applyBorder="1" applyAlignment="1" applyProtection="1">
      <alignment horizontal="center" vertical="center"/>
      <protection/>
    </xf>
    <xf numFmtId="0" fontId="37" fillId="0" borderId="56" xfId="0" applyNumberFormat="1" applyFont="1" applyFill="1" applyBorder="1" applyAlignment="1" applyProtection="1">
      <alignment horizontal="left" vertical="center" indent="1"/>
      <protection/>
    </xf>
    <xf numFmtId="0" fontId="37" fillId="0" borderId="53" xfId="0" applyNumberFormat="1" applyFont="1" applyFill="1" applyBorder="1" applyAlignment="1" applyProtection="1">
      <alignment horizontal="left" vertical="center" indent="1"/>
      <protection/>
    </xf>
    <xf numFmtId="0" fontId="37" fillId="0" borderId="57" xfId="0" applyNumberFormat="1" applyFont="1" applyFill="1" applyBorder="1" applyAlignment="1" applyProtection="1">
      <alignment horizontal="left" vertical="center" indent="1"/>
      <protection/>
    </xf>
    <xf numFmtId="0" fontId="37" fillId="0" borderId="34" xfId="0" applyNumberFormat="1" applyFont="1" applyFill="1" applyBorder="1" applyAlignment="1" applyProtection="1">
      <alignment horizontal="left" vertical="center" indent="1"/>
      <protection/>
    </xf>
    <xf numFmtId="0" fontId="37" fillId="0" borderId="0" xfId="0" applyNumberFormat="1" applyFont="1" applyFill="1" applyBorder="1" applyAlignment="1" applyProtection="1">
      <alignment horizontal="left" vertical="center" indent="1"/>
      <protection/>
    </xf>
    <xf numFmtId="0" fontId="37" fillId="0" borderId="45" xfId="0" applyNumberFormat="1" applyFont="1" applyFill="1" applyBorder="1" applyAlignment="1" applyProtection="1">
      <alignment horizontal="left" vertical="center" indent="1"/>
      <protection/>
    </xf>
    <xf numFmtId="0" fontId="37" fillId="0" borderId="18" xfId="0" applyNumberFormat="1" applyFont="1" applyBorder="1" applyAlignment="1" applyProtection="1">
      <alignment horizontal="left" vertical="center" indent="1"/>
      <protection/>
    </xf>
    <xf numFmtId="0" fontId="37" fillId="0" borderId="65" xfId="0" applyNumberFormat="1" applyFont="1" applyBorder="1" applyAlignment="1" applyProtection="1">
      <alignment horizontal="left" vertical="center" indent="1"/>
      <protection/>
    </xf>
    <xf numFmtId="0" fontId="37" fillId="0" borderId="68" xfId="0" applyNumberFormat="1" applyFont="1" applyFill="1" applyBorder="1" applyAlignment="1" applyProtection="1">
      <alignment horizontal="left" vertical="center" indent="1"/>
      <protection/>
    </xf>
    <xf numFmtId="0" fontId="37" fillId="0" borderId="18" xfId="0" applyNumberFormat="1" applyFont="1" applyFill="1" applyBorder="1" applyAlignment="1" applyProtection="1">
      <alignment horizontal="left" vertical="center" indent="1"/>
      <protection/>
    </xf>
    <xf numFmtId="0" fontId="46" fillId="0" borderId="34" xfId="0" applyFont="1" applyBorder="1" applyAlignment="1" applyProtection="1" quotePrefix="1">
      <alignment horizontal="center" vertical="center"/>
      <protection/>
    </xf>
    <xf numFmtId="0" fontId="46" fillId="0" borderId="0" xfId="0" applyFont="1" applyBorder="1" applyAlignment="1" applyProtection="1" quotePrefix="1">
      <alignment horizontal="center" vertical="center"/>
      <protection/>
    </xf>
    <xf numFmtId="6" fontId="10" fillId="0" borderId="20" xfId="0" applyNumberFormat="1" applyFont="1" applyFill="1" applyBorder="1" applyAlignment="1" applyProtection="1">
      <alignment horizontal="right" vertical="center"/>
      <protection/>
    </xf>
    <xf numFmtId="6" fontId="10" fillId="0" borderId="27" xfId="0" applyNumberFormat="1" applyFont="1" applyFill="1" applyBorder="1" applyAlignment="1" applyProtection="1">
      <alignment horizontal="right" vertical="center"/>
      <protection/>
    </xf>
    <xf numFmtId="0" fontId="38" fillId="6" borderId="34" xfId="0" applyFont="1" applyFill="1" applyBorder="1" applyAlignment="1" applyProtection="1">
      <alignment horizontal="center" vertical="center"/>
      <protection/>
    </xf>
    <xf numFmtId="0" fontId="38" fillId="6" borderId="0" xfId="0" applyFont="1" applyFill="1" applyBorder="1" applyAlignment="1" applyProtection="1">
      <alignment horizontal="center" vertical="center"/>
      <protection/>
    </xf>
    <xf numFmtId="0" fontId="38" fillId="6" borderId="45" xfId="0" applyFont="1" applyFill="1" applyBorder="1" applyAlignment="1" applyProtection="1">
      <alignment horizontal="center" vertical="center"/>
      <protection/>
    </xf>
    <xf numFmtId="164" fontId="22" fillId="0" borderId="38" xfId="0" applyNumberFormat="1" applyFont="1" applyBorder="1" applyAlignment="1" applyProtection="1">
      <alignment horizontal="left" vertical="center" indent="1"/>
      <protection/>
    </xf>
    <xf numFmtId="164" fontId="22" fillId="0" borderId="40" xfId="0" applyNumberFormat="1" applyFont="1" applyBorder="1" applyAlignment="1" applyProtection="1">
      <alignment horizontal="left" vertical="center" indent="1"/>
      <protection/>
    </xf>
    <xf numFmtId="164" fontId="22" fillId="0" borderId="5" xfId="0" applyNumberFormat="1" applyFont="1" applyBorder="1" applyAlignment="1" applyProtection="1">
      <alignment horizontal="left" vertical="center" indent="1"/>
      <protection/>
    </xf>
    <xf numFmtId="164" fontId="22" fillId="0" borderId="14" xfId="0" applyNumberFormat="1" applyFont="1" applyBorder="1" applyAlignment="1" applyProtection="1">
      <alignment horizontal="left" vertical="center" indent="1"/>
      <protection/>
    </xf>
    <xf numFmtId="164" fontId="22" fillId="0" borderId="7" xfId="0" applyNumberFormat="1" applyFont="1" applyFill="1" applyBorder="1" applyAlignment="1" applyProtection="1">
      <alignment horizontal="center" vertical="center"/>
      <protection/>
    </xf>
    <xf numFmtId="164" fontId="22" fillId="0" borderId="33" xfId="0" applyNumberFormat="1" applyFont="1" applyFill="1" applyBorder="1" applyAlignment="1" applyProtection="1">
      <alignment horizontal="center" vertical="center"/>
      <protection/>
    </xf>
    <xf numFmtId="0" fontId="3" fillId="0" borderId="2" xfId="0" applyFont="1" applyBorder="1" applyAlignment="1" applyProtection="1">
      <alignment horizontal="center"/>
      <protection/>
    </xf>
    <xf numFmtId="0" fontId="3" fillId="0" borderId="32" xfId="0" applyFont="1" applyBorder="1" applyAlignment="1" applyProtection="1">
      <alignment horizontal="center"/>
      <protection/>
    </xf>
    <xf numFmtId="0" fontId="3" fillId="0" borderId="55" xfId="0" applyFont="1" applyBorder="1" applyAlignment="1" applyProtection="1">
      <alignment horizontal="center" vertical="center" wrapText="1"/>
      <protection/>
    </xf>
    <xf numFmtId="0" fontId="3" fillId="0" borderId="60"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65" xfId="0" applyFont="1" applyBorder="1" applyAlignment="1" applyProtection="1">
      <alignment horizontal="center" vertical="center" wrapText="1"/>
      <protection/>
    </xf>
    <xf numFmtId="0" fontId="3" fillId="0" borderId="50" xfId="0" applyFont="1" applyBorder="1" applyAlignment="1" applyProtection="1">
      <alignment horizontal="center" wrapText="1"/>
      <protection/>
    </xf>
    <xf numFmtId="0" fontId="3" fillId="0" borderId="24" xfId="0" applyFont="1" applyBorder="1" applyAlignment="1" applyProtection="1">
      <alignment horizontal="center" wrapText="1"/>
      <protection/>
    </xf>
    <xf numFmtId="0" fontId="3" fillId="0" borderId="3" xfId="0" applyFont="1" applyBorder="1" applyAlignment="1" applyProtection="1">
      <alignment horizontal="center"/>
      <protection/>
    </xf>
    <xf numFmtId="0" fontId="3" fillId="0" borderId="41" xfId="0" applyFont="1" applyBorder="1" applyAlignment="1" applyProtection="1">
      <alignment horizontal="center"/>
      <protection/>
    </xf>
    <xf numFmtId="0" fontId="3" fillId="0" borderId="49" xfId="0" applyFont="1" applyBorder="1" applyAlignment="1" applyProtection="1">
      <alignment horizontal="center"/>
      <protection/>
    </xf>
    <xf numFmtId="0" fontId="3" fillId="0" borderId="6"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42" xfId="0" applyFont="1" applyBorder="1" applyAlignment="1" applyProtection="1">
      <alignment horizontal="center" wrapText="1"/>
      <protection/>
    </xf>
    <xf numFmtId="0" fontId="3" fillId="0" borderId="21" xfId="0" applyFont="1" applyBorder="1" applyAlignment="1" applyProtection="1">
      <alignment horizontal="center" wrapText="1"/>
      <protection/>
    </xf>
    <xf numFmtId="0" fontId="3" fillId="0" borderId="44" xfId="0" applyFont="1" applyBorder="1" applyAlignment="1" applyProtection="1">
      <alignment horizontal="center" wrapText="1"/>
      <protection/>
    </xf>
    <xf numFmtId="0" fontId="3" fillId="0" borderId="23" xfId="0" applyFont="1" applyBorder="1" applyAlignment="1" applyProtection="1">
      <alignment horizontal="center" wrapText="1"/>
      <protection/>
    </xf>
    <xf numFmtId="0" fontId="0" fillId="0" borderId="4" xfId="0" applyBorder="1" applyAlignment="1" applyProtection="1">
      <alignment horizontal="center"/>
      <protection/>
    </xf>
    <xf numFmtId="0" fontId="0" fillId="0" borderId="32" xfId="0" applyBorder="1" applyAlignment="1" applyProtection="1">
      <alignment horizontal="center"/>
      <protection/>
    </xf>
    <xf numFmtId="0" fontId="3" fillId="0" borderId="56" xfId="0" applyFont="1" applyBorder="1" applyAlignment="1" applyProtection="1">
      <alignment horizontal="center" wrapText="1"/>
      <protection/>
    </xf>
    <xf numFmtId="0" fontId="3" fillId="0" borderId="13" xfId="0" applyFont="1" applyBorder="1" applyAlignment="1" applyProtection="1">
      <alignment horizontal="center" wrapText="1"/>
      <protection/>
    </xf>
    <xf numFmtId="0" fontId="3" fillId="0" borderId="53" xfId="0" applyFont="1" applyBorder="1" applyAlignment="1" applyProtection="1">
      <alignment horizontal="center" wrapText="1"/>
      <protection/>
    </xf>
    <xf numFmtId="0" fontId="3" fillId="0" borderId="69" xfId="0" applyFont="1" applyBorder="1" applyAlignment="1" applyProtection="1">
      <alignment horizontal="center" wrapText="1"/>
      <protection/>
    </xf>
    <xf numFmtId="0" fontId="3" fillId="0" borderId="57" xfId="0" applyFont="1" applyBorder="1" applyAlignment="1" applyProtection="1">
      <alignment horizontal="center" wrapText="1"/>
      <protection/>
    </xf>
    <xf numFmtId="0" fontId="3" fillId="0" borderId="47" xfId="0" applyFont="1" applyBorder="1" applyAlignment="1" applyProtection="1">
      <alignment horizontal="center" wrapText="1"/>
      <protection/>
    </xf>
    <xf numFmtId="0" fontId="3" fillId="0" borderId="0" xfId="0" applyFont="1" applyBorder="1" applyAlignment="1" applyProtection="1">
      <alignment horizontal="center"/>
      <protection/>
    </xf>
    <xf numFmtId="0" fontId="3" fillId="0" borderId="55" xfId="0" applyFont="1" applyBorder="1" applyAlignment="1" applyProtection="1">
      <alignment horizontal="center"/>
      <protection/>
    </xf>
    <xf numFmtId="0" fontId="3" fillId="0" borderId="54" xfId="0" applyFont="1" applyBorder="1" applyAlignment="1" applyProtection="1">
      <alignment horizontal="center"/>
      <protection/>
    </xf>
    <xf numFmtId="0" fontId="3" fillId="0" borderId="60" xfId="0" applyFont="1" applyBorder="1" applyAlignment="1" applyProtection="1">
      <alignment horizontal="center"/>
      <protection/>
    </xf>
    <xf numFmtId="3" fontId="7" fillId="0" borderId="0" xfId="0" applyNumberFormat="1" applyFont="1" applyBorder="1" applyAlignment="1" applyProtection="1">
      <alignment horizontal="center" vertical="center" wrapText="1"/>
      <protection locked="0"/>
    </xf>
    <xf numFmtId="3" fontId="0" fillId="0" borderId="2"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3" fontId="7" fillId="0" borderId="78" xfId="0" applyNumberFormat="1" applyFont="1" applyBorder="1" applyAlignment="1" applyProtection="1">
      <alignment horizontal="center" wrapText="1"/>
      <protection locked="0"/>
    </xf>
    <xf numFmtId="3" fontId="7" fillId="0" borderId="77" xfId="0" applyNumberFormat="1" applyFont="1" applyBorder="1" applyAlignment="1" applyProtection="1">
      <alignment horizontal="center" wrapText="1"/>
      <protection locked="0"/>
    </xf>
    <xf numFmtId="3" fontId="7" fillId="0" borderId="78" xfId="0" applyNumberFormat="1" applyFont="1" applyBorder="1" applyAlignment="1" applyProtection="1">
      <alignment horizontal="center"/>
      <protection locked="0"/>
    </xf>
    <xf numFmtId="3" fontId="7" fillId="0" borderId="77" xfId="0" applyNumberFormat="1" applyFont="1" applyBorder="1" applyAlignment="1" applyProtection="1">
      <alignment horizontal="center"/>
      <protection locked="0"/>
    </xf>
    <xf numFmtId="3" fontId="0" fillId="0" borderId="0" xfId="0" applyNumberFormat="1" applyBorder="1" applyAlignment="1" applyProtection="1">
      <alignment horizontal="center" wrapText="1"/>
      <protection/>
    </xf>
    <xf numFmtId="3" fontId="0" fillId="0" borderId="2" xfId="0" applyNumberFormat="1" applyBorder="1" applyAlignment="1" applyProtection="1">
      <alignment horizontal="center"/>
      <protection/>
    </xf>
    <xf numFmtId="3" fontId="0" fillId="0" borderId="54" xfId="0" applyNumberFormat="1" applyBorder="1" applyAlignment="1" applyProtection="1">
      <alignment horizontal="center"/>
      <protection/>
    </xf>
    <xf numFmtId="3" fontId="0" fillId="0" borderId="32" xfId="0" applyNumberFormat="1" applyBorder="1" applyAlignment="1" applyProtection="1">
      <alignment horizontal="center"/>
      <protection/>
    </xf>
    <xf numFmtId="3" fontId="0" fillId="0" borderId="32" xfId="0" applyNumberFormat="1" applyBorder="1" applyAlignment="1" applyProtection="1">
      <alignment horizontal="center"/>
      <protection locked="0"/>
    </xf>
    <xf numFmtId="0" fontId="3" fillId="0" borderId="54" xfId="0" applyFont="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33" xfId="0" applyBorder="1" applyAlignment="1" applyProtection="1">
      <alignment horizontal="center"/>
      <protection/>
    </xf>
    <xf numFmtId="3" fontId="0" fillId="0" borderId="48" xfId="0" applyNumberFormat="1" applyFill="1" applyBorder="1" applyAlignment="1" applyProtection="1">
      <alignment horizontal="center"/>
      <protection/>
    </xf>
    <xf numFmtId="3" fontId="0" fillId="0" borderId="62" xfId="0" applyNumberFormat="1" applyFill="1" applyBorder="1" applyAlignment="1" applyProtection="1">
      <alignment horizontal="center"/>
      <protection/>
    </xf>
    <xf numFmtId="0" fontId="0" fillId="0" borderId="21" xfId="0" applyBorder="1" applyAlignment="1" applyProtection="1">
      <alignment horizontal="left" vertical="center"/>
      <protection/>
    </xf>
    <xf numFmtId="0" fontId="0" fillId="0" borderId="23" xfId="0" applyBorder="1" applyAlignment="1" applyProtection="1">
      <alignment horizontal="left" vertical="center"/>
      <protection/>
    </xf>
    <xf numFmtId="0" fontId="0" fillId="0" borderId="6" xfId="0" applyBorder="1" applyAlignment="1" applyProtection="1">
      <alignment horizontal="left" vertical="center" indent="1"/>
      <protection/>
    </xf>
    <xf numFmtId="0" fontId="0" fillId="0" borderId="15" xfId="0" applyBorder="1" applyAlignment="1" applyProtection="1">
      <alignment horizontal="left" vertical="center" indent="1"/>
      <protection/>
    </xf>
    <xf numFmtId="0" fontId="0" fillId="0" borderId="38" xfId="0" applyBorder="1" applyAlignment="1" applyProtection="1">
      <alignment horizontal="left" vertical="center" indent="1"/>
      <protection/>
    </xf>
    <xf numFmtId="0" fontId="0" fillId="0" borderId="40" xfId="0" applyBorder="1" applyAlignment="1" applyProtection="1">
      <alignment horizontal="left" vertical="center" indent="1"/>
      <protection/>
    </xf>
    <xf numFmtId="3" fontId="3" fillId="0" borderId="12" xfId="0" applyNumberFormat="1" applyFont="1" applyBorder="1" applyAlignment="1" applyProtection="1">
      <alignment horizontal="center" vertical="center" wrapText="1"/>
      <protection/>
    </xf>
    <xf numFmtId="3" fontId="3" fillId="0" borderId="20" xfId="0" applyNumberFormat="1" applyFont="1" applyBorder="1" applyAlignment="1" applyProtection="1">
      <alignment horizontal="center" vertical="center" wrapText="1"/>
      <protection/>
    </xf>
    <xf numFmtId="3" fontId="3" fillId="0" borderId="27" xfId="0" applyNumberFormat="1" applyFont="1" applyBorder="1" applyAlignment="1" applyProtection="1">
      <alignment horizontal="center" vertical="center" wrapText="1"/>
      <protection/>
    </xf>
    <xf numFmtId="0" fontId="0" fillId="0" borderId="54" xfId="0" applyBorder="1" applyAlignment="1" applyProtection="1">
      <alignment horizontal="left" indent="1"/>
      <protection/>
    </xf>
    <xf numFmtId="3" fontId="3" fillId="0" borderId="55" xfId="0" applyNumberFormat="1" applyFont="1" applyBorder="1" applyAlignment="1" applyProtection="1">
      <alignment horizontal="center" vertical="center" wrapText="1"/>
      <protection/>
    </xf>
    <xf numFmtId="3" fontId="3" fillId="0" borderId="54" xfId="0" applyNumberFormat="1" applyFont="1" applyBorder="1" applyAlignment="1" applyProtection="1">
      <alignment horizontal="center" vertical="center" wrapText="1"/>
      <protection/>
    </xf>
    <xf numFmtId="3" fontId="3" fillId="0" borderId="60" xfId="0" applyNumberFormat="1" applyFont="1" applyBorder="1" applyAlignment="1" applyProtection="1">
      <alignment horizontal="center" vertical="center" wrapText="1"/>
      <protection/>
    </xf>
    <xf numFmtId="3" fontId="0" fillId="0" borderId="59" xfId="0" applyNumberFormat="1" applyBorder="1" applyAlignment="1" applyProtection="1">
      <alignment horizontal="left" indent="1"/>
      <protection/>
    </xf>
    <xf numFmtId="3" fontId="0" fillId="0" borderId="60" xfId="0" applyNumberFormat="1" applyBorder="1" applyAlignment="1" applyProtection="1">
      <alignment horizontal="left" indent="1"/>
      <protection/>
    </xf>
    <xf numFmtId="3" fontId="3" fillId="0" borderId="55" xfId="0" applyNumberFormat="1" applyFont="1" applyBorder="1" applyAlignment="1" applyProtection="1">
      <alignment horizontal="center" wrapText="1"/>
      <protection/>
    </xf>
    <xf numFmtId="3" fontId="3" fillId="0" borderId="54" xfId="0" applyNumberFormat="1" applyFont="1" applyBorder="1" applyAlignment="1" applyProtection="1">
      <alignment horizontal="center" wrapText="1"/>
      <protection/>
    </xf>
    <xf numFmtId="3" fontId="3" fillId="0" borderId="60" xfId="0" applyNumberFormat="1" applyFont="1" applyBorder="1" applyAlignment="1" applyProtection="1">
      <alignment horizontal="center" wrapText="1"/>
      <protection/>
    </xf>
    <xf numFmtId="3" fontId="3" fillId="0" borderId="4" xfId="0" applyNumberFormat="1" applyFont="1" applyBorder="1" applyAlignment="1" applyProtection="1">
      <alignment horizontal="center"/>
      <protection/>
    </xf>
    <xf numFmtId="3" fontId="3" fillId="0" borderId="54" xfId="0" applyNumberFormat="1" applyFont="1" applyBorder="1" applyAlignment="1" applyProtection="1">
      <alignment horizontal="center"/>
      <protection/>
    </xf>
    <xf numFmtId="3" fontId="3" fillId="0" borderId="32" xfId="0" applyNumberFormat="1" applyFont="1" applyBorder="1" applyAlignment="1" applyProtection="1">
      <alignment horizontal="center"/>
      <protection/>
    </xf>
    <xf numFmtId="3" fontId="0" fillId="0" borderId="1" xfId="0" applyNumberFormat="1" applyBorder="1" applyAlignment="1" applyProtection="1">
      <alignment horizontal="center" wrapText="1"/>
      <protection locked="0"/>
    </xf>
    <xf numFmtId="3" fontId="0" fillId="0" borderId="67" xfId="0" applyNumberFormat="1" applyBorder="1" applyAlignment="1" applyProtection="1">
      <alignment horizontal="center" wrapText="1"/>
      <protection locked="0"/>
    </xf>
    <xf numFmtId="0" fontId="15" fillId="0" borderId="7" xfId="0" applyFont="1" applyBorder="1" applyAlignment="1">
      <alignment horizontal="center" vertical="top" wrapText="1"/>
    </xf>
    <xf numFmtId="0" fontId="15" fillId="0" borderId="14" xfId="0" applyFont="1" applyBorder="1" applyAlignment="1">
      <alignment horizontal="center" vertical="top" wrapText="1"/>
    </xf>
    <xf numFmtId="0" fontId="15" fillId="0" borderId="16" xfId="0" applyFont="1" applyBorder="1" applyAlignment="1">
      <alignment horizontal="center" vertical="top" wrapText="1"/>
    </xf>
    <xf numFmtId="0" fontId="15" fillId="0" borderId="33" xfId="0" applyFont="1" applyBorder="1" applyAlignment="1">
      <alignment horizontal="center" vertical="top" wrapText="1"/>
    </xf>
    <xf numFmtId="0" fontId="36" fillId="0" borderId="2" xfId="0" applyFont="1" applyBorder="1" applyAlignment="1">
      <alignment vertical="top" wrapText="1"/>
    </xf>
    <xf numFmtId="0" fontId="36" fillId="0" borderId="54" xfId="0" applyFont="1" applyBorder="1" applyAlignment="1">
      <alignment vertical="top" wrapText="1"/>
    </xf>
    <xf numFmtId="0" fontId="36" fillId="0" borderId="4" xfId="0" applyFont="1" applyBorder="1" applyAlignment="1">
      <alignment vertical="top" wrapText="1"/>
    </xf>
    <xf numFmtId="0" fontId="36" fillId="0" borderId="32" xfId="0" applyFont="1" applyBorder="1" applyAlignment="1">
      <alignment vertical="top" wrapText="1"/>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0" fillId="0" borderId="12" xfId="0" applyFont="1" applyBorder="1" applyAlignment="1">
      <alignment horizontal="center" vertical="center" wrapText="1"/>
    </xf>
    <xf numFmtId="0" fontId="0" fillId="0" borderId="20" xfId="0" applyFont="1" applyBorder="1" applyAlignment="1">
      <alignment horizontal="center" vertical="center" wrapText="1"/>
    </xf>
    <xf numFmtId="0" fontId="36" fillId="0" borderId="55" xfId="0" applyFont="1" applyBorder="1" applyAlignment="1">
      <alignment vertical="top" wrapText="1"/>
    </xf>
    <xf numFmtId="0" fontId="0" fillId="0" borderId="0" xfId="0" applyAlignment="1">
      <alignment horizontal="left" vertical="center"/>
    </xf>
    <xf numFmtId="0" fontId="3" fillId="0" borderId="0" xfId="0" applyFont="1" applyAlignment="1">
      <alignment horizontal="left" vertical="center"/>
    </xf>
    <xf numFmtId="0" fontId="11" fillId="0" borderId="0" xfId="0" applyFont="1" applyAlignment="1">
      <alignment horizontal="center"/>
    </xf>
    <xf numFmtId="0" fontId="13"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53" xfId="0" applyBorder="1" applyAlignment="1">
      <alignment horizontal="center" vertical="center"/>
    </xf>
    <xf numFmtId="0" fontId="0" fillId="0" borderId="0" xfId="0" applyAlignment="1">
      <alignment horizontal="center" vertical="center"/>
    </xf>
    <xf numFmtId="0" fontId="0" fillId="0" borderId="69" xfId="0" applyFont="1" applyBorder="1" applyAlignment="1">
      <alignment horizontal="center" vertical="center" wrapText="1"/>
    </xf>
    <xf numFmtId="0" fontId="0" fillId="0" borderId="0" xfId="0" applyFont="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27" fillId="0" borderId="0" xfId="0" applyFont="1" applyAlignment="1">
      <alignment horizontal="center" vertical="center"/>
    </xf>
    <xf numFmtId="0" fontId="0" fillId="0" borderId="0" xfId="0" applyFont="1" applyAlignment="1">
      <alignment horizontal="left" vertical="center" wrapText="1"/>
    </xf>
    <xf numFmtId="0" fontId="0" fillId="0" borderId="69" xfId="0" applyBorder="1" applyAlignment="1">
      <alignment horizontal="center" vertical="center" wrapText="1"/>
    </xf>
    <xf numFmtId="0" fontId="6" fillId="0" borderId="0" xfId="0" applyFont="1" applyAlignment="1">
      <alignment horizontal="left"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7"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FFFF"/>
      </font>
      <border/>
    </dxf>
    <dxf>
      <fill>
        <patternFill>
          <bgColor rgb="FF00FF00"/>
        </patternFill>
      </fill>
      <border/>
    </dxf>
    <dxf>
      <fill>
        <patternFill>
          <bgColor rgb="FFFF99CC"/>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chartsheet" Target="chartsheets/sheet7.xml" /><Relationship Id="rId14" Type="http://schemas.openxmlformats.org/officeDocument/2006/relationships/worksheet" Target="worksheets/sheet7.xml" /><Relationship Id="rId15" Type="http://schemas.openxmlformats.org/officeDocument/2006/relationships/worksheet" Target="worksheets/sheet8.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Baseline Electric Energy Usage</a:t>
            </a:r>
          </a:p>
        </c:rich>
      </c:tx>
      <c:layout/>
      <c:spPr>
        <a:noFill/>
        <a:ln>
          <a:noFill/>
        </a:ln>
      </c:spPr>
    </c:title>
    <c:plotArea>
      <c:layout>
        <c:manualLayout>
          <c:xMode val="edge"/>
          <c:yMode val="edge"/>
          <c:x val="0.0085"/>
          <c:y val="0.149"/>
          <c:w val="0.96125"/>
          <c:h val="0.751"/>
        </c:manualLayout>
      </c:layout>
      <c:barChart>
        <c:barDir val="col"/>
        <c:grouping val="clustered"/>
        <c:varyColors val="0"/>
        <c:ser>
          <c:idx val="1"/>
          <c:order val="0"/>
          <c:tx>
            <c:v>Monthly Electric Usage (kWh)</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'Energy Consumption &amp; Costs'!$A$5:$A$16</c:f>
              <c:strCache>
                <c:ptCount val="12"/>
                <c:pt idx="0">
                  <c:v>37622</c:v>
                </c:pt>
                <c:pt idx="1">
                  <c:v>37653</c:v>
                </c:pt>
                <c:pt idx="2">
                  <c:v>37681</c:v>
                </c:pt>
                <c:pt idx="3">
                  <c:v>37712</c:v>
                </c:pt>
                <c:pt idx="4">
                  <c:v>37377</c:v>
                </c:pt>
                <c:pt idx="5">
                  <c:v>37408</c:v>
                </c:pt>
                <c:pt idx="6">
                  <c:v>37438</c:v>
                </c:pt>
                <c:pt idx="7">
                  <c:v>37469</c:v>
                </c:pt>
                <c:pt idx="8">
                  <c:v>37500</c:v>
                </c:pt>
                <c:pt idx="9">
                  <c:v>37530</c:v>
                </c:pt>
                <c:pt idx="10">
                  <c:v>37561</c:v>
                </c:pt>
                <c:pt idx="11">
                  <c:v>37591</c:v>
                </c:pt>
              </c:strCache>
            </c:strRef>
          </c:cat>
          <c:val>
            <c:numRef>
              <c:f>'Energy Consumption &amp; Costs'!$C$5:$C$16</c:f>
              <c:numCache>
                <c:ptCount val="12"/>
                <c:pt idx="0">
                  <c:v>640495</c:v>
                </c:pt>
                <c:pt idx="1">
                  <c:v>580107</c:v>
                </c:pt>
                <c:pt idx="2">
                  <c:v>650700</c:v>
                </c:pt>
                <c:pt idx="3">
                  <c:v>648328</c:v>
                </c:pt>
                <c:pt idx="4">
                  <c:v>716199</c:v>
                </c:pt>
                <c:pt idx="5">
                  <c:v>743382</c:v>
                </c:pt>
                <c:pt idx="6">
                  <c:v>794868</c:v>
                </c:pt>
                <c:pt idx="7">
                  <c:v>794062</c:v>
                </c:pt>
                <c:pt idx="8">
                  <c:v>722532</c:v>
                </c:pt>
                <c:pt idx="9">
                  <c:v>691080</c:v>
                </c:pt>
                <c:pt idx="10">
                  <c:v>636733</c:v>
                </c:pt>
                <c:pt idx="11">
                  <c:v>640442</c:v>
                </c:pt>
              </c:numCache>
            </c:numRef>
          </c:val>
        </c:ser>
        <c:axId val="24818968"/>
        <c:axId val="22044121"/>
      </c:barChart>
      <c:lineChart>
        <c:grouping val="standard"/>
        <c:varyColors val="0"/>
        <c:ser>
          <c:idx val="0"/>
          <c:order val="1"/>
          <c:tx>
            <c:v>Peak Electric Use (kW)</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6600"/>
              </a:solidFill>
              <a:ln>
                <a:solidFill>
                  <a:srgbClr val="000000"/>
                </a:solidFill>
              </a:ln>
            </c:spPr>
          </c:marker>
          <c:dLbls>
            <c:numFmt formatCode="General" sourceLinked="1"/>
            <c:showLegendKey val="0"/>
            <c:showVal val="0"/>
            <c:showBubbleSize val="0"/>
            <c:showCatName val="0"/>
            <c:showSerName val="0"/>
            <c:showLeaderLines val="1"/>
            <c:showPercent val="0"/>
          </c:dLbls>
          <c:val>
            <c:numRef>
              <c:f>'Energy Consumption &amp; Costs'!$D$5:$D$16</c:f>
              <c:numCache>
                <c:ptCount val="12"/>
                <c:pt idx="0">
                  <c:v>1079</c:v>
                </c:pt>
                <c:pt idx="1">
                  <c:v>1076</c:v>
                </c:pt>
                <c:pt idx="2">
                  <c:v>1199</c:v>
                </c:pt>
                <c:pt idx="3">
                  <c:v>1155</c:v>
                </c:pt>
                <c:pt idx="4">
                  <c:v>1311</c:v>
                </c:pt>
                <c:pt idx="5">
                  <c:v>1385</c:v>
                </c:pt>
                <c:pt idx="6">
                  <c:v>1429</c:v>
                </c:pt>
                <c:pt idx="7">
                  <c:v>1435</c:v>
                </c:pt>
                <c:pt idx="8">
                  <c:v>1329</c:v>
                </c:pt>
                <c:pt idx="9">
                  <c:v>1249</c:v>
                </c:pt>
                <c:pt idx="10">
                  <c:v>1228</c:v>
                </c:pt>
                <c:pt idx="11">
                  <c:v>1087</c:v>
                </c:pt>
              </c:numCache>
            </c:numRef>
          </c:val>
          <c:smooth val="0"/>
        </c:ser>
        <c:axId val="64179362"/>
        <c:axId val="40743347"/>
      </c:lineChart>
      <c:catAx>
        <c:axId val="24818968"/>
        <c:scaling>
          <c:orientation val="minMax"/>
        </c:scaling>
        <c:axPos val="b"/>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2044121"/>
        <c:crosses val="autoZero"/>
        <c:auto val="0"/>
        <c:lblOffset val="100"/>
        <c:tickLblSkip val="1"/>
        <c:noMultiLvlLbl val="0"/>
      </c:catAx>
      <c:valAx>
        <c:axId val="22044121"/>
        <c:scaling>
          <c:orientation val="minMax"/>
        </c:scaling>
        <c:axPos val="l"/>
        <c:title>
          <c:tx>
            <c:rich>
              <a:bodyPr vert="horz" rot="-5400000" anchor="ctr"/>
              <a:lstStyle/>
              <a:p>
                <a:pPr algn="ctr">
                  <a:defRPr/>
                </a:pPr>
                <a:r>
                  <a:rPr lang="en-US" cap="none" sz="1000" b="1" i="0" u="none" baseline="0">
                    <a:latin typeface="Arial"/>
                    <a:ea typeface="Arial"/>
                    <a:cs typeface="Arial"/>
                  </a:rPr>
                  <a:t>kWh</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24818968"/>
        <c:crossesAt val="1"/>
        <c:crossBetween val="between"/>
        <c:dispUnits/>
      </c:valAx>
      <c:catAx>
        <c:axId val="64179362"/>
        <c:scaling>
          <c:orientation val="minMax"/>
        </c:scaling>
        <c:axPos val="b"/>
        <c:delete val="1"/>
        <c:majorTickMark val="in"/>
        <c:minorTickMark val="none"/>
        <c:tickLblPos val="nextTo"/>
        <c:crossAx val="40743347"/>
        <c:crosses val="autoZero"/>
        <c:auto val="0"/>
        <c:lblOffset val="100"/>
        <c:tickLblSkip val="1"/>
        <c:noMultiLvlLbl val="0"/>
      </c:catAx>
      <c:valAx>
        <c:axId val="40743347"/>
        <c:scaling>
          <c:orientation val="minMax"/>
        </c:scaling>
        <c:axPos val="l"/>
        <c:title>
          <c:tx>
            <c:rich>
              <a:bodyPr vert="horz" rot="-5400000" anchor="ctr"/>
              <a:lstStyle/>
              <a:p>
                <a:pPr algn="ctr">
                  <a:defRPr/>
                </a:pPr>
                <a:r>
                  <a:rPr lang="en-US" cap="none" sz="1000" b="1" i="0" u="none" baseline="0">
                    <a:latin typeface="Arial"/>
                    <a:ea typeface="Arial"/>
                    <a:cs typeface="Arial"/>
                  </a:rPr>
                  <a:t>kW (Demand)</a:t>
                </a:r>
              </a:p>
            </c:rich>
          </c:tx>
          <c:layout/>
          <c:overlay val="0"/>
          <c:spPr>
            <a:noFill/>
            <a:ln>
              <a:noFill/>
            </a:ln>
          </c:spPr>
        </c:title>
        <c:delete val="0"/>
        <c:numFmt formatCode="General" sourceLinked="1"/>
        <c:majorTickMark val="in"/>
        <c:minorTickMark val="none"/>
        <c:tickLblPos val="nextTo"/>
        <c:crossAx val="64179362"/>
        <c:crosses val="max"/>
        <c:crossBetween val="between"/>
        <c:dispUnits/>
      </c:valAx>
      <c:spPr>
        <a:solidFill>
          <a:srgbClr val="E3E3E3"/>
        </a:solidFill>
        <a:ln w="12700">
          <a:solidFill>
            <a:srgbClr val="C0C0C0"/>
          </a:solidFill>
        </a:ln>
      </c:spPr>
    </c:plotArea>
    <c:legend>
      <c:legendPos val="b"/>
      <c:layout>
        <c:manualLayout>
          <c:xMode val="edge"/>
          <c:yMode val="edge"/>
          <c:x val="0.11775"/>
          <c:y val="0.92025"/>
          <c:w val="0.7745"/>
          <c:h val="0.0592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Comparision of Generation to CHP Electric Load</a:t>
            </a:r>
          </a:p>
        </c:rich>
      </c:tx>
      <c:layout/>
      <c:spPr>
        <a:noFill/>
        <a:ln>
          <a:noFill/>
        </a:ln>
      </c:spPr>
    </c:title>
    <c:plotArea>
      <c:layout/>
      <c:lineChart>
        <c:grouping val="standard"/>
        <c:varyColors val="0"/>
        <c:ser>
          <c:idx val="0"/>
          <c:order val="0"/>
          <c:tx>
            <c:v>Average Electricity Generated</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'CHP Electric Load Profile'!$F$4:$F$17</c:f>
              <c:numCache>
                <c:ptCount val="14"/>
                <c:pt idx="0">
                  <c:v>0</c:v>
                </c:pt>
                <c:pt idx="1">
                  <c:v>744</c:v>
                </c:pt>
                <c:pt idx="2">
                  <c:v>1488</c:v>
                </c:pt>
                <c:pt idx="3">
                  <c:v>2208</c:v>
                </c:pt>
                <c:pt idx="4">
                  <c:v>2928</c:v>
                </c:pt>
                <c:pt idx="5">
                  <c:v>3672</c:v>
                </c:pt>
                <c:pt idx="6">
                  <c:v>4392</c:v>
                </c:pt>
                <c:pt idx="7">
                  <c:v>5136</c:v>
                </c:pt>
                <c:pt idx="8">
                  <c:v>5880</c:v>
                </c:pt>
                <c:pt idx="9">
                  <c:v>6600</c:v>
                </c:pt>
                <c:pt idx="10">
                  <c:v>7272</c:v>
                </c:pt>
                <c:pt idx="11">
                  <c:v>8016</c:v>
                </c:pt>
                <c:pt idx="12">
                  <c:v>8760</c:v>
                </c:pt>
                <c:pt idx="13">
                  <c:v>9132</c:v>
                </c:pt>
              </c:numCache>
            </c:numRef>
          </c:cat>
          <c:val>
            <c:numRef>
              <c:f>'Generation Capability'!$D$4:$D$17</c:f>
              <c:numCache>
                <c:ptCount val="14"/>
                <c:pt idx="0">
                  <c:v>547.945205479452</c:v>
                </c:pt>
                <c:pt idx="1">
                  <c:v>547.945205479452</c:v>
                </c:pt>
                <c:pt idx="2">
                  <c:v>547.945205479452</c:v>
                </c:pt>
                <c:pt idx="3">
                  <c:v>547.945205479452</c:v>
                </c:pt>
                <c:pt idx="4">
                  <c:v>547.945205479452</c:v>
                </c:pt>
                <c:pt idx="5">
                  <c:v>547.945205479452</c:v>
                </c:pt>
                <c:pt idx="6">
                  <c:v>547.945205479452</c:v>
                </c:pt>
                <c:pt idx="7">
                  <c:v>547.945205479452</c:v>
                </c:pt>
                <c:pt idx="8">
                  <c:v>547.945205479452</c:v>
                </c:pt>
                <c:pt idx="9">
                  <c:v>547.945205479452</c:v>
                </c:pt>
                <c:pt idx="10">
                  <c:v>547.945205479452</c:v>
                </c:pt>
                <c:pt idx="11">
                  <c:v>547.945205479452</c:v>
                </c:pt>
                <c:pt idx="12">
                  <c:v>547.945205479452</c:v>
                </c:pt>
                <c:pt idx="13">
                  <c:v>547.945205479452</c:v>
                </c:pt>
              </c:numCache>
            </c:numRef>
          </c:val>
          <c:smooth val="0"/>
        </c:ser>
        <c:ser>
          <c:idx val="1"/>
          <c:order val="1"/>
          <c:tx>
            <c:v>Electric Load Profile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FF"/>
              </a:solidFill>
              <a:ln>
                <a:solidFill>
                  <a:srgbClr val="0000FF"/>
                </a:solidFill>
              </a:ln>
            </c:spPr>
          </c:marker>
          <c:cat>
            <c:numRef>
              <c:f>'CHP Electric Load Profile'!$F$4:$F$17</c:f>
              <c:numCache>
                <c:ptCount val="14"/>
                <c:pt idx="0">
                  <c:v>0</c:v>
                </c:pt>
                <c:pt idx="1">
                  <c:v>744</c:v>
                </c:pt>
                <c:pt idx="2">
                  <c:v>1488</c:v>
                </c:pt>
                <c:pt idx="3">
                  <c:v>2208</c:v>
                </c:pt>
                <c:pt idx="4">
                  <c:v>2928</c:v>
                </c:pt>
                <c:pt idx="5">
                  <c:v>3672</c:v>
                </c:pt>
                <c:pt idx="6">
                  <c:v>4392</c:v>
                </c:pt>
                <c:pt idx="7">
                  <c:v>5136</c:v>
                </c:pt>
                <c:pt idx="8">
                  <c:v>5880</c:v>
                </c:pt>
                <c:pt idx="9">
                  <c:v>6600</c:v>
                </c:pt>
                <c:pt idx="10">
                  <c:v>7272</c:v>
                </c:pt>
                <c:pt idx="11">
                  <c:v>8016</c:v>
                </c:pt>
                <c:pt idx="12">
                  <c:v>8760</c:v>
                </c:pt>
                <c:pt idx="13">
                  <c:v>9132</c:v>
                </c:pt>
              </c:numCache>
            </c:numRef>
          </c:cat>
          <c:val>
            <c:numRef>
              <c:f>'CHP Electric Load Profile'!$E$4:$E$17</c:f>
              <c:numCache>
                <c:ptCount val="14"/>
                <c:pt idx="0">
                  <c:v>2656.929536748893</c:v>
                </c:pt>
                <c:pt idx="1">
                  <c:v>2656.929536748893</c:v>
                </c:pt>
                <c:pt idx="2">
                  <c:v>2655.7964722327642</c:v>
                </c:pt>
                <c:pt idx="3">
                  <c:v>2170.4517884313723</c:v>
                </c:pt>
                <c:pt idx="4">
                  <c:v>1609.1319444444443</c:v>
                </c:pt>
                <c:pt idx="5">
                  <c:v>1532.8413978494623</c:v>
                </c:pt>
                <c:pt idx="6">
                  <c:v>1501.8194444444443</c:v>
                </c:pt>
                <c:pt idx="7">
                  <c:v>1498.239247311828</c:v>
                </c:pt>
                <c:pt idx="8">
                  <c:v>1445.258064516129</c:v>
                </c:pt>
                <c:pt idx="9">
                  <c:v>1443.8805555555555</c:v>
                </c:pt>
                <c:pt idx="10">
                  <c:v>1415.889880952381</c:v>
                </c:pt>
                <c:pt idx="11">
                  <c:v>1412.518817204301</c:v>
                </c:pt>
                <c:pt idx="12">
                  <c:v>1410.2809139784947</c:v>
                </c:pt>
                <c:pt idx="13">
                  <c:v>1410.2809139784947</c:v>
                </c:pt>
              </c:numCache>
            </c:numRef>
          </c:val>
          <c:smooth val="0"/>
        </c:ser>
        <c:ser>
          <c:idx val="2"/>
          <c:order val="2"/>
          <c:tx>
            <c:v>Generation Installed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800080"/>
              </a:solidFill>
              <a:ln>
                <a:solidFill>
                  <a:srgbClr val="800080"/>
                </a:solidFill>
              </a:ln>
            </c:spPr>
          </c:marker>
          <c:val>
            <c:numRef>
              <c:f>Equipment!$C$20</c:f>
              <c:numCache>
                <c:ptCount val="1"/>
                <c:pt idx="0">
                  <c:v>1500</c:v>
                </c:pt>
              </c:numCache>
            </c:numRef>
          </c:val>
          <c:smooth val="0"/>
        </c:ser>
        <c:marker val="1"/>
        <c:axId val="41004518"/>
        <c:axId val="33496343"/>
      </c:lineChart>
      <c:catAx>
        <c:axId val="41004518"/>
        <c:scaling>
          <c:orientation val="minMax"/>
        </c:scaling>
        <c:axPos val="b"/>
        <c:title>
          <c:tx>
            <c:rich>
              <a:bodyPr vert="horz" rot="0" anchor="ctr"/>
              <a:lstStyle/>
              <a:p>
                <a:pPr algn="ctr">
                  <a:defRPr/>
                </a:pPr>
                <a:r>
                  <a:rPr lang="en-US" cap="none" sz="950" b="1" i="0" u="none" baseline="0">
                    <a:latin typeface="Arial"/>
                    <a:ea typeface="Arial"/>
                    <a:cs typeface="Arial"/>
                  </a:rPr>
                  <a:t>Hours</a:t>
                </a:r>
              </a:p>
            </c:rich>
          </c:tx>
          <c:layout/>
          <c:overlay val="0"/>
          <c:spPr>
            <a:noFill/>
            <a:ln>
              <a:noFill/>
            </a:ln>
          </c:spPr>
        </c:title>
        <c:delete val="0"/>
        <c:numFmt formatCode="General" sourceLinked="1"/>
        <c:majorTickMark val="out"/>
        <c:minorTickMark val="none"/>
        <c:tickLblPos val="nextTo"/>
        <c:crossAx val="33496343"/>
        <c:crosses val="autoZero"/>
        <c:auto val="1"/>
        <c:lblOffset val="100"/>
        <c:noMultiLvlLbl val="0"/>
      </c:catAx>
      <c:valAx>
        <c:axId val="33496343"/>
        <c:scaling>
          <c:orientation val="minMax"/>
        </c:scaling>
        <c:axPos val="l"/>
        <c:title>
          <c:tx>
            <c:rich>
              <a:bodyPr vert="horz" rot="-5400000" anchor="ctr"/>
              <a:lstStyle/>
              <a:p>
                <a:pPr algn="ctr">
                  <a:defRPr/>
                </a:pPr>
                <a:r>
                  <a:rPr lang="en-US" cap="none" sz="950" b="1" i="0" u="none" baseline="0">
                    <a:latin typeface="Arial"/>
                    <a:ea typeface="Arial"/>
                    <a:cs typeface="Arial"/>
                  </a:rPr>
                  <a:t>kWe</a:t>
                </a:r>
              </a:p>
            </c:rich>
          </c:tx>
          <c:layout/>
          <c:overlay val="0"/>
          <c:spPr>
            <a:noFill/>
            <a:ln>
              <a:noFill/>
            </a:ln>
          </c:spPr>
        </c:title>
        <c:majorGridlines/>
        <c:delete val="0"/>
        <c:numFmt formatCode="General" sourceLinked="1"/>
        <c:majorTickMark val="out"/>
        <c:minorTickMark val="none"/>
        <c:tickLblPos val="nextTo"/>
        <c:crossAx val="41004518"/>
        <c:crossesAt val="1"/>
        <c:crossBetween val="midCat"/>
        <c:dispUnits/>
      </c:valAx>
      <c:spPr>
        <a:solidFill>
          <a:srgbClr val="E3E3E3"/>
        </a:solidFill>
        <a:ln w="12700">
          <a:solidFill>
            <a:srgbClr val="E3E3E3"/>
          </a:solidFill>
        </a:ln>
      </c:spPr>
    </c:plotArea>
    <c:legend>
      <c:legendPos val="b"/>
      <c:layout/>
      <c:overlay val="0"/>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Peak Demand Profile</a:t>
            </a:r>
          </a:p>
        </c:rich>
      </c:tx>
      <c:layout/>
      <c:spPr>
        <a:noFill/>
        <a:ln>
          <a:noFill/>
        </a:ln>
      </c:spPr>
    </c:title>
    <c:plotArea>
      <c:layout/>
      <c:lineChart>
        <c:grouping val="standard"/>
        <c:varyColors val="0"/>
        <c:ser>
          <c:idx val="0"/>
          <c:order val="0"/>
          <c:tx>
            <c:v>Peak Demand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numRef>
              <c:f>'Electric Load Profile'!$F$4:$F$16</c:f>
              <c:numCache>
                <c:ptCount val="13"/>
                <c:pt idx="0">
                  <c:v>0</c:v>
                </c:pt>
                <c:pt idx="1">
                  <c:v>744</c:v>
                </c:pt>
                <c:pt idx="2">
                  <c:v>1488</c:v>
                </c:pt>
                <c:pt idx="3">
                  <c:v>2208</c:v>
                </c:pt>
                <c:pt idx="4">
                  <c:v>2928</c:v>
                </c:pt>
                <c:pt idx="5">
                  <c:v>3672</c:v>
                </c:pt>
                <c:pt idx="6">
                  <c:v>4392</c:v>
                </c:pt>
                <c:pt idx="7">
                  <c:v>5136</c:v>
                </c:pt>
                <c:pt idx="8">
                  <c:v>5880</c:v>
                </c:pt>
                <c:pt idx="9">
                  <c:v>6600</c:v>
                </c:pt>
                <c:pt idx="10">
                  <c:v>7272</c:v>
                </c:pt>
                <c:pt idx="11">
                  <c:v>8016</c:v>
                </c:pt>
                <c:pt idx="12">
                  <c:v>8760</c:v>
                </c:pt>
              </c:numCache>
            </c:numRef>
          </c:cat>
          <c:val>
            <c:numRef>
              <c:f>'Electric Load Profile'!$D$4:$D$16</c:f>
              <c:numCache>
                <c:ptCount val="13"/>
                <c:pt idx="0">
                  <c:v>2385</c:v>
                </c:pt>
                <c:pt idx="1">
                  <c:v>2385</c:v>
                </c:pt>
                <c:pt idx="2">
                  <c:v>2375</c:v>
                </c:pt>
                <c:pt idx="3">
                  <c:v>2322</c:v>
                </c:pt>
                <c:pt idx="4">
                  <c:v>2079</c:v>
                </c:pt>
                <c:pt idx="5">
                  <c:v>2174</c:v>
                </c:pt>
                <c:pt idx="6">
                  <c:v>2025</c:v>
                </c:pt>
                <c:pt idx="7">
                  <c:v>1982</c:v>
                </c:pt>
                <c:pt idx="8">
                  <c:v>1872</c:v>
                </c:pt>
                <c:pt idx="9">
                  <c:v>1856</c:v>
                </c:pt>
                <c:pt idx="10">
                  <c:v>1779</c:v>
                </c:pt>
                <c:pt idx="11">
                  <c:v>1777</c:v>
                </c:pt>
                <c:pt idx="12">
                  <c:v>1753</c:v>
                </c:pt>
              </c:numCache>
            </c:numRef>
          </c:val>
          <c:smooth val="0"/>
        </c:ser>
        <c:ser>
          <c:idx val="1"/>
          <c:order val="1"/>
          <c:tx>
            <c:v>Generator Capability</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val>
            <c:numRef>
              <c:f>'Electric Load Profile'!$J$4:$J$16</c:f>
              <c:numCache>
                <c:ptCount val="13"/>
                <c:pt idx="0">
                  <c:v>1500</c:v>
                </c:pt>
                <c:pt idx="1">
                  <c:v>1500</c:v>
                </c:pt>
                <c:pt idx="2">
                  <c:v>1500</c:v>
                </c:pt>
                <c:pt idx="3">
                  <c:v>1500</c:v>
                </c:pt>
                <c:pt idx="4">
                  <c:v>1500</c:v>
                </c:pt>
                <c:pt idx="5">
                  <c:v>1500</c:v>
                </c:pt>
                <c:pt idx="6">
                  <c:v>1500</c:v>
                </c:pt>
                <c:pt idx="7">
                  <c:v>1500</c:v>
                </c:pt>
                <c:pt idx="8">
                  <c:v>1500</c:v>
                </c:pt>
                <c:pt idx="9">
                  <c:v>1500</c:v>
                </c:pt>
                <c:pt idx="10">
                  <c:v>1500</c:v>
                </c:pt>
                <c:pt idx="11">
                  <c:v>1500</c:v>
                </c:pt>
                <c:pt idx="12">
                  <c:v>1500</c:v>
                </c:pt>
              </c:numCache>
            </c:numRef>
          </c:val>
          <c:smooth val="0"/>
        </c:ser>
        <c:marker val="1"/>
        <c:axId val="33031632"/>
        <c:axId val="28849233"/>
      </c:lineChart>
      <c:catAx>
        <c:axId val="33031632"/>
        <c:scaling>
          <c:orientation val="minMax"/>
        </c:scaling>
        <c:axPos val="b"/>
        <c:title>
          <c:tx>
            <c:rich>
              <a:bodyPr vert="horz" rot="0" anchor="ctr"/>
              <a:lstStyle/>
              <a:p>
                <a:pPr algn="ctr">
                  <a:defRPr/>
                </a:pPr>
                <a:r>
                  <a:rPr lang="en-US" cap="none" sz="950" b="1" i="0" u="none" baseline="0">
                    <a:latin typeface="Arial"/>
                    <a:ea typeface="Arial"/>
                    <a:cs typeface="Arial"/>
                  </a:rPr>
                  <a:t>Hours</a:t>
                </a:r>
              </a:p>
            </c:rich>
          </c:tx>
          <c:layout/>
          <c:overlay val="0"/>
          <c:spPr>
            <a:noFill/>
            <a:ln>
              <a:noFill/>
            </a:ln>
          </c:spPr>
        </c:title>
        <c:delete val="0"/>
        <c:numFmt formatCode="General" sourceLinked="1"/>
        <c:majorTickMark val="out"/>
        <c:minorTickMark val="none"/>
        <c:tickLblPos val="nextTo"/>
        <c:crossAx val="28849233"/>
        <c:crosses val="autoZero"/>
        <c:auto val="1"/>
        <c:lblOffset val="100"/>
        <c:noMultiLvlLbl val="0"/>
      </c:catAx>
      <c:valAx>
        <c:axId val="28849233"/>
        <c:scaling>
          <c:orientation val="minMax"/>
        </c:scaling>
        <c:axPos val="l"/>
        <c:title>
          <c:tx>
            <c:rich>
              <a:bodyPr vert="horz" rot="-5400000" anchor="ctr"/>
              <a:lstStyle/>
              <a:p>
                <a:pPr algn="ctr">
                  <a:defRPr/>
                </a:pPr>
                <a:r>
                  <a:rPr lang="en-US" cap="none" sz="950" b="1" i="0" u="none" baseline="0">
                    <a:latin typeface="Arial"/>
                    <a:ea typeface="Arial"/>
                    <a:cs typeface="Arial"/>
                  </a:rPr>
                  <a:t>kW</a:t>
                </a:r>
              </a:p>
            </c:rich>
          </c:tx>
          <c:layout/>
          <c:overlay val="0"/>
          <c:spPr>
            <a:noFill/>
            <a:ln>
              <a:noFill/>
            </a:ln>
          </c:spPr>
        </c:title>
        <c:majorGridlines/>
        <c:delete val="0"/>
        <c:numFmt formatCode="General" sourceLinked="1"/>
        <c:majorTickMark val="out"/>
        <c:minorTickMark val="none"/>
        <c:tickLblPos val="nextTo"/>
        <c:crossAx val="33031632"/>
        <c:crossesAt val="1"/>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Average Demand Profile</a:t>
            </a:r>
          </a:p>
        </c:rich>
      </c:tx>
      <c:layout/>
      <c:spPr>
        <a:noFill/>
        <a:ln>
          <a:noFill/>
        </a:ln>
      </c:spPr>
    </c:title>
    <c:plotArea>
      <c:layout/>
      <c:lineChart>
        <c:grouping val="standard"/>
        <c:varyColors val="0"/>
        <c:ser>
          <c:idx val="0"/>
          <c:order val="0"/>
          <c:tx>
            <c:v>Average Demand</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FFFF"/>
              </a:solidFill>
              <a:ln>
                <a:solidFill>
                  <a:srgbClr val="00FFFF"/>
                </a:solidFill>
              </a:ln>
            </c:spPr>
          </c:marker>
          <c:cat>
            <c:numRef>
              <c:f>'Electric Load Profile'!$F$4:$F$16</c:f>
              <c:numCache>
                <c:ptCount val="13"/>
                <c:pt idx="0">
                  <c:v>0</c:v>
                </c:pt>
                <c:pt idx="1">
                  <c:v>744</c:v>
                </c:pt>
                <c:pt idx="2">
                  <c:v>1488</c:v>
                </c:pt>
                <c:pt idx="3">
                  <c:v>2208</c:v>
                </c:pt>
                <c:pt idx="4">
                  <c:v>2928</c:v>
                </c:pt>
                <c:pt idx="5">
                  <c:v>3672</c:v>
                </c:pt>
                <c:pt idx="6">
                  <c:v>4392</c:v>
                </c:pt>
                <c:pt idx="7">
                  <c:v>5136</c:v>
                </c:pt>
                <c:pt idx="8">
                  <c:v>5880</c:v>
                </c:pt>
                <c:pt idx="9">
                  <c:v>6600</c:v>
                </c:pt>
                <c:pt idx="10">
                  <c:v>7272</c:v>
                </c:pt>
                <c:pt idx="11">
                  <c:v>8016</c:v>
                </c:pt>
                <c:pt idx="12">
                  <c:v>8760</c:v>
                </c:pt>
              </c:numCache>
            </c:numRef>
          </c:cat>
          <c:val>
            <c:numRef>
              <c:f>'Electric Load Profile'!$E$4:$E$16</c:f>
              <c:numCache>
                <c:ptCount val="13"/>
                <c:pt idx="0">
                  <c:v>1732.2809139784947</c:v>
                </c:pt>
                <c:pt idx="1">
                  <c:v>1732.2809139784947</c:v>
                </c:pt>
                <c:pt idx="2">
                  <c:v>1731.1478494623657</c:v>
                </c:pt>
                <c:pt idx="3">
                  <c:v>1692.7166666666667</c:v>
                </c:pt>
                <c:pt idx="4">
                  <c:v>1609.1319444444443</c:v>
                </c:pt>
                <c:pt idx="5">
                  <c:v>1532.8413978494623</c:v>
                </c:pt>
                <c:pt idx="6">
                  <c:v>1501.8194444444443</c:v>
                </c:pt>
                <c:pt idx="7">
                  <c:v>1498.239247311828</c:v>
                </c:pt>
                <c:pt idx="8">
                  <c:v>1445.258064516129</c:v>
                </c:pt>
                <c:pt idx="9">
                  <c:v>1443.8805555555555</c:v>
                </c:pt>
                <c:pt idx="10">
                  <c:v>1415.889880952381</c:v>
                </c:pt>
                <c:pt idx="11">
                  <c:v>1412.518817204301</c:v>
                </c:pt>
                <c:pt idx="12">
                  <c:v>1410.2809139784947</c:v>
                </c:pt>
              </c:numCache>
            </c:numRef>
          </c:val>
          <c:smooth val="0"/>
        </c:ser>
        <c:ser>
          <c:idx val="1"/>
          <c:order val="1"/>
          <c:tx>
            <c:v>Generator Capability</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val>
            <c:numRef>
              <c:f>'Electric Load Profile'!$K$4:$K$16</c:f>
              <c:numCache>
                <c:ptCount val="13"/>
                <c:pt idx="0">
                  <c:v>1500</c:v>
                </c:pt>
                <c:pt idx="1">
                  <c:v>1500</c:v>
                </c:pt>
                <c:pt idx="2">
                  <c:v>1500</c:v>
                </c:pt>
                <c:pt idx="3">
                  <c:v>1500</c:v>
                </c:pt>
                <c:pt idx="4">
                  <c:v>1500</c:v>
                </c:pt>
                <c:pt idx="5">
                  <c:v>1500</c:v>
                </c:pt>
                <c:pt idx="6">
                  <c:v>1500</c:v>
                </c:pt>
                <c:pt idx="7">
                  <c:v>1498.239247311828</c:v>
                </c:pt>
                <c:pt idx="8">
                  <c:v>1445.258064516129</c:v>
                </c:pt>
                <c:pt idx="9">
                  <c:v>1443.8805555555555</c:v>
                </c:pt>
                <c:pt idx="10">
                  <c:v>1415.889880952381</c:v>
                </c:pt>
                <c:pt idx="11">
                  <c:v>1412.518817204301</c:v>
                </c:pt>
                <c:pt idx="12">
                  <c:v>1410.2809139784947</c:v>
                </c:pt>
              </c:numCache>
            </c:numRef>
          </c:val>
          <c:smooth val="0"/>
        </c:ser>
        <c:marker val="1"/>
        <c:axId val="58316506"/>
        <c:axId val="55086507"/>
      </c:lineChart>
      <c:catAx>
        <c:axId val="58316506"/>
        <c:scaling>
          <c:orientation val="minMax"/>
        </c:scaling>
        <c:axPos val="b"/>
        <c:title>
          <c:tx>
            <c:rich>
              <a:bodyPr vert="horz" rot="0" anchor="ctr"/>
              <a:lstStyle/>
              <a:p>
                <a:pPr algn="ctr">
                  <a:defRPr/>
                </a:pPr>
                <a:r>
                  <a:rPr lang="en-US" cap="none" sz="950" b="1" i="0" u="none" baseline="0">
                    <a:latin typeface="Arial"/>
                    <a:ea typeface="Arial"/>
                    <a:cs typeface="Arial"/>
                  </a:rPr>
                  <a:t>Hours</a:t>
                </a:r>
              </a:p>
            </c:rich>
          </c:tx>
          <c:layout/>
          <c:overlay val="0"/>
          <c:spPr>
            <a:noFill/>
            <a:ln>
              <a:noFill/>
            </a:ln>
          </c:spPr>
        </c:title>
        <c:delete val="0"/>
        <c:numFmt formatCode="General" sourceLinked="1"/>
        <c:majorTickMark val="out"/>
        <c:minorTickMark val="none"/>
        <c:tickLblPos val="nextTo"/>
        <c:crossAx val="55086507"/>
        <c:crosses val="autoZero"/>
        <c:auto val="1"/>
        <c:lblOffset val="100"/>
        <c:noMultiLvlLbl val="0"/>
      </c:catAx>
      <c:valAx>
        <c:axId val="55086507"/>
        <c:scaling>
          <c:orientation val="minMax"/>
        </c:scaling>
        <c:axPos val="l"/>
        <c:title>
          <c:tx>
            <c:rich>
              <a:bodyPr vert="horz" rot="-5400000" anchor="ctr"/>
              <a:lstStyle/>
              <a:p>
                <a:pPr algn="ctr">
                  <a:defRPr/>
                </a:pPr>
                <a:r>
                  <a:rPr lang="en-US" cap="none" sz="950" b="1" i="0" u="none" baseline="0">
                    <a:latin typeface="Arial"/>
                    <a:ea typeface="Arial"/>
                    <a:cs typeface="Arial"/>
                  </a:rPr>
                  <a:t>kW</a:t>
                </a:r>
              </a:p>
            </c:rich>
          </c:tx>
          <c:layout/>
          <c:overlay val="0"/>
          <c:spPr>
            <a:noFill/>
            <a:ln>
              <a:noFill/>
            </a:ln>
          </c:spPr>
        </c:title>
        <c:majorGridlines/>
        <c:delete val="0"/>
        <c:numFmt formatCode="General" sourceLinked="1"/>
        <c:majorTickMark val="out"/>
        <c:minorTickMark val="none"/>
        <c:tickLblPos val="nextTo"/>
        <c:crossAx val="58316506"/>
        <c:crossesAt val="1"/>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Thermal Demand vs CHP Generation Thermal</a:t>
            </a:r>
          </a:p>
        </c:rich>
      </c:tx>
      <c:layout/>
      <c:spPr>
        <a:noFill/>
        <a:ln>
          <a:noFill/>
        </a:ln>
      </c:spPr>
    </c:title>
    <c:plotArea>
      <c:layout/>
      <c:lineChart>
        <c:grouping val="standard"/>
        <c:varyColors val="0"/>
        <c:ser>
          <c:idx val="0"/>
          <c:order val="0"/>
          <c:tx>
            <c:strRef>
              <c:f>'Generation Capability'!$G$1:$I$1</c:f>
              <c:strCache>
                <c:ptCount val="1"/>
                <c:pt idx="0">
                  <c:v>Electric Generation Thermal (Estimated)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CC00"/>
              </a:solidFill>
              <a:ln>
                <a:solidFill>
                  <a:srgbClr val="000000"/>
                </a:solidFill>
              </a:ln>
            </c:spPr>
          </c:marker>
          <c:cat>
            <c:numRef>
              <c:f>'Generation Capability'!$I$4:$I$17</c:f>
              <c:numCache>
                <c:ptCount val="14"/>
                <c:pt idx="0">
                  <c:v>0</c:v>
                </c:pt>
                <c:pt idx="1">
                  <c:v>372</c:v>
                </c:pt>
                <c:pt idx="2">
                  <c:v>1080</c:v>
                </c:pt>
                <c:pt idx="3">
                  <c:v>1788</c:v>
                </c:pt>
                <c:pt idx="4">
                  <c:v>2532</c:v>
                </c:pt>
                <c:pt idx="5">
                  <c:v>3276</c:v>
                </c:pt>
                <c:pt idx="6">
                  <c:v>4020</c:v>
                </c:pt>
                <c:pt idx="7">
                  <c:v>4764</c:v>
                </c:pt>
                <c:pt idx="8">
                  <c:v>5508</c:v>
                </c:pt>
                <c:pt idx="9">
                  <c:v>6240</c:v>
                </c:pt>
                <c:pt idx="10">
                  <c:v>6960</c:v>
                </c:pt>
                <c:pt idx="11">
                  <c:v>7680</c:v>
                </c:pt>
                <c:pt idx="12">
                  <c:v>8400</c:v>
                </c:pt>
                <c:pt idx="13">
                  <c:v>8760</c:v>
                </c:pt>
              </c:numCache>
            </c:numRef>
          </c:cat>
          <c:val>
            <c:numRef>
              <c:f>'Generation Capability'!$H$4:$H$17</c:f>
              <c:numCache>
                <c:ptCount val="14"/>
                <c:pt idx="0">
                  <c:v>712.1617889781581</c:v>
                </c:pt>
                <c:pt idx="1">
                  <c:v>712.1617889781581</c:v>
                </c:pt>
                <c:pt idx="2">
                  <c:v>712.161788978158</c:v>
                </c:pt>
                <c:pt idx="3">
                  <c:v>712.1617889781581</c:v>
                </c:pt>
                <c:pt idx="4">
                  <c:v>712.1617889781581</c:v>
                </c:pt>
                <c:pt idx="5">
                  <c:v>712.1617889781581</c:v>
                </c:pt>
                <c:pt idx="6">
                  <c:v>712.1617889781581</c:v>
                </c:pt>
                <c:pt idx="7">
                  <c:v>712.1617889781581</c:v>
                </c:pt>
                <c:pt idx="8">
                  <c:v>712.1617889781581</c:v>
                </c:pt>
                <c:pt idx="9">
                  <c:v>712.1617889781579</c:v>
                </c:pt>
                <c:pt idx="10">
                  <c:v>712.1617889781579</c:v>
                </c:pt>
                <c:pt idx="11">
                  <c:v>712.1617889781579</c:v>
                </c:pt>
                <c:pt idx="12">
                  <c:v>712.1617889781579</c:v>
                </c:pt>
                <c:pt idx="13">
                  <c:v>712.1617889781579</c:v>
                </c:pt>
              </c:numCache>
            </c:numRef>
          </c:val>
          <c:smooth val="0"/>
        </c:ser>
        <c:ser>
          <c:idx val="1"/>
          <c:order val="1"/>
          <c:tx>
            <c:v>Thermal Demand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0000"/>
              </a:solidFill>
              <a:ln>
                <a:solidFill>
                  <a:srgbClr val="FF0000"/>
                </a:solidFill>
              </a:ln>
            </c:spPr>
          </c:marker>
          <c:cat>
            <c:numRef>
              <c:f>'Generation Capability'!$I$4:$I$17</c:f>
              <c:numCache>
                <c:ptCount val="14"/>
                <c:pt idx="0">
                  <c:v>0</c:v>
                </c:pt>
                <c:pt idx="1">
                  <c:v>372</c:v>
                </c:pt>
                <c:pt idx="2">
                  <c:v>1080</c:v>
                </c:pt>
                <c:pt idx="3">
                  <c:v>1788</c:v>
                </c:pt>
                <c:pt idx="4">
                  <c:v>2532</c:v>
                </c:pt>
                <c:pt idx="5">
                  <c:v>3276</c:v>
                </c:pt>
                <c:pt idx="6">
                  <c:v>4020</c:v>
                </c:pt>
                <c:pt idx="7">
                  <c:v>4764</c:v>
                </c:pt>
                <c:pt idx="8">
                  <c:v>5508</c:v>
                </c:pt>
                <c:pt idx="9">
                  <c:v>6240</c:v>
                </c:pt>
                <c:pt idx="10">
                  <c:v>6960</c:v>
                </c:pt>
                <c:pt idx="11">
                  <c:v>7680</c:v>
                </c:pt>
                <c:pt idx="12">
                  <c:v>8400</c:v>
                </c:pt>
                <c:pt idx="13">
                  <c:v>8760</c:v>
                </c:pt>
              </c:numCache>
            </c:numRef>
          </c:cat>
          <c:val>
            <c:numRef>
              <c:f>'Total Thermal Profile'!$D$4:$D$17</c:f>
              <c:numCache>
                <c:ptCount val="14"/>
                <c:pt idx="0">
                  <c:v>3151.198019851892</c:v>
                </c:pt>
                <c:pt idx="1">
                  <c:v>3151.198019851892</c:v>
                </c:pt>
                <c:pt idx="2">
                  <c:v>2841.0150980223316</c:v>
                </c:pt>
                <c:pt idx="3">
                  <c:v>2782.0417168677222</c:v>
                </c:pt>
                <c:pt idx="4">
                  <c:v>2249.715477336729</c:v>
                </c:pt>
                <c:pt idx="5">
                  <c:v>1977.0310713231484</c:v>
                </c:pt>
                <c:pt idx="6">
                  <c:v>1591.563475939941</c:v>
                </c:pt>
                <c:pt idx="7">
                  <c:v>1463.3982988413366</c:v>
                </c:pt>
                <c:pt idx="8">
                  <c:v>1411.4598599195485</c:v>
                </c:pt>
                <c:pt idx="9">
                  <c:v>1386.5738790311177</c:v>
                </c:pt>
                <c:pt idx="10">
                  <c:v>1294.4947995346495</c:v>
                </c:pt>
                <c:pt idx="11">
                  <c:v>1240.5932282525905</c:v>
                </c:pt>
                <c:pt idx="12">
                  <c:v>1046.9424786114894</c:v>
                </c:pt>
                <c:pt idx="13">
                  <c:v>1046.9424786114894</c:v>
                </c:pt>
              </c:numCache>
            </c:numRef>
          </c:val>
          <c:smooth val="0"/>
        </c:ser>
        <c:marker val="1"/>
        <c:axId val="26016516"/>
        <c:axId val="32822053"/>
      </c:lineChart>
      <c:catAx>
        <c:axId val="26016516"/>
        <c:scaling>
          <c:orientation val="minMax"/>
        </c:scaling>
        <c:axPos val="b"/>
        <c:title>
          <c:tx>
            <c:rich>
              <a:bodyPr vert="horz" rot="0" anchor="ctr"/>
              <a:lstStyle/>
              <a:p>
                <a:pPr algn="ctr">
                  <a:defRPr/>
                </a:pPr>
                <a:r>
                  <a:rPr lang="en-US" cap="none" sz="950" b="1" i="0" u="none" baseline="0">
                    <a:latin typeface="Arial"/>
                    <a:ea typeface="Arial"/>
                    <a:cs typeface="Arial"/>
                  </a:rPr>
                  <a:t>Hours</a:t>
                </a:r>
              </a:p>
            </c:rich>
          </c:tx>
          <c:layout/>
          <c:overlay val="0"/>
          <c:spPr>
            <a:noFill/>
            <a:ln>
              <a:noFill/>
            </a:ln>
          </c:spPr>
        </c:title>
        <c:delete val="0"/>
        <c:numFmt formatCode="General" sourceLinked="1"/>
        <c:majorTickMark val="out"/>
        <c:minorTickMark val="none"/>
        <c:tickLblPos val="nextTo"/>
        <c:crossAx val="32822053"/>
        <c:crosses val="autoZero"/>
        <c:auto val="1"/>
        <c:lblOffset val="100"/>
        <c:noMultiLvlLbl val="0"/>
      </c:catAx>
      <c:valAx>
        <c:axId val="32822053"/>
        <c:scaling>
          <c:orientation val="minMax"/>
        </c:scaling>
        <c:axPos val="l"/>
        <c:title>
          <c:tx>
            <c:rich>
              <a:bodyPr vert="horz" rot="-5400000" anchor="ctr"/>
              <a:lstStyle/>
              <a:p>
                <a:pPr algn="ctr">
                  <a:defRPr/>
                </a:pPr>
                <a:r>
                  <a:rPr lang="en-US" cap="none" sz="950" b="1" i="0" u="none" baseline="0">
                    <a:latin typeface="Arial"/>
                    <a:ea typeface="Arial"/>
                    <a:cs typeface="Arial"/>
                  </a:rPr>
                  <a:t>kWt</a:t>
                </a:r>
              </a:p>
            </c:rich>
          </c:tx>
          <c:layout/>
          <c:overlay val="0"/>
          <c:spPr>
            <a:noFill/>
            <a:ln>
              <a:noFill/>
            </a:ln>
          </c:spPr>
        </c:title>
        <c:majorGridlines/>
        <c:delete val="0"/>
        <c:numFmt formatCode="General" sourceLinked="1"/>
        <c:majorTickMark val="out"/>
        <c:minorTickMark val="none"/>
        <c:tickLblPos val="nextTo"/>
        <c:crossAx val="26016516"/>
        <c:crossesAt val="1"/>
        <c:crossBetween val="midCat"/>
        <c:dispUnits/>
      </c:valAx>
      <c:spPr>
        <a:solidFill>
          <a:srgbClr val="E3E3E3"/>
        </a:solidFill>
        <a:ln w="12700">
          <a:solidFill>
            <a:srgbClr val="E3E3E3"/>
          </a:solidFill>
        </a:ln>
      </c:spPr>
    </c:plotArea>
    <c:legend>
      <c:legendPos val="b"/>
      <c:layout/>
      <c:overlay val="0"/>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Baseline Electric &amp; Thermal Load Profile
Recommended Generator Size</a:t>
            </a:r>
          </a:p>
        </c:rich>
      </c:tx>
      <c:layout/>
      <c:spPr>
        <a:noFill/>
        <a:ln>
          <a:noFill/>
        </a:ln>
      </c:spPr>
    </c:title>
    <c:plotArea>
      <c:layout>
        <c:manualLayout>
          <c:xMode val="edge"/>
          <c:yMode val="edge"/>
          <c:x val="0.03775"/>
          <c:y val="0.132"/>
          <c:w val="0.89925"/>
          <c:h val="0.733"/>
        </c:manualLayout>
      </c:layout>
      <c:scatterChart>
        <c:scatterStyle val="lineMarker"/>
        <c:varyColors val="0"/>
        <c:ser>
          <c:idx val="0"/>
          <c:order val="0"/>
          <c:tx>
            <c:v>Electric Load Duration</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xVal>
            <c:numRef>
              <c:f>'Electric Load Profile'!$F$4:$F$17</c:f>
              <c:numCache>
                <c:ptCount val="14"/>
                <c:pt idx="0">
                  <c:v>0</c:v>
                </c:pt>
                <c:pt idx="1">
                  <c:v>744</c:v>
                </c:pt>
                <c:pt idx="2">
                  <c:v>1488</c:v>
                </c:pt>
                <c:pt idx="3">
                  <c:v>2208</c:v>
                </c:pt>
                <c:pt idx="4">
                  <c:v>2928</c:v>
                </c:pt>
                <c:pt idx="5">
                  <c:v>3672</c:v>
                </c:pt>
                <c:pt idx="6">
                  <c:v>4416</c:v>
                </c:pt>
                <c:pt idx="7">
                  <c:v>5136</c:v>
                </c:pt>
                <c:pt idx="8">
                  <c:v>5856</c:v>
                </c:pt>
                <c:pt idx="9">
                  <c:v>6600</c:v>
                </c:pt>
                <c:pt idx="10">
                  <c:v>7272</c:v>
                </c:pt>
                <c:pt idx="11">
                  <c:v>8016</c:v>
                </c:pt>
                <c:pt idx="12">
                  <c:v>8760</c:v>
                </c:pt>
              </c:numCache>
            </c:numRef>
          </c:xVal>
          <c:yVal>
            <c:numRef>
              <c:f>'Electric Load Profile'!$E$4:$E$17</c:f>
              <c:numCache>
                <c:ptCount val="14"/>
                <c:pt idx="0">
                  <c:v>1068.3709677419354</c:v>
                </c:pt>
                <c:pt idx="1">
                  <c:v>1068.3709677419354</c:v>
                </c:pt>
                <c:pt idx="2">
                  <c:v>1067.2876344086021</c:v>
                </c:pt>
                <c:pt idx="3">
                  <c:v>1032.475</c:v>
                </c:pt>
                <c:pt idx="4">
                  <c:v>1003.5166666666667</c:v>
                </c:pt>
                <c:pt idx="5">
                  <c:v>962.633064516129</c:v>
                </c:pt>
                <c:pt idx="6">
                  <c:v>928.8709677419355</c:v>
                </c:pt>
                <c:pt idx="7">
                  <c:v>900.4555555555555</c:v>
                </c:pt>
                <c:pt idx="8">
                  <c:v>884.3513888888889</c:v>
                </c:pt>
                <c:pt idx="9">
                  <c:v>874.5967741935484</c:v>
                </c:pt>
                <c:pt idx="10">
                  <c:v>863.2544642857143</c:v>
                </c:pt>
                <c:pt idx="11">
                  <c:v>860.880376344086</c:v>
                </c:pt>
                <c:pt idx="12">
                  <c:v>860.8091397849462</c:v>
                </c:pt>
                <c:pt idx="13">
                  <c:v>860.8091397849462</c:v>
                </c:pt>
              </c:numCache>
            </c:numRef>
          </c:yVal>
          <c:smooth val="0"/>
        </c:ser>
        <c:ser>
          <c:idx val="9"/>
          <c:order val="1"/>
          <c:tx>
            <c:v>Total Avg Thermal Load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0000"/>
              </a:solidFill>
              <a:ln>
                <a:solidFill>
                  <a:srgbClr val="FF0000"/>
                </a:solidFill>
              </a:ln>
            </c:spPr>
          </c:marker>
          <c:xVal>
            <c:numRef>
              <c:f>'Total Thermal Profile'!$E$4:$E$17</c:f>
              <c:numCache>
                <c:ptCount val="14"/>
                <c:pt idx="0">
                  <c:v>0</c:v>
                </c:pt>
                <c:pt idx="1">
                  <c:v>744</c:v>
                </c:pt>
                <c:pt idx="2">
                  <c:v>1416</c:v>
                </c:pt>
                <c:pt idx="3">
                  <c:v>2160</c:v>
                </c:pt>
                <c:pt idx="4">
                  <c:v>2904</c:v>
                </c:pt>
                <c:pt idx="5">
                  <c:v>3624</c:v>
                </c:pt>
                <c:pt idx="6">
                  <c:v>4344</c:v>
                </c:pt>
                <c:pt idx="7">
                  <c:v>5088</c:v>
                </c:pt>
                <c:pt idx="8">
                  <c:v>5832</c:v>
                </c:pt>
                <c:pt idx="9">
                  <c:v>6552</c:v>
                </c:pt>
                <c:pt idx="10">
                  <c:v>7296</c:v>
                </c:pt>
                <c:pt idx="11">
                  <c:v>8040</c:v>
                </c:pt>
                <c:pt idx="12">
                  <c:v>8760</c:v>
                </c:pt>
                <c:pt idx="13">
                  <c:v>8760</c:v>
                </c:pt>
              </c:numCache>
            </c:numRef>
          </c:xVal>
          <c:yVal>
            <c:numRef>
              <c:f>'Total Thermal Profile'!$D$4:$D$17</c:f>
              <c:numCache>
                <c:ptCount val="14"/>
                <c:pt idx="0">
                  <c:v>1549.031158622375</c:v>
                </c:pt>
                <c:pt idx="1">
                  <c:v>1549.031158622375</c:v>
                </c:pt>
                <c:pt idx="2">
                  <c:v>1446.7343430574294</c:v>
                </c:pt>
                <c:pt idx="3">
                  <c:v>1426.454162264697</c:v>
                </c:pt>
                <c:pt idx="4">
                  <c:v>1262.5430624840815</c:v>
                </c:pt>
                <c:pt idx="5">
                  <c:v>1011.2412157653602</c:v>
                </c:pt>
                <c:pt idx="6">
                  <c:v>929.0576156492706</c:v>
                </c:pt>
                <c:pt idx="7">
                  <c:v>884.2647504686432</c:v>
                </c:pt>
                <c:pt idx="8">
                  <c:v>826.1119428943031</c:v>
                </c:pt>
                <c:pt idx="9">
                  <c:v>764.3958505421234</c:v>
                </c:pt>
                <c:pt idx="10">
                  <c:v>761.1176285465111</c:v>
                </c:pt>
                <c:pt idx="11">
                  <c:v>718.9283367768917</c:v>
                </c:pt>
                <c:pt idx="12">
                  <c:v>678.3829070514491</c:v>
                </c:pt>
                <c:pt idx="13">
                  <c:v>678.3829070514491</c:v>
                </c:pt>
              </c:numCache>
            </c:numRef>
          </c:yVal>
          <c:smooth val="0"/>
        </c:ser>
        <c:ser>
          <c:idx val="1"/>
          <c:order val="2"/>
          <c:tx>
            <c:v>Recommended Generating Capacity</c:v>
          </c:tx>
          <c:spPr>
            <a:ln w="381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900" b="1" i="0" u="none" baseline="0">
                      <a:solidFill>
                        <a:srgbClr val="000080"/>
                      </a:solidFill>
                      <a:latin typeface="Arial"/>
                      <a:ea typeface="Arial"/>
                      <a:cs typeface="Arial"/>
                    </a:defRPr>
                  </a:pPr>
                </a:p>
              </c:txPr>
              <c:numFmt formatCode="#,##0" sourceLinked="0"/>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numFmt formatCode="#,##0" sourceLinked="0"/>
            <c:txPr>
              <a:bodyPr vert="horz" rot="0" anchor="ctr"/>
              <a:lstStyle/>
              <a:p>
                <a:pPr algn="ctr">
                  <a:defRPr lang="en-US" cap="none" sz="900" b="1" i="0" u="none" baseline="0">
                    <a:solidFill>
                      <a:srgbClr val="000080"/>
                    </a:solidFill>
                    <a:latin typeface="Arial"/>
                    <a:ea typeface="Arial"/>
                    <a:cs typeface="Arial"/>
                  </a:defRPr>
                </a:pPr>
              </a:p>
            </c:txPr>
            <c:showLegendKey val="0"/>
            <c:showVal val="1"/>
            <c:showBubbleSize val="0"/>
            <c:showCatName val="0"/>
            <c:showSerName val="0"/>
            <c:showPercent val="0"/>
          </c:dLbls>
          <c:xVal>
            <c:numRef>
              <c:f>'Electric Load Profile'!$F$4:$F$17</c:f>
              <c:numCache>
                <c:ptCount val="14"/>
                <c:pt idx="0">
                  <c:v>0</c:v>
                </c:pt>
                <c:pt idx="1">
                  <c:v>744</c:v>
                </c:pt>
                <c:pt idx="2">
                  <c:v>1488</c:v>
                </c:pt>
                <c:pt idx="3">
                  <c:v>2208</c:v>
                </c:pt>
                <c:pt idx="4">
                  <c:v>2928</c:v>
                </c:pt>
                <c:pt idx="5">
                  <c:v>3672</c:v>
                </c:pt>
                <c:pt idx="6">
                  <c:v>4416</c:v>
                </c:pt>
                <c:pt idx="7">
                  <c:v>5136</c:v>
                </c:pt>
                <c:pt idx="8">
                  <c:v>5856</c:v>
                </c:pt>
                <c:pt idx="9">
                  <c:v>6600</c:v>
                </c:pt>
                <c:pt idx="10">
                  <c:v>7272</c:v>
                </c:pt>
                <c:pt idx="11">
                  <c:v>8016</c:v>
                </c:pt>
                <c:pt idx="12">
                  <c:v>8760</c:v>
                </c:pt>
              </c:numCache>
            </c:numRef>
          </c:xVal>
          <c:yVal>
            <c:numRef>
              <c:f>'Electric Load Profile'!$I$4:$I$17</c:f>
              <c:numCache>
                <c:ptCount val="14"/>
                <c:pt idx="0">
                  <c:v>714.5</c:v>
                </c:pt>
                <c:pt idx="1">
                  <c:v>714.5</c:v>
                </c:pt>
                <c:pt idx="2">
                  <c:v>714.5</c:v>
                </c:pt>
                <c:pt idx="3">
                  <c:v>714.5</c:v>
                </c:pt>
                <c:pt idx="4">
                  <c:v>714.5</c:v>
                </c:pt>
                <c:pt idx="5">
                  <c:v>714.5</c:v>
                </c:pt>
                <c:pt idx="6">
                  <c:v>714.5</c:v>
                </c:pt>
                <c:pt idx="7">
                  <c:v>714.5</c:v>
                </c:pt>
                <c:pt idx="8">
                  <c:v>714.5</c:v>
                </c:pt>
                <c:pt idx="9">
                  <c:v>714.5</c:v>
                </c:pt>
                <c:pt idx="10">
                  <c:v>714.5</c:v>
                </c:pt>
                <c:pt idx="11">
                  <c:v>714.5</c:v>
                </c:pt>
                <c:pt idx="12">
                  <c:v>714.5</c:v>
                </c:pt>
                <c:pt idx="13">
                  <c:v>714.5</c:v>
                </c:pt>
              </c:numCache>
            </c:numRef>
          </c:yVal>
          <c:smooth val="0"/>
        </c:ser>
        <c:axId val="31145804"/>
        <c:axId val="11876781"/>
      </c:scatterChart>
      <c:valAx>
        <c:axId val="31145804"/>
        <c:scaling>
          <c:orientation val="minMax"/>
          <c:max val="9000"/>
        </c:scaling>
        <c:axPos val="b"/>
        <c:title>
          <c:tx>
            <c:rich>
              <a:bodyPr vert="horz" rot="0" anchor="ctr"/>
              <a:lstStyle/>
              <a:p>
                <a:pPr algn="ctr">
                  <a:defRPr/>
                </a:pPr>
                <a:r>
                  <a:rPr lang="en-US" cap="none" sz="575" b="1" i="0" u="none" baseline="0">
                    <a:latin typeface="Arial"/>
                    <a:ea typeface="Arial"/>
                    <a:cs typeface="Arial"/>
                  </a:rPr>
                  <a:t>Hours</a:t>
                </a:r>
              </a:p>
            </c:rich>
          </c:tx>
          <c:layout>
            <c:manualLayout>
              <c:xMode val="factor"/>
              <c:yMode val="factor"/>
              <c:x val="0.00275"/>
              <c:y val="0"/>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876781"/>
        <c:crosses val="autoZero"/>
        <c:crossBetween val="midCat"/>
        <c:dispUnits/>
      </c:valAx>
      <c:valAx>
        <c:axId val="11876781"/>
        <c:scaling>
          <c:orientation val="minMax"/>
        </c:scaling>
        <c:axPos val="l"/>
        <c:title>
          <c:tx>
            <c:rich>
              <a:bodyPr vert="horz" rot="-5400000" anchor="ctr"/>
              <a:lstStyle/>
              <a:p>
                <a:pPr algn="ctr">
                  <a:defRPr/>
                </a:pPr>
                <a:r>
                  <a:rPr lang="en-US" cap="none" sz="1000" b="1" i="0" u="none" baseline="0">
                    <a:latin typeface="Arial"/>
                    <a:ea typeface="Arial"/>
                    <a:cs typeface="Arial"/>
                  </a:rPr>
                  <a:t>kW</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1145804"/>
        <c:crosses val="autoZero"/>
        <c:crossBetween val="midCat"/>
        <c:dispUnits/>
      </c:valAx>
      <c:spPr>
        <a:solidFill>
          <a:srgbClr val="E3E3E3"/>
        </a:solidFill>
        <a:ln w="12700">
          <a:solidFill>
            <a:srgbClr val="FFFFFF"/>
          </a:solidFill>
        </a:ln>
      </c:spPr>
    </c:plotArea>
    <c:legend>
      <c:legendPos val="b"/>
      <c:layout>
        <c:manualLayout>
          <c:xMode val="edge"/>
          <c:yMode val="edge"/>
          <c:x val="0.067"/>
          <c:y val="0.90175"/>
          <c:w val="0.84125"/>
          <c:h val="0.098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CHP Electric</a:t>
            </a:r>
          </a:p>
        </c:rich>
      </c:tx>
      <c:layout/>
      <c:spPr>
        <a:noFill/>
        <a:ln>
          <a:noFill/>
        </a:ln>
      </c:spPr>
    </c:title>
    <c:plotArea>
      <c:layout/>
      <c:barChart>
        <c:barDir val="col"/>
        <c:grouping val="clustered"/>
        <c:varyColors val="0"/>
        <c:ser>
          <c:idx val="0"/>
          <c:order val="0"/>
          <c:tx>
            <c:v>Electric Generated</c:v>
          </c:tx>
          <c:invertIfNegative val="0"/>
          <c:extLst>
            <c:ext xmlns:c14="http://schemas.microsoft.com/office/drawing/2007/8/2/chart" uri="{6F2FDCE9-48DA-4B69-8628-5D25D57E5C99}">
              <c14:invertSolidFillFmt>
                <c14:spPr>
                  <a:solidFill>
                    <a:srgbClr val="000000"/>
                  </a:solidFill>
                </c14:spPr>
              </c14:invertSolidFillFmt>
            </c:ext>
          </c:extLst>
          <c:cat>
            <c:strRef>
              <c:f>'Generation Capability'!$A$5:$A$16</c:f>
              <c:strCache>
                <c:ptCount val="12"/>
                <c:pt idx="0">
                  <c:v>37622</c:v>
                </c:pt>
                <c:pt idx="1">
                  <c:v>37653</c:v>
                </c:pt>
                <c:pt idx="2">
                  <c:v>37681</c:v>
                </c:pt>
                <c:pt idx="3">
                  <c:v>37377</c:v>
                </c:pt>
                <c:pt idx="4">
                  <c:v>37438</c:v>
                </c:pt>
                <c:pt idx="5">
                  <c:v>37469</c:v>
                </c:pt>
                <c:pt idx="6">
                  <c:v>37591</c:v>
                </c:pt>
                <c:pt idx="7">
                  <c:v>37530</c:v>
                </c:pt>
                <c:pt idx="8">
                  <c:v>37712</c:v>
                </c:pt>
                <c:pt idx="9">
                  <c:v>37408</c:v>
                </c:pt>
                <c:pt idx="10">
                  <c:v>37500</c:v>
                </c:pt>
                <c:pt idx="11">
                  <c:v>37561</c:v>
                </c:pt>
              </c:strCache>
            </c:strRef>
          </c:cat>
          <c:val>
            <c:numRef>
              <c:f>'Generation Capability'!$C$5:$C$16</c:f>
              <c:numCache>
                <c:ptCount val="12"/>
                <c:pt idx="0">
                  <c:v>407671.23287671234</c:v>
                </c:pt>
                <c:pt idx="1">
                  <c:v>368219.1780821918</c:v>
                </c:pt>
                <c:pt idx="2">
                  <c:v>407671.23287671234</c:v>
                </c:pt>
                <c:pt idx="3">
                  <c:v>407671.23287671234</c:v>
                </c:pt>
                <c:pt idx="4">
                  <c:v>407671.23287671234</c:v>
                </c:pt>
                <c:pt idx="5">
                  <c:v>407671.23287671234</c:v>
                </c:pt>
                <c:pt idx="6">
                  <c:v>407671.23287671234</c:v>
                </c:pt>
                <c:pt idx="7">
                  <c:v>407671.23287671234</c:v>
                </c:pt>
                <c:pt idx="8">
                  <c:v>394520.5479452055</c:v>
                </c:pt>
                <c:pt idx="9">
                  <c:v>394520.5479452055</c:v>
                </c:pt>
                <c:pt idx="10">
                  <c:v>394520.5479452055</c:v>
                </c:pt>
                <c:pt idx="11">
                  <c:v>394520.5479452055</c:v>
                </c:pt>
              </c:numCache>
            </c:numRef>
          </c:val>
        </c:ser>
        <c:ser>
          <c:idx val="1"/>
          <c:order val="1"/>
          <c:tx>
            <c:v>Electric Needed</c:v>
          </c:tx>
          <c:invertIfNegative val="0"/>
          <c:extLst>
            <c:ext xmlns:c14="http://schemas.microsoft.com/office/drawing/2007/8/2/chart" uri="{6F2FDCE9-48DA-4B69-8628-5D25D57E5C99}">
              <c14:invertSolidFillFmt>
                <c14:spPr>
                  <a:solidFill>
                    <a:srgbClr val="000000"/>
                  </a:solidFill>
                </c14:spPr>
              </c14:invertSolidFillFmt>
            </c:ext>
          </c:extLst>
          <c:val>
            <c:numRef>
              <c:f>'Generation Capability'!$E$5:$E$16</c:f>
            </c:numRef>
          </c:val>
        </c:ser>
        <c:ser>
          <c:idx val="2"/>
          <c:order val="2"/>
          <c:tx>
            <c:v>Electric Sold</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Ref>
              <c:f>'Generation Capability'!$F$5:$F$16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9782166"/>
        <c:axId val="22495175"/>
      </c:barChart>
      <c:dateAx>
        <c:axId val="39782166"/>
        <c:scaling>
          <c:orientation val="minMax"/>
        </c:scaling>
        <c:axPos val="b"/>
        <c:delete val="0"/>
        <c:numFmt formatCode="General" sourceLinked="1"/>
        <c:majorTickMark val="out"/>
        <c:minorTickMark val="none"/>
        <c:tickLblPos val="nextTo"/>
        <c:crossAx val="22495175"/>
        <c:crosses val="autoZero"/>
        <c:auto val="0"/>
        <c:noMultiLvlLbl val="0"/>
      </c:dateAx>
      <c:valAx>
        <c:axId val="22495175"/>
        <c:scaling>
          <c:orientation val="minMax"/>
        </c:scaling>
        <c:axPos val="l"/>
        <c:title>
          <c:tx>
            <c:rich>
              <a:bodyPr vert="horz" rot="-5400000" anchor="ctr"/>
              <a:lstStyle/>
              <a:p>
                <a:pPr algn="ctr">
                  <a:defRPr/>
                </a:pPr>
                <a:r>
                  <a:rPr lang="en-US" cap="none" sz="500" b="1" i="0" u="none" baseline="0">
                    <a:latin typeface="Arial"/>
                    <a:ea typeface="Arial"/>
                    <a:cs typeface="Arial"/>
                  </a:rPr>
                  <a:t>kWe</a:t>
                </a:r>
              </a:p>
            </c:rich>
          </c:tx>
          <c:layout/>
          <c:overlay val="0"/>
          <c:spPr>
            <a:noFill/>
            <a:ln>
              <a:noFill/>
            </a:ln>
          </c:spPr>
        </c:title>
        <c:majorGridlines/>
        <c:delete val="0"/>
        <c:numFmt formatCode="General" sourceLinked="1"/>
        <c:majorTickMark val="out"/>
        <c:minorTickMark val="none"/>
        <c:tickLblPos val="nextTo"/>
        <c:crossAx val="39782166"/>
        <c:crossesAt val="1"/>
        <c:crossBetween val="between"/>
        <c:dispUnits/>
      </c:valAx>
      <c:spPr>
        <a:solidFill>
          <a:srgbClr val="E3E3E3"/>
        </a:solidFill>
        <a:ln w="12700">
          <a:solidFill>
            <a:srgbClr val="E3E3E3"/>
          </a:solidFill>
        </a:ln>
      </c:spPr>
    </c:plotArea>
    <c:legend>
      <c:legendPos val="b"/>
      <c:layout/>
      <c:overlay val="0"/>
    </c:legend>
    <c:plotVisOnly val="1"/>
    <c:dispBlanksAs val="gap"/>
    <c:showDLblsOverMax val="0"/>
  </c:chart>
  <c:spPr>
    <a:solidFill>
      <a:srgbClr val="FFFFFF"/>
    </a:solidFill>
    <a:ln w="3175">
      <a:noFill/>
    </a:ln>
  </c:spPr>
  <c:txPr>
    <a:bodyPr vert="horz" rot="0"/>
    <a:lstStyle/>
    <a:p>
      <a:pPr>
        <a:defRPr lang="en-US" cap="none" sz="5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Comparision of Generation to CHP Electric Load</a:t>
            </a:r>
          </a:p>
        </c:rich>
      </c:tx>
      <c:layout/>
      <c:spPr>
        <a:noFill/>
        <a:ln>
          <a:noFill/>
        </a:ln>
      </c:spPr>
    </c:title>
    <c:plotArea>
      <c:layout/>
      <c:lineChart>
        <c:grouping val="standard"/>
        <c:varyColors val="0"/>
        <c:ser>
          <c:idx val="0"/>
          <c:order val="0"/>
          <c:tx>
            <c:v>Average Electricity Generated</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9966"/>
              </a:solidFill>
              <a:ln>
                <a:solidFill>
                  <a:srgbClr val="339966"/>
                </a:solidFill>
              </a:ln>
            </c:spPr>
          </c:marker>
          <c:cat>
            <c:numRef>
              <c:f>'CHP Electric Load Profile'!$F$4:$F$17</c:f>
              <c:numCache>
                <c:ptCount val="14"/>
                <c:pt idx="0">
                  <c:v>0</c:v>
                </c:pt>
                <c:pt idx="1">
                  <c:v>744</c:v>
                </c:pt>
                <c:pt idx="2">
                  <c:v>1488</c:v>
                </c:pt>
                <c:pt idx="3">
                  <c:v>2208</c:v>
                </c:pt>
                <c:pt idx="4">
                  <c:v>2928</c:v>
                </c:pt>
                <c:pt idx="5">
                  <c:v>3672</c:v>
                </c:pt>
                <c:pt idx="6">
                  <c:v>4392</c:v>
                </c:pt>
                <c:pt idx="7">
                  <c:v>5136</c:v>
                </c:pt>
                <c:pt idx="8">
                  <c:v>5880</c:v>
                </c:pt>
                <c:pt idx="9">
                  <c:v>6600</c:v>
                </c:pt>
                <c:pt idx="10">
                  <c:v>7272</c:v>
                </c:pt>
                <c:pt idx="11">
                  <c:v>8016</c:v>
                </c:pt>
                <c:pt idx="12">
                  <c:v>8760</c:v>
                </c:pt>
                <c:pt idx="13">
                  <c:v>9132</c:v>
                </c:pt>
              </c:numCache>
            </c:numRef>
          </c:cat>
          <c:val>
            <c:numRef>
              <c:f>'Generation Capability'!$D$4:$D$17</c:f>
              <c:numCache>
                <c:ptCount val="14"/>
                <c:pt idx="0">
                  <c:v>547.945205479452</c:v>
                </c:pt>
                <c:pt idx="1">
                  <c:v>547.945205479452</c:v>
                </c:pt>
                <c:pt idx="2">
                  <c:v>547.945205479452</c:v>
                </c:pt>
                <c:pt idx="3">
                  <c:v>547.945205479452</c:v>
                </c:pt>
                <c:pt idx="4">
                  <c:v>547.945205479452</c:v>
                </c:pt>
                <c:pt idx="5">
                  <c:v>547.945205479452</c:v>
                </c:pt>
                <c:pt idx="6">
                  <c:v>547.945205479452</c:v>
                </c:pt>
                <c:pt idx="7">
                  <c:v>547.945205479452</c:v>
                </c:pt>
                <c:pt idx="8">
                  <c:v>547.945205479452</c:v>
                </c:pt>
                <c:pt idx="9">
                  <c:v>547.945205479452</c:v>
                </c:pt>
                <c:pt idx="10">
                  <c:v>547.945205479452</c:v>
                </c:pt>
                <c:pt idx="11">
                  <c:v>547.945205479452</c:v>
                </c:pt>
                <c:pt idx="12">
                  <c:v>547.945205479452</c:v>
                </c:pt>
                <c:pt idx="13">
                  <c:v>547.945205479452</c:v>
                </c:pt>
              </c:numCache>
            </c:numRef>
          </c:val>
          <c:smooth val="0"/>
        </c:ser>
        <c:ser>
          <c:idx val="1"/>
          <c:order val="1"/>
          <c:tx>
            <c:v>Electric Load Profile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'CHP Electric Load Profile'!$F$4:$F$17</c:f>
              <c:numCache>
                <c:ptCount val="14"/>
                <c:pt idx="0">
                  <c:v>0</c:v>
                </c:pt>
                <c:pt idx="1">
                  <c:v>744</c:v>
                </c:pt>
                <c:pt idx="2">
                  <c:v>1488</c:v>
                </c:pt>
                <c:pt idx="3">
                  <c:v>2208</c:v>
                </c:pt>
                <c:pt idx="4">
                  <c:v>2928</c:v>
                </c:pt>
                <c:pt idx="5">
                  <c:v>3672</c:v>
                </c:pt>
                <c:pt idx="6">
                  <c:v>4392</c:v>
                </c:pt>
                <c:pt idx="7">
                  <c:v>5136</c:v>
                </c:pt>
                <c:pt idx="8">
                  <c:v>5880</c:v>
                </c:pt>
                <c:pt idx="9">
                  <c:v>6600</c:v>
                </c:pt>
                <c:pt idx="10">
                  <c:v>7272</c:v>
                </c:pt>
                <c:pt idx="11">
                  <c:v>8016</c:v>
                </c:pt>
                <c:pt idx="12">
                  <c:v>8760</c:v>
                </c:pt>
                <c:pt idx="13">
                  <c:v>9132</c:v>
                </c:pt>
              </c:numCache>
            </c:numRef>
          </c:cat>
          <c:val>
            <c:numRef>
              <c:f>'CHP Electric Load Profile'!$E$4:$E$17</c:f>
              <c:numCache>
                <c:ptCount val="14"/>
                <c:pt idx="0">
                  <c:v>2656.929536748893</c:v>
                </c:pt>
                <c:pt idx="1">
                  <c:v>2656.929536748893</c:v>
                </c:pt>
                <c:pt idx="2">
                  <c:v>2655.7964722327642</c:v>
                </c:pt>
                <c:pt idx="3">
                  <c:v>2170.4517884313723</c:v>
                </c:pt>
                <c:pt idx="4">
                  <c:v>1609.1319444444443</c:v>
                </c:pt>
                <c:pt idx="5">
                  <c:v>1532.8413978494623</c:v>
                </c:pt>
                <c:pt idx="6">
                  <c:v>1501.8194444444443</c:v>
                </c:pt>
                <c:pt idx="7">
                  <c:v>1498.239247311828</c:v>
                </c:pt>
                <c:pt idx="8">
                  <c:v>1445.258064516129</c:v>
                </c:pt>
                <c:pt idx="9">
                  <c:v>1443.8805555555555</c:v>
                </c:pt>
                <c:pt idx="10">
                  <c:v>1415.889880952381</c:v>
                </c:pt>
                <c:pt idx="11">
                  <c:v>1412.518817204301</c:v>
                </c:pt>
                <c:pt idx="12">
                  <c:v>1410.2809139784947</c:v>
                </c:pt>
                <c:pt idx="13">
                  <c:v>1410.2809139784947</c:v>
                </c:pt>
              </c:numCache>
            </c:numRef>
          </c:val>
          <c:smooth val="0"/>
        </c:ser>
        <c:ser>
          <c:idx val="2"/>
          <c:order val="2"/>
          <c:tx>
            <c:v>Generation Installed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800080"/>
              </a:solidFill>
              <a:ln>
                <a:solidFill>
                  <a:srgbClr val="800080"/>
                </a:solidFill>
              </a:ln>
            </c:spPr>
          </c:marker>
          <c:val>
            <c:numRef>
              <c:f>Equipment!$C$20</c:f>
              <c:numCache>
                <c:ptCount val="1"/>
                <c:pt idx="0">
                  <c:v>1500</c:v>
                </c:pt>
              </c:numCache>
            </c:numRef>
          </c:val>
          <c:smooth val="0"/>
        </c:ser>
        <c:marker val="1"/>
        <c:axId val="1129984"/>
        <c:axId val="10169857"/>
      </c:lineChart>
      <c:catAx>
        <c:axId val="1129984"/>
        <c:scaling>
          <c:orientation val="minMax"/>
        </c:scaling>
        <c:axPos val="b"/>
        <c:title>
          <c:tx>
            <c:rich>
              <a:bodyPr vert="horz" rot="0" anchor="ctr"/>
              <a:lstStyle/>
              <a:p>
                <a:pPr algn="ctr">
                  <a:defRPr/>
                </a:pPr>
                <a:r>
                  <a:rPr lang="en-US" cap="none" sz="500" b="1" i="0" u="none" baseline="0">
                    <a:latin typeface="Arial"/>
                    <a:ea typeface="Arial"/>
                    <a:cs typeface="Arial"/>
                  </a:rPr>
                  <a:t>Hours</a:t>
                </a:r>
              </a:p>
            </c:rich>
          </c:tx>
          <c:layout/>
          <c:overlay val="0"/>
          <c:spPr>
            <a:noFill/>
            <a:ln>
              <a:noFill/>
            </a:ln>
          </c:spPr>
        </c:title>
        <c:delete val="0"/>
        <c:numFmt formatCode="General" sourceLinked="1"/>
        <c:majorTickMark val="out"/>
        <c:minorTickMark val="none"/>
        <c:tickLblPos val="nextTo"/>
        <c:crossAx val="10169857"/>
        <c:crosses val="autoZero"/>
        <c:auto val="1"/>
        <c:lblOffset val="100"/>
        <c:noMultiLvlLbl val="0"/>
      </c:catAx>
      <c:valAx>
        <c:axId val="10169857"/>
        <c:scaling>
          <c:orientation val="minMax"/>
        </c:scaling>
        <c:axPos val="l"/>
        <c:title>
          <c:tx>
            <c:rich>
              <a:bodyPr vert="horz" rot="-5400000" anchor="ctr"/>
              <a:lstStyle/>
              <a:p>
                <a:pPr algn="ctr">
                  <a:defRPr/>
                </a:pPr>
                <a:r>
                  <a:rPr lang="en-US" cap="none" sz="500" b="1" i="0" u="none" baseline="0">
                    <a:latin typeface="Arial"/>
                    <a:ea typeface="Arial"/>
                    <a:cs typeface="Arial"/>
                  </a:rPr>
                  <a:t>kWe</a:t>
                </a:r>
              </a:p>
            </c:rich>
          </c:tx>
          <c:layout/>
          <c:overlay val="0"/>
          <c:spPr>
            <a:noFill/>
            <a:ln>
              <a:noFill/>
            </a:ln>
          </c:spPr>
        </c:title>
        <c:majorGridlines/>
        <c:delete val="0"/>
        <c:numFmt formatCode="General" sourceLinked="1"/>
        <c:majorTickMark val="out"/>
        <c:minorTickMark val="none"/>
        <c:tickLblPos val="nextTo"/>
        <c:crossAx val="1129984"/>
        <c:crossesAt val="1"/>
        <c:crossBetween val="midCat"/>
        <c:dispUnits/>
      </c:valAx>
      <c:spPr>
        <a:solidFill>
          <a:srgbClr val="E3E3E3"/>
        </a:solidFill>
        <a:ln w="12700">
          <a:solidFill>
            <a:srgbClr val="E3E3E3"/>
          </a:solidFill>
        </a:ln>
      </c:spPr>
    </c:plotArea>
    <c:legend>
      <c:legendPos val="b"/>
      <c:layout/>
      <c:overlay val="0"/>
    </c:legend>
    <c:plotVisOnly val="1"/>
    <c:dispBlanksAs val="gap"/>
    <c:showDLblsOverMax val="0"/>
  </c:chart>
  <c:spPr>
    <a:solidFill>
      <a:srgbClr val="FFFFFF"/>
    </a:solidFill>
    <a:ln w="3175">
      <a:noFill/>
    </a:ln>
  </c:spPr>
  <c:txPr>
    <a:bodyPr vert="horz" rot="0"/>
    <a:lstStyle/>
    <a:p>
      <a:pPr>
        <a:defRPr lang="en-US" cap="none" sz="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Thermal Demand vs CHP Generation Thermal</a:t>
            </a:r>
          </a:p>
        </c:rich>
      </c:tx>
      <c:layout/>
      <c:spPr>
        <a:noFill/>
        <a:ln>
          <a:noFill/>
        </a:ln>
      </c:spPr>
    </c:title>
    <c:plotArea>
      <c:layout/>
      <c:lineChart>
        <c:grouping val="standard"/>
        <c:varyColors val="0"/>
        <c:ser>
          <c:idx val="0"/>
          <c:order val="0"/>
          <c:tx>
            <c:strRef>
              <c:f>'Generation Capability'!$G$1:$I$1</c:f>
              <c:strCache>
                <c:ptCount val="1"/>
                <c:pt idx="0">
                  <c:v>Electric Generation Thermal (Estimated)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CC00"/>
              </a:solidFill>
              <a:ln>
                <a:solidFill>
                  <a:srgbClr val="000000"/>
                </a:solidFill>
              </a:ln>
            </c:spPr>
          </c:marker>
          <c:cat>
            <c:numRef>
              <c:f>'Generation Capability'!$I$4:$I$17</c:f>
              <c:numCache>
                <c:ptCount val="14"/>
                <c:pt idx="0">
                  <c:v>0</c:v>
                </c:pt>
                <c:pt idx="1">
                  <c:v>372</c:v>
                </c:pt>
                <c:pt idx="2">
                  <c:v>1080</c:v>
                </c:pt>
                <c:pt idx="3">
                  <c:v>1788</c:v>
                </c:pt>
                <c:pt idx="4">
                  <c:v>2532</c:v>
                </c:pt>
                <c:pt idx="5">
                  <c:v>3276</c:v>
                </c:pt>
                <c:pt idx="6">
                  <c:v>4020</c:v>
                </c:pt>
                <c:pt idx="7">
                  <c:v>4764</c:v>
                </c:pt>
                <c:pt idx="8">
                  <c:v>5508</c:v>
                </c:pt>
                <c:pt idx="9">
                  <c:v>6240</c:v>
                </c:pt>
                <c:pt idx="10">
                  <c:v>6960</c:v>
                </c:pt>
                <c:pt idx="11">
                  <c:v>7680</c:v>
                </c:pt>
                <c:pt idx="12">
                  <c:v>8400</c:v>
                </c:pt>
                <c:pt idx="13">
                  <c:v>8760</c:v>
                </c:pt>
              </c:numCache>
            </c:numRef>
          </c:cat>
          <c:val>
            <c:numRef>
              <c:f>'Generation Capability'!$H$4:$H$17</c:f>
              <c:numCache>
                <c:ptCount val="14"/>
                <c:pt idx="0">
                  <c:v>712.1617889781581</c:v>
                </c:pt>
                <c:pt idx="1">
                  <c:v>712.1617889781581</c:v>
                </c:pt>
                <c:pt idx="2">
                  <c:v>712.161788978158</c:v>
                </c:pt>
                <c:pt idx="3">
                  <c:v>712.1617889781581</c:v>
                </c:pt>
                <c:pt idx="4">
                  <c:v>712.1617889781581</c:v>
                </c:pt>
                <c:pt idx="5">
                  <c:v>712.1617889781581</c:v>
                </c:pt>
                <c:pt idx="6">
                  <c:v>712.1617889781581</c:v>
                </c:pt>
                <c:pt idx="7">
                  <c:v>712.1617889781581</c:v>
                </c:pt>
                <c:pt idx="8">
                  <c:v>712.1617889781581</c:v>
                </c:pt>
                <c:pt idx="9">
                  <c:v>712.1617889781579</c:v>
                </c:pt>
                <c:pt idx="10">
                  <c:v>712.1617889781579</c:v>
                </c:pt>
                <c:pt idx="11">
                  <c:v>712.1617889781579</c:v>
                </c:pt>
                <c:pt idx="12">
                  <c:v>712.1617889781579</c:v>
                </c:pt>
                <c:pt idx="13">
                  <c:v>712.1617889781579</c:v>
                </c:pt>
              </c:numCache>
            </c:numRef>
          </c:val>
          <c:smooth val="0"/>
        </c:ser>
        <c:ser>
          <c:idx val="1"/>
          <c:order val="1"/>
          <c:tx>
            <c:v>Thermal Demand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cat>
            <c:numRef>
              <c:f>'Generation Capability'!$I$4:$I$17</c:f>
              <c:numCache>
                <c:ptCount val="14"/>
                <c:pt idx="0">
                  <c:v>0</c:v>
                </c:pt>
                <c:pt idx="1">
                  <c:v>372</c:v>
                </c:pt>
                <c:pt idx="2">
                  <c:v>1080</c:v>
                </c:pt>
                <c:pt idx="3">
                  <c:v>1788</c:v>
                </c:pt>
                <c:pt idx="4">
                  <c:v>2532</c:v>
                </c:pt>
                <c:pt idx="5">
                  <c:v>3276</c:v>
                </c:pt>
                <c:pt idx="6">
                  <c:v>4020</c:v>
                </c:pt>
                <c:pt idx="7">
                  <c:v>4764</c:v>
                </c:pt>
                <c:pt idx="8">
                  <c:v>5508</c:v>
                </c:pt>
                <c:pt idx="9">
                  <c:v>6240</c:v>
                </c:pt>
                <c:pt idx="10">
                  <c:v>6960</c:v>
                </c:pt>
                <c:pt idx="11">
                  <c:v>7680</c:v>
                </c:pt>
                <c:pt idx="12">
                  <c:v>8400</c:v>
                </c:pt>
                <c:pt idx="13">
                  <c:v>8760</c:v>
                </c:pt>
              </c:numCache>
            </c:numRef>
          </c:cat>
          <c:val>
            <c:numRef>
              <c:f>'Total Thermal Profile'!$D$4:$D$17</c:f>
              <c:numCache>
                <c:ptCount val="14"/>
                <c:pt idx="0">
                  <c:v>3151.198019851892</c:v>
                </c:pt>
                <c:pt idx="1">
                  <c:v>3151.198019851892</c:v>
                </c:pt>
                <c:pt idx="2">
                  <c:v>2841.0150980223316</c:v>
                </c:pt>
                <c:pt idx="3">
                  <c:v>2782.0417168677222</c:v>
                </c:pt>
                <c:pt idx="4">
                  <c:v>2249.715477336729</c:v>
                </c:pt>
                <c:pt idx="5">
                  <c:v>1977.0310713231484</c:v>
                </c:pt>
                <c:pt idx="6">
                  <c:v>1591.563475939941</c:v>
                </c:pt>
                <c:pt idx="7">
                  <c:v>1463.3982988413366</c:v>
                </c:pt>
                <c:pt idx="8">
                  <c:v>1411.4598599195485</c:v>
                </c:pt>
                <c:pt idx="9">
                  <c:v>1386.5738790311177</c:v>
                </c:pt>
                <c:pt idx="10">
                  <c:v>1294.4947995346495</c:v>
                </c:pt>
                <c:pt idx="11">
                  <c:v>1240.5932282525905</c:v>
                </c:pt>
                <c:pt idx="12">
                  <c:v>1046.9424786114894</c:v>
                </c:pt>
                <c:pt idx="13">
                  <c:v>1046.9424786114894</c:v>
                </c:pt>
              </c:numCache>
            </c:numRef>
          </c:val>
          <c:smooth val="0"/>
        </c:ser>
        <c:marker val="1"/>
        <c:axId val="24419850"/>
        <c:axId val="18452059"/>
      </c:lineChart>
      <c:catAx>
        <c:axId val="24419850"/>
        <c:scaling>
          <c:orientation val="minMax"/>
        </c:scaling>
        <c:axPos val="b"/>
        <c:title>
          <c:tx>
            <c:rich>
              <a:bodyPr vert="horz" rot="0" anchor="ctr"/>
              <a:lstStyle/>
              <a:p>
                <a:pPr algn="ctr">
                  <a:defRPr/>
                </a:pPr>
                <a:r>
                  <a:rPr lang="en-US" cap="none" sz="525" b="1" i="0" u="none" baseline="0">
                    <a:latin typeface="Arial"/>
                    <a:ea typeface="Arial"/>
                    <a:cs typeface="Arial"/>
                  </a:rPr>
                  <a:t>Hours</a:t>
                </a:r>
              </a:p>
            </c:rich>
          </c:tx>
          <c:layout/>
          <c:overlay val="0"/>
          <c:spPr>
            <a:noFill/>
            <a:ln>
              <a:noFill/>
            </a:ln>
          </c:spPr>
        </c:title>
        <c:delete val="0"/>
        <c:numFmt formatCode="General" sourceLinked="1"/>
        <c:majorTickMark val="out"/>
        <c:minorTickMark val="none"/>
        <c:tickLblPos val="nextTo"/>
        <c:crossAx val="18452059"/>
        <c:crosses val="autoZero"/>
        <c:auto val="1"/>
        <c:lblOffset val="100"/>
        <c:noMultiLvlLbl val="0"/>
      </c:catAx>
      <c:valAx>
        <c:axId val="18452059"/>
        <c:scaling>
          <c:orientation val="minMax"/>
        </c:scaling>
        <c:axPos val="l"/>
        <c:title>
          <c:tx>
            <c:rich>
              <a:bodyPr vert="horz" rot="-5400000" anchor="ctr"/>
              <a:lstStyle/>
              <a:p>
                <a:pPr algn="ctr">
                  <a:defRPr/>
                </a:pPr>
                <a:r>
                  <a:rPr lang="en-US" cap="none" sz="525" b="1" i="0" u="none" baseline="0">
                    <a:latin typeface="Arial"/>
                    <a:ea typeface="Arial"/>
                    <a:cs typeface="Arial"/>
                  </a:rPr>
                  <a:t>kWt</a:t>
                </a:r>
              </a:p>
            </c:rich>
          </c:tx>
          <c:layout/>
          <c:overlay val="0"/>
          <c:spPr>
            <a:noFill/>
            <a:ln>
              <a:noFill/>
            </a:ln>
          </c:spPr>
        </c:title>
        <c:majorGridlines/>
        <c:delete val="0"/>
        <c:numFmt formatCode="General" sourceLinked="1"/>
        <c:majorTickMark val="out"/>
        <c:minorTickMark val="none"/>
        <c:tickLblPos val="nextTo"/>
        <c:crossAx val="24419850"/>
        <c:crossesAt val="1"/>
        <c:crossBetween val="midCat"/>
        <c:dispUnits/>
      </c:valAx>
      <c:spPr>
        <a:solidFill>
          <a:srgbClr val="E3E3E3"/>
        </a:solidFill>
        <a:ln w="12700">
          <a:solidFill>
            <a:srgbClr val="E3E3E3"/>
          </a:solidFill>
        </a:ln>
      </c:spPr>
    </c:plotArea>
    <c:legend>
      <c:legendPos val="b"/>
      <c:layout/>
      <c:overlay val="0"/>
    </c:legend>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Average Demand Profile</a:t>
            </a:r>
          </a:p>
        </c:rich>
      </c:tx>
      <c:layout/>
      <c:spPr>
        <a:noFill/>
        <a:ln>
          <a:noFill/>
        </a:ln>
      </c:spPr>
    </c:title>
    <c:plotArea>
      <c:layout>
        <c:manualLayout>
          <c:xMode val="edge"/>
          <c:yMode val="edge"/>
          <c:x val="0.075"/>
          <c:y val="0.1205"/>
          <c:w val="0.925"/>
          <c:h val="0.776"/>
        </c:manualLayout>
      </c:layout>
      <c:lineChart>
        <c:grouping val="standard"/>
        <c:varyColors val="0"/>
        <c:ser>
          <c:idx val="0"/>
          <c:order val="0"/>
          <c:tx>
            <c:v>Average Demand</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cat>
            <c:numRef>
              <c:f>'Electric Load Profile'!$F$4:$F$16</c:f>
              <c:numCache>
                <c:ptCount val="13"/>
                <c:pt idx="0">
                  <c:v>0</c:v>
                </c:pt>
                <c:pt idx="1">
                  <c:v>744</c:v>
                </c:pt>
                <c:pt idx="2">
                  <c:v>1488</c:v>
                </c:pt>
                <c:pt idx="3">
                  <c:v>2208</c:v>
                </c:pt>
                <c:pt idx="4">
                  <c:v>2928</c:v>
                </c:pt>
                <c:pt idx="5">
                  <c:v>3672</c:v>
                </c:pt>
                <c:pt idx="6">
                  <c:v>4416</c:v>
                </c:pt>
                <c:pt idx="7">
                  <c:v>5136</c:v>
                </c:pt>
                <c:pt idx="8">
                  <c:v>5856</c:v>
                </c:pt>
                <c:pt idx="9">
                  <c:v>6600</c:v>
                </c:pt>
                <c:pt idx="10">
                  <c:v>7272</c:v>
                </c:pt>
                <c:pt idx="11">
                  <c:v>8016</c:v>
                </c:pt>
                <c:pt idx="12">
                  <c:v>8760</c:v>
                </c:pt>
              </c:numCache>
            </c:numRef>
          </c:cat>
          <c:val>
            <c:numRef>
              <c:f>'Electric Load Profile'!$E$4:$E$16</c:f>
              <c:numCache>
                <c:ptCount val="13"/>
                <c:pt idx="0">
                  <c:v>1068.3709677419354</c:v>
                </c:pt>
                <c:pt idx="1">
                  <c:v>1068.3709677419354</c:v>
                </c:pt>
                <c:pt idx="2">
                  <c:v>1067.2876344086021</c:v>
                </c:pt>
                <c:pt idx="3">
                  <c:v>1032.475</c:v>
                </c:pt>
                <c:pt idx="4">
                  <c:v>1003.5166666666667</c:v>
                </c:pt>
                <c:pt idx="5">
                  <c:v>962.633064516129</c:v>
                </c:pt>
                <c:pt idx="6">
                  <c:v>928.8709677419355</c:v>
                </c:pt>
                <c:pt idx="7">
                  <c:v>900.4555555555555</c:v>
                </c:pt>
                <c:pt idx="8">
                  <c:v>884.3513888888889</c:v>
                </c:pt>
                <c:pt idx="9">
                  <c:v>874.5967741935484</c:v>
                </c:pt>
                <c:pt idx="10">
                  <c:v>863.2544642857143</c:v>
                </c:pt>
                <c:pt idx="11">
                  <c:v>860.880376344086</c:v>
                </c:pt>
                <c:pt idx="12">
                  <c:v>860.8091397849462</c:v>
                </c:pt>
              </c:numCache>
            </c:numRef>
          </c:val>
          <c:smooth val="0"/>
        </c:ser>
        <c:ser>
          <c:idx val="1"/>
          <c:order val="1"/>
          <c:tx>
            <c:v>Generator Capability</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'Electric Load Profile'!$K$4:$K$16</c:f>
              <c:numCache>
                <c:ptCount val="13"/>
                <c:pt idx="0">
                  <c:v>1068.3709677419354</c:v>
                </c:pt>
                <c:pt idx="1">
                  <c:v>1068.3709677419354</c:v>
                </c:pt>
                <c:pt idx="2">
                  <c:v>1067.2876344086021</c:v>
                </c:pt>
                <c:pt idx="3">
                  <c:v>1032.475</c:v>
                </c:pt>
                <c:pt idx="4">
                  <c:v>1003.5166666666667</c:v>
                </c:pt>
                <c:pt idx="5">
                  <c:v>962.633064516129</c:v>
                </c:pt>
                <c:pt idx="6">
                  <c:v>928.8709677419355</c:v>
                </c:pt>
                <c:pt idx="7">
                  <c:v>900.4555555555555</c:v>
                </c:pt>
                <c:pt idx="8">
                  <c:v>884.3513888888889</c:v>
                </c:pt>
                <c:pt idx="9">
                  <c:v>874.5967741935484</c:v>
                </c:pt>
                <c:pt idx="10">
                  <c:v>863.2544642857143</c:v>
                </c:pt>
                <c:pt idx="11">
                  <c:v>860.880376344086</c:v>
                </c:pt>
                <c:pt idx="12">
                  <c:v>860.8091397849462</c:v>
                </c:pt>
              </c:numCache>
            </c:numRef>
          </c:val>
          <c:smooth val="0"/>
        </c:ser>
        <c:marker val="1"/>
        <c:axId val="31850804"/>
        <c:axId val="18221781"/>
      </c:lineChart>
      <c:catAx>
        <c:axId val="31850804"/>
        <c:scaling>
          <c:orientation val="minMax"/>
        </c:scaling>
        <c:axPos val="b"/>
        <c:title>
          <c:tx>
            <c:rich>
              <a:bodyPr vert="horz" rot="0" anchor="ctr"/>
              <a:lstStyle/>
              <a:p>
                <a:pPr algn="ctr">
                  <a:defRPr/>
                </a:pPr>
                <a:r>
                  <a:rPr lang="en-US" cap="none" sz="800" b="1" i="0" u="none" baseline="0">
                    <a:latin typeface="Arial"/>
                    <a:ea typeface="Arial"/>
                    <a:cs typeface="Arial"/>
                  </a:rPr>
                  <a:t>Hours</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18221781"/>
        <c:crosses val="autoZero"/>
        <c:auto val="1"/>
        <c:lblOffset val="100"/>
        <c:noMultiLvlLbl val="0"/>
      </c:catAx>
      <c:valAx>
        <c:axId val="18221781"/>
        <c:scaling>
          <c:orientation val="minMax"/>
        </c:scaling>
        <c:axPos val="l"/>
        <c:title>
          <c:tx>
            <c:rich>
              <a:bodyPr vert="horz" rot="-5400000" anchor="ctr"/>
              <a:lstStyle/>
              <a:p>
                <a:pPr algn="ctr">
                  <a:defRPr/>
                </a:pPr>
                <a:r>
                  <a:rPr lang="en-US" cap="none" sz="800" b="1" i="0" u="none" baseline="0">
                    <a:latin typeface="Arial"/>
                    <a:ea typeface="Arial"/>
                    <a:cs typeface="Arial"/>
                  </a:rPr>
                  <a:t>kW</a:t>
                </a:r>
              </a:p>
            </c:rich>
          </c:tx>
          <c:layout/>
          <c:overlay val="0"/>
          <c:spPr>
            <a:noFill/>
            <a:ln>
              <a:noFill/>
            </a:ln>
          </c:spPr>
        </c:title>
        <c:majorGridlines/>
        <c:delete val="0"/>
        <c:numFmt formatCode="General" sourceLinked="1"/>
        <c:majorTickMark val="out"/>
        <c:minorTickMark val="none"/>
        <c:tickLblPos val="nextTo"/>
        <c:crossAx val="31850804"/>
        <c:crossesAt val="1"/>
        <c:crossBetween val="midCat"/>
        <c:dispUnits/>
      </c:valAx>
      <c:spPr>
        <a:solidFill>
          <a:srgbClr val="C0C0C0"/>
        </a:solidFill>
        <a:ln w="12700">
          <a:solidFill>
            <a:srgbClr val="808080"/>
          </a:solidFill>
        </a:ln>
      </c:spPr>
    </c:plotArea>
    <c:legend>
      <c:legendPos val="r"/>
      <c:layout>
        <c:manualLayout>
          <c:xMode val="edge"/>
          <c:yMode val="edge"/>
          <c:x val="0.26425"/>
          <c:y val="0.9465"/>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Baseline Electric Energy Usage</a:t>
            </a:r>
          </a:p>
        </c:rich>
      </c:tx>
      <c:layout/>
      <c:spPr>
        <a:noFill/>
        <a:ln>
          <a:noFill/>
        </a:ln>
      </c:spPr>
    </c:title>
    <c:plotArea>
      <c:layout>
        <c:manualLayout>
          <c:xMode val="edge"/>
          <c:yMode val="edge"/>
          <c:x val="0.03525"/>
          <c:y val="0.12375"/>
          <c:w val="0.9295"/>
          <c:h val="0.80075"/>
        </c:manualLayout>
      </c:layout>
      <c:barChart>
        <c:barDir val="col"/>
        <c:grouping val="clustered"/>
        <c:varyColors val="0"/>
        <c:ser>
          <c:idx val="1"/>
          <c:order val="0"/>
          <c:tx>
            <c:v>Monthly Electric Usage (kWh)</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'Energy Consumption &amp; Costs'!$A$5:$A$16</c:f>
              <c:strCache>
                <c:ptCount val="12"/>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strCache>
            </c:strRef>
          </c:cat>
          <c:val>
            <c:numRef>
              <c:f>'Energy Consumption &amp; Costs'!$C$5:$C$16</c:f>
              <c:numCache>
                <c:ptCount val="12"/>
                <c:pt idx="0">
                  <c:v>1050914</c:v>
                </c:pt>
                <c:pt idx="1">
                  <c:v>951478</c:v>
                </c:pt>
                <c:pt idx="2">
                  <c:v>1075272</c:v>
                </c:pt>
                <c:pt idx="3">
                  <c:v>1081310</c:v>
                </c:pt>
                <c:pt idx="4">
                  <c:v>1140434</c:v>
                </c:pt>
                <c:pt idx="5">
                  <c:v>1218756</c:v>
                </c:pt>
                <c:pt idx="6">
                  <c:v>1288817</c:v>
                </c:pt>
                <c:pt idx="7">
                  <c:v>1287974</c:v>
                </c:pt>
                <c:pt idx="8">
                  <c:v>1158575</c:v>
                </c:pt>
                <c:pt idx="9">
                  <c:v>1114690</c:v>
                </c:pt>
                <c:pt idx="10">
                  <c:v>1039594</c:v>
                </c:pt>
                <c:pt idx="11">
                  <c:v>1049249</c:v>
                </c:pt>
              </c:numCache>
            </c:numRef>
          </c:val>
        </c:ser>
        <c:axId val="29778302"/>
        <c:axId val="66678127"/>
      </c:barChart>
      <c:lineChart>
        <c:grouping val="standard"/>
        <c:varyColors val="0"/>
        <c:ser>
          <c:idx val="0"/>
          <c:order val="1"/>
          <c:tx>
            <c:v>Peak Electric Use (kW)</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6600"/>
              </a:solidFill>
              <a:ln>
                <a:solidFill>
                  <a:srgbClr val="000000"/>
                </a:solidFill>
              </a:ln>
            </c:spPr>
          </c:marker>
          <c:dLbls>
            <c:numFmt formatCode="General" sourceLinked="1"/>
            <c:showLegendKey val="0"/>
            <c:showVal val="0"/>
            <c:showBubbleSize val="0"/>
            <c:showCatName val="0"/>
            <c:showSerName val="0"/>
            <c:showLeaderLines val="1"/>
            <c:showPercent val="0"/>
          </c:dLbls>
          <c:val>
            <c:numRef>
              <c:f>'Energy Consumption &amp; Costs'!$D$5:$D$16</c:f>
              <c:numCache>
                <c:ptCount val="12"/>
                <c:pt idx="0">
                  <c:v>1777</c:v>
                </c:pt>
                <c:pt idx="1">
                  <c:v>1779</c:v>
                </c:pt>
                <c:pt idx="2">
                  <c:v>1872</c:v>
                </c:pt>
                <c:pt idx="3">
                  <c:v>2025</c:v>
                </c:pt>
                <c:pt idx="4">
                  <c:v>2174</c:v>
                </c:pt>
                <c:pt idx="5">
                  <c:v>2322</c:v>
                </c:pt>
                <c:pt idx="6">
                  <c:v>2385</c:v>
                </c:pt>
                <c:pt idx="7">
                  <c:v>2375</c:v>
                </c:pt>
                <c:pt idx="8">
                  <c:v>2079</c:v>
                </c:pt>
                <c:pt idx="9">
                  <c:v>1982</c:v>
                </c:pt>
                <c:pt idx="10">
                  <c:v>1856</c:v>
                </c:pt>
                <c:pt idx="11">
                  <c:v>1753</c:v>
                </c:pt>
              </c:numCache>
            </c:numRef>
          </c:val>
          <c:smooth val="0"/>
        </c:ser>
        <c:axId val="63232232"/>
        <c:axId val="32219177"/>
      </c:lineChart>
      <c:catAx>
        <c:axId val="29778302"/>
        <c:scaling>
          <c:orientation val="minMax"/>
        </c:scaling>
        <c:axPos val="b"/>
        <c:delete val="0"/>
        <c:numFmt formatCode="General" sourceLinked="1"/>
        <c:majorTickMark val="in"/>
        <c:minorTickMark val="none"/>
        <c:tickLblPos val="nextTo"/>
        <c:crossAx val="66678127"/>
        <c:crosses val="autoZero"/>
        <c:auto val="0"/>
        <c:lblOffset val="100"/>
        <c:tickLblSkip val="1"/>
        <c:noMultiLvlLbl val="0"/>
      </c:catAx>
      <c:valAx>
        <c:axId val="66678127"/>
        <c:scaling>
          <c:orientation val="minMax"/>
        </c:scaling>
        <c:axPos val="l"/>
        <c:title>
          <c:tx>
            <c:rich>
              <a:bodyPr vert="horz" rot="-5400000" anchor="ctr"/>
              <a:lstStyle/>
              <a:p>
                <a:pPr algn="ctr">
                  <a:defRPr/>
                </a:pPr>
                <a:r>
                  <a:rPr lang="en-US" cap="none" sz="1000" b="1" i="0" u="none" baseline="0">
                    <a:latin typeface="Arial"/>
                    <a:ea typeface="Arial"/>
                    <a:cs typeface="Arial"/>
                  </a:rPr>
                  <a:t>kWh</a:t>
                </a:r>
              </a:p>
            </c:rich>
          </c:tx>
          <c:layout/>
          <c:overlay val="0"/>
          <c:spPr>
            <a:noFill/>
            <a:ln>
              <a:noFill/>
            </a:ln>
          </c:spPr>
        </c:title>
        <c:delete val="0"/>
        <c:numFmt formatCode="General" sourceLinked="1"/>
        <c:majorTickMark val="in"/>
        <c:minorTickMark val="none"/>
        <c:tickLblPos val="nextTo"/>
        <c:crossAx val="29778302"/>
        <c:crossesAt val="1"/>
        <c:crossBetween val="between"/>
        <c:dispUnits/>
      </c:valAx>
      <c:catAx>
        <c:axId val="63232232"/>
        <c:scaling>
          <c:orientation val="minMax"/>
        </c:scaling>
        <c:axPos val="b"/>
        <c:delete val="1"/>
        <c:majorTickMark val="in"/>
        <c:minorTickMark val="none"/>
        <c:tickLblPos val="nextTo"/>
        <c:crossAx val="32219177"/>
        <c:crosses val="autoZero"/>
        <c:auto val="0"/>
        <c:lblOffset val="100"/>
        <c:tickLblSkip val="1"/>
        <c:noMultiLvlLbl val="0"/>
      </c:catAx>
      <c:valAx>
        <c:axId val="32219177"/>
        <c:scaling>
          <c:orientation val="minMax"/>
        </c:scaling>
        <c:axPos val="l"/>
        <c:title>
          <c:tx>
            <c:rich>
              <a:bodyPr vert="horz" rot="-5400000" anchor="ctr"/>
              <a:lstStyle/>
              <a:p>
                <a:pPr algn="ctr">
                  <a:defRPr/>
                </a:pPr>
                <a:r>
                  <a:rPr lang="en-US" cap="none" sz="1000" b="1" i="0" u="none" baseline="0">
                    <a:latin typeface="Arial"/>
                    <a:ea typeface="Arial"/>
                    <a:cs typeface="Arial"/>
                  </a:rPr>
                  <a:t>kW (Demand)</a:t>
                </a:r>
              </a:p>
            </c:rich>
          </c:tx>
          <c:layout/>
          <c:overlay val="0"/>
          <c:spPr>
            <a:noFill/>
            <a:ln>
              <a:noFill/>
            </a:ln>
          </c:spPr>
        </c:title>
        <c:delete val="0"/>
        <c:numFmt formatCode="General" sourceLinked="1"/>
        <c:majorTickMark val="in"/>
        <c:minorTickMark val="none"/>
        <c:tickLblPos val="nextTo"/>
        <c:crossAx val="63232232"/>
        <c:crosses val="max"/>
        <c:crossBetween val="between"/>
        <c:dispUnits/>
      </c:valAx>
      <c:spPr>
        <a:solidFill>
          <a:srgbClr val="E3E3E3"/>
        </a:solidFill>
        <a:ln w="12700">
          <a:solidFill>
            <a:srgbClr val="C0C0C0"/>
          </a:solidFill>
        </a:ln>
      </c:spPr>
    </c:plotArea>
    <c:legend>
      <c:legendPos val="b"/>
      <c:layout>
        <c:manualLayout>
          <c:xMode val="edge"/>
          <c:yMode val="edge"/>
          <c:x val="0.21625"/>
          <c:y val="0.94725"/>
          <c:w val="0.5865"/>
          <c:h val="0.044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Baseline Electric &amp; Thermal Load Profile
Recommended Generator Size</a:t>
            </a:r>
          </a:p>
        </c:rich>
      </c:tx>
      <c:layout/>
      <c:spPr>
        <a:noFill/>
        <a:ln>
          <a:noFill/>
        </a:ln>
      </c:spPr>
    </c:title>
    <c:plotArea>
      <c:layout>
        <c:manualLayout>
          <c:xMode val="edge"/>
          <c:yMode val="edge"/>
          <c:x val="0.028"/>
          <c:y val="0.11625"/>
          <c:w val="0.915"/>
          <c:h val="0.75575"/>
        </c:manualLayout>
      </c:layout>
      <c:scatterChart>
        <c:scatterStyle val="lineMarker"/>
        <c:varyColors val="0"/>
        <c:ser>
          <c:idx val="0"/>
          <c:order val="0"/>
          <c:tx>
            <c:v>Electric Load Duration</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xVal>
            <c:numRef>
              <c:f>'Electric Load Profile'!$F$4:$F$17</c:f>
              <c:numCache>
                <c:ptCount val="14"/>
                <c:pt idx="0">
                  <c:v>0</c:v>
                </c:pt>
                <c:pt idx="1">
                  <c:v>744</c:v>
                </c:pt>
                <c:pt idx="2">
                  <c:v>1488</c:v>
                </c:pt>
                <c:pt idx="3">
                  <c:v>2208</c:v>
                </c:pt>
                <c:pt idx="4">
                  <c:v>2928</c:v>
                </c:pt>
                <c:pt idx="5">
                  <c:v>3672</c:v>
                </c:pt>
                <c:pt idx="6">
                  <c:v>4392</c:v>
                </c:pt>
                <c:pt idx="7">
                  <c:v>5136</c:v>
                </c:pt>
                <c:pt idx="8">
                  <c:v>5880</c:v>
                </c:pt>
                <c:pt idx="9">
                  <c:v>6600</c:v>
                </c:pt>
                <c:pt idx="10">
                  <c:v>7272</c:v>
                </c:pt>
                <c:pt idx="11">
                  <c:v>8016</c:v>
                </c:pt>
                <c:pt idx="12">
                  <c:v>8760</c:v>
                </c:pt>
              </c:numCache>
            </c:numRef>
          </c:xVal>
          <c:yVal>
            <c:numRef>
              <c:f>'Electric Load Profile'!$E$4:$E$17</c:f>
              <c:numCache>
                <c:ptCount val="14"/>
                <c:pt idx="0">
                  <c:v>1732.2809139784947</c:v>
                </c:pt>
                <c:pt idx="1">
                  <c:v>1732.2809139784947</c:v>
                </c:pt>
                <c:pt idx="2">
                  <c:v>1731.1478494623657</c:v>
                </c:pt>
                <c:pt idx="3">
                  <c:v>1692.7166666666667</c:v>
                </c:pt>
                <c:pt idx="4">
                  <c:v>1609.1319444444443</c:v>
                </c:pt>
                <c:pt idx="5">
                  <c:v>1532.8413978494623</c:v>
                </c:pt>
                <c:pt idx="6">
                  <c:v>1501.8194444444443</c:v>
                </c:pt>
                <c:pt idx="7">
                  <c:v>1498.239247311828</c:v>
                </c:pt>
                <c:pt idx="8">
                  <c:v>1445.258064516129</c:v>
                </c:pt>
                <c:pt idx="9">
                  <c:v>1443.8805555555555</c:v>
                </c:pt>
                <c:pt idx="10">
                  <c:v>1415.889880952381</c:v>
                </c:pt>
                <c:pt idx="11">
                  <c:v>1412.518817204301</c:v>
                </c:pt>
                <c:pt idx="12">
                  <c:v>1410.2809139784947</c:v>
                </c:pt>
                <c:pt idx="13">
                  <c:v>1410.2809139784947</c:v>
                </c:pt>
              </c:numCache>
            </c:numRef>
          </c:yVal>
          <c:smooth val="0"/>
        </c:ser>
        <c:ser>
          <c:idx val="9"/>
          <c:order val="1"/>
          <c:tx>
            <c:v>Total Avg Thermal Load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0000"/>
              </a:solidFill>
              <a:ln>
                <a:solidFill>
                  <a:srgbClr val="FF0000"/>
                </a:solidFill>
              </a:ln>
            </c:spPr>
          </c:marker>
          <c:xVal>
            <c:numRef>
              <c:f>'Total Thermal Profile'!$E$4:$E$17</c:f>
              <c:numCache>
                <c:ptCount val="14"/>
                <c:pt idx="0">
                  <c:v>0</c:v>
                </c:pt>
                <c:pt idx="1">
                  <c:v>744</c:v>
                </c:pt>
                <c:pt idx="2">
                  <c:v>1416</c:v>
                </c:pt>
                <c:pt idx="3">
                  <c:v>2160</c:v>
                </c:pt>
                <c:pt idx="4">
                  <c:v>2904</c:v>
                </c:pt>
                <c:pt idx="5">
                  <c:v>3624</c:v>
                </c:pt>
                <c:pt idx="6">
                  <c:v>4344</c:v>
                </c:pt>
                <c:pt idx="7">
                  <c:v>5088</c:v>
                </c:pt>
                <c:pt idx="8">
                  <c:v>5832</c:v>
                </c:pt>
                <c:pt idx="9">
                  <c:v>6576</c:v>
                </c:pt>
                <c:pt idx="10">
                  <c:v>7296</c:v>
                </c:pt>
                <c:pt idx="11">
                  <c:v>8040</c:v>
                </c:pt>
                <c:pt idx="12">
                  <c:v>8760</c:v>
                </c:pt>
                <c:pt idx="13">
                  <c:v>8760</c:v>
                </c:pt>
              </c:numCache>
            </c:numRef>
          </c:xVal>
          <c:yVal>
            <c:numRef>
              <c:f>'Total Thermal Profile'!$D$4:$D$17</c:f>
              <c:numCache>
                <c:ptCount val="14"/>
                <c:pt idx="0">
                  <c:v>3151.198019851892</c:v>
                </c:pt>
                <c:pt idx="1">
                  <c:v>3151.198019851892</c:v>
                </c:pt>
                <c:pt idx="2">
                  <c:v>2841.0150980223316</c:v>
                </c:pt>
                <c:pt idx="3">
                  <c:v>2782.0417168677222</c:v>
                </c:pt>
                <c:pt idx="4">
                  <c:v>2249.715477336729</c:v>
                </c:pt>
                <c:pt idx="5">
                  <c:v>1977.0310713231484</c:v>
                </c:pt>
                <c:pt idx="6">
                  <c:v>1591.563475939941</c:v>
                </c:pt>
                <c:pt idx="7">
                  <c:v>1463.3982988413366</c:v>
                </c:pt>
                <c:pt idx="8">
                  <c:v>1411.4598599195485</c:v>
                </c:pt>
                <c:pt idx="9">
                  <c:v>1386.5738790311177</c:v>
                </c:pt>
                <c:pt idx="10">
                  <c:v>1294.4947995346495</c:v>
                </c:pt>
                <c:pt idx="11">
                  <c:v>1240.5932282525905</c:v>
                </c:pt>
                <c:pt idx="12">
                  <c:v>1046.9424786114894</c:v>
                </c:pt>
                <c:pt idx="13">
                  <c:v>1046.9424786114894</c:v>
                </c:pt>
              </c:numCache>
            </c:numRef>
          </c:yVal>
          <c:smooth val="0"/>
        </c:ser>
        <c:ser>
          <c:idx val="1"/>
          <c:order val="2"/>
          <c:tx>
            <c:v>Recommended Generating Capacity</c:v>
          </c:tx>
          <c:spPr>
            <a:ln w="381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950" b="1" i="0" u="none" baseline="0">
                      <a:solidFill>
                        <a:srgbClr val="000080"/>
                      </a:solidFill>
                      <a:latin typeface="Arial"/>
                      <a:ea typeface="Arial"/>
                      <a:cs typeface="Arial"/>
                    </a:defRPr>
                  </a:pPr>
                </a:p>
              </c:txPr>
              <c:numFmt formatCode="#,##0" sourceLinked="0"/>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numFmt formatCode="#,##0" sourceLinked="0"/>
            <c:showLegendKey val="0"/>
            <c:showVal val="1"/>
            <c:showBubbleSize val="0"/>
            <c:showCatName val="0"/>
            <c:showSerName val="0"/>
            <c:showPercent val="0"/>
          </c:dLbls>
          <c:xVal>
            <c:numRef>
              <c:f>'Electric Load Profile'!$F$4:$F$17</c:f>
              <c:numCache>
                <c:ptCount val="14"/>
                <c:pt idx="0">
                  <c:v>0</c:v>
                </c:pt>
                <c:pt idx="1">
                  <c:v>744</c:v>
                </c:pt>
                <c:pt idx="2">
                  <c:v>1488</c:v>
                </c:pt>
                <c:pt idx="3">
                  <c:v>2208</c:v>
                </c:pt>
                <c:pt idx="4">
                  <c:v>2928</c:v>
                </c:pt>
                <c:pt idx="5">
                  <c:v>3672</c:v>
                </c:pt>
                <c:pt idx="6">
                  <c:v>4392</c:v>
                </c:pt>
                <c:pt idx="7">
                  <c:v>5136</c:v>
                </c:pt>
                <c:pt idx="8">
                  <c:v>5880</c:v>
                </c:pt>
                <c:pt idx="9">
                  <c:v>6600</c:v>
                </c:pt>
                <c:pt idx="10">
                  <c:v>7272</c:v>
                </c:pt>
                <c:pt idx="11">
                  <c:v>8016</c:v>
                </c:pt>
                <c:pt idx="12">
                  <c:v>8760</c:v>
                </c:pt>
              </c:numCache>
            </c:numRef>
          </c:xVal>
          <c:yVal>
            <c:numRef>
              <c:f>'Electric Load Profile'!$I$4:$I$17</c:f>
              <c:numCache>
                <c:ptCount val="14"/>
                <c:pt idx="0">
                  <c:v>1192.5</c:v>
                </c:pt>
                <c:pt idx="1">
                  <c:v>1192.5</c:v>
                </c:pt>
                <c:pt idx="2">
                  <c:v>1192.5</c:v>
                </c:pt>
                <c:pt idx="3">
                  <c:v>1192.5</c:v>
                </c:pt>
                <c:pt idx="4">
                  <c:v>1192.5</c:v>
                </c:pt>
                <c:pt idx="5">
                  <c:v>1192.5</c:v>
                </c:pt>
                <c:pt idx="6">
                  <c:v>1192.5</c:v>
                </c:pt>
                <c:pt idx="7">
                  <c:v>1192.5</c:v>
                </c:pt>
                <c:pt idx="8">
                  <c:v>1192.5</c:v>
                </c:pt>
                <c:pt idx="9">
                  <c:v>1192.5</c:v>
                </c:pt>
                <c:pt idx="10">
                  <c:v>1192.5</c:v>
                </c:pt>
                <c:pt idx="11">
                  <c:v>1192.5</c:v>
                </c:pt>
                <c:pt idx="12">
                  <c:v>1192.5</c:v>
                </c:pt>
                <c:pt idx="13">
                  <c:v>1192.5</c:v>
                </c:pt>
              </c:numCache>
            </c:numRef>
          </c:yVal>
          <c:smooth val="0"/>
        </c:ser>
        <c:axId val="21537138"/>
        <c:axId val="59616515"/>
      </c:scatterChart>
      <c:valAx>
        <c:axId val="21537138"/>
        <c:scaling>
          <c:orientation val="minMax"/>
          <c:max val="9000"/>
        </c:scaling>
        <c:axPos val="b"/>
        <c:title>
          <c:tx>
            <c:rich>
              <a:bodyPr vert="horz" rot="0" anchor="ctr"/>
              <a:lstStyle/>
              <a:p>
                <a:pPr algn="ctr">
                  <a:defRPr/>
                </a:pPr>
                <a:r>
                  <a:rPr lang="en-US" cap="none" sz="950" b="1" i="0" u="none" baseline="0">
                    <a:latin typeface="Arial"/>
                    <a:ea typeface="Arial"/>
                    <a:cs typeface="Arial"/>
                  </a:rPr>
                  <a:t>Hours</a:t>
                </a:r>
              </a:p>
            </c:rich>
          </c:tx>
          <c:layout>
            <c:manualLayout>
              <c:xMode val="factor"/>
              <c:yMode val="factor"/>
              <c:x val="0.00275"/>
              <c:y val="0"/>
            </c:manualLayout>
          </c:layout>
          <c:overlay val="0"/>
          <c:spPr>
            <a:noFill/>
            <a:ln>
              <a:noFill/>
            </a:ln>
          </c:spPr>
        </c:title>
        <c:delete val="0"/>
        <c:numFmt formatCode="General" sourceLinked="1"/>
        <c:majorTickMark val="out"/>
        <c:minorTickMark val="none"/>
        <c:tickLblPos val="nextTo"/>
        <c:crossAx val="59616515"/>
        <c:crosses val="autoZero"/>
        <c:crossBetween val="midCat"/>
        <c:dispUnits/>
      </c:valAx>
      <c:valAx>
        <c:axId val="59616515"/>
        <c:scaling>
          <c:orientation val="minMax"/>
        </c:scaling>
        <c:axPos val="l"/>
        <c:title>
          <c:tx>
            <c:rich>
              <a:bodyPr vert="horz" rot="-5400000" anchor="ctr"/>
              <a:lstStyle/>
              <a:p>
                <a:pPr algn="ctr">
                  <a:defRPr/>
                </a:pPr>
                <a:r>
                  <a:rPr lang="en-US" cap="none" sz="950" b="1" i="0" u="none" baseline="0">
                    <a:latin typeface="Arial"/>
                    <a:ea typeface="Arial"/>
                    <a:cs typeface="Arial"/>
                  </a:rPr>
                  <a:t>kW</a:t>
                </a:r>
              </a:p>
            </c:rich>
          </c:tx>
          <c:layout/>
          <c:overlay val="0"/>
          <c:spPr>
            <a:noFill/>
            <a:ln>
              <a:noFill/>
            </a:ln>
          </c:spPr>
        </c:title>
        <c:majorGridlines/>
        <c:delete val="0"/>
        <c:numFmt formatCode="General" sourceLinked="1"/>
        <c:majorTickMark val="out"/>
        <c:minorTickMark val="none"/>
        <c:tickLblPos val="nextTo"/>
        <c:crossAx val="21537138"/>
        <c:crosses val="autoZero"/>
        <c:crossBetween val="midCat"/>
        <c:dispUnits/>
      </c:valAx>
      <c:spPr>
        <a:solidFill>
          <a:srgbClr val="E3E3E3"/>
        </a:solidFill>
        <a:ln w="12700">
          <a:solidFill>
            <a:srgbClr val="FFFFFF"/>
          </a:solidFill>
        </a:ln>
      </c:spPr>
    </c:plotArea>
    <c:legend>
      <c:legendPos val="r"/>
      <c:layout>
        <c:manualLayout>
          <c:xMode val="edge"/>
          <c:yMode val="edge"/>
          <c:x val="0.11975"/>
          <c:y val="0.89275"/>
          <c:w val="0.79975"/>
          <c:h val="0.107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CHP Electric</a:t>
            </a:r>
          </a:p>
        </c:rich>
      </c:tx>
      <c:layout/>
      <c:spPr>
        <a:noFill/>
        <a:ln>
          <a:noFill/>
        </a:ln>
      </c:spPr>
    </c:title>
    <c:plotArea>
      <c:layout/>
      <c:barChart>
        <c:barDir val="col"/>
        <c:grouping val="clustered"/>
        <c:varyColors val="0"/>
        <c:ser>
          <c:idx val="0"/>
          <c:order val="0"/>
          <c:tx>
            <c:v>Electric Generated</c:v>
          </c:tx>
          <c:invertIfNegative val="0"/>
          <c:extLst>
            <c:ext xmlns:c14="http://schemas.microsoft.com/office/drawing/2007/8/2/chart" uri="{6F2FDCE9-48DA-4B69-8628-5D25D57E5C99}">
              <c14:invertSolidFillFmt>
                <c14:spPr>
                  <a:solidFill>
                    <a:srgbClr val="000000"/>
                  </a:solidFill>
                </c14:spPr>
              </c14:invertSolidFillFmt>
            </c:ext>
          </c:extLst>
          <c:cat>
            <c:strRef>
              <c:f>'Generation Capability'!$A$5:$A$16</c:f>
              <c:strCache>
                <c:ptCount val="12"/>
                <c:pt idx="0">
                  <c:v>36892</c:v>
                </c:pt>
                <c:pt idx="1">
                  <c:v>36923</c:v>
                </c:pt>
                <c:pt idx="2">
                  <c:v>36951</c:v>
                </c:pt>
                <c:pt idx="3">
                  <c:v>37012</c:v>
                </c:pt>
                <c:pt idx="4">
                  <c:v>37073</c:v>
                </c:pt>
                <c:pt idx="5">
                  <c:v>37104</c:v>
                </c:pt>
                <c:pt idx="6">
                  <c:v>37226</c:v>
                </c:pt>
                <c:pt idx="7">
                  <c:v>37165</c:v>
                </c:pt>
                <c:pt idx="8">
                  <c:v>36982</c:v>
                </c:pt>
                <c:pt idx="9">
                  <c:v>37043</c:v>
                </c:pt>
                <c:pt idx="10">
                  <c:v>37135</c:v>
                </c:pt>
                <c:pt idx="11">
                  <c:v>37196</c:v>
                </c:pt>
              </c:strCache>
            </c:strRef>
          </c:cat>
          <c:val>
            <c:numRef>
              <c:f>'Generation Capability'!$C$5:$C$16</c:f>
              <c:numCache>
                <c:ptCount val="12"/>
                <c:pt idx="0">
                  <c:v>407671.23287671234</c:v>
                </c:pt>
                <c:pt idx="1">
                  <c:v>368219.1780821918</c:v>
                </c:pt>
                <c:pt idx="2">
                  <c:v>407671.23287671234</c:v>
                </c:pt>
                <c:pt idx="3">
                  <c:v>407671.23287671234</c:v>
                </c:pt>
                <c:pt idx="4">
                  <c:v>407671.23287671234</c:v>
                </c:pt>
                <c:pt idx="5">
                  <c:v>407671.23287671234</c:v>
                </c:pt>
                <c:pt idx="6">
                  <c:v>407671.23287671234</c:v>
                </c:pt>
                <c:pt idx="7">
                  <c:v>407671.23287671234</c:v>
                </c:pt>
                <c:pt idx="8">
                  <c:v>394520.5479452055</c:v>
                </c:pt>
                <c:pt idx="9">
                  <c:v>394520.5479452055</c:v>
                </c:pt>
                <c:pt idx="10">
                  <c:v>394520.5479452055</c:v>
                </c:pt>
                <c:pt idx="11">
                  <c:v>394520.5479452055</c:v>
                </c:pt>
              </c:numCache>
            </c:numRef>
          </c:val>
        </c:ser>
        <c:ser>
          <c:idx val="1"/>
          <c:order val="1"/>
          <c:tx>
            <c:v>Electric Needed</c:v>
          </c:tx>
          <c:invertIfNegative val="0"/>
          <c:extLst>
            <c:ext xmlns:c14="http://schemas.microsoft.com/office/drawing/2007/8/2/chart" uri="{6F2FDCE9-48DA-4B69-8628-5D25D57E5C99}">
              <c14:invertSolidFillFmt>
                <c14:spPr>
                  <a:solidFill>
                    <a:srgbClr val="000000"/>
                  </a:solidFill>
                </c14:spPr>
              </c14:invertSolidFillFmt>
            </c:ext>
          </c:extLst>
          <c:val>
            <c:numRef>
              <c:f>'Generation Capability'!$E$5:$E$16</c:f>
            </c:numRef>
          </c:val>
        </c:ser>
        <c:ser>
          <c:idx val="2"/>
          <c:order val="2"/>
          <c:tx>
            <c:v>Electric Sold</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Ref>
              <c:f>'Generation Capability'!$F$5:$F$16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6786588"/>
        <c:axId val="64208381"/>
      </c:barChart>
      <c:dateAx>
        <c:axId val="66786588"/>
        <c:scaling>
          <c:orientation val="minMax"/>
        </c:scaling>
        <c:axPos val="b"/>
        <c:delete val="0"/>
        <c:numFmt formatCode="General" sourceLinked="1"/>
        <c:majorTickMark val="out"/>
        <c:minorTickMark val="none"/>
        <c:tickLblPos val="nextTo"/>
        <c:crossAx val="64208381"/>
        <c:crosses val="autoZero"/>
        <c:auto val="0"/>
        <c:noMultiLvlLbl val="0"/>
      </c:dateAx>
      <c:valAx>
        <c:axId val="64208381"/>
        <c:scaling>
          <c:orientation val="minMax"/>
        </c:scaling>
        <c:axPos val="l"/>
        <c:title>
          <c:tx>
            <c:rich>
              <a:bodyPr vert="horz" rot="-5400000" anchor="ctr"/>
              <a:lstStyle/>
              <a:p>
                <a:pPr algn="ctr">
                  <a:defRPr/>
                </a:pPr>
                <a:r>
                  <a:rPr lang="en-US" cap="none" sz="950" b="1" i="0" u="none" baseline="0">
                    <a:latin typeface="Arial"/>
                    <a:ea typeface="Arial"/>
                    <a:cs typeface="Arial"/>
                  </a:rPr>
                  <a:t>kWe</a:t>
                </a:r>
              </a:p>
            </c:rich>
          </c:tx>
          <c:layout/>
          <c:overlay val="0"/>
          <c:spPr>
            <a:noFill/>
            <a:ln>
              <a:noFill/>
            </a:ln>
          </c:spPr>
        </c:title>
        <c:majorGridlines/>
        <c:delete val="0"/>
        <c:numFmt formatCode="General" sourceLinked="1"/>
        <c:majorTickMark val="out"/>
        <c:minorTickMark val="none"/>
        <c:tickLblPos val="nextTo"/>
        <c:crossAx val="66786588"/>
        <c:crossesAt val="1"/>
        <c:crossBetween val="between"/>
        <c:dispUnits/>
      </c:valAx>
      <c:spPr>
        <a:solidFill>
          <a:srgbClr val="E3E3E3"/>
        </a:solidFill>
        <a:ln w="12700">
          <a:solidFill>
            <a:srgbClr val="E3E3E3"/>
          </a:solidFill>
        </a:ln>
      </c:spPr>
    </c:plotArea>
    <c:legend>
      <c:legendPos val="b"/>
      <c:layout/>
      <c:overlay val="0"/>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Chart4"/>
  <sheetViews>
    <sheetView workbookViewId="0" zoomToFit="1"/>
  </sheetViews>
  <pageMargins left="0.75" right="0.75" top="1" bottom="1" header="0.5" footer="0.5"/>
  <pageSetup horizontalDpi="600" verticalDpi="600" orientation="landscape"/>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ToFit="1"/>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5"/>
  <sheetViews>
    <sheetView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codeName="Chart13"/>
  <sheetViews>
    <sheetView workbookViewId="0" zoomToFit="1"/>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Pr codeName="Chart6"/>
  <sheetViews>
    <sheetView workbookViewId="0" zoomToFit="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Pr codeName="Chart7"/>
  <sheetViews>
    <sheetView workbookViewId="0" zoomToFit="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Pr codeName="Chart14"/>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Site_Data" /><Relationship Id="rId2" Type="http://schemas.openxmlformats.org/officeDocument/2006/relationships/hyperlink" Target="#Equipment!C14" /><Relationship Id="rId3" Type="http://schemas.openxmlformats.org/officeDocument/2006/relationships/hyperlink" Target="#Equipment!C14"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hyperlink" Target="#'Enter Here - Procedure'!H7"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Enter Here - Procedure'!H15" /></Relationships>
</file>

<file path=xl/drawings/_rels/drawing4.xml.rels><?xml version="1.0" encoding="utf-8" standalone="yes"?><Relationships xmlns="http://schemas.openxmlformats.org/package/2006/relationships"><Relationship Id="rId1" Type="http://schemas.openxmlformats.org/officeDocument/2006/relationships/hyperlink" Target="#'Enter Here - Procedure'!H25"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xdr:row>
      <xdr:rowOff>0</xdr:rowOff>
    </xdr:from>
    <xdr:to>
      <xdr:col>10</xdr:col>
      <xdr:colOff>76200</xdr:colOff>
      <xdr:row>10</xdr:row>
      <xdr:rowOff>76200</xdr:rowOff>
    </xdr:to>
    <xdr:grpSp>
      <xdr:nvGrpSpPr>
        <xdr:cNvPr id="1" name="Group 24"/>
        <xdr:cNvGrpSpPr>
          <a:grpSpLocks/>
        </xdr:cNvGrpSpPr>
      </xdr:nvGrpSpPr>
      <xdr:grpSpPr>
        <a:xfrm>
          <a:off x="3781425" y="485775"/>
          <a:ext cx="2390775" cy="1209675"/>
          <a:chOff x="88" y="165"/>
          <a:chExt cx="251" cy="127"/>
        </a:xfrm>
        <a:solidFill>
          <a:srgbClr val="FFFFFF"/>
        </a:solidFill>
      </xdr:grpSpPr>
      <xdr:sp>
        <xdr:nvSpPr>
          <xdr:cNvPr id="2" name="Rectangle 8"/>
          <xdr:cNvSpPr>
            <a:spLocks/>
          </xdr:cNvSpPr>
        </xdr:nvSpPr>
        <xdr:spPr>
          <a:xfrm>
            <a:off x="88" y="165"/>
            <a:ext cx="251" cy="127"/>
          </a:xfrm>
          <a:prstGeom prst="rect">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314325</xdr:colOff>
      <xdr:row>4</xdr:row>
      <xdr:rowOff>85725</xdr:rowOff>
    </xdr:from>
    <xdr:to>
      <xdr:col>5</xdr:col>
      <xdr:colOff>114300</xdr:colOff>
      <xdr:row>8</xdr:row>
      <xdr:rowOff>123825</xdr:rowOff>
    </xdr:to>
    <xdr:grpSp>
      <xdr:nvGrpSpPr>
        <xdr:cNvPr id="4" name="Group 23"/>
        <xdr:cNvGrpSpPr>
          <a:grpSpLocks/>
        </xdr:cNvGrpSpPr>
      </xdr:nvGrpSpPr>
      <xdr:grpSpPr>
        <a:xfrm>
          <a:off x="923925" y="733425"/>
          <a:ext cx="2238375" cy="685800"/>
          <a:chOff x="95" y="55"/>
          <a:chExt cx="235" cy="72"/>
        </a:xfrm>
        <a:solidFill>
          <a:srgbClr val="FFFFFF"/>
        </a:solidFill>
      </xdr:grpSpPr>
      <xdr:sp>
        <xdr:nvSpPr>
          <xdr:cNvPr id="5" name="Rectangle 6"/>
          <xdr:cNvSpPr>
            <a:spLocks/>
          </xdr:cNvSpPr>
        </xdr:nvSpPr>
        <xdr:spPr>
          <a:xfrm>
            <a:off x="95" y="55"/>
            <a:ext cx="235" cy="72"/>
          </a:xfrm>
          <a:prstGeom prst="rect">
            <a:avLst/>
          </a:prstGeom>
          <a:solidFill>
            <a:srgbClr val="FFFF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104775</xdr:colOff>
      <xdr:row>13</xdr:row>
      <xdr:rowOff>9525</xdr:rowOff>
    </xdr:from>
    <xdr:to>
      <xdr:col>10</xdr:col>
      <xdr:colOff>57150</xdr:colOff>
      <xdr:row>20</xdr:row>
      <xdr:rowOff>85725</xdr:rowOff>
    </xdr:to>
    <xdr:grpSp>
      <xdr:nvGrpSpPr>
        <xdr:cNvPr id="7" name="Group 32"/>
        <xdr:cNvGrpSpPr>
          <a:grpSpLocks/>
        </xdr:cNvGrpSpPr>
      </xdr:nvGrpSpPr>
      <xdr:grpSpPr>
        <a:xfrm>
          <a:off x="3762375" y="2114550"/>
          <a:ext cx="2390775" cy="1209675"/>
          <a:chOff x="395" y="222"/>
          <a:chExt cx="251" cy="127"/>
        </a:xfrm>
        <a:solidFill>
          <a:srgbClr val="FFFFFF"/>
        </a:solidFill>
      </xdr:grpSpPr>
      <xdr:sp>
        <xdr:nvSpPr>
          <xdr:cNvPr id="8" name="Rectangle 20">
            <a:hlinkClick r:id="rId2"/>
          </xdr:cNvPr>
          <xdr:cNvSpPr>
            <a:spLocks/>
          </xdr:cNvSpPr>
        </xdr:nvSpPr>
        <xdr:spPr>
          <a:xfrm>
            <a:off x="395" y="222"/>
            <a:ext cx="251" cy="127"/>
          </a:xfrm>
          <a:prstGeom prst="rect">
            <a:avLst/>
          </a:prstGeom>
          <a:solidFill>
            <a:srgbClr val="3366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123825</xdr:colOff>
      <xdr:row>6</xdr:row>
      <xdr:rowOff>104775</xdr:rowOff>
    </xdr:from>
    <xdr:to>
      <xdr:col>6</xdr:col>
      <xdr:colOff>114300</xdr:colOff>
      <xdr:row>6</xdr:row>
      <xdr:rowOff>104775</xdr:rowOff>
    </xdr:to>
    <xdr:sp>
      <xdr:nvSpPr>
        <xdr:cNvPr id="10" name="Line 29"/>
        <xdr:cNvSpPr>
          <a:spLocks/>
        </xdr:cNvSpPr>
      </xdr:nvSpPr>
      <xdr:spPr>
        <a:xfrm>
          <a:off x="3171825" y="1076325"/>
          <a:ext cx="600075" cy="0"/>
        </a:xfrm>
        <a:prstGeom prst="line">
          <a:avLst/>
        </a:prstGeom>
        <a:noFill/>
        <a:ln w="63500"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76200</xdr:rowOff>
    </xdr:from>
    <xdr:to>
      <xdr:col>8</xdr:col>
      <xdr:colOff>0</xdr:colOff>
      <xdr:row>13</xdr:row>
      <xdr:rowOff>19050</xdr:rowOff>
    </xdr:to>
    <xdr:sp>
      <xdr:nvSpPr>
        <xdr:cNvPr id="11" name="Line 30"/>
        <xdr:cNvSpPr>
          <a:spLocks/>
        </xdr:cNvSpPr>
      </xdr:nvSpPr>
      <xdr:spPr>
        <a:xfrm flipH="1">
          <a:off x="4876800" y="1695450"/>
          <a:ext cx="0" cy="428625"/>
        </a:xfrm>
        <a:prstGeom prst="line">
          <a:avLst/>
        </a:prstGeom>
        <a:noFill/>
        <a:ln w="63500"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20</xdr:row>
      <xdr:rowOff>85725</xdr:rowOff>
    </xdr:from>
    <xdr:to>
      <xdr:col>8</xdr:col>
      <xdr:colOff>9525</xdr:colOff>
      <xdr:row>23</xdr:row>
      <xdr:rowOff>28575</xdr:rowOff>
    </xdr:to>
    <xdr:sp>
      <xdr:nvSpPr>
        <xdr:cNvPr id="12" name="Line 31"/>
        <xdr:cNvSpPr>
          <a:spLocks/>
        </xdr:cNvSpPr>
      </xdr:nvSpPr>
      <xdr:spPr>
        <a:xfrm flipH="1">
          <a:off x="4886325" y="3324225"/>
          <a:ext cx="0" cy="428625"/>
        </a:xfrm>
        <a:prstGeom prst="line">
          <a:avLst/>
        </a:prstGeom>
        <a:noFill/>
        <a:ln w="63500"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23</xdr:row>
      <xdr:rowOff>28575</xdr:rowOff>
    </xdr:from>
    <xdr:to>
      <xdr:col>10</xdr:col>
      <xdr:colOff>95250</xdr:colOff>
      <xdr:row>31</xdr:row>
      <xdr:rowOff>114300</xdr:rowOff>
    </xdr:to>
    <xdr:grpSp>
      <xdr:nvGrpSpPr>
        <xdr:cNvPr id="13" name="Group 36"/>
        <xdr:cNvGrpSpPr>
          <a:grpSpLocks/>
        </xdr:cNvGrpSpPr>
      </xdr:nvGrpSpPr>
      <xdr:grpSpPr>
        <a:xfrm>
          <a:off x="3781425" y="3752850"/>
          <a:ext cx="2409825" cy="1381125"/>
          <a:chOff x="397" y="394"/>
          <a:chExt cx="253" cy="145"/>
        </a:xfrm>
        <a:solidFill>
          <a:srgbClr val="FFFFFF"/>
        </a:solidFill>
      </xdr:grpSpPr>
      <xdr:sp>
        <xdr:nvSpPr>
          <xdr:cNvPr id="14" name="Rectangle 34"/>
          <xdr:cNvSpPr>
            <a:spLocks/>
          </xdr:cNvSpPr>
        </xdr:nvSpPr>
        <xdr:spPr>
          <a:xfrm>
            <a:off x="397" y="394"/>
            <a:ext cx="253" cy="145"/>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4981575"/>
    <xdr:graphicFrame>
      <xdr:nvGraphicFramePr>
        <xdr:cNvPr id="1" name="Shape 1025"/>
        <xdr:cNvGraphicFramePr/>
      </xdr:nvGraphicFramePr>
      <xdr:xfrm>
        <a:off x="0" y="0"/>
        <a:ext cx="9563100" cy="49815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4981575"/>
    <xdr:graphicFrame>
      <xdr:nvGraphicFramePr>
        <xdr:cNvPr id="1" name="Shape 1025"/>
        <xdr:cNvGraphicFramePr/>
      </xdr:nvGraphicFramePr>
      <xdr:xfrm>
        <a:off x="0" y="0"/>
        <a:ext cx="9563100" cy="49815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4981575"/>
    <xdr:graphicFrame>
      <xdr:nvGraphicFramePr>
        <xdr:cNvPr id="1" name="Shape 1025"/>
        <xdr:cNvGraphicFramePr/>
      </xdr:nvGraphicFramePr>
      <xdr:xfrm>
        <a:off x="0" y="0"/>
        <a:ext cx="9563100" cy="49815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4981575"/>
    <xdr:graphicFrame>
      <xdr:nvGraphicFramePr>
        <xdr:cNvPr id="1" name="Shape 1025"/>
        <xdr:cNvGraphicFramePr/>
      </xdr:nvGraphicFramePr>
      <xdr:xfrm>
        <a:off x="0" y="0"/>
        <a:ext cx="9563100" cy="49815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13</xdr:row>
      <xdr:rowOff>123825</xdr:rowOff>
    </xdr:from>
    <xdr:to>
      <xdr:col>12</xdr:col>
      <xdr:colOff>57150</xdr:colOff>
      <xdr:row>21</xdr:row>
      <xdr:rowOff>123825</xdr:rowOff>
    </xdr:to>
    <xdr:sp>
      <xdr:nvSpPr>
        <xdr:cNvPr id="1" name="AutoShape 1"/>
        <xdr:cNvSpPr>
          <a:spLocks/>
        </xdr:cNvSpPr>
      </xdr:nvSpPr>
      <xdr:spPr>
        <a:xfrm>
          <a:off x="514350" y="2228850"/>
          <a:ext cx="6858000" cy="1295400"/>
        </a:xfrm>
        <a:prstGeom prst="rect"/>
        <a:noFill/>
      </xdr:spPr>
      <xdr:txBody>
        <a:bodyPr fromWordArt="1" wrap="none">
          <a:prstTxWarp prst="textPlain"/>
        </a:bodyPr>
        <a:p>
          <a:pPr algn="ctr"/>
          <a:r>
            <a:rPr sz="3600" kern="10" spc="0">
              <a:ln w="19050" cmpd="sng">
                <a:solidFill>
                  <a:srgbClr val="FF0000"/>
                </a:solidFill>
                <a:headEnd type="none"/>
                <a:tailEnd type="none"/>
              </a:ln>
              <a:solidFill>
                <a:srgbClr val="000080"/>
              </a:solidFill>
              <a:latin typeface="Arial Black"/>
              <a:cs typeface="Arial Black"/>
            </a:rPr>
            <a:t>STOP!
ONLY SUPPORTING
 INFORMATION FOLLOWS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14</xdr:row>
      <xdr:rowOff>142875</xdr:rowOff>
    </xdr:from>
    <xdr:to>
      <xdr:col>9</xdr:col>
      <xdr:colOff>466725</xdr:colOff>
      <xdr:row>18</xdr:row>
      <xdr:rowOff>142875</xdr:rowOff>
    </xdr:to>
    <xdr:sp>
      <xdr:nvSpPr>
        <xdr:cNvPr id="1" name="AutoShape 1"/>
        <xdr:cNvSpPr>
          <a:spLocks/>
        </xdr:cNvSpPr>
      </xdr:nvSpPr>
      <xdr:spPr>
        <a:xfrm>
          <a:off x="3381375" y="2409825"/>
          <a:ext cx="2571750" cy="6477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Arial Black"/>
              <a:cs typeface="Arial Black"/>
            </a:rPr>
            <a:t>BASELINE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14</xdr:row>
      <xdr:rowOff>142875</xdr:rowOff>
    </xdr:from>
    <xdr:to>
      <xdr:col>8</xdr:col>
      <xdr:colOff>323850</xdr:colOff>
      <xdr:row>18</xdr:row>
      <xdr:rowOff>142875</xdr:rowOff>
    </xdr:to>
    <xdr:sp>
      <xdr:nvSpPr>
        <xdr:cNvPr id="1" name="AutoShape 1"/>
        <xdr:cNvSpPr>
          <a:spLocks/>
        </xdr:cNvSpPr>
      </xdr:nvSpPr>
      <xdr:spPr>
        <a:xfrm>
          <a:off x="4133850" y="2409825"/>
          <a:ext cx="1066800" cy="6477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Arial Black"/>
              <a:cs typeface="Arial Black"/>
            </a:rPr>
            <a:t>CHP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142875</xdr:rowOff>
    </xdr:from>
    <xdr:to>
      <xdr:col>5</xdr:col>
      <xdr:colOff>57150</xdr:colOff>
      <xdr:row>3</xdr:row>
      <xdr:rowOff>28575</xdr:rowOff>
    </xdr:to>
    <xdr:sp>
      <xdr:nvSpPr>
        <xdr:cNvPr id="1" name="AutoShape 23"/>
        <xdr:cNvSpPr>
          <a:spLocks/>
        </xdr:cNvSpPr>
      </xdr:nvSpPr>
      <xdr:spPr>
        <a:xfrm>
          <a:off x="333375" y="142875"/>
          <a:ext cx="3019425" cy="314325"/>
        </a:xfrm>
        <a:prstGeom prst="rect"/>
        <a:noFill/>
      </xdr:spPr>
      <xdr:txBody>
        <a:bodyPr fromWordArt="1" wrap="none">
          <a:prstTxWarp prst="textPlain"/>
        </a:bodyPr>
        <a:p>
          <a:pPr algn="ctr"/>
          <a:r>
            <a:rPr sz="2000" kern="10" spc="0">
              <a:ln w="9525" cmpd="sng">
                <a:solidFill>
                  <a:srgbClr val="0000FF"/>
                </a:solidFill>
                <a:headEnd type="none"/>
                <a:tailEnd type="none"/>
              </a:ln>
              <a:solidFill>
                <a:srgbClr val="FF0000"/>
              </a:solidFill>
              <a:latin typeface="Arial Black"/>
              <a:cs typeface="Arial Black"/>
            </a:rPr>
            <a:t>Step 1: Enter Site Data</a:t>
          </a:r>
        </a:p>
      </xdr:txBody>
    </xdr:sp>
    <xdr:clientData/>
  </xdr:twoCellAnchor>
  <xdr:twoCellAnchor editAs="absolute">
    <xdr:from>
      <xdr:col>5</xdr:col>
      <xdr:colOff>409575</xdr:colOff>
      <xdr:row>0</xdr:row>
      <xdr:rowOff>76200</xdr:rowOff>
    </xdr:from>
    <xdr:to>
      <xdr:col>12</xdr:col>
      <xdr:colOff>95250</xdr:colOff>
      <xdr:row>3</xdr:row>
      <xdr:rowOff>9525</xdr:rowOff>
    </xdr:to>
    <xdr:sp>
      <xdr:nvSpPr>
        <xdr:cNvPr id="2" name="AutoShape 24"/>
        <xdr:cNvSpPr>
          <a:spLocks/>
        </xdr:cNvSpPr>
      </xdr:nvSpPr>
      <xdr:spPr>
        <a:xfrm>
          <a:off x="3705225" y="76200"/>
          <a:ext cx="4486275" cy="361950"/>
        </a:xfrm>
        <a:prstGeom prst="rect"/>
        <a:noFill/>
      </xdr:spPr>
      <xdr:txBody>
        <a:bodyPr fromWordArt="1" wrap="none">
          <a:prstTxWarp prst="textPlain"/>
        </a:bodyPr>
        <a:p>
          <a:pPr algn="ctr"/>
          <a:r>
            <a:rPr sz="1600" b="1" kern="10" spc="0">
              <a:ln w="9525" cmpd="sng">
                <a:solidFill>
                  <a:srgbClr val="000000"/>
                </a:solidFill>
                <a:headEnd type="none"/>
                <a:tailEnd type="none"/>
              </a:ln>
              <a:solidFill>
                <a:srgbClr val="FFFF00"/>
              </a:solidFill>
              <a:latin typeface="Arial Black"/>
              <a:cs typeface="Arial Black"/>
            </a:rPr>
            <a:t>Enter Information in Yellow Fields!</a:t>
          </a:r>
        </a:p>
      </xdr:txBody>
    </xdr:sp>
    <xdr:clientData/>
  </xdr:twoCellAnchor>
  <xdr:twoCellAnchor>
    <xdr:from>
      <xdr:col>5</xdr:col>
      <xdr:colOff>0</xdr:colOff>
      <xdr:row>28</xdr:row>
      <xdr:rowOff>19050</xdr:rowOff>
    </xdr:from>
    <xdr:to>
      <xdr:col>10</xdr:col>
      <xdr:colOff>161925</xdr:colOff>
      <xdr:row>32</xdr:row>
      <xdr:rowOff>28575</xdr:rowOff>
    </xdr:to>
    <xdr:grpSp>
      <xdr:nvGrpSpPr>
        <xdr:cNvPr id="3" name="Group 46">
          <a:hlinkClick r:id="rId1"/>
        </xdr:cNvPr>
        <xdr:cNvGrpSpPr>
          <a:grpSpLocks/>
        </xdr:cNvGrpSpPr>
      </xdr:nvGrpSpPr>
      <xdr:grpSpPr>
        <a:xfrm>
          <a:off x="3295650" y="4238625"/>
          <a:ext cx="3667125" cy="600075"/>
          <a:chOff x="346" y="445"/>
          <a:chExt cx="385" cy="63"/>
        </a:xfrm>
        <a:solidFill>
          <a:srgbClr val="FFFFFF"/>
        </a:solidFill>
      </xdr:grpSpPr>
      <xdr:sp>
        <xdr:nvSpPr>
          <xdr:cNvPr id="4" name="Rectangle 43"/>
          <xdr:cNvSpPr>
            <a:spLocks/>
          </xdr:cNvSpPr>
        </xdr:nvSpPr>
        <xdr:spPr>
          <a:xfrm>
            <a:off x="346" y="445"/>
            <a:ext cx="385" cy="63"/>
          </a:xfrm>
          <a:prstGeom prst="rect">
            <a:avLst/>
          </a:prstGeom>
          <a:solidFill>
            <a:srgbClr val="3366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152400</xdr:rowOff>
    </xdr:from>
    <xdr:to>
      <xdr:col>7</xdr:col>
      <xdr:colOff>514350</xdr:colOff>
      <xdr:row>25</xdr:row>
      <xdr:rowOff>133350</xdr:rowOff>
    </xdr:to>
    <xdr:graphicFrame>
      <xdr:nvGraphicFramePr>
        <xdr:cNvPr id="1" name="Chart 1"/>
        <xdr:cNvGraphicFramePr/>
      </xdr:nvGraphicFramePr>
      <xdr:xfrm>
        <a:off x="0" y="590550"/>
        <a:ext cx="5743575" cy="37909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26</xdr:row>
      <xdr:rowOff>142875</xdr:rowOff>
    </xdr:from>
    <xdr:to>
      <xdr:col>7</xdr:col>
      <xdr:colOff>571500</xdr:colOff>
      <xdr:row>48</xdr:row>
      <xdr:rowOff>57150</xdr:rowOff>
    </xdr:to>
    <xdr:graphicFrame>
      <xdr:nvGraphicFramePr>
        <xdr:cNvPr id="2" name="Chart 2"/>
        <xdr:cNvGraphicFramePr/>
      </xdr:nvGraphicFramePr>
      <xdr:xfrm>
        <a:off x="19050" y="4552950"/>
        <a:ext cx="5781675" cy="34766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23</xdr:row>
      <xdr:rowOff>104775</xdr:rowOff>
    </xdr:from>
    <xdr:to>
      <xdr:col>13</xdr:col>
      <xdr:colOff>371475</xdr:colOff>
      <xdr:row>26</xdr:row>
      <xdr:rowOff>142875</xdr:rowOff>
    </xdr:to>
    <xdr:grpSp>
      <xdr:nvGrpSpPr>
        <xdr:cNvPr id="3" name="Group 5">
          <a:hlinkClick r:id="rId3"/>
        </xdr:cNvPr>
        <xdr:cNvGrpSpPr>
          <a:grpSpLocks/>
        </xdr:cNvGrpSpPr>
      </xdr:nvGrpSpPr>
      <xdr:grpSpPr>
        <a:xfrm>
          <a:off x="6305550" y="4029075"/>
          <a:ext cx="3019425" cy="523875"/>
          <a:chOff x="662" y="423"/>
          <a:chExt cx="317" cy="55"/>
        </a:xfrm>
        <a:solidFill>
          <a:srgbClr val="FFFFFF"/>
        </a:solidFill>
      </xdr:grpSpPr>
      <xdr:sp>
        <xdr:nvSpPr>
          <xdr:cNvPr id="4" name="Rectangle 4"/>
          <xdr:cNvSpPr>
            <a:spLocks/>
          </xdr:cNvSpPr>
        </xdr:nvSpPr>
        <xdr:spPr>
          <a:xfrm>
            <a:off x="662" y="423"/>
            <a:ext cx="317" cy="55"/>
          </a:xfrm>
          <a:prstGeom prst="rect">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47625</xdr:rowOff>
    </xdr:from>
    <xdr:to>
      <xdr:col>7</xdr:col>
      <xdr:colOff>247650</xdr:colOff>
      <xdr:row>3</xdr:row>
      <xdr:rowOff>9525</xdr:rowOff>
    </xdr:to>
    <xdr:sp>
      <xdr:nvSpPr>
        <xdr:cNvPr id="1" name="AutoShape 52"/>
        <xdr:cNvSpPr>
          <a:spLocks/>
        </xdr:cNvSpPr>
      </xdr:nvSpPr>
      <xdr:spPr>
        <a:xfrm>
          <a:off x="104775" y="209550"/>
          <a:ext cx="6543675" cy="285750"/>
        </a:xfrm>
        <a:prstGeom prst="rect"/>
        <a:noFill/>
      </xdr:spPr>
      <xdr:txBody>
        <a:bodyPr fromWordArt="1" wrap="none">
          <a:prstTxWarp prst="textPlain"/>
        </a:bodyPr>
        <a:p>
          <a:pPr algn="ctr"/>
          <a:r>
            <a:rPr sz="1600" kern="10" spc="0">
              <a:ln w="9525" cmpd="sng">
                <a:solidFill>
                  <a:srgbClr val="0000FF"/>
                </a:solidFill>
                <a:headEnd type="none"/>
                <a:tailEnd type="none"/>
              </a:ln>
              <a:solidFill>
                <a:srgbClr val="FF0000"/>
              </a:solidFill>
              <a:latin typeface="Arial Black"/>
              <a:cs typeface="Arial Black"/>
            </a:rPr>
            <a:t>Step 3: Enter CHP Equipment Info</a:t>
          </a:r>
        </a:p>
      </xdr:txBody>
    </xdr:sp>
    <xdr:clientData/>
  </xdr:twoCellAnchor>
  <xdr:twoCellAnchor>
    <xdr:from>
      <xdr:col>5</xdr:col>
      <xdr:colOff>161925</xdr:colOff>
      <xdr:row>39</xdr:row>
      <xdr:rowOff>152400</xdr:rowOff>
    </xdr:from>
    <xdr:to>
      <xdr:col>9</xdr:col>
      <xdr:colOff>314325</xdr:colOff>
      <xdr:row>47</xdr:row>
      <xdr:rowOff>104775</xdr:rowOff>
    </xdr:to>
    <xdr:grpSp>
      <xdr:nvGrpSpPr>
        <xdr:cNvPr id="2" name="Group 79">
          <a:hlinkClick r:id="rId1"/>
        </xdr:cNvPr>
        <xdr:cNvGrpSpPr>
          <a:grpSpLocks/>
        </xdr:cNvGrpSpPr>
      </xdr:nvGrpSpPr>
      <xdr:grpSpPr>
        <a:xfrm>
          <a:off x="4629150" y="7372350"/>
          <a:ext cx="3629025" cy="1266825"/>
          <a:chOff x="486" y="792"/>
          <a:chExt cx="381" cy="133"/>
        </a:xfrm>
        <a:solidFill>
          <a:srgbClr val="FFFFFF"/>
        </a:solidFill>
      </xdr:grpSpPr>
      <xdr:sp>
        <xdr:nvSpPr>
          <xdr:cNvPr id="3" name="Rectangle 75"/>
          <xdr:cNvSpPr>
            <a:spLocks/>
          </xdr:cNvSpPr>
        </xdr:nvSpPr>
        <xdr:spPr>
          <a:xfrm>
            <a:off x="486" y="792"/>
            <a:ext cx="381" cy="133"/>
          </a:xfrm>
          <a:prstGeom prst="rect">
            <a:avLst/>
          </a:prstGeom>
          <a:solidFill>
            <a:srgbClr val="3366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5</xdr:col>
      <xdr:colOff>123825</xdr:colOff>
      <xdr:row>4</xdr:row>
      <xdr:rowOff>152400</xdr:rowOff>
    </xdr:from>
    <xdr:to>
      <xdr:col>10</xdr:col>
      <xdr:colOff>409575</xdr:colOff>
      <xdr:row>7</xdr:row>
      <xdr:rowOff>0</xdr:rowOff>
    </xdr:to>
    <xdr:sp>
      <xdr:nvSpPr>
        <xdr:cNvPr id="5" name="AutoShape 82"/>
        <xdr:cNvSpPr>
          <a:spLocks/>
        </xdr:cNvSpPr>
      </xdr:nvSpPr>
      <xdr:spPr>
        <a:xfrm>
          <a:off x="4591050" y="800100"/>
          <a:ext cx="4486275" cy="361950"/>
        </a:xfrm>
        <a:prstGeom prst="rect"/>
        <a:noFill/>
      </xdr:spPr>
      <xdr:txBody>
        <a:bodyPr fromWordArt="1" wrap="none">
          <a:prstTxWarp prst="textPlain"/>
        </a:bodyPr>
        <a:p>
          <a:pPr algn="ctr"/>
          <a:r>
            <a:rPr sz="1600" b="1" kern="10" spc="0">
              <a:ln w="9525" cmpd="sng">
                <a:solidFill>
                  <a:srgbClr val="000000"/>
                </a:solidFill>
                <a:headEnd type="none"/>
                <a:tailEnd type="none"/>
              </a:ln>
              <a:solidFill>
                <a:srgbClr val="FFFF00"/>
              </a:solidFill>
              <a:latin typeface="Arial Black"/>
              <a:cs typeface="Arial Black"/>
            </a:rPr>
            <a:t>Enter Information in Yellow Fields!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66675</xdr:rowOff>
    </xdr:from>
    <xdr:to>
      <xdr:col>13</xdr:col>
      <xdr:colOff>47625</xdr:colOff>
      <xdr:row>18</xdr:row>
      <xdr:rowOff>95250</xdr:rowOff>
    </xdr:to>
    <xdr:graphicFrame>
      <xdr:nvGraphicFramePr>
        <xdr:cNvPr id="1" name="Chart 245"/>
        <xdr:cNvGraphicFramePr/>
      </xdr:nvGraphicFramePr>
      <xdr:xfrm>
        <a:off x="8953500" y="66675"/>
        <a:ext cx="4410075" cy="3552825"/>
      </xdr:xfrm>
      <a:graphic>
        <a:graphicData uri="http://schemas.openxmlformats.org/drawingml/2006/chart">
          <c:chart xmlns:c="http://schemas.openxmlformats.org/drawingml/2006/chart" r:id="rId1"/>
        </a:graphicData>
      </a:graphic>
    </xdr:graphicFrame>
    <xdr:clientData/>
  </xdr:twoCellAnchor>
  <xdr:twoCellAnchor>
    <xdr:from>
      <xdr:col>13</xdr:col>
      <xdr:colOff>47625</xdr:colOff>
      <xdr:row>0</xdr:row>
      <xdr:rowOff>104775</xdr:rowOff>
    </xdr:from>
    <xdr:to>
      <xdr:col>18</xdr:col>
      <xdr:colOff>590550</xdr:colOff>
      <xdr:row>18</xdr:row>
      <xdr:rowOff>123825</xdr:rowOff>
    </xdr:to>
    <xdr:graphicFrame>
      <xdr:nvGraphicFramePr>
        <xdr:cNvPr id="2" name="Chart 246"/>
        <xdr:cNvGraphicFramePr/>
      </xdr:nvGraphicFramePr>
      <xdr:xfrm>
        <a:off x="13363575" y="104775"/>
        <a:ext cx="4381500" cy="3543300"/>
      </xdr:xfrm>
      <a:graphic>
        <a:graphicData uri="http://schemas.openxmlformats.org/drawingml/2006/chart">
          <c:chart xmlns:c="http://schemas.openxmlformats.org/drawingml/2006/chart" r:id="rId2"/>
        </a:graphicData>
      </a:graphic>
    </xdr:graphicFrame>
    <xdr:clientData/>
  </xdr:twoCellAnchor>
  <xdr:twoCellAnchor>
    <xdr:from>
      <xdr:col>12</xdr:col>
      <xdr:colOff>857250</xdr:colOff>
      <xdr:row>18</xdr:row>
      <xdr:rowOff>123825</xdr:rowOff>
    </xdr:from>
    <xdr:to>
      <xdr:col>18</xdr:col>
      <xdr:colOff>542925</xdr:colOff>
      <xdr:row>38</xdr:row>
      <xdr:rowOff>152400</xdr:rowOff>
    </xdr:to>
    <xdr:graphicFrame>
      <xdr:nvGraphicFramePr>
        <xdr:cNvPr id="3" name="Chart 248"/>
        <xdr:cNvGraphicFramePr/>
      </xdr:nvGraphicFramePr>
      <xdr:xfrm>
        <a:off x="13249275" y="3648075"/>
        <a:ext cx="4448175" cy="386715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18</xdr:row>
      <xdr:rowOff>123825</xdr:rowOff>
    </xdr:from>
    <xdr:to>
      <xdr:col>12</xdr:col>
      <xdr:colOff>857250</xdr:colOff>
      <xdr:row>38</xdr:row>
      <xdr:rowOff>180975</xdr:rowOff>
    </xdr:to>
    <xdr:graphicFrame>
      <xdr:nvGraphicFramePr>
        <xdr:cNvPr id="4" name="Chart 249"/>
        <xdr:cNvGraphicFramePr/>
      </xdr:nvGraphicFramePr>
      <xdr:xfrm>
        <a:off x="8953500" y="3648075"/>
        <a:ext cx="4295775" cy="389572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14</xdr:row>
      <xdr:rowOff>142875</xdr:rowOff>
    </xdr:from>
    <xdr:to>
      <xdr:col>11</xdr:col>
      <xdr:colOff>352425</xdr:colOff>
      <xdr:row>22</xdr:row>
      <xdr:rowOff>57150</xdr:rowOff>
    </xdr:to>
    <xdr:sp>
      <xdr:nvSpPr>
        <xdr:cNvPr id="1" name="AutoShape 1"/>
        <xdr:cNvSpPr>
          <a:spLocks/>
        </xdr:cNvSpPr>
      </xdr:nvSpPr>
      <xdr:spPr>
        <a:xfrm>
          <a:off x="2486025" y="2409825"/>
          <a:ext cx="4572000" cy="12096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Arial Black"/>
              <a:cs typeface="Arial Black"/>
            </a:rPr>
            <a:t>Full Page Graphs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4981575"/>
    <xdr:graphicFrame>
      <xdr:nvGraphicFramePr>
        <xdr:cNvPr id="1" name="Shape 1025"/>
        <xdr:cNvGraphicFramePr/>
      </xdr:nvGraphicFramePr>
      <xdr:xfrm>
        <a:off x="0" y="0"/>
        <a:ext cx="9563100" cy="4981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4981575"/>
    <xdr:graphicFrame>
      <xdr:nvGraphicFramePr>
        <xdr:cNvPr id="1" name="Shape 1025"/>
        <xdr:cNvGraphicFramePr/>
      </xdr:nvGraphicFramePr>
      <xdr:xfrm>
        <a:off x="0" y="0"/>
        <a:ext cx="9563100" cy="4981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4981575"/>
    <xdr:graphicFrame>
      <xdr:nvGraphicFramePr>
        <xdr:cNvPr id="1" name="Shape 1025"/>
        <xdr:cNvGraphicFramePr/>
      </xdr:nvGraphicFramePr>
      <xdr:xfrm>
        <a:off x="0" y="0"/>
        <a:ext cx="9563100" cy="4981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A1"/>
  <sheetViews>
    <sheetView workbookViewId="0" topLeftCell="A1">
      <selection activeCell="H25" sqref="H25"/>
    </sheetView>
  </sheetViews>
  <sheetFormatPr defaultColWidth="9.140625" defaultRowHeight="12.75"/>
  <cols>
    <col min="1" max="16384" width="9.140625" style="763" customWidth="1"/>
  </cols>
  <sheetData/>
  <sheetProtection sheet="1" objects="1" scenarios="1"/>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2">
    <pageSetUpPr fitToPage="1"/>
  </sheetPr>
  <dimension ref="A1:L23"/>
  <sheetViews>
    <sheetView workbookViewId="0" topLeftCell="A1">
      <selection activeCell="A5" sqref="A5:E16"/>
    </sheetView>
  </sheetViews>
  <sheetFormatPr defaultColWidth="9.140625" defaultRowHeight="12.75"/>
  <cols>
    <col min="1" max="1" width="9.140625" style="106" customWidth="1"/>
    <col min="2" max="2" width="10.57421875" style="106" customWidth="1"/>
    <col min="3" max="3" width="10.140625" style="106" customWidth="1"/>
    <col min="4" max="4" width="10.57421875" style="106" customWidth="1"/>
    <col min="5" max="5" width="9.28125" style="106" customWidth="1"/>
    <col min="6" max="6" width="10.00390625" style="106" customWidth="1"/>
    <col min="7" max="7" width="11.00390625" style="375" bestFit="1" customWidth="1"/>
    <col min="8" max="8" width="11.00390625" style="776" bestFit="1" customWidth="1"/>
    <col min="9" max="9" width="15.421875" style="375" customWidth="1"/>
    <col min="10" max="10" width="14.8515625" style="375" customWidth="1"/>
    <col min="11" max="11" width="9.140625" style="375" customWidth="1"/>
    <col min="12" max="16384" width="9.140625" style="106" customWidth="1"/>
  </cols>
  <sheetData>
    <row r="1" spans="1:10" ht="12.75" customHeight="1" thickBot="1">
      <c r="A1" s="105"/>
      <c r="B1" s="105"/>
      <c r="C1" s="992" t="s">
        <v>27</v>
      </c>
      <c r="D1" s="993"/>
      <c r="E1" s="993"/>
      <c r="F1" s="993"/>
      <c r="G1" s="994" t="s">
        <v>151</v>
      </c>
      <c r="H1" s="995"/>
      <c r="I1" s="995" t="s">
        <v>153</v>
      </c>
      <c r="J1" s="991" t="s">
        <v>402</v>
      </c>
    </row>
    <row r="2" spans="1:11" s="107" customFormat="1" ht="12.75" customHeight="1" thickBot="1">
      <c r="A2" s="180"/>
      <c r="B2" s="180"/>
      <c r="C2" s="249" t="str">
        <f>'Energy Consumption &amp; Costs'!C2</f>
        <v>Energy</v>
      </c>
      <c r="D2" s="250" t="str">
        <f>'Energy Consumption &amp; Costs'!D2</f>
        <v>Peak Demand</v>
      </c>
      <c r="E2" s="250" t="str">
        <f>'Energy Consumption &amp; Costs'!E2</f>
        <v>Average Demand</v>
      </c>
      <c r="F2" s="180" t="s">
        <v>16</v>
      </c>
      <c r="G2" s="787">
        <f>6000*(Equipment!G11/8760)</f>
        <v>2191.780821917808</v>
      </c>
      <c r="H2" s="785" t="s">
        <v>2</v>
      </c>
      <c r="I2" s="995"/>
      <c r="J2" s="991"/>
      <c r="K2" s="776"/>
    </row>
    <row r="3" spans="1:11" s="107" customFormat="1" ht="13.5" thickBot="1">
      <c r="A3" s="252" t="str">
        <f>'Energy Consumption &amp; Costs'!A4</f>
        <v>Month</v>
      </c>
      <c r="B3" s="253" t="str">
        <f>'Energy Consumption &amp; Costs'!B4</f>
        <v>Hour/Month</v>
      </c>
      <c r="C3" s="253" t="str">
        <f>'Energy Consumption &amp; Costs'!C4</f>
        <v>kWh</v>
      </c>
      <c r="D3" s="253" t="str">
        <f>'Energy Consumption &amp; Costs'!D4</f>
        <v>kW</v>
      </c>
      <c r="E3" s="253" t="str">
        <f>'Energy Consumption &amp; Costs'!E4</f>
        <v>kW</v>
      </c>
      <c r="F3" s="254" t="s">
        <v>2</v>
      </c>
      <c r="G3" s="996">
        <f>MAX(G5:G17)</f>
        <v>849.1284587813616</v>
      </c>
      <c r="H3" s="997"/>
      <c r="I3" s="786">
        <f>MAX(H5:H17)</f>
        <v>0</v>
      </c>
      <c r="J3" s="776" t="s">
        <v>403</v>
      </c>
      <c r="K3" s="776" t="s">
        <v>404</v>
      </c>
    </row>
    <row r="4" spans="1:11" s="107" customFormat="1" ht="12.75">
      <c r="A4" s="255" t="s">
        <v>399</v>
      </c>
      <c r="B4" s="256"/>
      <c r="C4" s="256"/>
      <c r="D4" s="257">
        <f>MAX(D5:D16)</f>
        <v>1435</v>
      </c>
      <c r="E4" s="257">
        <f>MAX(E5:E16)</f>
        <v>1068.3709677419354</v>
      </c>
      <c r="F4" s="258">
        <v>0</v>
      </c>
      <c r="G4" s="377"/>
      <c r="H4" s="268"/>
      <c r="I4" s="777">
        <f>Equipment!$C$17</f>
        <v>714.5</v>
      </c>
      <c r="J4" s="776">
        <f>IF(Gen_Cap&gt;D4,D4,Gen_Cap)</f>
        <v>1435</v>
      </c>
      <c r="K4" s="776">
        <f aca="true" t="shared" si="0" ref="K4:K16">IF(Gen_Cap&gt;E4,E4,Gen_Cap)</f>
        <v>1068.3709677419354</v>
      </c>
    </row>
    <row r="5" spans="1:12" ht="12.75">
      <c r="A5" s="717">
        <f>'Energy Consumption &amp; Costs'!A11</f>
        <v>37438</v>
      </c>
      <c r="B5" s="814">
        <f>'Energy Consumption &amp; Costs'!B11</f>
        <v>744</v>
      </c>
      <c r="C5" s="718">
        <f>'Energy Consumption &amp; Costs'!C11</f>
        <v>794868</v>
      </c>
      <c r="D5" s="718">
        <f>'Energy Consumption &amp; Costs'!D11</f>
        <v>1429</v>
      </c>
      <c r="E5" s="718">
        <f>'Energy Consumption &amp; Costs'!E11</f>
        <v>1068.3709677419354</v>
      </c>
      <c r="F5" s="259">
        <f>B5</f>
        <v>744</v>
      </c>
      <c r="G5" s="268" t="str">
        <f>IF(F4&lt;G2,IF(G4="N/A",IF(F5&gt;G2,(E5-(((E5-E4)*((F5-G2)/(F5-F4))))),"N/A"),"N/A"),"N/A")</f>
        <v>N/A</v>
      </c>
      <c r="H5" s="776">
        <f>IF(E4&gt;=Equipment!C20,IF(E5&lt;Equipment!C20,(F5-(((F5-F4)*((E5-Equipment!C20)/(E5-E4))))),F5),0)</f>
        <v>0</v>
      </c>
      <c r="I5" s="778">
        <f>Equipment!$C$17</f>
        <v>714.5</v>
      </c>
      <c r="J5" s="776">
        <f aca="true" t="shared" si="1" ref="J5:J16">IF(Gen_Cap&gt;D5,D5,Gen_Cap)</f>
        <v>1429</v>
      </c>
      <c r="K5" s="776">
        <f t="shared" si="0"/>
        <v>1068.3709677419354</v>
      </c>
      <c r="L5" s="315"/>
    </row>
    <row r="6" spans="1:12" ht="12.75">
      <c r="A6" s="717">
        <f>'Energy Consumption &amp; Costs'!A12</f>
        <v>37469</v>
      </c>
      <c r="B6" s="814">
        <f>'Energy Consumption &amp; Costs'!B12</f>
        <v>744</v>
      </c>
      <c r="C6" s="718">
        <f>'Energy Consumption &amp; Costs'!C12</f>
        <v>794062</v>
      </c>
      <c r="D6" s="718">
        <f>'Energy Consumption &amp; Costs'!D12</f>
        <v>1435</v>
      </c>
      <c r="E6" s="718">
        <f>'Energy Consumption &amp; Costs'!E12</f>
        <v>1067.2876344086021</v>
      </c>
      <c r="F6" s="259">
        <f aca="true" t="shared" si="2" ref="F6:F16">F5+B6</f>
        <v>1488</v>
      </c>
      <c r="G6" s="268" t="str">
        <f>IF(F5&lt;G2,IF(G5="N/A",IF(F6&gt;G2,(E6-(((E6-E5)*((F6-G2)/(F6-F5))))),"N/A"),"N/A"),"N/A")</f>
        <v>N/A</v>
      </c>
      <c r="H6" s="776">
        <f>IF(E5&gt;=Equipment!C20,IF(E6&lt;Equipment!C20,(F6-(((F6-F5)*((E6-Equipment!C20)/(E6-E5))))),F6),0)</f>
        <v>0</v>
      </c>
      <c r="I6" s="778">
        <f>Equipment!$C$17</f>
        <v>714.5</v>
      </c>
      <c r="J6" s="776">
        <f t="shared" si="1"/>
        <v>1435</v>
      </c>
      <c r="K6" s="776">
        <f t="shared" si="0"/>
        <v>1067.2876344086021</v>
      </c>
      <c r="L6" s="315"/>
    </row>
    <row r="7" spans="1:11" ht="12.75">
      <c r="A7" s="717">
        <f>'Energy Consumption &amp; Costs'!A10</f>
        <v>37408</v>
      </c>
      <c r="B7" s="814">
        <f>'Energy Consumption &amp; Costs'!B10</f>
        <v>720</v>
      </c>
      <c r="C7" s="718">
        <f>'Energy Consumption &amp; Costs'!C10</f>
        <v>743382</v>
      </c>
      <c r="D7" s="718">
        <f>'Energy Consumption &amp; Costs'!D10</f>
        <v>1385</v>
      </c>
      <c r="E7" s="718">
        <f>'Energy Consumption &amp; Costs'!E10</f>
        <v>1032.475</v>
      </c>
      <c r="F7" s="259">
        <f t="shared" si="2"/>
        <v>2208</v>
      </c>
      <c r="G7" s="268">
        <f>IF(F6&lt;G2,IF(G6="N/A",IF(F7&gt;G2,(E7-(((E7-E6)*((F7-6000)/(F7-F6))))),"N/A"),"N/A"),"N/A")</f>
        <v>849.1284587813616</v>
      </c>
      <c r="H7" s="776">
        <f>IF(E6&gt;=Equipment!C20,IF(E7&lt;Equipment!C20,(F7-(((F7-F6)*((E7-Equipment!C20)/(E7-E6))))),F7),0)</f>
        <v>0</v>
      </c>
      <c r="I7" s="779">
        <f>Equipment!$C$17</f>
        <v>714.5</v>
      </c>
      <c r="J7" s="776">
        <f t="shared" si="1"/>
        <v>1385</v>
      </c>
      <c r="K7" s="776">
        <f t="shared" si="0"/>
        <v>1032.475</v>
      </c>
    </row>
    <row r="8" spans="1:11" ht="12.75">
      <c r="A8" s="717">
        <f>'Energy Consumption &amp; Costs'!A13</f>
        <v>37500</v>
      </c>
      <c r="B8" s="814">
        <f>'Energy Consumption &amp; Costs'!B13</f>
        <v>720</v>
      </c>
      <c r="C8" s="718">
        <f>'Energy Consumption &amp; Costs'!C13</f>
        <v>722532</v>
      </c>
      <c r="D8" s="718">
        <f>'Energy Consumption &amp; Costs'!D13</f>
        <v>1329</v>
      </c>
      <c r="E8" s="718">
        <f>'Energy Consumption &amp; Costs'!E13</f>
        <v>1003.5166666666667</v>
      </c>
      <c r="F8" s="259">
        <f t="shared" si="2"/>
        <v>2928</v>
      </c>
      <c r="G8" s="268" t="str">
        <f>IF(F7&lt;G2,IF(G7="N/A",IF(F8&gt;G2,(E8-(((E8-E7)*((F8-G2)/(F8-F7))))),"N/A"),"N/A"),"N/A")</f>
        <v>N/A</v>
      </c>
      <c r="H8" s="776">
        <f>IF(E7&gt;=Equipment!C20,IF(E8&lt;Equipment!C20,(F8-(((F8-F7)*((E8-Equipment!C20)/(E8-E7))))),F8),0)</f>
        <v>0</v>
      </c>
      <c r="I8" s="780">
        <f>Equipment!$C$17</f>
        <v>714.5</v>
      </c>
      <c r="J8" s="776">
        <f t="shared" si="1"/>
        <v>1329</v>
      </c>
      <c r="K8" s="776">
        <f t="shared" si="0"/>
        <v>1003.5166666666667</v>
      </c>
    </row>
    <row r="9" spans="1:11" ht="12.75">
      <c r="A9" s="717">
        <f>'Energy Consumption &amp; Costs'!A9</f>
        <v>37377</v>
      </c>
      <c r="B9" s="814">
        <f>'Energy Consumption &amp; Costs'!B9</f>
        <v>744</v>
      </c>
      <c r="C9" s="718">
        <f>'Energy Consumption &amp; Costs'!C9</f>
        <v>716199</v>
      </c>
      <c r="D9" s="718">
        <f>'Energy Consumption &amp; Costs'!D9</f>
        <v>1311</v>
      </c>
      <c r="E9" s="718">
        <f>'Energy Consumption &amp; Costs'!E9</f>
        <v>962.633064516129</v>
      </c>
      <c r="F9" s="259">
        <f t="shared" si="2"/>
        <v>3672</v>
      </c>
      <c r="G9" s="268" t="str">
        <f>IF(F8&lt;G2,IF(G8="N/A",IF(F9&gt;G2,(E9-(((E9-E8)*((F9-G2)/(F9-F8))))),"N/A"),"N/A"),"N/A")</f>
        <v>N/A</v>
      </c>
      <c r="H9" s="776">
        <f>IF(E8&gt;=Equipment!C20,IF(E9&lt;Equipment!C20,(F9-(((F9-F8)*((E9-Equipment!C20)/(E9-E8))))),F9),0)</f>
        <v>0</v>
      </c>
      <c r="I9" s="780">
        <f>Equipment!$C$17</f>
        <v>714.5</v>
      </c>
      <c r="J9" s="776">
        <f t="shared" si="1"/>
        <v>1311</v>
      </c>
      <c r="K9" s="776">
        <f t="shared" si="0"/>
        <v>962.633064516129</v>
      </c>
    </row>
    <row r="10" spans="1:11" ht="12.75">
      <c r="A10" s="717">
        <f>'Energy Consumption &amp; Costs'!A14</f>
        <v>37530</v>
      </c>
      <c r="B10" s="814">
        <f>'Energy Consumption &amp; Costs'!B14</f>
        <v>744</v>
      </c>
      <c r="C10" s="718">
        <f>'Energy Consumption &amp; Costs'!C14</f>
        <v>691080</v>
      </c>
      <c r="D10" s="718">
        <f>'Energy Consumption &amp; Costs'!D14</f>
        <v>1249</v>
      </c>
      <c r="E10" s="718">
        <f>'Energy Consumption &amp; Costs'!E14</f>
        <v>928.8709677419355</v>
      </c>
      <c r="F10" s="259">
        <f t="shared" si="2"/>
        <v>4416</v>
      </c>
      <c r="G10" s="268" t="str">
        <f>IF(F9&lt;G2,IF(G9="N/A",IF(F10&gt;G2,(E10-(((E10-E9)*((F10-G2)/(F10-F9))))),"N/A"),"N/A"),"N/A")</f>
        <v>N/A</v>
      </c>
      <c r="H10" s="776">
        <f>IF(E9&gt;=Equipment!C20,IF(E10&lt;Equipment!C20,(F10-(((F10-F9)*((E10-Equipment!C20)/(E10-E9))))),F10),0)</f>
        <v>0</v>
      </c>
      <c r="I10" s="781">
        <f>Equipment!$C$17</f>
        <v>714.5</v>
      </c>
      <c r="J10" s="776">
        <f t="shared" si="1"/>
        <v>1249</v>
      </c>
      <c r="K10" s="776">
        <f t="shared" si="0"/>
        <v>928.8709677419355</v>
      </c>
    </row>
    <row r="11" spans="1:11" ht="12.75">
      <c r="A11" s="717">
        <f>'Energy Consumption &amp; Costs'!A8</f>
        <v>37712</v>
      </c>
      <c r="B11" s="814">
        <f>'Energy Consumption &amp; Costs'!B8</f>
        <v>720</v>
      </c>
      <c r="C11" s="718">
        <f>'Energy Consumption &amp; Costs'!C8</f>
        <v>648328</v>
      </c>
      <c r="D11" s="718">
        <f>'Energy Consumption &amp; Costs'!D8</f>
        <v>1155</v>
      </c>
      <c r="E11" s="718">
        <f>'Energy Consumption &amp; Costs'!E8</f>
        <v>900.4555555555555</v>
      </c>
      <c r="F11" s="259">
        <f t="shared" si="2"/>
        <v>5136</v>
      </c>
      <c r="G11" s="268" t="str">
        <f>IF(F10&lt;G2,IF(G10="N/A",IF(F11&gt;G2,(E11-(((E11-E10)*((F11-G2)/(F11-F10))))),"N/A"),"N/A"),"N/A")</f>
        <v>N/A</v>
      </c>
      <c r="H11" s="776">
        <f>IF(E10&gt;=Equipment!C20,IF(E11&lt;Equipment!C20,(F11-(((F11-F10)*((E11-Equipment!C20)/(E11-E10))))),F11),0)</f>
        <v>0</v>
      </c>
      <c r="I11" s="777">
        <f>Equipment!$C$17</f>
        <v>714.5</v>
      </c>
      <c r="J11" s="776">
        <f t="shared" si="1"/>
        <v>1155</v>
      </c>
      <c r="K11" s="776">
        <f t="shared" si="0"/>
        <v>900.4555555555555</v>
      </c>
    </row>
    <row r="12" spans="1:11" ht="12.75">
      <c r="A12" s="717">
        <f>'Energy Consumption &amp; Costs'!A15</f>
        <v>37561</v>
      </c>
      <c r="B12" s="814">
        <f>'Energy Consumption &amp; Costs'!B15</f>
        <v>720</v>
      </c>
      <c r="C12" s="718">
        <f>'Energy Consumption &amp; Costs'!C15</f>
        <v>636733</v>
      </c>
      <c r="D12" s="718">
        <f>'Energy Consumption &amp; Costs'!D15</f>
        <v>1228</v>
      </c>
      <c r="E12" s="718">
        <f>'Energy Consumption &amp; Costs'!E15</f>
        <v>884.3513888888889</v>
      </c>
      <c r="F12" s="259">
        <f t="shared" si="2"/>
        <v>5856</v>
      </c>
      <c r="G12" s="268" t="str">
        <f>IF(F11&lt;G2,IF(G11="N/A",IF(F12&gt;G2,(E12-(((E12-E11)*((F12-G2)/(F12-F11))))),"N/A"),"N/A"),"N/A")</f>
        <v>N/A</v>
      </c>
      <c r="H12" s="776">
        <f>IF(E11&gt;=Equipment!C20,IF(E12&lt;Equipment!C20,(F12-(((F12-F11)*((E12-Equipment!C20)/(E12-E11))))),F12),0)</f>
        <v>0</v>
      </c>
      <c r="I12" s="777">
        <f>Equipment!$C$17</f>
        <v>714.5</v>
      </c>
      <c r="J12" s="776">
        <f t="shared" si="1"/>
        <v>1228</v>
      </c>
      <c r="K12" s="776">
        <f t="shared" si="0"/>
        <v>884.3513888888889</v>
      </c>
    </row>
    <row r="13" spans="1:11" ht="12.75">
      <c r="A13" s="717">
        <f>'Energy Consumption &amp; Costs'!A7</f>
        <v>37681</v>
      </c>
      <c r="B13" s="814">
        <f>'Energy Consumption &amp; Costs'!B7</f>
        <v>744</v>
      </c>
      <c r="C13" s="718">
        <f>'Energy Consumption &amp; Costs'!C7</f>
        <v>650700</v>
      </c>
      <c r="D13" s="718">
        <f>'Energy Consumption &amp; Costs'!D7</f>
        <v>1199</v>
      </c>
      <c r="E13" s="718">
        <f>'Energy Consumption &amp; Costs'!E7</f>
        <v>874.5967741935484</v>
      </c>
      <c r="F13" s="259">
        <f t="shared" si="2"/>
        <v>6600</v>
      </c>
      <c r="G13" s="268" t="str">
        <f>IF(F12&lt;G2,IF(G12="N/A",IF(F13&gt;G2,(E13-(((E13-E12)*((F13-G2)/(F13-F12))))),"N/A"),"N/A"),"N/A")</f>
        <v>N/A</v>
      </c>
      <c r="H13" s="776">
        <f>IF(E12&gt;=Equipment!C20,IF(E13&lt;Equipment!C20,(F13-(((F13-F12)*((E13-Equipment!C20)/(E13-E12))))),F13),0)</f>
        <v>0</v>
      </c>
      <c r="I13" s="780">
        <f>Equipment!$C$17</f>
        <v>714.5</v>
      </c>
      <c r="J13" s="776">
        <f t="shared" si="1"/>
        <v>1199</v>
      </c>
      <c r="K13" s="776">
        <f t="shared" si="0"/>
        <v>874.5967741935484</v>
      </c>
    </row>
    <row r="14" spans="1:11" ht="12.75">
      <c r="A14" s="717">
        <f>'Energy Consumption &amp; Costs'!A6</f>
        <v>37653</v>
      </c>
      <c r="B14" s="814">
        <f>'Energy Consumption &amp; Costs'!B6</f>
        <v>672</v>
      </c>
      <c r="C14" s="718">
        <f>'Energy Consumption &amp; Costs'!C6</f>
        <v>580107</v>
      </c>
      <c r="D14" s="718">
        <f>'Energy Consumption &amp; Costs'!D6</f>
        <v>1076</v>
      </c>
      <c r="E14" s="718">
        <f>'Energy Consumption &amp; Costs'!E6</f>
        <v>863.2544642857143</v>
      </c>
      <c r="F14" s="259">
        <f t="shared" si="2"/>
        <v>7272</v>
      </c>
      <c r="G14" s="268" t="str">
        <f>IF(F13&lt;G2,IF(G13="N/A",IF(F14&gt;G2,(E14-(((E14-E13)*((F14-6000)/(F14-F13))))),"N/A"),"N/A"),"N/A")</f>
        <v>N/A</v>
      </c>
      <c r="H14" s="776">
        <f>IF(E13&gt;=Equipment!C20,IF(E14&lt;Equipment!C20,(F14-(((F14-F13)*((E14-Equipment!C20)/(E14-E13))))),F14),0)</f>
        <v>0</v>
      </c>
      <c r="I14" s="780">
        <f>Equipment!$C$17</f>
        <v>714.5</v>
      </c>
      <c r="J14" s="776">
        <f t="shared" si="1"/>
        <v>1076</v>
      </c>
      <c r="K14" s="776">
        <f t="shared" si="0"/>
        <v>863.2544642857143</v>
      </c>
    </row>
    <row r="15" spans="1:11" ht="12.75">
      <c r="A15" s="717">
        <f>'Energy Consumption &amp; Costs'!A5</f>
        <v>37622</v>
      </c>
      <c r="B15" s="814">
        <f>'Energy Consumption &amp; Costs'!B5</f>
        <v>744</v>
      </c>
      <c r="C15" s="718">
        <f>'Energy Consumption &amp; Costs'!C5</f>
        <v>640495</v>
      </c>
      <c r="D15" s="718">
        <f>'Energy Consumption &amp; Costs'!D5</f>
        <v>1079</v>
      </c>
      <c r="E15" s="718">
        <f>'Energy Consumption &amp; Costs'!E5</f>
        <v>860.880376344086</v>
      </c>
      <c r="F15" s="259">
        <f t="shared" si="2"/>
        <v>8016</v>
      </c>
      <c r="G15" s="268" t="str">
        <f>IF(F14&lt;G2,IF(G14="N/A",IF(F15&gt;G2,(E15-(((E15-E14)*((F15-G2)/(F15-F14))))),"N/A"),"N/A"),"N/A")</f>
        <v>N/A</v>
      </c>
      <c r="H15" s="776">
        <f>IF(E14&gt;=Equipment!C20,IF(E15&lt;Equipment!C20,(F15-(((F15-F14)*((E15-Equipment!C20)/(E15-E14))))),F15),0)</f>
        <v>0</v>
      </c>
      <c r="I15" s="780">
        <f>Equipment!$C$17</f>
        <v>714.5</v>
      </c>
      <c r="J15" s="776">
        <f t="shared" si="1"/>
        <v>1079</v>
      </c>
      <c r="K15" s="776">
        <f t="shared" si="0"/>
        <v>860.880376344086</v>
      </c>
    </row>
    <row r="16" spans="1:11" ht="12.75">
      <c r="A16" s="717">
        <f>'Energy Consumption &amp; Costs'!A16</f>
        <v>37591</v>
      </c>
      <c r="B16" s="814">
        <f>'Energy Consumption &amp; Costs'!B16</f>
        <v>744</v>
      </c>
      <c r="C16" s="718">
        <f>'Energy Consumption &amp; Costs'!C16</f>
        <v>640442</v>
      </c>
      <c r="D16" s="718">
        <f>'Energy Consumption &amp; Costs'!D16</f>
        <v>1087</v>
      </c>
      <c r="E16" s="718">
        <f>'Energy Consumption &amp; Costs'!E16</f>
        <v>860.8091397849462</v>
      </c>
      <c r="F16" s="259">
        <f t="shared" si="2"/>
        <v>8760</v>
      </c>
      <c r="G16" s="268" t="str">
        <f>IF(F15&lt;G2,IF(G15="N/A",IF(F16&gt;G2,(E16-(((E16-E15)*((F16-G2)/(F16-F15))))),"N/A"),"N/A"),"N/A")</f>
        <v>N/A</v>
      </c>
      <c r="H16" s="776">
        <f>IF(E15&gt;=Equipment!C20,IF(E16&lt;Equipment!C20,(F16-(((F16-F15)*((E16-Equipment!C20)/(E16-E15))))),F16),0)</f>
        <v>0</v>
      </c>
      <c r="I16" s="780">
        <f>Equipment!$C$17</f>
        <v>714.5</v>
      </c>
      <c r="J16" s="776">
        <f t="shared" si="1"/>
        <v>1087</v>
      </c>
      <c r="K16" s="776">
        <f t="shared" si="0"/>
        <v>860.8091397849462</v>
      </c>
    </row>
    <row r="17" spans="1:11" ht="13.5" thickBot="1">
      <c r="A17" s="260" t="s">
        <v>400</v>
      </c>
      <c r="B17" s="261"/>
      <c r="C17" s="261"/>
      <c r="D17" s="261">
        <f>MIN(D5:D16)</f>
        <v>1076</v>
      </c>
      <c r="E17" s="261">
        <f>MIN(E5:E16)</f>
        <v>860.8091397849462</v>
      </c>
      <c r="F17" s="262"/>
      <c r="G17" s="268" t="str">
        <f>IF(F16&lt;G2,E17,"N/A")</f>
        <v>N/A</v>
      </c>
      <c r="H17" s="776">
        <f>IF(E16&gt;=Equipment!C20,IF(E17&lt;Equipment!C20,(F17-(((F17-F16)*((E17-Equipment!C20)/(E17-E16))))),F17),0)</f>
        <v>0</v>
      </c>
      <c r="I17" s="779">
        <f>Equipment!$C$17</f>
        <v>714.5</v>
      </c>
      <c r="J17" s="782"/>
      <c r="K17" s="783"/>
    </row>
    <row r="18" spans="1:7" ht="13.5" thickBot="1">
      <c r="A18" s="263" t="str">
        <f>'Energy Consumption &amp; Costs'!A17</f>
        <v>Total</v>
      </c>
      <c r="B18" s="264">
        <f>'Energy Consumption &amp; Costs'!B17</f>
        <v>8760</v>
      </c>
      <c r="C18" s="265">
        <f>'Energy Consumption &amp; Costs'!C17</f>
        <v>8258928</v>
      </c>
      <c r="D18" s="266"/>
      <c r="E18" s="364">
        <f>AVERAGE(E5:E16)</f>
        <v>942.2918333440007</v>
      </c>
      <c r="F18" s="267"/>
      <c r="G18" s="268"/>
    </row>
    <row r="20" spans="1:9" ht="12.75">
      <c r="A20" s="269"/>
      <c r="B20" s="269"/>
      <c r="C20" s="269"/>
      <c r="D20" s="269"/>
      <c r="E20" s="269"/>
      <c r="F20" s="269"/>
      <c r="G20" s="764"/>
      <c r="H20" s="784"/>
      <c r="I20" s="764"/>
    </row>
    <row r="21" spans="1:9" ht="18.75" customHeight="1">
      <c r="A21" s="269"/>
      <c r="B21" s="269"/>
      <c r="C21" s="269"/>
      <c r="D21" s="269"/>
      <c r="E21" s="269"/>
      <c r="F21" s="269"/>
      <c r="G21" s="764"/>
      <c r="H21" s="784"/>
      <c r="I21" s="764"/>
    </row>
    <row r="22" ht="12.75">
      <c r="I22" s="764"/>
    </row>
    <row r="23" ht="12.75">
      <c r="E23"/>
    </row>
  </sheetData>
  <mergeCells count="5">
    <mergeCell ref="J1:J2"/>
    <mergeCell ref="C1:F1"/>
    <mergeCell ref="G1:H1"/>
    <mergeCell ref="G3:H3"/>
    <mergeCell ref="I1:I2"/>
  </mergeCells>
  <conditionalFormatting sqref="I10:I11 H5:H19 G18:G19">
    <cfRule type="cellIs" priority="1" dxfId="0" operator="equal" stopIfTrue="1">
      <formula>0</formula>
    </cfRule>
  </conditionalFormatting>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5">
    <pageSetUpPr fitToPage="1"/>
  </sheetPr>
  <dimension ref="A1:L30"/>
  <sheetViews>
    <sheetView workbookViewId="0" topLeftCell="A1">
      <selection activeCell="A5" sqref="A5:D16"/>
    </sheetView>
  </sheetViews>
  <sheetFormatPr defaultColWidth="9.140625" defaultRowHeight="12.75"/>
  <cols>
    <col min="1" max="1" width="9.140625" style="106" customWidth="1"/>
    <col min="2" max="2" width="10.57421875" style="106" customWidth="1"/>
    <col min="3" max="3" width="14.8515625" style="106" bestFit="1" customWidth="1"/>
    <col min="4" max="4" width="11.7109375" style="106" customWidth="1"/>
    <col min="5" max="5" width="10.57421875" style="106" customWidth="1"/>
    <col min="6" max="6" width="11.140625" style="106" customWidth="1"/>
    <col min="7" max="7" width="14.8515625" style="106" bestFit="1" customWidth="1"/>
    <col min="8" max="8" width="10.00390625" style="106" customWidth="1"/>
    <col min="9" max="9" width="11.00390625" style="106" bestFit="1" customWidth="1"/>
    <col min="10" max="10" width="11.00390625" style="107" bestFit="1" customWidth="1"/>
    <col min="11" max="11" width="27.28125" style="106" customWidth="1"/>
    <col min="12" max="12" width="13.00390625" style="106" customWidth="1"/>
    <col min="13" max="16384" width="9.140625" style="106" customWidth="1"/>
  </cols>
  <sheetData>
    <row r="1" spans="1:10" ht="12.75" customHeight="1" thickBot="1">
      <c r="A1" s="108"/>
      <c r="B1" s="365"/>
      <c r="C1" s="999" t="s">
        <v>154</v>
      </c>
      <c r="D1" s="1000"/>
      <c r="E1" s="1001"/>
      <c r="F1" s="790"/>
      <c r="G1" s="250"/>
      <c r="H1" s="109"/>
      <c r="I1" s="998"/>
      <c r="J1" s="998"/>
    </row>
    <row r="2" spans="1:10" s="107" customFormat="1" ht="26.25" thickBot="1">
      <c r="A2" s="109"/>
      <c r="B2" s="330"/>
      <c r="C2" s="188" t="str">
        <f>'Energy Consumption &amp; Costs'!E2</f>
        <v>Average Demand</v>
      </c>
      <c r="D2" s="189" t="str">
        <f>'Energy Consumption &amp; Costs'!E2</f>
        <v>Average Demand</v>
      </c>
      <c r="E2" s="110" t="s">
        <v>16</v>
      </c>
      <c r="F2" s="788"/>
      <c r="G2" s="250"/>
      <c r="H2" s="181"/>
      <c r="I2" s="180"/>
      <c r="J2" s="180"/>
    </row>
    <row r="3" spans="1:10" s="107" customFormat="1" ht="13.5" thickBot="1">
      <c r="A3" s="111" t="str">
        <f>'Energy Consumption &amp; Costs'!A4</f>
        <v>Month</v>
      </c>
      <c r="B3" s="112" t="str">
        <f>'Energy Consumption &amp; Costs'!B4</f>
        <v>Hour/Month</v>
      </c>
      <c r="C3" s="324" t="s">
        <v>80</v>
      </c>
      <c r="D3" s="190" t="s">
        <v>156</v>
      </c>
      <c r="E3" s="191" t="s">
        <v>2</v>
      </c>
      <c r="F3" s="790"/>
      <c r="G3" s="180"/>
      <c r="H3" s="180"/>
      <c r="I3" s="180"/>
      <c r="J3" s="180"/>
    </row>
    <row r="4" spans="1:6" s="107" customFormat="1" ht="13.5" thickBot="1">
      <c r="A4" s="113"/>
      <c r="B4" s="182"/>
      <c r="C4" s="184">
        <f>MAX(C5:C16)</f>
        <v>3933180952.3809524</v>
      </c>
      <c r="D4" s="114">
        <f>MAX(D5:D16)</f>
        <v>1549.031158622375</v>
      </c>
      <c r="E4" s="185">
        <v>0</v>
      </c>
      <c r="F4" s="790"/>
    </row>
    <row r="5" spans="1:10" ht="13.5" thickBot="1">
      <c r="A5" s="247">
        <f>'Energy Consumption &amp; Costs'!A5</f>
        <v>37622</v>
      </c>
      <c r="B5" s="176">
        <f>'Energy Consumption &amp; Costs'!B5</f>
        <v>744</v>
      </c>
      <c r="C5" s="183">
        <f>'Energy Consumption &amp; Costs'!O5</f>
        <v>3933180952.3809524</v>
      </c>
      <c r="D5" s="187">
        <f>'Energy Consumption &amp; Costs'!Q5</f>
        <v>1549.031158622375</v>
      </c>
      <c r="E5" s="186">
        <f>B5</f>
        <v>744</v>
      </c>
      <c r="F5" s="788">
        <f>IF(C4&gt;=(RESULTS!F21*1000000),IF(C5&lt;(RESULTS!F21*1000000),(E5-(((E5-E4)*((C5-(RESULTS!F21*1000000))/(C5-C4))))),0),E5)</f>
        <v>744</v>
      </c>
      <c r="G5" s="250"/>
      <c r="J5" s="106"/>
    </row>
    <row r="6" spans="1:10" ht="13.5" thickBot="1">
      <c r="A6" s="247">
        <f>'Energy Consumption &amp; Costs'!A6</f>
        <v>37653</v>
      </c>
      <c r="B6" s="176">
        <f>'Energy Consumption &amp; Costs'!B6</f>
        <v>672</v>
      </c>
      <c r="C6" s="183">
        <f>'Energy Consumption &amp; Costs'!O6</f>
        <v>3317942857.1428576</v>
      </c>
      <c r="D6" s="187">
        <f>'Energy Consumption &amp; Costs'!Q6</f>
        <v>1446.7343430574294</v>
      </c>
      <c r="E6" s="186">
        <f>E5+B6</f>
        <v>1416</v>
      </c>
      <c r="F6" s="788">
        <f>IF(C5&gt;=(RESULTS!F21*1000000),IF(C6&lt;(RESULTS!F21*1000000),(E6-(((E6-E5)*((C6-(RESULTS!F21*1000000))/(C6-C5))))),0),E6)</f>
        <v>1416</v>
      </c>
      <c r="G6" s="250"/>
      <c r="J6" s="106"/>
    </row>
    <row r="7" spans="1:10" ht="13.5" thickBot="1">
      <c r="A7" s="247">
        <f>'Energy Consumption &amp; Costs'!A16</f>
        <v>37591</v>
      </c>
      <c r="B7" s="176">
        <f>'Energy Consumption &amp; Costs'!B16</f>
        <v>744</v>
      </c>
      <c r="C7" s="183">
        <f>'Energy Consumption &amp; Costs'!O16</f>
        <v>3621942857.1428576</v>
      </c>
      <c r="D7" s="187">
        <f>'Energy Consumption &amp; Costs'!Q16</f>
        <v>1426.454162264697</v>
      </c>
      <c r="E7" s="186">
        <f>E6+B7</f>
        <v>2160</v>
      </c>
      <c r="F7" s="788">
        <f>IF(C6&gt;=(RESULTS!F21*1000000),IF(C7&lt;(RESULTS!F21*1000000),(E7-(((E7-E6)*((C7-(RESULTS!F215*1000000))/(C7-C6))))),0),E7)</f>
        <v>2160</v>
      </c>
      <c r="G7" s="789"/>
      <c r="J7" s="106"/>
    </row>
    <row r="8" spans="1:10" ht="13.5" thickBot="1">
      <c r="A8" s="247">
        <f>'Energy Consumption &amp; Costs'!A7</f>
        <v>37681</v>
      </c>
      <c r="B8" s="176">
        <f>'Energy Consumption &amp; Costs'!B7</f>
        <v>744</v>
      </c>
      <c r="C8" s="183">
        <f>'Energy Consumption &amp; Costs'!O7</f>
        <v>3205752380.952381</v>
      </c>
      <c r="D8" s="187">
        <f>'Energy Consumption &amp; Costs'!Q7</f>
        <v>1262.5430624840815</v>
      </c>
      <c r="E8" s="186">
        <f>E7+B8</f>
        <v>2904</v>
      </c>
      <c r="F8" s="788">
        <f>IF(C7&gt;=(RESULTS!F21*1000000),IF(C8&lt;(RESULTS!F21*1000000),(E8-(((E8-E7)*((C8-(RESULTS!F21*1000000))/(C8-C7))))),0),E8)</f>
        <v>2904</v>
      </c>
      <c r="G8" s="406"/>
      <c r="J8" s="106"/>
    </row>
    <row r="9" spans="1:10" ht="13.5" thickBot="1">
      <c r="A9" s="247">
        <f>'Energy Consumption &amp; Costs'!A15</f>
        <v>37561</v>
      </c>
      <c r="B9" s="176">
        <f>'Energy Consumption &amp; Costs'!B15</f>
        <v>720</v>
      </c>
      <c r="C9" s="183">
        <f>'Energy Consumption &amp; Costs'!O15</f>
        <v>2484838095.2380953</v>
      </c>
      <c r="D9" s="187">
        <f>'Energy Consumption &amp; Costs'!Q15</f>
        <v>1011.2412157653602</v>
      </c>
      <c r="E9" s="186">
        <f>E8+B9</f>
        <v>3624</v>
      </c>
      <c r="F9" s="788">
        <f>IF(C8&gt;=(RESULTS!F21*1000000),IF(C9&lt;(RESULTS!F21*1000000),(E9-(((E9-E8)*((C9-(RESULTS!F21*1000000))/(C9-C8))))),0),E9)</f>
        <v>3624</v>
      </c>
      <c r="G9" s="406"/>
      <c r="J9" s="106"/>
    </row>
    <row r="10" spans="1:10" ht="13.5" thickBot="1">
      <c r="A10" s="247">
        <f>'Energy Consumption &amp; Costs'!A8</f>
        <v>37712</v>
      </c>
      <c r="B10" s="176">
        <f>'Energy Consumption &amp; Costs'!B8</f>
        <v>720</v>
      </c>
      <c r="C10" s="183">
        <f>'Energy Consumption &amp; Costs'!O8</f>
        <v>2282895238.095238</v>
      </c>
      <c r="D10" s="187">
        <f>'Energy Consumption &amp; Costs'!Q8</f>
        <v>929.0576156492706</v>
      </c>
      <c r="E10" s="186">
        <f>E9+(B9/2)+(B10/2)</f>
        <v>4344</v>
      </c>
      <c r="F10" s="788">
        <f>IF(C9&gt;=(RESULTS!F21*1000000),IF(C10&lt;(RESULTS!F21*1000000),(E10-(((E10-E9)*((C10-(RESULTS!F21*1000000))/(C10-C9))))),0),E10)</f>
        <v>4344</v>
      </c>
      <c r="G10" s="406"/>
      <c r="J10" s="106"/>
    </row>
    <row r="11" spans="1:10" ht="13.5" thickBot="1">
      <c r="A11" s="247">
        <f>'Energy Consumption &amp; Costs'!A12</f>
        <v>37469</v>
      </c>
      <c r="B11" s="176">
        <f>'Energy Consumption &amp; Costs'!B12</f>
        <v>744</v>
      </c>
      <c r="C11" s="183">
        <f>'Energy Consumption &amp; Costs'!O12</f>
        <v>2245257142.857143</v>
      </c>
      <c r="D11" s="187">
        <f>'Energy Consumption &amp; Costs'!Q12</f>
        <v>884.2647504686432</v>
      </c>
      <c r="E11" s="186">
        <f aca="true" t="shared" si="0" ref="E11:E16">E10+B11</f>
        <v>5088</v>
      </c>
      <c r="F11" s="788">
        <f>IF(C10&gt;=(RESULTS!F21*1000000),IF(C11&lt;(RESULTS!F21*1000000),(E11-(((E11-E10)*((C11-(RESULTS!F21*1000000))/(C11-C10))))),0),E11)</f>
        <v>5088</v>
      </c>
      <c r="G11" s="406"/>
      <c r="J11" s="106"/>
    </row>
    <row r="12" spans="1:10" ht="13.5" thickBot="1">
      <c r="A12" s="247">
        <f>'Energy Consumption &amp; Costs'!A11</f>
        <v>37438</v>
      </c>
      <c r="B12" s="176">
        <f>'Energy Consumption &amp; Costs'!B11</f>
        <v>744</v>
      </c>
      <c r="C12" s="183">
        <f>'Energy Consumption &amp; Costs'!O11</f>
        <v>2097600000</v>
      </c>
      <c r="D12" s="187">
        <f>'Energy Consumption &amp; Costs'!Q11</f>
        <v>826.1119428943031</v>
      </c>
      <c r="E12" s="186">
        <f t="shared" si="0"/>
        <v>5832</v>
      </c>
      <c r="F12" s="788">
        <f>IF(C11&gt;=(RESULTS!F21*1000000),IF(C12&lt;(RESULTS!F21*1000000),(E12-(((E12-E11)*((C12-(RESULTS!F21*1000000))/(C12-C11))))),0),E12)</f>
        <v>5832</v>
      </c>
      <c r="G12" s="406"/>
      <c r="J12" s="106"/>
    </row>
    <row r="13" spans="1:10" ht="13.5" thickBot="1">
      <c r="A13" s="247">
        <f>'Energy Consumption &amp; Costs'!A10</f>
        <v>37408</v>
      </c>
      <c r="B13" s="176">
        <f>'Energy Consumption &amp; Costs'!B10</f>
        <v>720</v>
      </c>
      <c r="C13" s="183">
        <f>'Energy Consumption &amp; Costs'!O10</f>
        <v>1878285714.2857144</v>
      </c>
      <c r="D13" s="187">
        <f>'Energy Consumption &amp; Costs'!Q10</f>
        <v>764.3958505421234</v>
      </c>
      <c r="E13" s="186">
        <f t="shared" si="0"/>
        <v>6552</v>
      </c>
      <c r="F13" s="788">
        <f>IF(C12&gt;=(RESULTS!F21*1000000),IF(C13&lt;(RESULTS!F21*1000000),(E13-(((E13-E12)*((C13-(RESULTS!F21*1000000))/(C13-C12))))),0),E13)</f>
        <v>6552</v>
      </c>
      <c r="G13" s="406"/>
      <c r="J13" s="106"/>
    </row>
    <row r="14" spans="1:10" ht="13.5" thickBot="1">
      <c r="A14" s="247">
        <f>'Energy Consumption &amp; Costs'!A14</f>
        <v>37530</v>
      </c>
      <c r="B14" s="176">
        <f>'Energy Consumption &amp; Costs'!B14</f>
        <v>744</v>
      </c>
      <c r="C14" s="183">
        <f>'Energy Consumption &amp; Costs'!O14</f>
        <v>1932571428.5714288</v>
      </c>
      <c r="D14" s="187">
        <f>'Energy Consumption &amp; Costs'!Q14</f>
        <v>761.1176285465111</v>
      </c>
      <c r="E14" s="186">
        <f t="shared" si="0"/>
        <v>7296</v>
      </c>
      <c r="F14" s="788">
        <f>IF(C13&gt;=(RESULTS!F21*1000000),IF(C14&lt;(RESULTS!F21*1000000),(E14-(((E14-E13)*((C14-(RESULTS!F21*1000000))/(C14-C13))))),0),E14)</f>
        <v>7296</v>
      </c>
      <c r="G14" s="406"/>
      <c r="J14" s="106"/>
    </row>
    <row r="15" spans="1:10" ht="13.5" thickBot="1">
      <c r="A15" s="247">
        <f>'Energy Consumption &amp; Costs'!A9</f>
        <v>37377</v>
      </c>
      <c r="B15" s="176">
        <f>'Energy Consumption &amp; Costs'!B9</f>
        <v>744</v>
      </c>
      <c r="C15" s="183">
        <f>'Energy Consumption &amp; Costs'!O9</f>
        <v>1825447619.047619</v>
      </c>
      <c r="D15" s="187">
        <f>'Energy Consumption &amp; Costs'!Q9</f>
        <v>718.9283367768917</v>
      </c>
      <c r="E15" s="186">
        <f t="shared" si="0"/>
        <v>8040</v>
      </c>
      <c r="F15" s="788">
        <f>IF(C14&gt;=(RESULTS!F21*1000000),IF(C15&lt;(RESULTS!F21*1000000),(E15-(((E15-E14)*((C15-(RESULTS!F21*1000000))/(C15-C14))))),0),E15)</f>
        <v>8040</v>
      </c>
      <c r="G15" s="406"/>
      <c r="J15" s="106"/>
    </row>
    <row r="16" spans="1:10" ht="13.5" thickBot="1">
      <c r="A16" s="247">
        <f>'Energy Consumption &amp; Costs'!A13</f>
        <v>37500</v>
      </c>
      <c r="B16" s="306">
        <f>'Energy Consumption &amp; Costs'!B13</f>
        <v>720</v>
      </c>
      <c r="C16" s="299">
        <f>'Energy Consumption &amp; Costs'!O13</f>
        <v>1666933333.3333335</v>
      </c>
      <c r="D16" s="307">
        <f>'Energy Consumption &amp; Costs'!Q13</f>
        <v>678.3829070514491</v>
      </c>
      <c r="E16" s="308">
        <f t="shared" si="0"/>
        <v>8760</v>
      </c>
      <c r="F16" s="788">
        <f>IF(C15&gt;=(RESULTS!F21*1000000),IF(C16&lt;(RESULTS!F21*1000000),(E16-(((E16-E15)*((C16-(RESULTS!F21*1000000))/(C16-C15))))),0),E16)</f>
        <v>8760</v>
      </c>
      <c r="G16" s="406"/>
      <c r="J16" s="106"/>
    </row>
    <row r="17" spans="1:10" ht="13.5" thickBot="1">
      <c r="A17" s="177"/>
      <c r="B17" s="164"/>
      <c r="C17" s="325">
        <f>MIN(C5:C16)</f>
        <v>1666933333.3333335</v>
      </c>
      <c r="D17" s="164">
        <f>MIN(D5:D16)</f>
        <v>678.3829070514491</v>
      </c>
      <c r="E17" s="168">
        <v>8760</v>
      </c>
      <c r="F17" s="790"/>
      <c r="G17" s="564"/>
      <c r="H17" s="107"/>
      <c r="J17" s="106"/>
    </row>
    <row r="18" spans="1:10" ht="13.5" thickBot="1">
      <c r="A18" s="118" t="str">
        <f>'Energy Consumption &amp; Costs'!A17</f>
        <v>Total</v>
      </c>
      <c r="B18" s="119">
        <f>'Energy Consumption &amp; Costs'!B17</f>
        <v>8760</v>
      </c>
      <c r="C18" s="336">
        <f>SUM(C5:C16)</f>
        <v>30492647619.04762</v>
      </c>
      <c r="D18" s="108"/>
      <c r="E18" s="108"/>
      <c r="F18" s="108"/>
      <c r="G18" s="565"/>
      <c r="H18" s="107"/>
      <c r="J18" s="106"/>
    </row>
    <row r="22" spans="1:12" ht="12.75">
      <c r="A22" s="269"/>
      <c r="B22" s="269"/>
      <c r="C22" s="269"/>
      <c r="D22" s="269"/>
      <c r="E22" s="269"/>
      <c r="F22" s="269"/>
      <c r="G22" s="269"/>
      <c r="H22" s="269"/>
      <c r="I22" s="269"/>
      <c r="J22" s="558"/>
      <c r="K22" s="269"/>
      <c r="L22" s="269"/>
    </row>
    <row r="23" spans="1:12" ht="16.5" customHeight="1">
      <c r="A23" s="269"/>
      <c r="B23" s="269"/>
      <c r="C23" s="269"/>
      <c r="D23" s="269"/>
      <c r="E23" s="269"/>
      <c r="F23" s="269"/>
      <c r="G23" s="269"/>
      <c r="H23" s="269"/>
      <c r="I23" s="269"/>
      <c r="J23" s="558"/>
      <c r="K23" s="269"/>
      <c r="L23" s="269"/>
    </row>
    <row r="30" ht="12.75">
      <c r="E30" s="103"/>
    </row>
  </sheetData>
  <mergeCells count="2">
    <mergeCell ref="I1:J1"/>
    <mergeCell ref="C1:E1"/>
  </mergeCells>
  <conditionalFormatting sqref="H5:I19 G17:G19">
    <cfRule type="cellIs" priority="1" dxfId="0" operator="equal" stopIfTrue="1">
      <formula>0</formula>
    </cfRule>
  </conditionalFormatting>
  <printOptions/>
  <pageMargins left="0.75" right="0.75" top="1" bottom="1" header="0.5" footer="0.5"/>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8"/>
  <dimension ref="A1:A1"/>
  <sheetViews>
    <sheetView workbookViewId="0" topLeftCell="A1">
      <selection activeCell="J26" sqref="J26"/>
    </sheetView>
  </sheetViews>
  <sheetFormatPr defaultColWidth="9.140625" defaultRowHeight="12.75"/>
  <cols>
    <col min="1" max="16384" width="9.140625" style="762" customWidth="1"/>
  </cols>
  <sheetData/>
  <sheetProtection sheet="1" objects="1" scenarios="1"/>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L22"/>
  <sheetViews>
    <sheetView workbookViewId="0" topLeftCell="A1">
      <selection activeCell="A5" sqref="A5:E16"/>
    </sheetView>
  </sheetViews>
  <sheetFormatPr defaultColWidth="9.140625" defaultRowHeight="12.75"/>
  <cols>
    <col min="1" max="1" width="9.140625" style="106" customWidth="1"/>
    <col min="2" max="2" width="10.57421875" style="106" customWidth="1"/>
    <col min="3" max="3" width="12.28125" style="106" customWidth="1"/>
    <col min="4" max="4" width="10.57421875" style="106" customWidth="1"/>
    <col min="5" max="5" width="9.28125" style="106" customWidth="1"/>
    <col min="6" max="6" width="10.00390625" style="106" customWidth="1"/>
    <col min="7" max="7" width="11.00390625" style="106" bestFit="1" customWidth="1"/>
    <col min="8" max="8" width="11.00390625" style="107" bestFit="1" customWidth="1"/>
    <col min="9" max="9" width="15.421875" style="106" customWidth="1"/>
    <col min="10" max="10" width="13.00390625" style="106" customWidth="1"/>
    <col min="11" max="16384" width="9.140625" style="106" customWidth="1"/>
  </cols>
  <sheetData>
    <row r="1" spans="1:9" ht="13.5" thickBot="1">
      <c r="A1" s="105"/>
      <c r="B1" s="105"/>
      <c r="C1" s="992" t="s">
        <v>27</v>
      </c>
      <c r="D1" s="993"/>
      <c r="E1" s="993"/>
      <c r="F1" s="1002"/>
      <c r="G1" s="994" t="s">
        <v>151</v>
      </c>
      <c r="H1" s="995"/>
      <c r="I1" s="995" t="s">
        <v>153</v>
      </c>
    </row>
    <row r="2" spans="1:9" s="107" customFormat="1" ht="12.75" customHeight="1" thickBot="1">
      <c r="A2" s="180"/>
      <c r="B2" s="180"/>
      <c r="C2" s="249" t="str">
        <f>'Energy Consumption &amp; Costs'!C2</f>
        <v>Energy</v>
      </c>
      <c r="D2" s="250" t="str">
        <f>'Energy Consumption &amp; Costs'!D2</f>
        <v>Peak Demand</v>
      </c>
      <c r="E2" s="250" t="str">
        <f>'Energy Consumption &amp; Costs'!E2</f>
        <v>Average Demand</v>
      </c>
      <c r="F2" s="251" t="s">
        <v>16</v>
      </c>
      <c r="G2" s="791">
        <f>Equipment!G11</f>
        <v>3200</v>
      </c>
      <c r="H2" s="785" t="s">
        <v>2</v>
      </c>
      <c r="I2" s="995"/>
    </row>
    <row r="3" spans="1:9" s="107" customFormat="1" ht="13.5" thickBot="1">
      <c r="A3" s="252" t="str">
        <f>'Energy Consumption &amp; Costs'!A4</f>
        <v>Month</v>
      </c>
      <c r="B3" s="253" t="str">
        <f>'Energy Consumption &amp; Costs'!B4</f>
        <v>Hour/Month</v>
      </c>
      <c r="C3" s="253" t="str">
        <f>'Energy Consumption &amp; Costs'!C4</f>
        <v>kWh</v>
      </c>
      <c r="D3" s="253" t="str">
        <f>'Energy Consumption &amp; Costs'!D4</f>
        <v>kW</v>
      </c>
      <c r="E3" s="253" t="str">
        <f>'Energy Consumption &amp; Costs'!E4</f>
        <v>kW</v>
      </c>
      <c r="F3" s="254" t="s">
        <v>2</v>
      </c>
      <c r="G3" s="996">
        <f>MAX(G5:G17)</f>
        <v>988.5699734073303</v>
      </c>
      <c r="H3" s="997"/>
      <c r="I3" s="786">
        <f>MAX(H5:H17)</f>
        <v>2222.5083533182124</v>
      </c>
    </row>
    <row r="4" spans="1:9" s="107" customFormat="1" ht="13.5" thickBot="1">
      <c r="A4" s="255"/>
      <c r="B4" s="256"/>
      <c r="C4" s="256"/>
      <c r="D4" s="256"/>
      <c r="E4" s="257">
        <f>MAX(E5:E16)</f>
        <v>1993.019590512334</v>
      </c>
      <c r="F4" s="258">
        <v>0</v>
      </c>
      <c r="G4" s="788"/>
      <c r="H4" s="786"/>
      <c r="I4" s="786"/>
    </row>
    <row r="5" spans="1:12" ht="13.5" thickBot="1">
      <c r="A5" s="247">
        <f>'Energy Consumption &amp; Costs'!A11</f>
        <v>37438</v>
      </c>
      <c r="B5" s="248">
        <f>'Energy Consumption &amp; Costs'!B11</f>
        <v>744</v>
      </c>
      <c r="C5" s="248">
        <f>'Energy Consumption &amp; Costs'!C11-((((Equipment!C33-Equipment!C32)*Equipment!C29)-(Equipment!N19/3))*Equipment!I11*2/5)</f>
        <v>1482806.5753411765</v>
      </c>
      <c r="D5" s="248">
        <f>'Energy Consumption &amp; Costs'!D11-((Equipment!C33-Equipment!C32)*Equipment!C20)-(Equipment!C44)</f>
        <v>573.2000000000002</v>
      </c>
      <c r="E5" s="248">
        <f aca="true" t="shared" si="0" ref="E5:E16">C5/B5</f>
        <v>1993.019590512334</v>
      </c>
      <c r="F5" s="259">
        <f>B5</f>
        <v>744</v>
      </c>
      <c r="G5" s="788" t="str">
        <f>IF(F4&lt;Equipment!G11,IF(G4="N/A",IF(F5&gt;Equipment!G11,(E5-(((E5-E4)*((F5-Equipment!G11)/(F5-F4))))),"N/A"),"N/A"),"N/A")</f>
        <v>N/A</v>
      </c>
      <c r="H5" s="786">
        <f>IF(E4&gt;=Equipment!C20,IF(E5&lt;Equipment!C20,(F5-(((F5-F4)*((E5-Equipment!C20)/(E5-E4))))),F5),0)</f>
        <v>744</v>
      </c>
      <c r="I5" s="792"/>
      <c r="J5" s="517"/>
      <c r="K5" s="180"/>
      <c r="L5" s="315"/>
    </row>
    <row r="6" spans="1:12" ht="13.5" thickBot="1">
      <c r="A6" s="247">
        <f>'Energy Consumption &amp; Costs'!A12</f>
        <v>37469</v>
      </c>
      <c r="B6" s="248">
        <f>'Energy Consumption &amp; Costs'!B12</f>
        <v>744</v>
      </c>
      <c r="C6" s="248">
        <f>'Energy Consumption &amp; Costs'!C12-((((Equipment!C33-Equipment!C32)*Equipment!C29)-(Equipment!N19/3))*Equipment!I11*2/5)</f>
        <v>1482000.5753411765</v>
      </c>
      <c r="D6" s="248">
        <f>'Energy Consumption &amp; Costs'!D12-((Equipment!C33-Equipment!C32)*Equipment!C20)-(Equipment!C44)</f>
        <v>579.2000000000002</v>
      </c>
      <c r="E6" s="248">
        <f t="shared" si="0"/>
        <v>1991.9362571790007</v>
      </c>
      <c r="F6" s="259">
        <f aca="true" t="shared" si="1" ref="F6:F16">F5+B6</f>
        <v>1488</v>
      </c>
      <c r="G6" s="788" t="str">
        <f>IF(F5&lt;Equipment!G11,IF(G5="N/A",IF(F6&gt;Equipment!G11,(E6-(((E6-E5)*((F6-Equipment!G11)/(F6-F5))))),"N/A"),"N/A"),"N/A")</f>
        <v>N/A</v>
      </c>
      <c r="H6" s="786">
        <f>IF(E5&gt;=Equipment!C20,IF(E6&lt;Equipment!C20,(F6-(((F6-F5)*((E6-Equipment!C20)/(E6-E5))))),F6),0)</f>
        <v>1488</v>
      </c>
      <c r="I6" s="792"/>
      <c r="J6" s="517"/>
      <c r="K6"/>
      <c r="L6" s="315"/>
    </row>
    <row r="7" spans="1:11" ht="13.5" thickBot="1">
      <c r="A7" s="247">
        <f>'Energy Consumption &amp; Costs'!A10</f>
        <v>37408</v>
      </c>
      <c r="B7" s="248">
        <f>'Energy Consumption &amp; Costs'!B10</f>
        <v>720</v>
      </c>
      <c r="C7" s="248">
        <f>'Energy Consumption &amp; Costs'!C10-((((Equipment!C33-Equipment!C32)*Equipment!C29)-(Equipment!N19/3))*Equipment!I11/5)</f>
        <v>1087351.2876705881</v>
      </c>
      <c r="D7" s="248">
        <f>'Energy Consumption &amp; Costs'!D10-((Equipment!C33-Equipment!C32)*Equipment!C20)-(Equipment!C44)</f>
        <v>529.2000000000002</v>
      </c>
      <c r="E7" s="248">
        <f t="shared" si="0"/>
        <v>1510.2101217647057</v>
      </c>
      <c r="F7" s="259">
        <f t="shared" si="1"/>
        <v>2208</v>
      </c>
      <c r="G7" s="788" t="str">
        <f>IF(F6&lt;Equipment!G11,IF(G6="N/A",IF(F7&gt;Equipment!G11,(E7-(((E7-E6)*((F7-Equipment!G11)/(F7-F6))))),"N/A"),"N/A"),"N/A")</f>
        <v>N/A</v>
      </c>
      <c r="H7" s="786">
        <f>IF(E6&gt;=Equipment!C20,IF(E7&lt;Equipment!C20,(F7-(((F7-F6)*((E7-Equipment!C20)/(E7-E6))))),F7),0)</f>
        <v>2208</v>
      </c>
      <c r="I7" s="793"/>
      <c r="J7" s="194"/>
      <c r="K7" s="195"/>
    </row>
    <row r="8" spans="1:9" ht="13.5" thickBot="1">
      <c r="A8" s="247">
        <f>'Energy Consumption &amp; Costs'!A13</f>
        <v>37500</v>
      </c>
      <c r="B8" s="248">
        <f>'Energy Consumption &amp; Costs'!B13</f>
        <v>720</v>
      </c>
      <c r="C8" s="248">
        <f>'Energy Consumption &amp; Costs'!C13</f>
        <v>722532</v>
      </c>
      <c r="D8" s="248">
        <f>'Energy Consumption &amp; Costs'!D13</f>
        <v>1329</v>
      </c>
      <c r="E8" s="248">
        <f t="shared" si="0"/>
        <v>1003.5166666666667</v>
      </c>
      <c r="F8" s="259">
        <f t="shared" si="1"/>
        <v>2928</v>
      </c>
      <c r="G8" s="788" t="str">
        <f>IF(F7&lt;Equipment!G11,IF(G7="N/A",IF(F8&gt;Equipment!G11,(E8-(((E8-E7)*((F8-Equipment!G11)/(F8-F7))))),"N/A"),"N/A"),"N/A")</f>
        <v>N/A</v>
      </c>
      <c r="H8" s="786">
        <f>IF(E7&gt;=Equipment!C20,IF(E8&lt;Equipment!C20,(F8-(((F8-F7)*((E8-Equipment!C20)/(E8-E7))))),F8),0)</f>
        <v>2222.5083533182124</v>
      </c>
      <c r="I8" s="794"/>
    </row>
    <row r="9" spans="1:9" ht="13.5" thickBot="1">
      <c r="A9" s="247">
        <f>'Energy Consumption &amp; Costs'!A9</f>
        <v>37377</v>
      </c>
      <c r="B9" s="248">
        <f>'Energy Consumption &amp; Costs'!B9</f>
        <v>744</v>
      </c>
      <c r="C9" s="248">
        <f>'Energy Consumption &amp; Costs'!C9</f>
        <v>716199</v>
      </c>
      <c r="D9" s="248">
        <f>'Energy Consumption &amp; Costs'!D9</f>
        <v>1311</v>
      </c>
      <c r="E9" s="248">
        <f t="shared" si="0"/>
        <v>962.633064516129</v>
      </c>
      <c r="F9" s="259">
        <f t="shared" si="1"/>
        <v>3672</v>
      </c>
      <c r="G9" s="788">
        <f>IF(F8&lt;Equipment!G11,IF(G8="N/A",IF(F9&gt;Equipment!G11,(E9-(((E9-E8)*((F9-Equipment!G11)/(F9-F8))))),"N/A"),"N/A"),"N/A")</f>
        <v>988.5699734073303</v>
      </c>
      <c r="H9" s="786">
        <f>IF(E8&gt;=Equipment!C20,IF(E9&lt;Equipment!C20,(F9-(((F9-F8)*((E9-Equipment!C20)/(E9-E8))))),F9),0)</f>
        <v>0</v>
      </c>
      <c r="I9" s="794"/>
    </row>
    <row r="10" spans="1:11" ht="13.5" thickBot="1">
      <c r="A10" s="247">
        <f>'Energy Consumption &amp; Costs'!A14</f>
        <v>37530</v>
      </c>
      <c r="B10" s="248">
        <f>'Energy Consumption &amp; Costs'!B14</f>
        <v>744</v>
      </c>
      <c r="C10" s="248">
        <f>'Energy Consumption &amp; Costs'!C14</f>
        <v>691080</v>
      </c>
      <c r="D10" s="248">
        <f>'Energy Consumption &amp; Costs'!D14</f>
        <v>1249</v>
      </c>
      <c r="E10" s="248">
        <f t="shared" si="0"/>
        <v>928.8709677419355</v>
      </c>
      <c r="F10" s="259">
        <f t="shared" si="1"/>
        <v>4416</v>
      </c>
      <c r="G10" s="788" t="str">
        <f>IF(F9&lt;Equipment!G11,IF(G9="N/A",IF(F10&gt;Equipment!G11,(E10-(((E10-E9)*((F10-Equipment!G11)/(F10-F9))))),"N/A"),"N/A"),"N/A")</f>
        <v>N/A</v>
      </c>
      <c r="H10" s="786">
        <f>IF(E9&gt;=Equipment!C20,IF(E10&lt;Equipment!C20,(F10-(((F10-F9)*((E10-Equipment!C20)/(E10-E9))))),F10),0)</f>
        <v>0</v>
      </c>
      <c r="I10" s="795"/>
      <c r="J10" s="180"/>
      <c r="K10" s="180"/>
    </row>
    <row r="11" spans="1:11" ht="13.5" thickBot="1">
      <c r="A11" s="247">
        <f>'Energy Consumption &amp; Costs'!A8</f>
        <v>37712</v>
      </c>
      <c r="B11" s="248">
        <f>'Energy Consumption &amp; Costs'!B8</f>
        <v>720</v>
      </c>
      <c r="C11" s="248">
        <f>'Energy Consumption &amp; Costs'!C8</f>
        <v>648328</v>
      </c>
      <c r="D11" s="248">
        <f>'Energy Consumption &amp; Costs'!D8</f>
        <v>1155</v>
      </c>
      <c r="E11" s="248">
        <f t="shared" si="0"/>
        <v>900.4555555555555</v>
      </c>
      <c r="F11" s="259">
        <f t="shared" si="1"/>
        <v>5136</v>
      </c>
      <c r="G11" s="788" t="str">
        <f>IF(F10&lt;Equipment!G11,IF(G10="N/A",IF(F11&gt;Equipment!G11,(E11-(((E11-E10)*((F11-Equipment!G11)/(F11-F10))))),"N/A"),"N/A"),"N/A")</f>
        <v>N/A</v>
      </c>
      <c r="H11" s="786">
        <f>IF(E10&gt;=Equipment!C20,IF(E11&lt;Equipment!C20,(F11-(((F11-F10)*((E11-Equipment!C20)/(E11-E10))))),F11),0)</f>
        <v>0</v>
      </c>
      <c r="I11" s="796"/>
      <c r="J11" s="322"/>
      <c r="K11" s="323"/>
    </row>
    <row r="12" spans="1:10" ht="13.5" thickBot="1">
      <c r="A12" s="247">
        <f>'Energy Consumption &amp; Costs'!A15</f>
        <v>37561</v>
      </c>
      <c r="B12" s="248">
        <f>'Energy Consumption &amp; Costs'!B15</f>
        <v>720</v>
      </c>
      <c r="C12" s="248">
        <f>'Energy Consumption &amp; Costs'!C15</f>
        <v>636733</v>
      </c>
      <c r="D12" s="248">
        <f>'Energy Consumption &amp; Costs'!D15</f>
        <v>1228</v>
      </c>
      <c r="E12" s="248">
        <f t="shared" si="0"/>
        <v>884.3513888888889</v>
      </c>
      <c r="F12" s="259">
        <f t="shared" si="1"/>
        <v>5856</v>
      </c>
      <c r="G12" s="788" t="str">
        <f>IF(F11&lt;Equipment!G11,IF(G11="N/A",IF(F12&gt;Equipment!G11,(E12-(((E12-E11)*((F12-Equipment!G11)/(F12-F11))))),"N/A"),"N/A"),"N/A")</f>
        <v>N/A</v>
      </c>
      <c r="H12" s="786">
        <f>IF(E11&gt;=Equipment!C20,IF(E12&lt;Equipment!C20,(F12-(((F12-F11)*((E12-Equipment!C20)/(E12-E11))))),F12),0)</f>
        <v>0</v>
      </c>
      <c r="I12" s="794"/>
      <c r="J12" s="105"/>
    </row>
    <row r="13" spans="1:9" ht="13.5" thickBot="1">
      <c r="A13" s="247">
        <f>'Energy Consumption &amp; Costs'!A7</f>
        <v>37681</v>
      </c>
      <c r="B13" s="248">
        <f>'Energy Consumption &amp; Costs'!B7</f>
        <v>744</v>
      </c>
      <c r="C13" s="248">
        <f>'Energy Consumption &amp; Costs'!C7</f>
        <v>650700</v>
      </c>
      <c r="D13" s="248">
        <f>'Energy Consumption &amp; Costs'!D7</f>
        <v>1199</v>
      </c>
      <c r="E13" s="248">
        <f t="shared" si="0"/>
        <v>874.5967741935484</v>
      </c>
      <c r="F13" s="259">
        <f t="shared" si="1"/>
        <v>6600</v>
      </c>
      <c r="G13" s="788" t="str">
        <f>IF(F12&lt;Equipment!G11,IF(G12="N/A",IF(F13&gt;Equipment!G11,(E13-(((E13-E12)*((F13-Equipment!G11)/(F13-F12))))),"N/A"),"N/A"),"N/A")</f>
        <v>N/A</v>
      </c>
      <c r="H13" s="786">
        <f>IF(E12&gt;=Equipment!C20,IF(E13&lt;Equipment!C20,(F13-(((F13-F12)*((E13-Equipment!C20)/(E13-E12))))),F13),0)</f>
        <v>0</v>
      </c>
      <c r="I13" s="794"/>
    </row>
    <row r="14" spans="1:9" ht="13.5" thickBot="1">
      <c r="A14" s="247">
        <f>'Energy Consumption &amp; Costs'!A6</f>
        <v>37653</v>
      </c>
      <c r="B14" s="248">
        <f>'Energy Consumption &amp; Costs'!B6</f>
        <v>672</v>
      </c>
      <c r="C14" s="248">
        <f>'Energy Consumption &amp; Costs'!C6</f>
        <v>580107</v>
      </c>
      <c r="D14" s="248">
        <f>'Energy Consumption &amp; Costs'!D6</f>
        <v>1076</v>
      </c>
      <c r="E14" s="248">
        <f t="shared" si="0"/>
        <v>863.2544642857143</v>
      </c>
      <c r="F14" s="259">
        <f t="shared" si="1"/>
        <v>7272</v>
      </c>
      <c r="G14" s="788" t="str">
        <f>IF(F13&lt;Equipment!G11,IF(G13="N/A",IF(F14&gt;Equipment!G11,(E14-(((E14-E13)*((F14-Equipment!G11)/(F14-F13))))),"N/A"),"N/A"),"N/A")</f>
        <v>N/A</v>
      </c>
      <c r="H14" s="786">
        <f>IF(E13&gt;=Equipment!C20,IF(E14&lt;Equipment!C20,(F14-(((F14-F13)*((E14-Equipment!C20)/(E14-E13))))),F14),0)</f>
        <v>0</v>
      </c>
      <c r="I14" s="794"/>
    </row>
    <row r="15" spans="1:9" ht="13.5" thickBot="1">
      <c r="A15" s="247">
        <f>'Energy Consumption &amp; Costs'!A5</f>
        <v>37622</v>
      </c>
      <c r="B15" s="248">
        <f>'Energy Consumption &amp; Costs'!B5</f>
        <v>744</v>
      </c>
      <c r="C15" s="248">
        <f>'Energy Consumption &amp; Costs'!C5</f>
        <v>640495</v>
      </c>
      <c r="D15" s="248">
        <f>'Energy Consumption &amp; Costs'!D5</f>
        <v>1079</v>
      </c>
      <c r="E15" s="248">
        <f>C15/B15</f>
        <v>860.880376344086</v>
      </c>
      <c r="F15" s="259">
        <f t="shared" si="1"/>
        <v>8016</v>
      </c>
      <c r="G15" s="788" t="str">
        <f>IF(F14&lt;Equipment!G11,IF(G14="N/A",IF(F15&gt;Equipment!G11,(E15-(((E15-E14)*((F15-Equipment!G11)/(F15-F14))))),"N/A"),"N/A"),"N/A")</f>
        <v>N/A</v>
      </c>
      <c r="H15" s="786">
        <f>IF(E14&gt;=Equipment!C20,IF(E15&lt;Equipment!C20,(F15-(((F15-F14)*((E15-Equipment!C20)/(E15-E14))))),F15),0)</f>
        <v>0</v>
      </c>
      <c r="I15" s="794"/>
    </row>
    <row r="16" spans="1:9" ht="13.5" thickBot="1">
      <c r="A16" s="247">
        <f>'Energy Consumption &amp; Costs'!A16</f>
        <v>37591</v>
      </c>
      <c r="B16" s="248">
        <f>'Energy Consumption &amp; Costs'!B16</f>
        <v>744</v>
      </c>
      <c r="C16" s="248">
        <f>'Energy Consumption &amp; Costs'!C16</f>
        <v>640442</v>
      </c>
      <c r="D16" s="248">
        <f>'Energy Consumption &amp; Costs'!D16</f>
        <v>1087</v>
      </c>
      <c r="E16" s="248">
        <f t="shared" si="0"/>
        <v>860.8091397849462</v>
      </c>
      <c r="F16" s="259">
        <f t="shared" si="1"/>
        <v>8760</v>
      </c>
      <c r="G16" s="788" t="str">
        <f>IF(F15&lt;Equipment!G11,IF(G15="N/A",IF(F16&gt;Equipment!G11,(E16-(((E16-E15)*((F16-Equipment!G11)/(F16-F15))))),"N/A"),"N/A"),"N/A")</f>
        <v>N/A</v>
      </c>
      <c r="H16" s="786">
        <f>IF(E15&gt;=Equipment!C20,IF(E16&lt;Equipment!C20,(F16-(((F16-F15)*((E16-Equipment!C20)/(E16-E15))))),F16),0)</f>
        <v>0</v>
      </c>
      <c r="I16" s="794"/>
    </row>
    <row r="17" spans="1:11" ht="13.5" thickBot="1">
      <c r="A17" s="260"/>
      <c r="B17" s="261"/>
      <c r="C17" s="261"/>
      <c r="D17" s="261"/>
      <c r="E17" s="261">
        <f>E16</f>
        <v>860.8091397849462</v>
      </c>
      <c r="F17" s="262">
        <f>F16+(B16/2)+(B17/2)</f>
        <v>9132</v>
      </c>
      <c r="G17" s="797" t="str">
        <f>IF(G2=8760,E17,"N/A")</f>
        <v>N/A</v>
      </c>
      <c r="H17" s="798">
        <f>IF(E16&gt;=Equipment!C20,IF(E17&lt;Equipment!C20,(F17-(((F17-F16)*((E17-Equipment!C20)/(E17-E16))))),F17),0)</f>
        <v>0</v>
      </c>
      <c r="I17" s="799"/>
      <c r="J17" s="194"/>
      <c r="K17" s="195"/>
    </row>
    <row r="18" spans="1:7" ht="13.5" thickBot="1">
      <c r="A18" s="263" t="str">
        <f>'Energy Consumption &amp; Costs'!A17</f>
        <v>Total</v>
      </c>
      <c r="B18" s="264">
        <f>'Energy Consumption &amp; Costs'!B17</f>
        <v>8760</v>
      </c>
      <c r="C18" s="265">
        <f>'Energy Consumption &amp; Costs'!C17</f>
        <v>8258928</v>
      </c>
      <c r="D18" s="266"/>
      <c r="E18" s="364">
        <f>AVERAGE(E5:E16)</f>
        <v>1136.211197286126</v>
      </c>
      <c r="F18" s="267"/>
      <c r="G18" s="268"/>
    </row>
    <row r="20" spans="1:9" ht="12.75">
      <c r="A20" s="269"/>
      <c r="B20" s="269"/>
      <c r="C20" s="269"/>
      <c r="D20" s="269"/>
      <c r="E20" s="269"/>
      <c r="F20" s="269"/>
      <c r="G20" s="269"/>
      <c r="H20" s="558"/>
      <c r="I20" s="269"/>
    </row>
    <row r="21" spans="1:9" ht="18.75" customHeight="1">
      <c r="A21" s="269"/>
      <c r="B21" s="269"/>
      <c r="C21" s="269"/>
      <c r="D21" s="269"/>
      <c r="E21" s="269"/>
      <c r="F21" s="269"/>
      <c r="G21" s="269"/>
      <c r="H21" s="558"/>
      <c r="I21" s="269"/>
    </row>
    <row r="22" ht="12.75">
      <c r="I22" s="269"/>
    </row>
  </sheetData>
  <mergeCells count="4">
    <mergeCell ref="C1:F1"/>
    <mergeCell ref="G1:H1"/>
    <mergeCell ref="I1:I2"/>
    <mergeCell ref="G3:H3"/>
  </mergeCells>
  <conditionalFormatting sqref="G17:G19 H5:H19 I10:I11">
    <cfRule type="cellIs" priority="1" dxfId="0" operator="equal" stopIfTrue="1">
      <formula>0</formula>
    </cfRule>
  </conditionalFormatting>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1:O37"/>
  <sheetViews>
    <sheetView workbookViewId="0" topLeftCell="A1">
      <selection activeCell="A5" sqref="A5:D16"/>
    </sheetView>
  </sheetViews>
  <sheetFormatPr defaultColWidth="9.140625" defaultRowHeight="12.75"/>
  <cols>
    <col min="1" max="1" width="9.140625" style="69" customWidth="1"/>
    <col min="2" max="2" width="10.57421875" style="69" bestFit="1" customWidth="1"/>
    <col min="3" max="3" width="12.00390625" style="69" bestFit="1" customWidth="1"/>
    <col min="4" max="4" width="12.140625" style="69" customWidth="1"/>
    <col min="5" max="5" width="12.140625" style="69" hidden="1" customWidth="1"/>
    <col min="6" max="6" width="12.140625" style="69" customWidth="1"/>
    <col min="7" max="7" width="11.140625" style="69" bestFit="1" customWidth="1"/>
    <col min="8" max="8" width="9.140625" style="69" customWidth="1"/>
    <col min="9" max="9" width="10.00390625" style="69" bestFit="1" customWidth="1"/>
    <col min="10" max="10" width="5.00390625" style="69" customWidth="1"/>
    <col min="11" max="11" width="8.421875" style="69" customWidth="1"/>
    <col min="12" max="12" width="11.421875" style="69" customWidth="1"/>
    <col min="13" max="13" width="7.57421875" style="69" bestFit="1" customWidth="1"/>
    <col min="14" max="14" width="6.421875" style="69" customWidth="1"/>
    <col min="15" max="16384" width="9.140625" style="69" customWidth="1"/>
  </cols>
  <sheetData>
    <row r="1" spans="1:9" ht="33.75" customHeight="1" thickBot="1">
      <c r="A1" s="108"/>
      <c r="B1" s="108"/>
      <c r="C1" s="1014" t="s">
        <v>179</v>
      </c>
      <c r="D1" s="1015"/>
      <c r="E1" s="1015"/>
      <c r="F1" s="1016"/>
      <c r="G1" s="1018" t="s">
        <v>177</v>
      </c>
      <c r="H1" s="1019"/>
      <c r="I1" s="1020"/>
    </row>
    <row r="2" spans="1:9" ht="26.25" thickBot="1">
      <c r="A2" s="109"/>
      <c r="B2" s="109"/>
      <c r="C2" s="567" t="s">
        <v>314</v>
      </c>
      <c r="D2" s="385" t="s">
        <v>178</v>
      </c>
      <c r="E2" s="384" t="s">
        <v>313</v>
      </c>
      <c r="F2" s="592" t="s">
        <v>310</v>
      </c>
      <c r="G2" s="111" t="s">
        <v>4</v>
      </c>
      <c r="H2" s="385" t="s">
        <v>253</v>
      </c>
      <c r="I2" s="386" t="s">
        <v>16</v>
      </c>
    </row>
    <row r="3" spans="1:13" ht="13.5" thickBot="1">
      <c r="A3" s="111" t="str">
        <f>'Energy Consumption &amp; Costs'!A4</f>
        <v>Month</v>
      </c>
      <c r="B3" s="112" t="str">
        <f>'Energy Consumption &amp; Costs'!B4</f>
        <v>Hour/Month</v>
      </c>
      <c r="C3" s="111" t="s">
        <v>180</v>
      </c>
      <c r="D3" s="389" t="s">
        <v>181</v>
      </c>
      <c r="E3" s="387" t="s">
        <v>312</v>
      </c>
      <c r="F3" s="386" t="s">
        <v>311</v>
      </c>
      <c r="G3" s="388" t="s">
        <v>182</v>
      </c>
      <c r="H3" s="389" t="s">
        <v>183</v>
      </c>
      <c r="I3" s="386" t="s">
        <v>2</v>
      </c>
      <c r="K3" s="1023" t="s">
        <v>152</v>
      </c>
      <c r="L3" s="1024"/>
      <c r="M3" s="1025"/>
    </row>
    <row r="4" spans="1:13" ht="13.5" thickBot="1">
      <c r="A4" s="599"/>
      <c r="B4" s="600"/>
      <c r="C4" s="599"/>
      <c r="D4" s="601">
        <f>MAX(D5:D16)</f>
        <v>547.945205479452</v>
      </c>
      <c r="E4" s="602"/>
      <c r="F4" s="603"/>
      <c r="G4" s="599"/>
      <c r="H4" s="601">
        <f>MAX(H5:H16)</f>
        <v>712.1617889781581</v>
      </c>
      <c r="I4" s="603">
        <v>0</v>
      </c>
      <c r="K4" s="390">
        <f>IF(D19/Equipment!C20&gt;1,1,D19/Equipment!C20)</f>
        <v>0.365296803652968</v>
      </c>
      <c r="L4" s="1021" t="str">
        <f>IF(K6=1,"With Sell Back","No Sell Back")</f>
        <v>No Sell Back</v>
      </c>
      <c r="M4" s="1022"/>
    </row>
    <row r="5" spans="1:13" ht="12.75">
      <c r="A5" s="247">
        <f>'Energy Consumption &amp; Costs'!A5</f>
        <v>37622</v>
      </c>
      <c r="B5" s="316">
        <f>'Energy Consumption &amp; Costs'!B5</f>
        <v>744</v>
      </c>
      <c r="C5" s="317">
        <f>IF($K$6=0,(IF(((Equipment!C20*'Energy Consumption &amp; Costs'!C22/8760*B5)-(Equipment!C20*Equipment!C25*'Energy Consumption &amp; Costs'!C22/8760*B5))&gt;E5,E5,(Equipment!C20*'Energy Consumption &amp; Costs'!C22/8760*B5)-(Equipment!C20*Equipment!C25*'Energy Consumption &amp; Costs'!C22/8760*B5))),(Equipment!C20*'Energy Consumption &amp; Costs'!C22/8760*B5)-(Equipment!C20*Equipment!C25*'Energy Consumption &amp; Costs'!C22/8760*B5))</f>
        <v>407671.23287671234</v>
      </c>
      <c r="D5" s="248">
        <f aca="true" t="shared" si="0" ref="D5:D16">C5/B5</f>
        <v>547.945205479452</v>
      </c>
      <c r="E5" s="595">
        <f>'CHP Electric Load Profile'!C5</f>
        <v>1482806.5753411765</v>
      </c>
      <c r="F5" s="593">
        <f aca="true" t="shared" si="1" ref="F5:F16">IF(C5-E5&gt;0,C5-E5,0)</f>
        <v>0</v>
      </c>
      <c r="G5" s="317">
        <f>C5*Equipment!C23/3412.8</f>
        <v>529848.3709997496</v>
      </c>
      <c r="H5" s="248">
        <f aca="true" t="shared" si="2" ref="H5:H16">G5/B5</f>
        <v>712.1617889781581</v>
      </c>
      <c r="I5" s="259">
        <f aca="true" t="shared" si="3" ref="I5:I17">I4+(B4/2)+(B5/2)</f>
        <v>372</v>
      </c>
      <c r="K5" s="391"/>
      <c r="L5" s="1017"/>
      <c r="M5" s="1017"/>
    </row>
    <row r="6" spans="1:11" ht="12.75">
      <c r="A6" s="247">
        <f>'Energy Consumption &amp; Costs'!A6</f>
        <v>37653</v>
      </c>
      <c r="B6" s="316">
        <f>'Energy Consumption &amp; Costs'!B6</f>
        <v>672</v>
      </c>
      <c r="C6" s="317">
        <f>IF($K$6=0,IF(((Equipment!C20*'Energy Consumption &amp; Costs'!C22/8760*B6)-(Equipment!C20*Equipment!C25*'Energy Consumption &amp; Costs'!C22/8760*B6))&gt;E6,E6,(Equipment!C20*'Energy Consumption &amp; Costs'!C22/8760*B6)-(Equipment!C20*Equipment!C25*'Energy Consumption &amp; Costs'!C22/8760*B6)),(Equipment!C20*'Energy Consumption &amp; Costs'!C22/8760*B6)-(Equipment!C20*Equipment!C25*'Energy Consumption &amp; Costs'!C22/8760*B6))</f>
        <v>368219.1780821918</v>
      </c>
      <c r="D6" s="248">
        <f t="shared" si="0"/>
        <v>547.945205479452</v>
      </c>
      <c r="E6" s="596">
        <f>'CHP Electric Load Profile'!C6</f>
        <v>1482000.5753411765</v>
      </c>
      <c r="F6" s="593">
        <f t="shared" si="1"/>
        <v>0</v>
      </c>
      <c r="G6" s="317">
        <f>C6*Equipment!C23/3412.8</f>
        <v>478572.7221933222</v>
      </c>
      <c r="H6" s="248">
        <f t="shared" si="2"/>
        <v>712.161788978158</v>
      </c>
      <c r="I6" s="259">
        <f t="shared" si="3"/>
        <v>1080</v>
      </c>
      <c r="K6" s="315">
        <f>IF(AND(M12="Yes",M14="Yes"),1,0)</f>
        <v>0</v>
      </c>
    </row>
    <row r="7" spans="1:9" ht="12.75">
      <c r="A7" s="247">
        <f>'Energy Consumption &amp; Costs'!A7</f>
        <v>37681</v>
      </c>
      <c r="B7" s="316">
        <f>'Energy Consumption &amp; Costs'!B7</f>
        <v>744</v>
      </c>
      <c r="C7" s="317">
        <f>IF($K$6=0,IF(((Equipment!C20*'Energy Consumption &amp; Costs'!C221/8760*B7)-(Equipment!C20*Equipment!C25*'Energy Consumption &amp; Costs'!C22/8760*B7))&gt;E7,E7,(Equipment!C20*'Energy Consumption &amp; Costs'!C22/8760*B7)-(Equipment!C20*Equipment!C25*'Energy Consumption &amp; Costs'!C22/8760*B7)),(Equipment!C20*'Energy Consumption &amp; Costs'!C22/8760*B7)-(Equipment!C20*Equipment!C25*'Energy Consumption &amp; Costs'!C22/8760*B7))</f>
        <v>407671.23287671234</v>
      </c>
      <c r="D7" s="248">
        <f t="shared" si="0"/>
        <v>547.945205479452</v>
      </c>
      <c r="E7" s="596">
        <f>'CHP Electric Load Profile'!C7</f>
        <v>1087351.2876705881</v>
      </c>
      <c r="F7" s="593">
        <f t="shared" si="1"/>
        <v>0</v>
      </c>
      <c r="G7" s="317">
        <f>C7*Equipment!C23/3412.8</f>
        <v>529848.3709997496</v>
      </c>
      <c r="H7" s="248">
        <f t="shared" si="2"/>
        <v>712.1617889781581</v>
      </c>
      <c r="I7" s="259">
        <f t="shared" si="3"/>
        <v>1788</v>
      </c>
    </row>
    <row r="8" spans="1:13" ht="13.5" thickBot="1">
      <c r="A8" s="247">
        <f>'Energy Consumption &amp; Costs'!A9</f>
        <v>37377</v>
      </c>
      <c r="B8" s="316">
        <f>'Energy Consumption &amp; Costs'!B9</f>
        <v>744</v>
      </c>
      <c r="C8" s="317">
        <f>IF($K$6=0,IF(((Equipment!C20*'Energy Consumption &amp; Costs'!C22/8760*B8)-(Equipment!C20*Equipment!C25*'Energy Consumption &amp; Costs'!C22/8760*B8))&gt;E8,E8,(Equipment!C20*'Energy Consumption &amp; Costs'!C22/8760*B8)-(Equipment!C20*Equipment!C25*'Energy Consumption &amp; Costs'!C22/8760*B8)),(Equipment!C20*'Energy Consumption &amp; Costs'!C22/8760*B8)-(Equipment!C20*Equipment!C25*'Energy Consumption &amp; Costs'!C22/8760*B8))</f>
        <v>407671.23287671234</v>
      </c>
      <c r="D8" s="248">
        <f t="shared" si="0"/>
        <v>547.945205479452</v>
      </c>
      <c r="E8" s="596">
        <f>'CHP Electric Load Profile'!C9</f>
        <v>716199</v>
      </c>
      <c r="F8" s="593">
        <f t="shared" si="1"/>
        <v>0</v>
      </c>
      <c r="G8" s="317">
        <f>C8*Equipment!C23/3412.8</f>
        <v>529848.3709997496</v>
      </c>
      <c r="H8" s="248">
        <f t="shared" si="2"/>
        <v>712.1617889781581</v>
      </c>
      <c r="I8" s="259">
        <f t="shared" si="3"/>
        <v>2532</v>
      </c>
      <c r="M8" s="392"/>
    </row>
    <row r="9" spans="1:14" ht="12.75">
      <c r="A9" s="247">
        <f>'Energy Consumption &amp; Costs'!A11</f>
        <v>37438</v>
      </c>
      <c r="B9" s="316">
        <f>'Energy Consumption &amp; Costs'!B11</f>
        <v>744</v>
      </c>
      <c r="C9" s="317">
        <f>IF($K$6=0,IF(((Equipment!C20*'Energy Consumption &amp; Costs'!C22/8760*B9)-(Equipment!C20*Equipment!C25*'Energy Consumption &amp; Costs'!C22/8760*B9))&gt;E9,E9,(Equipment!C20*'Energy Consumption &amp; Costs'!C22/8760*B9)-(Equipment!C20*Equipment!C25*'Energy Consumption &amp; Costs'!C22/8760*B9)),(Equipment!C20*'Energy Consumption &amp; Costs'!C22/8760*B9)-(Equipment!C20*Equipment!C25*'Energy Consumption &amp; Costs'!C22/8760*B9))</f>
        <v>407671.23287671234</v>
      </c>
      <c r="D9" s="248">
        <f t="shared" si="0"/>
        <v>547.945205479452</v>
      </c>
      <c r="E9" s="596">
        <f>'CHP Electric Load Profile'!C11</f>
        <v>648328</v>
      </c>
      <c r="F9" s="593">
        <f t="shared" si="1"/>
        <v>0</v>
      </c>
      <c r="G9" s="317">
        <f>C9*Equipment!C23/3412.8</f>
        <v>529848.3709997496</v>
      </c>
      <c r="H9" s="248">
        <f t="shared" si="2"/>
        <v>712.1617889781581</v>
      </c>
      <c r="I9" s="259">
        <f t="shared" si="3"/>
        <v>3276</v>
      </c>
      <c r="K9" s="964" t="s">
        <v>188</v>
      </c>
      <c r="L9" s="1003"/>
      <c r="M9" s="1003"/>
      <c r="N9" s="965"/>
    </row>
    <row r="10" spans="1:14" ht="13.5" thickBot="1">
      <c r="A10" s="247">
        <f>'Energy Consumption &amp; Costs'!A12</f>
        <v>37469</v>
      </c>
      <c r="B10" s="316">
        <f>'Energy Consumption &amp; Costs'!B12</f>
        <v>744</v>
      </c>
      <c r="C10" s="317">
        <f>IF($K$6=0,IF(((Equipment!C20*'Energy Consumption &amp; Costs'!C22/8760*B10)-(Equipment!C20*Equipment!C25*'Energy Consumption &amp; Costs'!C22/8760*B10))&gt;E10,E10,(Equipment!C20*'Energy Consumption &amp; Costs'!C22/8760*B10)-(Equipment!C20*Equipment!C25*'Energy Consumption &amp; Costs'!C22/8760*B10)),(Equipment!C20*'Energy Consumption &amp; Costs'!C22/8760*B10)-(Equipment!C20*Equipment!C25*'Energy Consumption &amp; Costs'!C22/8760*B10))</f>
        <v>407671.23287671234</v>
      </c>
      <c r="D10" s="248">
        <f t="shared" si="0"/>
        <v>547.945205479452</v>
      </c>
      <c r="E10" s="596">
        <f>'CHP Electric Load Profile'!C12</f>
        <v>636733</v>
      </c>
      <c r="F10" s="593">
        <f t="shared" si="1"/>
        <v>0</v>
      </c>
      <c r="G10" s="317">
        <f>C10*Equipment!C23/3412.8</f>
        <v>529848.3709997496</v>
      </c>
      <c r="H10" s="248">
        <f t="shared" si="2"/>
        <v>712.1617889781581</v>
      </c>
      <c r="I10" s="259">
        <f t="shared" si="3"/>
        <v>4020</v>
      </c>
      <c r="K10" s="383" t="s">
        <v>175</v>
      </c>
      <c r="L10" s="393"/>
      <c r="M10" s="393"/>
      <c r="N10" s="394"/>
    </row>
    <row r="11" spans="1:14" ht="12.75">
      <c r="A11" s="247">
        <f>'Energy Consumption &amp; Costs'!A16</f>
        <v>37591</v>
      </c>
      <c r="B11" s="316">
        <f>'Energy Consumption &amp; Costs'!B16</f>
        <v>744</v>
      </c>
      <c r="C11" s="317">
        <f>IF($K$6=0,IF(((Equipment!C20*'Energy Consumption &amp; Costs'!C22/8760*B11)-(Equipment!C20*Equipment!C25*'Energy Consumption &amp; Costs'!C22/8760*B11))&gt;E11,E11,(Equipment!C20*'Energy Consumption &amp; Costs'!C22/8760*B11)-(Equipment!C20*Equipment!C25*'Energy Consumption &amp; Costs'!C22/8760*B11)),(Equipment!C20*'Energy Consumption &amp; Costs'!C22/8760*B11)-(Equipment!C20*Equipment!C25*'Energy Consumption &amp; Costs'!C22/8760*B15))</f>
        <v>407671.23287671234</v>
      </c>
      <c r="D11" s="248">
        <f t="shared" si="0"/>
        <v>547.945205479452</v>
      </c>
      <c r="E11" s="596">
        <f>'CHP Electric Load Profile'!C16</f>
        <v>640442</v>
      </c>
      <c r="F11" s="593">
        <f t="shared" si="1"/>
        <v>0</v>
      </c>
      <c r="G11" s="317">
        <f>C11*Equipment!C23/3412.8</f>
        <v>529848.3709997496</v>
      </c>
      <c r="H11" s="248">
        <f t="shared" si="2"/>
        <v>712.1617889781581</v>
      </c>
      <c r="I11" s="259">
        <f t="shared" si="3"/>
        <v>4764</v>
      </c>
      <c r="K11" s="1008" t="s">
        <v>46</v>
      </c>
      <c r="L11" s="1009"/>
      <c r="M11" s="395">
        <f>Equipment!C21+(0.5*((Equipment!C23*Equipment!C21)/3412.8))</f>
        <v>57.74466713548992</v>
      </c>
      <c r="N11" s="125" t="s">
        <v>21</v>
      </c>
    </row>
    <row r="12" spans="1:14" ht="12.75">
      <c r="A12" s="247">
        <f>'Energy Consumption &amp; Costs'!A14</f>
        <v>37530</v>
      </c>
      <c r="B12" s="316">
        <f>'Energy Consumption &amp; Costs'!B14</f>
        <v>744</v>
      </c>
      <c r="C12" s="317">
        <f>IF($K$6=0,IF(((Equipment!C20*'Energy Consumption &amp; Costs'!C22/8760*B12)-(Equipment!C20*Equipment!C25*'Energy Consumption &amp; Costs'!C22/8760*B12))&gt;E12,E12,(Equipment!C20*'Energy Consumption &amp; Costs'!C22/8760*B12)-(Equipment!C20*Equipment!C25*'Energy Consumption &amp; Costs'!C22/8760*B12)),(Equipment!C20*'Energy Consumption &amp; Costs'!C22/8760*B12)-(Equipment!C20*Equipment!C25*'Energy Consumption &amp; Costs'!C22/8760*B12))</f>
        <v>407671.23287671234</v>
      </c>
      <c r="D12" s="248">
        <f t="shared" si="0"/>
        <v>547.945205479452</v>
      </c>
      <c r="E12" s="596">
        <f>'CHP Electric Load Profile'!C14</f>
        <v>580107</v>
      </c>
      <c r="F12" s="593">
        <f t="shared" si="1"/>
        <v>0</v>
      </c>
      <c r="G12" s="317">
        <f>C12*Equipment!C23/3412.8</f>
        <v>529848.3709997496</v>
      </c>
      <c r="H12" s="248">
        <f t="shared" si="2"/>
        <v>712.1617889781581</v>
      </c>
      <c r="I12" s="259">
        <f t="shared" si="3"/>
        <v>5508</v>
      </c>
      <c r="K12" s="1010" t="s">
        <v>174</v>
      </c>
      <c r="L12" s="1011"/>
      <c r="M12" s="1004" t="str">
        <f>IF(Equipment!C23/Equipment!C22&gt;0.15,(IF(M11&gt;42.5,"Yes","No")),(IF(M11&gt;45,"Yes","No")))</f>
        <v>Yes</v>
      </c>
      <c r="N12" s="1005"/>
    </row>
    <row r="13" spans="1:15" ht="12.75">
      <c r="A13" s="247">
        <f>'Energy Consumption &amp; Costs'!A8</f>
        <v>37712</v>
      </c>
      <c r="B13" s="316">
        <f>'Energy Consumption &amp; Costs'!B8</f>
        <v>720</v>
      </c>
      <c r="C13" s="351">
        <f>IF($K$6=0,IF(((Equipment!C20*'Energy Consumption &amp; Costs'!C22/8760*B13)-(Equipment!C20*Equipment!C25*'Energy Consumption &amp; Costs'!C22/8760*B13))&gt;E13,E13,(Equipment!C20*'Energy Consumption &amp; Costs'!C22/8760*B13)-(Equipment!C20*Equipment!C25*'Energy Consumption &amp; Costs'!C22/8760*B13)),(Equipment!C20*'Energy Consumption &amp; Costs'!C22/8760*B13)-(Equipment!C20*Equipment!C25*'Energy Consumption &amp; Costs'!C22/8760*B13))</f>
        <v>394520.5479452055</v>
      </c>
      <c r="D13" s="248">
        <f t="shared" si="0"/>
        <v>547.945205479452</v>
      </c>
      <c r="E13" s="596">
        <f>'CHP Electric Load Profile'!C8</f>
        <v>722532</v>
      </c>
      <c r="F13" s="593">
        <f t="shared" si="1"/>
        <v>0</v>
      </c>
      <c r="G13" s="317">
        <f>C13*Equipment!C23/3412.8</f>
        <v>512756.4880642737</v>
      </c>
      <c r="H13" s="248">
        <f t="shared" si="2"/>
        <v>712.1617889781579</v>
      </c>
      <c r="I13" s="259">
        <f t="shared" si="3"/>
        <v>6240</v>
      </c>
      <c r="K13" s="1010" t="s">
        <v>260</v>
      </c>
      <c r="L13" s="1011"/>
      <c r="M13" s="562">
        <f>IF(Sell_Back=1,F18,0)</f>
        <v>0</v>
      </c>
      <c r="N13" s="127" t="s">
        <v>3</v>
      </c>
      <c r="O13" s="315" t="s">
        <v>69</v>
      </c>
    </row>
    <row r="14" spans="1:15" ht="13.5" thickBot="1">
      <c r="A14" s="247">
        <f>'Energy Consumption &amp; Costs'!A10</f>
        <v>37408</v>
      </c>
      <c r="B14" s="316">
        <f>'Energy Consumption &amp; Costs'!B10</f>
        <v>720</v>
      </c>
      <c r="C14" s="317">
        <f>IF($K$6=0,IF(((Equipment!C20*'Energy Consumption &amp; Costs'!C22/8760*B14)-(Equipment!C20*Equipment!C25*'Energy Consumption &amp; Costs'!C22/8760*B14))&gt;E14,E14,(Equipment!C20*'Energy Consumption &amp; Costs'!C22/8760*B14)-(Equipment!C20*Equipment!C25*'Energy Consumption &amp; Costs'!C22/8760*B14)),(Equipment!C20*'Energy Consumption &amp; Costs'!C22/8760*B14)-(Equipment!C20*Equipment!C25*'Energy Consumption &amp; Costs'!C22/8760*B14))</f>
        <v>394520.5479452055</v>
      </c>
      <c r="D14" s="248">
        <f t="shared" si="0"/>
        <v>547.945205479452</v>
      </c>
      <c r="E14" s="596">
        <f>'CHP Electric Load Profile'!C10</f>
        <v>691080</v>
      </c>
      <c r="F14" s="593">
        <f t="shared" si="1"/>
        <v>0</v>
      </c>
      <c r="G14" s="317">
        <f>C14*Equipment!C23/3412.8</f>
        <v>512756.4880642737</v>
      </c>
      <c r="H14" s="248">
        <f t="shared" si="2"/>
        <v>712.1617889781579</v>
      </c>
      <c r="I14" s="259">
        <f t="shared" si="3"/>
        <v>6960</v>
      </c>
      <c r="K14" s="1012" t="s">
        <v>176</v>
      </c>
      <c r="L14" s="1013"/>
      <c r="M14" s="1006" t="str">
        <f>'Site Data'!N14</f>
        <v>No</v>
      </c>
      <c r="N14" s="1007"/>
      <c r="O14" s="361" t="s">
        <v>70</v>
      </c>
    </row>
    <row r="15" spans="1:15" ht="12.75">
      <c r="A15" s="247">
        <f>'Energy Consumption &amp; Costs'!A13</f>
        <v>37500</v>
      </c>
      <c r="B15" s="316">
        <f>'Energy Consumption &amp; Costs'!B13</f>
        <v>720</v>
      </c>
      <c r="C15" s="317">
        <f>IF($K$6=0,IF(((Equipment!C20*'Energy Consumption &amp; Costs'!C22/8760*B15)-(Equipment!C20*Equipment!C25*'Energy Consumption &amp; Costs'!C221/8760*B15))&gt;E15,E15,(Equipment!C20*'Energy Consumption &amp; Costs'!C22/8760*B15)-(Equipment!C20*Equipment!C25*'Energy Consumption &amp; Costs'!C22/8760*B15)),(Equipment!C20*'Energy Consumption &amp; Costs'!C22/8760*B15)-(Equipment!C20*Equipment!C25*'Energy Consumption &amp; Costs'!C22/8760*B15))</f>
        <v>394520.5479452055</v>
      </c>
      <c r="D15" s="248">
        <f t="shared" si="0"/>
        <v>547.945205479452</v>
      </c>
      <c r="E15" s="596">
        <f>'CHP Electric Load Profile'!C13</f>
        <v>650700</v>
      </c>
      <c r="F15" s="593">
        <f t="shared" si="1"/>
        <v>0</v>
      </c>
      <c r="G15" s="317">
        <f>C15*Equipment!C23/3412.8</f>
        <v>512756.4880642737</v>
      </c>
      <c r="H15" s="248">
        <f t="shared" si="2"/>
        <v>712.1617889781579</v>
      </c>
      <c r="I15" s="259">
        <f t="shared" si="3"/>
        <v>7680</v>
      </c>
      <c r="M15" s="396"/>
      <c r="N15" s="279"/>
      <c r="O15" s="361" t="s">
        <v>70</v>
      </c>
    </row>
    <row r="16" spans="1:13" ht="12.75">
      <c r="A16" s="247">
        <f>'Energy Consumption &amp; Costs'!A15</f>
        <v>37561</v>
      </c>
      <c r="B16" s="316">
        <f>'Energy Consumption &amp; Costs'!B15</f>
        <v>720</v>
      </c>
      <c r="C16" s="351">
        <f>IF($K$6=0,IF(((Equipment!C20*'Energy Consumption &amp; Costs'!C22/8760*B15)-(Equipment!C20*Equipment!C25*'Energy Consumption &amp; Costs'!C22/8760*B15))&gt;E16,E16,(Equipment!C20*'Energy Consumption &amp; Costs'!C22/8760*B16)-(Equipment!C20*Equipment!C25*'Energy Consumption &amp; Costs'!C22/8760*B16)),(Equipment!C20*'Energy Consumption &amp; Costs'!C22/8760*B16)-(Equipment!C20*Equipment!C25*'Energy Consumption &amp; Costs'!C22/8760*B16))</f>
        <v>394520.5479452055</v>
      </c>
      <c r="D16" s="248">
        <f t="shared" si="0"/>
        <v>547.945205479452</v>
      </c>
      <c r="E16" s="597">
        <f>'CHP Electric Load Profile'!C15</f>
        <v>640495</v>
      </c>
      <c r="F16" s="593">
        <f t="shared" si="1"/>
        <v>0</v>
      </c>
      <c r="G16" s="317">
        <f>C16*Equipment!C23/3412.8</f>
        <v>512756.4880642737</v>
      </c>
      <c r="H16" s="248">
        <f t="shared" si="2"/>
        <v>712.1617889781579</v>
      </c>
      <c r="I16" s="259">
        <f t="shared" si="3"/>
        <v>8400</v>
      </c>
      <c r="L16" s="397"/>
      <c r="M16" s="103"/>
    </row>
    <row r="17" spans="1:12" ht="13.5" thickBot="1">
      <c r="A17" s="260"/>
      <c r="B17" s="321"/>
      <c r="C17" s="318"/>
      <c r="D17" s="319">
        <f>MIN(D5:D16)</f>
        <v>547.945205479452</v>
      </c>
      <c r="E17" s="363"/>
      <c r="F17" s="320"/>
      <c r="G17" s="318"/>
      <c r="H17" s="319">
        <f>MIN(H5:H16)</f>
        <v>712.1617889781579</v>
      </c>
      <c r="I17" s="320">
        <f t="shared" si="3"/>
        <v>8760</v>
      </c>
      <c r="L17" s="397"/>
    </row>
    <row r="18" spans="1:12" ht="13.5" thickBot="1">
      <c r="A18" s="398" t="str">
        <f>'Energy Consumption &amp; Costs'!A17</f>
        <v>Total</v>
      </c>
      <c r="B18" s="336">
        <f>'Energy Consumption &amp; Costs'!B17</f>
        <v>8760</v>
      </c>
      <c r="C18" s="399">
        <f>SUM(C5:C16)</f>
        <v>4800000</v>
      </c>
      <c r="D18" s="800"/>
      <c r="E18" s="400">
        <f>SUM(E5:E16)</f>
        <v>9978774.43835294</v>
      </c>
      <c r="F18" s="594">
        <f>SUM(F5:F16)</f>
        <v>0</v>
      </c>
      <c r="G18" s="399">
        <f>SUM(G5:G16)</f>
        <v>6238537.271448666</v>
      </c>
      <c r="H18" s="192">
        <f>AVERAGE(H5:H16)</f>
        <v>712.1617889781581</v>
      </c>
      <c r="I18" s="401"/>
      <c r="L18" s="397"/>
    </row>
    <row r="19" spans="1:12" ht="13.5" thickBot="1">
      <c r="A19" s="402" t="s">
        <v>24</v>
      </c>
      <c r="B19" s="336">
        <f>AVERAGE(B5:B16)</f>
        <v>730</v>
      </c>
      <c r="C19" s="399">
        <f>AVERAGE(C5:C16)</f>
        <v>400000</v>
      </c>
      <c r="D19" s="598">
        <f>AVERAGE(D5:D16)</f>
        <v>547.945205479452</v>
      </c>
      <c r="E19" s="403"/>
      <c r="F19" s="119">
        <f>F18/B18</f>
        <v>0</v>
      </c>
      <c r="G19" s="399">
        <f>AVERAGE(G5:G16)</f>
        <v>519878.1059540555</v>
      </c>
      <c r="H19" s="192">
        <f>AVERAGE(H5:H16)</f>
        <v>712.1617889781581</v>
      </c>
      <c r="I19" s="299"/>
      <c r="L19" s="561"/>
    </row>
    <row r="22" spans="1:12" ht="12.75">
      <c r="A22" s="412"/>
      <c r="B22" s="412"/>
      <c r="C22" s="412"/>
      <c r="D22" s="412"/>
      <c r="E22" s="412"/>
      <c r="F22" s="412"/>
      <c r="G22" s="412"/>
      <c r="H22" s="412"/>
      <c r="I22" s="412"/>
      <c r="J22" s="412"/>
      <c r="K22" s="412"/>
      <c r="L22" s="412"/>
    </row>
    <row r="23" spans="1:12" ht="12.75">
      <c r="A23" s="412"/>
      <c r="B23" s="412"/>
      <c r="C23" s="412"/>
      <c r="D23" s="412"/>
      <c r="E23" s="412"/>
      <c r="F23" s="412"/>
      <c r="G23" s="412"/>
      <c r="H23" s="412"/>
      <c r="I23" s="412"/>
      <c r="J23" s="412"/>
      <c r="K23" s="412"/>
      <c r="L23" s="412"/>
    </row>
    <row r="25" ht="12.75">
      <c r="C25" s="103"/>
    </row>
    <row r="26" spans="1:6" ht="12.75">
      <c r="A26" s="378"/>
      <c r="B26" s="171"/>
      <c r="C26" s="108"/>
      <c r="D26" s="108"/>
      <c r="E26" s="108"/>
      <c r="F26" s="108"/>
    </row>
    <row r="27" spans="1:6" ht="12.75">
      <c r="A27" s="378"/>
      <c r="B27" s="171"/>
      <c r="C27" s="108"/>
      <c r="D27" s="108"/>
      <c r="E27" s="108"/>
      <c r="F27" s="108"/>
    </row>
    <row r="28" spans="1:6" ht="12.75">
      <c r="A28" s="378"/>
      <c r="B28" s="171"/>
      <c r="C28" s="108"/>
      <c r="D28" s="108"/>
      <c r="E28" s="108"/>
      <c r="F28" s="108"/>
    </row>
    <row r="29" spans="1:6" ht="12.75">
      <c r="A29" s="378"/>
      <c r="B29" s="171"/>
      <c r="C29" s="405"/>
      <c r="D29" s="108"/>
      <c r="E29" s="108"/>
      <c r="F29" s="108"/>
    </row>
    <row r="30" spans="1:6" ht="12.75">
      <c r="A30" s="378"/>
      <c r="B30" s="171"/>
      <c r="C30" s="108"/>
      <c r="D30" s="108"/>
      <c r="E30" s="108"/>
      <c r="F30" s="108"/>
    </row>
    <row r="31" spans="1:6" ht="12.75">
      <c r="A31" s="378"/>
      <c r="B31" s="171"/>
      <c r="C31" s="108"/>
      <c r="D31" s="108"/>
      <c r="E31" s="108"/>
      <c r="F31" s="108"/>
    </row>
    <row r="32" spans="1:6" ht="12.75">
      <c r="A32" s="378"/>
      <c r="B32" s="171"/>
      <c r="C32" s="108"/>
      <c r="D32" s="108"/>
      <c r="E32" s="108"/>
      <c r="F32" s="108"/>
    </row>
    <row r="33" spans="1:6" ht="12.75">
      <c r="A33" s="378"/>
      <c r="B33" s="171"/>
      <c r="C33" s="108"/>
      <c r="D33" s="108"/>
      <c r="E33" s="108"/>
      <c r="F33" s="108"/>
    </row>
    <row r="34" spans="1:6" ht="12.75">
      <c r="A34" s="378"/>
      <c r="B34" s="171"/>
      <c r="C34" s="108"/>
      <c r="D34" s="108"/>
      <c r="E34" s="108"/>
      <c r="F34" s="108"/>
    </row>
    <row r="35" spans="1:6" ht="12.75">
      <c r="A35" s="378"/>
      <c r="B35" s="171"/>
      <c r="C35" s="108"/>
      <c r="D35" s="108"/>
      <c r="E35" s="108"/>
      <c r="F35" s="108"/>
    </row>
    <row r="36" spans="1:6" ht="12.75">
      <c r="A36" s="378"/>
      <c r="B36" s="171"/>
      <c r="C36" s="108"/>
      <c r="D36" s="108"/>
      <c r="E36" s="108"/>
      <c r="F36" s="108"/>
    </row>
    <row r="37" spans="1:6" ht="12.75">
      <c r="A37" s="378"/>
      <c r="B37" s="171"/>
      <c r="C37" s="108"/>
      <c r="D37" s="108"/>
      <c r="E37" s="108"/>
      <c r="F37" s="108"/>
    </row>
  </sheetData>
  <mergeCells count="12">
    <mergeCell ref="C1:F1"/>
    <mergeCell ref="L5:M5"/>
    <mergeCell ref="G1:I1"/>
    <mergeCell ref="L4:M4"/>
    <mergeCell ref="K3:M3"/>
    <mergeCell ref="K9:N9"/>
    <mergeCell ref="M12:N12"/>
    <mergeCell ref="M14:N14"/>
    <mergeCell ref="K11:L11"/>
    <mergeCell ref="K12:L12"/>
    <mergeCell ref="K13:L13"/>
    <mergeCell ref="K14:L14"/>
  </mergeCells>
  <conditionalFormatting sqref="K3:K4 F5:F19">
    <cfRule type="cellIs" priority="1" dxfId="0" operator="equal" stopIfTrue="1">
      <formula>0</formula>
    </cfRule>
  </conditionalFormatting>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codeName="Sheet12">
    <pageSetUpPr fitToPage="1"/>
  </sheetPr>
  <dimension ref="A1:L30"/>
  <sheetViews>
    <sheetView workbookViewId="0" topLeftCell="A1">
      <selection activeCell="A5" sqref="A5:D16"/>
    </sheetView>
  </sheetViews>
  <sheetFormatPr defaultColWidth="9.140625" defaultRowHeight="12.75"/>
  <cols>
    <col min="1" max="1" width="9.140625" style="106" customWidth="1"/>
    <col min="2" max="2" width="10.57421875" style="106" customWidth="1"/>
    <col min="3" max="3" width="14.8515625" style="106" bestFit="1" customWidth="1"/>
    <col min="4" max="4" width="13.57421875" style="106" customWidth="1"/>
    <col min="5" max="5" width="10.57421875" style="106" customWidth="1"/>
    <col min="6" max="6" width="5.28125" style="375" customWidth="1"/>
    <col min="7" max="7" width="14.8515625" style="106" bestFit="1" customWidth="1"/>
    <col min="8" max="8" width="10.00390625" style="106" customWidth="1"/>
    <col min="9" max="9" width="11.00390625" style="106" bestFit="1" customWidth="1"/>
    <col min="10" max="10" width="11.00390625" style="107" bestFit="1" customWidth="1"/>
    <col min="11" max="11" width="27.28125" style="106" customWidth="1"/>
    <col min="12" max="12" width="13.00390625" style="106" customWidth="1"/>
    <col min="13" max="16384" width="9.140625" style="106" customWidth="1"/>
  </cols>
  <sheetData>
    <row r="1" spans="1:10" ht="12.75" customHeight="1" thickBot="1">
      <c r="A1" s="108"/>
      <c r="B1" s="365"/>
      <c r="C1" s="1026" t="s">
        <v>154</v>
      </c>
      <c r="D1" s="1027"/>
      <c r="E1" s="1028"/>
      <c r="F1" s="376"/>
      <c r="H1" s="109"/>
      <c r="I1" s="998"/>
      <c r="J1" s="998"/>
    </row>
    <row r="2" spans="1:10" s="107" customFormat="1" ht="26.25" thickBot="1">
      <c r="A2" s="666"/>
      <c r="B2" s="330"/>
      <c r="C2" s="331" t="s">
        <v>184</v>
      </c>
      <c r="D2" s="189" t="str">
        <f>'Energy Consumption &amp; Costs'!E2</f>
        <v>Average Demand</v>
      </c>
      <c r="E2" s="110" t="s">
        <v>16</v>
      </c>
      <c r="F2" s="372"/>
      <c r="G2" s="667" t="s">
        <v>153</v>
      </c>
      <c r="H2" s="181"/>
      <c r="I2" s="180"/>
      <c r="J2" s="180"/>
    </row>
    <row r="3" spans="1:10" s="107" customFormat="1" ht="13.5" thickBot="1">
      <c r="A3" s="111" t="str">
        <f>'Energy Consumption &amp; Costs'!A4</f>
        <v>Month</v>
      </c>
      <c r="B3" s="112" t="str">
        <f>'Energy Consumption &amp; Costs'!B4</f>
        <v>Hour/Month</v>
      </c>
      <c r="C3" s="332" t="s">
        <v>83</v>
      </c>
      <c r="D3" s="333" t="s">
        <v>156</v>
      </c>
      <c r="E3" s="334" t="s">
        <v>2</v>
      </c>
      <c r="F3" s="373"/>
      <c r="G3" s="175">
        <f>MAX(F5:F17)</f>
        <v>8760</v>
      </c>
      <c r="H3" s="180"/>
      <c r="I3" s="180"/>
      <c r="J3" s="180"/>
    </row>
    <row r="4" spans="1:6" s="107" customFormat="1" ht="13.5" thickBot="1">
      <c r="A4" s="113"/>
      <c r="B4" s="182"/>
      <c r="C4" s="184">
        <f>MAX(C5:C16)</f>
        <v>5768543542.857143</v>
      </c>
      <c r="D4" s="114"/>
      <c r="E4" s="185">
        <v>0</v>
      </c>
      <c r="F4" s="376"/>
    </row>
    <row r="5" spans="1:10" ht="12.75">
      <c r="A5" s="247">
        <f>'Energy Consumption &amp; Costs'!A12</f>
        <v>37469</v>
      </c>
      <c r="B5" s="176">
        <f>'Energy Consumption &amp; Costs'!B12</f>
        <v>744</v>
      </c>
      <c r="C5" s="357">
        <f>'Energy Consumption &amp; Costs'!O12+(Equipment!C30*(B5*2/3)*1000)+(Equipment!C41*(B5*2/3))</f>
        <v>5768543542.857143</v>
      </c>
      <c r="D5" s="187">
        <f aca="true" t="shared" si="0" ref="D5:D16">C5/3412.8/B5</f>
        <v>2271.8643754100403</v>
      </c>
      <c r="E5" s="335">
        <f aca="true" t="shared" si="1" ref="E5:E16">E4+(B4/2)+(B5/2)</f>
        <v>372</v>
      </c>
      <c r="F5" s="372">
        <f>IF(C4&gt;=(RESULTS!F11*1000000),IF(C5&lt;(RESULTS!F11*1000000),(E5-(((E5-E4)*((C5-(RESULTS!F11*1000000))/(C5-C4))))),0),E5)</f>
        <v>0</v>
      </c>
      <c r="G5" s="1029" t="s">
        <v>155</v>
      </c>
      <c r="J5" s="106"/>
    </row>
    <row r="6" spans="1:10" ht="12.75">
      <c r="A6" s="247">
        <f>'Energy Consumption &amp; Costs'!A11</f>
        <v>37438</v>
      </c>
      <c r="B6" s="176">
        <f>'Energy Consumption &amp; Costs'!B11</f>
        <v>744</v>
      </c>
      <c r="C6" s="351">
        <f>'Energy Consumption &amp; Costs'!O11+(Equipment!C30*(B6*2/3)*1000)+(Equipment!C41*(B6*2/3))</f>
        <v>5620886400</v>
      </c>
      <c r="D6" s="187">
        <f t="shared" si="0"/>
        <v>2213.7115678357</v>
      </c>
      <c r="E6" s="335">
        <f t="shared" si="1"/>
        <v>1116</v>
      </c>
      <c r="F6" s="372">
        <f>IF(C5&gt;=(RESULTS!F11*1000000),IF(C6&lt;(RESULTS!F11*1000000),(E6-(((E6-E5)*((C6-(RESULTS!F11*1000000))/(C6-C5))))),0),E6)</f>
        <v>0</v>
      </c>
      <c r="G6" s="1030"/>
      <c r="J6" s="106"/>
    </row>
    <row r="7" spans="1:10" ht="13.5" thickBot="1">
      <c r="A7" s="247">
        <f>'Energy Consumption &amp; Costs'!A10</f>
        <v>37408</v>
      </c>
      <c r="B7" s="176">
        <f>'Energy Consumption &amp; Costs'!B10</f>
        <v>720</v>
      </c>
      <c r="C7" s="351">
        <f>'Energy Consumption &amp; Costs'!O10+(Equipment!C30*(B7*2/3)*1000)+(Equipment!C41*(B7*2/3))</f>
        <v>5287917714.285714</v>
      </c>
      <c r="D7" s="187">
        <f t="shared" si="0"/>
        <v>2151.9954754835203</v>
      </c>
      <c r="E7" s="335">
        <f t="shared" si="1"/>
        <v>1848</v>
      </c>
      <c r="F7" s="372">
        <f>IF(C6&gt;=(RESULTS!F11*1000000),IF(C7&lt;(RESULTS!F11*1000000),(E7-(((E7-E6)*((C7-(RESULTS!JB25*1000000))/(C7-C6))))),0),E7)</f>
        <v>0</v>
      </c>
      <c r="G7" s="337">
        <f>IF((C18/3412.8)/'Generation Capability'!G18&gt;1,1,(C18/3412.8)/'Generation Capability'!G18)</f>
        <v>1</v>
      </c>
      <c r="J7" s="106"/>
    </row>
    <row r="8" spans="1:10" ht="12.75">
      <c r="A8" s="247">
        <f>'Energy Consumption &amp; Costs'!A5</f>
        <v>37622</v>
      </c>
      <c r="B8" s="176">
        <f>'Energy Consumption &amp; Costs'!B5</f>
        <v>744</v>
      </c>
      <c r="C8" s="351">
        <f>'Energy Consumption &amp; Costs'!O5</f>
        <v>3933180952.3809524</v>
      </c>
      <c r="D8" s="187">
        <f t="shared" si="0"/>
        <v>1549.031158622375</v>
      </c>
      <c r="E8" s="335">
        <f t="shared" si="1"/>
        <v>2580</v>
      </c>
      <c r="F8" s="377">
        <f>IF(C7&gt;=(RESULTS!F11*1000000),IF(C8&lt;(RESULTS!F11*1000000),(E8-(((E8-E7)*((C8-(RESULTS!F11*1000000))/(C8-C7))))),0),E8)</f>
        <v>2111.6348085475893</v>
      </c>
      <c r="G8" s="178"/>
      <c r="J8" s="106"/>
    </row>
    <row r="9" spans="1:10" ht="12.75">
      <c r="A9" s="247">
        <f>'Energy Consumption &amp; Costs'!A6</f>
        <v>37653</v>
      </c>
      <c r="B9" s="176">
        <f>'Energy Consumption &amp; Costs'!B6</f>
        <v>672</v>
      </c>
      <c r="C9" s="351">
        <f>'Energy Consumption &amp; Costs'!O6</f>
        <v>3317942857.1428576</v>
      </c>
      <c r="D9" s="187">
        <f t="shared" si="0"/>
        <v>1446.7343430574294</v>
      </c>
      <c r="E9" s="335">
        <f t="shared" si="1"/>
        <v>3288</v>
      </c>
      <c r="F9" s="377">
        <f>IF(C8&gt;=(RESULTS!F11*1000000),IF(C9&lt;(RESULTS!F11*1000000),(E9-(((E9-E8)*((C9-(RESULTS!F11*1000000))/(C9-C8))))),0),E9)</f>
        <v>3288</v>
      </c>
      <c r="G9" s="178"/>
      <c r="J9" s="106"/>
    </row>
    <row r="10" spans="1:10" ht="12.75">
      <c r="A10" s="247">
        <f>'Energy Consumption &amp; Costs'!A16</f>
        <v>37591</v>
      </c>
      <c r="B10" s="176">
        <f>'Energy Consumption &amp; Costs'!B16</f>
        <v>744</v>
      </c>
      <c r="C10" s="351">
        <f>'Energy Consumption &amp; Costs'!O16</f>
        <v>3621942857.1428576</v>
      </c>
      <c r="D10" s="187">
        <f t="shared" si="0"/>
        <v>1426.454162264697</v>
      </c>
      <c r="E10" s="335">
        <f t="shared" si="1"/>
        <v>3996</v>
      </c>
      <c r="F10" s="377">
        <f>IF(C9&gt;=(RESULTS!F11*1000000),IF(C10&lt;(RESULTS!F11*1000000),(E10-(((E10-E9)*((C10-(RESULTS!F11*1000000))/(C10-C9))))),0),E10)</f>
        <v>3996</v>
      </c>
      <c r="G10" s="178"/>
      <c r="J10" s="106"/>
    </row>
    <row r="11" spans="1:10" ht="12.75">
      <c r="A11" s="247">
        <f>'Energy Consumption &amp; Costs'!A7</f>
        <v>37681</v>
      </c>
      <c r="B11" s="176">
        <f>'Energy Consumption &amp; Costs'!B7</f>
        <v>744</v>
      </c>
      <c r="C11" s="351">
        <f>'Energy Consumption &amp; Costs'!O7</f>
        <v>3205752380.952381</v>
      </c>
      <c r="D11" s="187">
        <f t="shared" si="0"/>
        <v>1262.5430624840815</v>
      </c>
      <c r="E11" s="335">
        <f t="shared" si="1"/>
        <v>4740</v>
      </c>
      <c r="F11" s="377">
        <f>IF(C10&gt;=(RESULTS!F11*1000000),IF(C11&lt;(RESULTS!F11*1000000),(E11-(((E11-E10)*((C11-(RESULTS!F11*1000000))/(C11-C10))))),0),E11)</f>
        <v>4740</v>
      </c>
      <c r="J11" s="106"/>
    </row>
    <row r="12" spans="1:10" ht="12.75">
      <c r="A12" s="247">
        <f>'Energy Consumption &amp; Costs'!A15</f>
        <v>37561</v>
      </c>
      <c r="B12" s="176">
        <f>'Energy Consumption &amp; Costs'!B15</f>
        <v>720</v>
      </c>
      <c r="C12" s="351">
        <f>'Energy Consumption &amp; Costs'!O15</f>
        <v>2484838095.2380953</v>
      </c>
      <c r="D12" s="187">
        <f t="shared" si="0"/>
        <v>1011.2412157653602</v>
      </c>
      <c r="E12" s="335">
        <f t="shared" si="1"/>
        <v>5472</v>
      </c>
      <c r="F12" s="377">
        <f>IF(C11&gt;=(RESULTS!F11*1000000),IF(C12&lt;(RESULTS!F11*1000000),(E12-(((E12-E11)*((C12-(RESULTS!F11*1000000))/(C12-C11))))),0),E12)</f>
        <v>5472</v>
      </c>
      <c r="G12" s="178"/>
      <c r="J12" s="106"/>
    </row>
    <row r="13" spans="1:10" ht="12.75">
      <c r="A13" s="247">
        <f>'Energy Consumption &amp; Costs'!A8</f>
        <v>37712</v>
      </c>
      <c r="B13" s="176">
        <f>'Energy Consumption &amp; Costs'!B8</f>
        <v>720</v>
      </c>
      <c r="C13" s="351">
        <f>'Energy Consumption &amp; Costs'!O8</f>
        <v>2282895238.095238</v>
      </c>
      <c r="D13" s="187">
        <f t="shared" si="0"/>
        <v>929.0576156492706</v>
      </c>
      <c r="E13" s="335">
        <f t="shared" si="1"/>
        <v>6192</v>
      </c>
      <c r="F13" s="377">
        <f>IF(C12&gt;=(RESULTS!F11*1000000),IF(C13&lt;(RESULTS!F11*1000000),(E13-(((E13-E12)*((C13-(RESULTS!F11*1000000))/(C13-C12))))),0),E13)</f>
        <v>6192</v>
      </c>
      <c r="G13" s="178"/>
      <c r="J13" s="106"/>
    </row>
    <row r="14" spans="1:10" ht="12.75">
      <c r="A14" s="247">
        <f>'Energy Consumption &amp; Costs'!A14</f>
        <v>37530</v>
      </c>
      <c r="B14" s="176">
        <f>'Energy Consumption &amp; Costs'!B14</f>
        <v>744</v>
      </c>
      <c r="C14" s="351">
        <f>'Energy Consumption &amp; Costs'!O14</f>
        <v>1932571428.5714288</v>
      </c>
      <c r="D14" s="187">
        <f t="shared" si="0"/>
        <v>761.1176285465111</v>
      </c>
      <c r="E14" s="335">
        <f t="shared" si="1"/>
        <v>6924</v>
      </c>
      <c r="F14" s="377">
        <f>IF(C13&gt;=(RESULTS!F11*1000000),IF(C14&lt;(RESULTS!F11*1000000),(E14-(((E14-E13)*((C14-(RESULTS!F11*1000000))/(C14-C13))))),0),E14)</f>
        <v>6924</v>
      </c>
      <c r="G14" s="178"/>
      <c r="J14" s="106"/>
    </row>
    <row r="15" spans="1:10" ht="12.75">
      <c r="A15" s="247">
        <f>'Energy Consumption &amp; Costs'!A9</f>
        <v>37377</v>
      </c>
      <c r="B15" s="176">
        <f>'Energy Consumption &amp; Costs'!B9</f>
        <v>744</v>
      </c>
      <c r="C15" s="351">
        <f>'Energy Consumption &amp; Costs'!O9</f>
        <v>1825447619.047619</v>
      </c>
      <c r="D15" s="187">
        <f t="shared" si="0"/>
        <v>718.9283367768917</v>
      </c>
      <c r="E15" s="335">
        <f t="shared" si="1"/>
        <v>7668</v>
      </c>
      <c r="F15" s="377">
        <f>IF(C14&gt;=(RESULTS!F11*1000000),IF(C15&lt;(RESULTS!F11*1000000),(E15-(((E15-E14)*((C15-(RESULTS!F11*1000000))/(C15-C14))))),0),E15)</f>
        <v>7668</v>
      </c>
      <c r="G15" s="178"/>
      <c r="J15" s="106"/>
    </row>
    <row r="16" spans="1:10" ht="12.75">
      <c r="A16" s="247">
        <f>'Energy Consumption &amp; Costs'!A13</f>
        <v>37500</v>
      </c>
      <c r="B16" s="306">
        <f>'Energy Consumption &amp; Costs'!B13</f>
        <v>720</v>
      </c>
      <c r="C16" s="352">
        <f>'Energy Consumption &amp; Costs'!O13</f>
        <v>1666933333.3333335</v>
      </c>
      <c r="D16" s="307">
        <f t="shared" si="0"/>
        <v>678.382907051449</v>
      </c>
      <c r="E16" s="179">
        <f t="shared" si="1"/>
        <v>8400</v>
      </c>
      <c r="F16" s="377">
        <f>IF(C15&gt;=(RESULTS!F11*1000000),IF(C16&lt;(RESULTS!F11*1000000),(E16-(((E16-E15)*((C16-(RESULTS!F11*1000000))/(C16-C15))))),0),E16)</f>
        <v>8400</v>
      </c>
      <c r="G16" s="178"/>
      <c r="J16" s="106"/>
    </row>
    <row r="17" spans="1:10" ht="13.5" thickBot="1">
      <c r="A17" s="177"/>
      <c r="B17" s="164"/>
      <c r="C17" s="325">
        <f>MIN(C5:C16)</f>
        <v>1666933333.3333335</v>
      </c>
      <c r="D17" s="164">
        <f>MIN(D5:D16)</f>
        <v>678.382907051449</v>
      </c>
      <c r="E17" s="164">
        <v>8760</v>
      </c>
      <c r="F17" s="376">
        <f>E16+(B16/2)+(B17/2)</f>
        <v>8760</v>
      </c>
      <c r="G17" s="108"/>
      <c r="H17" s="107"/>
      <c r="J17" s="106"/>
    </row>
    <row r="18" spans="1:10" ht="13.5" thickBot="1">
      <c r="A18" s="118" t="str">
        <f>'Energy Consumption &amp; Costs'!A17</f>
        <v>Total</v>
      </c>
      <c r="B18" s="192">
        <f>'Energy Consumption &amp; Costs'!B17</f>
        <v>8760</v>
      </c>
      <c r="C18" s="336">
        <f>SUM(C5:C16)</f>
        <v>40948852419.04762</v>
      </c>
      <c r="D18" s="108"/>
      <c r="E18" s="108"/>
      <c r="F18" s="374"/>
      <c r="G18" s="116"/>
      <c r="H18" s="107"/>
      <c r="J18" s="106"/>
    </row>
    <row r="22" spans="1:12" ht="12.75">
      <c r="A22" s="269"/>
      <c r="B22" s="269"/>
      <c r="C22" s="269"/>
      <c r="D22" s="269"/>
      <c r="E22" s="269"/>
      <c r="F22" s="764"/>
      <c r="G22" s="269"/>
      <c r="H22" s="269"/>
      <c r="I22" s="269"/>
      <c r="J22" s="558"/>
      <c r="K22" s="269"/>
      <c r="L22" s="269"/>
    </row>
    <row r="23" spans="1:12" ht="16.5" customHeight="1">
      <c r="A23" s="269"/>
      <c r="B23" s="269"/>
      <c r="C23" s="269"/>
      <c r="D23" s="269"/>
      <c r="E23" s="269"/>
      <c r="F23" s="764"/>
      <c r="G23" s="269"/>
      <c r="H23" s="269"/>
      <c r="I23" s="269"/>
      <c r="J23" s="558"/>
      <c r="K23" s="269"/>
      <c r="L23" s="269"/>
    </row>
    <row r="30" ht="12.75">
      <c r="E30" s="103"/>
    </row>
  </sheetData>
  <mergeCells count="3">
    <mergeCell ref="C1:E1"/>
    <mergeCell ref="I1:J1"/>
    <mergeCell ref="G5:G6"/>
  </mergeCells>
  <conditionalFormatting sqref="H5:I19 G17:G19">
    <cfRule type="cellIs" priority="1" dxfId="0" operator="equal" stopIfTrue="1">
      <formula>0</formula>
    </cfRule>
  </conditionalFormatting>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codeName="Sheet7">
    <pageSetUpPr fitToPage="1"/>
  </sheetPr>
  <dimension ref="A1:P50"/>
  <sheetViews>
    <sheetView workbookViewId="0" topLeftCell="A1">
      <selection activeCell="E32" sqref="E32"/>
    </sheetView>
  </sheetViews>
  <sheetFormatPr defaultColWidth="9.140625" defaultRowHeight="12.75"/>
  <cols>
    <col min="1" max="1" width="34.00390625" style="2" customWidth="1"/>
    <col min="2" max="2" width="20.8515625" style="31" customWidth="1"/>
    <col min="3" max="5" width="10.7109375" style="2" bestFit="1" customWidth="1"/>
    <col min="6" max="6" width="11.140625" style="2" bestFit="1" customWidth="1"/>
    <col min="7" max="7" width="11.57421875" style="2" bestFit="1" customWidth="1"/>
    <col min="8" max="8" width="14.00390625" style="2" bestFit="1" customWidth="1"/>
    <col min="9" max="9" width="11.140625" style="2" bestFit="1" customWidth="1"/>
    <col min="10" max="10" width="16.00390625" style="2" customWidth="1"/>
    <col min="11" max="11" width="17.421875" style="3" hidden="1" customWidth="1"/>
    <col min="12" max="12" width="14.00390625" style="3" bestFit="1" customWidth="1"/>
    <col min="13" max="14" width="11.00390625" style="3" bestFit="1" customWidth="1"/>
    <col min="15" max="16" width="17.421875" style="3" customWidth="1"/>
    <col min="17" max="16384" width="9.140625" style="2" customWidth="1"/>
  </cols>
  <sheetData>
    <row r="1" spans="2:11" s="1" customFormat="1" ht="39" customHeight="1" thickBot="1">
      <c r="B1" s="274" t="s">
        <v>42</v>
      </c>
      <c r="C1" s="1039" t="s">
        <v>37</v>
      </c>
      <c r="D1" s="1040"/>
      <c r="E1" s="1041"/>
      <c r="F1" s="1039" t="s">
        <v>29</v>
      </c>
      <c r="G1" s="1041"/>
      <c r="H1" s="1042" t="s">
        <v>164</v>
      </c>
      <c r="I1" s="1043"/>
      <c r="J1" s="4" t="s">
        <v>333</v>
      </c>
      <c r="K1" s="367" t="s">
        <v>58</v>
      </c>
    </row>
    <row r="2" spans="1:16" ht="12.75">
      <c r="A2" s="6" t="s">
        <v>45</v>
      </c>
      <c r="B2" s="55" t="s">
        <v>33</v>
      </c>
      <c r="C2" s="7">
        <v>70</v>
      </c>
      <c r="D2" s="152">
        <v>300</v>
      </c>
      <c r="E2" s="57">
        <v>500</v>
      </c>
      <c r="F2" s="7">
        <v>30</v>
      </c>
      <c r="G2" s="59">
        <v>500</v>
      </c>
      <c r="H2" s="7">
        <v>500</v>
      </c>
      <c r="I2" s="8">
        <v>1000</v>
      </c>
      <c r="J2" s="63">
        <v>10</v>
      </c>
      <c r="K2" s="368">
        <v>10</v>
      </c>
      <c r="N2" s="2"/>
      <c r="O2" s="2"/>
      <c r="P2" s="2"/>
    </row>
    <row r="3" spans="1:16" ht="12.75">
      <c r="A3" s="9" t="s">
        <v>46</v>
      </c>
      <c r="B3" s="56" t="s">
        <v>43</v>
      </c>
      <c r="C3" s="10">
        <v>0.31</v>
      </c>
      <c r="D3" s="153">
        <v>0.34</v>
      </c>
      <c r="E3" s="58">
        <v>0.35</v>
      </c>
      <c r="F3" s="10">
        <v>0.27</v>
      </c>
      <c r="G3" s="60">
        <v>0.27</v>
      </c>
      <c r="H3" s="10">
        <v>0.27</v>
      </c>
      <c r="I3" s="11">
        <v>0.28</v>
      </c>
      <c r="J3" s="156">
        <v>0.4</v>
      </c>
      <c r="K3" s="58">
        <v>0.4</v>
      </c>
      <c r="N3" s="2"/>
      <c r="O3" s="2"/>
      <c r="P3" s="2"/>
    </row>
    <row r="4" spans="1:16" ht="12.75">
      <c r="A4" s="9" t="s">
        <v>144</v>
      </c>
      <c r="B4" s="56" t="s">
        <v>76</v>
      </c>
      <c r="C4" s="148">
        <f>((C2/C3*3412)*(1-C3))/C2</f>
        <v>7594.451612903226</v>
      </c>
      <c r="D4" s="149">
        <f aca="true" t="shared" si="0" ref="D4:K4">((D2/D3*3412)*(1-D3))/D2</f>
        <v>6623.294117647057</v>
      </c>
      <c r="E4" s="151">
        <f t="shared" si="0"/>
        <v>6336.571428571429</v>
      </c>
      <c r="F4" s="148">
        <f t="shared" si="0"/>
        <v>9225.037037037035</v>
      </c>
      <c r="G4" s="154">
        <f t="shared" si="0"/>
        <v>9225.037037037035</v>
      </c>
      <c r="H4" s="148">
        <f t="shared" si="0"/>
        <v>9225.037037037035</v>
      </c>
      <c r="I4" s="157">
        <f t="shared" si="0"/>
        <v>8773.714285714286</v>
      </c>
      <c r="J4" s="155">
        <f t="shared" si="0"/>
        <v>5118</v>
      </c>
      <c r="K4" s="151">
        <f t="shared" si="0"/>
        <v>5118</v>
      </c>
      <c r="N4" s="2"/>
      <c r="O4" s="2"/>
      <c r="P4" s="2"/>
    </row>
    <row r="5" spans="1:16" ht="12.75">
      <c r="A5" s="9" t="s">
        <v>217</v>
      </c>
      <c r="B5" s="56" t="s">
        <v>21</v>
      </c>
      <c r="C5" s="10">
        <v>0.55</v>
      </c>
      <c r="D5" s="153">
        <v>0.65</v>
      </c>
      <c r="E5" s="58">
        <v>0.7</v>
      </c>
      <c r="F5" s="10">
        <v>0.6</v>
      </c>
      <c r="G5" s="158">
        <v>0.65</v>
      </c>
      <c r="H5" s="10">
        <v>0.55</v>
      </c>
      <c r="I5" s="11">
        <v>0.6</v>
      </c>
      <c r="J5" s="156">
        <f>1-J3-0.05</f>
        <v>0.5499999999999999</v>
      </c>
      <c r="K5" s="58">
        <f>1-K3-0.05</f>
        <v>0.5499999999999999</v>
      </c>
      <c r="N5" s="2"/>
      <c r="O5" s="2"/>
      <c r="P5" s="2"/>
    </row>
    <row r="6" spans="1:16" ht="12.75">
      <c r="A6" s="9" t="s">
        <v>145</v>
      </c>
      <c r="B6" s="56" t="s">
        <v>76</v>
      </c>
      <c r="C6" s="148">
        <f aca="true" t="shared" si="1" ref="C6:I6">C4*C5</f>
        <v>4176.948387096775</v>
      </c>
      <c r="D6" s="149">
        <f t="shared" si="1"/>
        <v>4305.141176470587</v>
      </c>
      <c r="E6" s="150">
        <f t="shared" si="1"/>
        <v>4435.6</v>
      </c>
      <c r="F6" s="148">
        <f t="shared" si="1"/>
        <v>5535.022222222221</v>
      </c>
      <c r="G6" s="154">
        <f t="shared" si="1"/>
        <v>5996.274074074073</v>
      </c>
      <c r="H6" s="148">
        <f t="shared" si="1"/>
        <v>5073.770370370369</v>
      </c>
      <c r="I6" s="157">
        <f t="shared" si="1"/>
        <v>5264.228571428572</v>
      </c>
      <c r="J6" s="155">
        <f>J4*J5</f>
        <v>2814.8999999999996</v>
      </c>
      <c r="K6" s="151">
        <f>K4*K5</f>
        <v>2814.8999999999996</v>
      </c>
      <c r="N6" s="2"/>
      <c r="O6" s="2"/>
      <c r="P6" s="2"/>
    </row>
    <row r="7" spans="1:16" ht="12.75">
      <c r="A7" s="12" t="s">
        <v>47</v>
      </c>
      <c r="B7" s="56" t="s">
        <v>44</v>
      </c>
      <c r="C7" s="358">
        <v>1800</v>
      </c>
      <c r="D7" s="359">
        <v>1500</v>
      </c>
      <c r="E7" s="360">
        <v>1200</v>
      </c>
      <c r="F7" s="13">
        <v>2000</v>
      </c>
      <c r="G7" s="52">
        <v>1700</v>
      </c>
      <c r="H7" s="358">
        <v>1100</v>
      </c>
      <c r="I7" s="604">
        <v>900</v>
      </c>
      <c r="J7" s="605">
        <v>4500</v>
      </c>
      <c r="K7" s="369">
        <v>5000</v>
      </c>
      <c r="N7" s="2"/>
      <c r="O7" s="2"/>
      <c r="P7" s="2"/>
    </row>
    <row r="8" spans="1:16" ht="13.5" thickBot="1">
      <c r="A8" s="614" t="s">
        <v>53</v>
      </c>
      <c r="B8" s="275" t="s">
        <v>158</v>
      </c>
      <c r="C8" s="615">
        <v>0.015</v>
      </c>
      <c r="D8" s="616">
        <v>0.012</v>
      </c>
      <c r="E8" s="617">
        <v>0.008</v>
      </c>
      <c r="F8" s="615">
        <v>0.01</v>
      </c>
      <c r="G8" s="618">
        <v>0.009</v>
      </c>
      <c r="H8" s="615">
        <v>0.009</v>
      </c>
      <c r="I8" s="619">
        <v>0.0055</v>
      </c>
      <c r="J8" s="620">
        <v>0.015</v>
      </c>
      <c r="K8" s="370">
        <v>0.015</v>
      </c>
      <c r="N8" s="2"/>
      <c r="O8" s="2"/>
      <c r="P8" s="2"/>
    </row>
    <row r="9" spans="1:16" ht="13.5" hidden="1" thickBot="1">
      <c r="A9" s="606" t="s">
        <v>407</v>
      </c>
      <c r="B9" s="607" t="s">
        <v>160</v>
      </c>
      <c r="C9" s="608"/>
      <c r="D9" s="609"/>
      <c r="E9" s="610"/>
      <c r="F9" s="611"/>
      <c r="G9" s="612"/>
      <c r="H9" s="608"/>
      <c r="I9" s="612"/>
      <c r="J9" s="613"/>
      <c r="K9" s="371"/>
      <c r="P9" s="2"/>
    </row>
    <row r="10" ht="12.75">
      <c r="A10" s="664" t="s">
        <v>218</v>
      </c>
    </row>
    <row r="11" ht="12.75">
      <c r="A11" s="665" t="s">
        <v>38</v>
      </c>
    </row>
    <row r="12" ht="13.5" thickBot="1">
      <c r="A12" s="348"/>
    </row>
    <row r="13" spans="1:3" ht="13.5" thickBot="1">
      <c r="A13" s="693" t="s">
        <v>394</v>
      </c>
      <c r="B13" s="33" t="s">
        <v>44</v>
      </c>
      <c r="C13" s="694">
        <v>350</v>
      </c>
    </row>
    <row r="15" ht="13.5" thickBot="1"/>
    <row r="16" spans="1:10" ht="13.5" thickBot="1">
      <c r="A16" s="18" t="s">
        <v>39</v>
      </c>
      <c r="B16" s="34"/>
      <c r="C16" s="34"/>
      <c r="D16" s="34"/>
      <c r="E16" s="34"/>
      <c r="F16" s="34"/>
      <c r="G16" s="34"/>
      <c r="H16" s="34"/>
      <c r="I16" s="34"/>
      <c r="J16" s="50"/>
    </row>
    <row r="17" spans="1:10" ht="13.5" thickBot="1">
      <c r="A17" s="32" t="s">
        <v>57</v>
      </c>
      <c r="B17" s="33" t="s">
        <v>49</v>
      </c>
      <c r="C17" s="15">
        <v>10</v>
      </c>
      <c r="D17" s="15">
        <v>55</v>
      </c>
      <c r="E17" s="15">
        <v>100</v>
      </c>
      <c r="F17" s="16">
        <v>200</v>
      </c>
      <c r="G17" s="17">
        <v>300</v>
      </c>
      <c r="H17" s="17">
        <v>500</v>
      </c>
      <c r="I17" s="16">
        <v>1000</v>
      </c>
      <c r="J17" s="66">
        <v>2000</v>
      </c>
    </row>
    <row r="18" spans="1:10" ht="12.75">
      <c r="A18" s="19" t="s">
        <v>347</v>
      </c>
      <c r="B18" s="55" t="s">
        <v>50</v>
      </c>
      <c r="C18" s="37">
        <f>1200+450</f>
        <v>1650</v>
      </c>
      <c r="D18" s="38">
        <f>950+410</f>
        <v>1360</v>
      </c>
      <c r="E18" s="38">
        <f>700+375</f>
        <v>1075</v>
      </c>
      <c r="F18" s="39">
        <f>650+340</f>
        <v>990</v>
      </c>
      <c r="G18" s="40">
        <f>550+300</f>
        <v>850</v>
      </c>
      <c r="H18" s="40">
        <f>400+280</f>
        <v>680</v>
      </c>
      <c r="I18" s="39">
        <f>400+220</f>
        <v>620</v>
      </c>
      <c r="J18" s="49">
        <f>300+200</f>
        <v>500</v>
      </c>
    </row>
    <row r="19" spans="1:10" ht="12.75">
      <c r="A19" s="20" t="s">
        <v>48</v>
      </c>
      <c r="B19" s="56" t="s">
        <v>412</v>
      </c>
      <c r="C19" s="41">
        <v>80</v>
      </c>
      <c r="D19" s="42">
        <v>55</v>
      </c>
      <c r="E19" s="42">
        <v>30</v>
      </c>
      <c r="F19" s="43">
        <v>40</v>
      </c>
      <c r="G19" s="44">
        <v>30</v>
      </c>
      <c r="H19" s="44">
        <v>20</v>
      </c>
      <c r="I19" s="43">
        <v>20</v>
      </c>
      <c r="J19" s="45">
        <v>20</v>
      </c>
    </row>
    <row r="20" spans="1:10" ht="12.75">
      <c r="A20" s="20" t="s">
        <v>54</v>
      </c>
      <c r="B20" s="53" t="s">
        <v>185</v>
      </c>
      <c r="C20" s="21">
        <v>19</v>
      </c>
      <c r="D20" s="22">
        <v>18</v>
      </c>
      <c r="E20" s="22">
        <v>17</v>
      </c>
      <c r="F20" s="23">
        <v>17</v>
      </c>
      <c r="G20" s="24">
        <v>17</v>
      </c>
      <c r="H20" s="24">
        <v>17</v>
      </c>
      <c r="I20" s="46">
        <v>17</v>
      </c>
      <c r="J20" s="47">
        <v>17</v>
      </c>
    </row>
    <row r="21" spans="1:10" ht="12.75">
      <c r="A21" s="280" t="s">
        <v>55</v>
      </c>
      <c r="B21" s="281" t="s">
        <v>52</v>
      </c>
      <c r="C21" s="282">
        <v>0.03</v>
      </c>
      <c r="D21" s="283">
        <v>0.03</v>
      </c>
      <c r="E21" s="283">
        <v>0.03</v>
      </c>
      <c r="F21" s="284">
        <v>0.03</v>
      </c>
      <c r="G21" s="285">
        <v>0.03</v>
      </c>
      <c r="H21" s="285">
        <v>0.03</v>
      </c>
      <c r="I21" s="284">
        <v>0.03</v>
      </c>
      <c r="J21" s="293">
        <v>0.03</v>
      </c>
    </row>
    <row r="22" spans="1:10" ht="13.5" thickBot="1">
      <c r="A22" s="30" t="s">
        <v>162</v>
      </c>
      <c r="B22" s="54" t="s">
        <v>52</v>
      </c>
      <c r="C22" s="309">
        <v>0.6</v>
      </c>
      <c r="D22" s="294">
        <v>0.6</v>
      </c>
      <c r="E22" s="294">
        <v>0.6</v>
      </c>
      <c r="F22" s="294">
        <v>0.6</v>
      </c>
      <c r="G22" s="294">
        <v>0.6</v>
      </c>
      <c r="H22" s="294">
        <v>0.6</v>
      </c>
      <c r="I22" s="294">
        <v>0.6</v>
      </c>
      <c r="J22" s="65">
        <v>0.6</v>
      </c>
    </row>
    <row r="23" spans="1:10" ht="13.5" hidden="1" thickBot="1">
      <c r="A23" s="64"/>
      <c r="B23" s="621"/>
      <c r="C23" s="35"/>
      <c r="D23" s="35"/>
      <c r="E23" s="35"/>
      <c r="F23" s="35"/>
      <c r="G23" s="35"/>
      <c r="H23" s="35"/>
      <c r="I23" s="35"/>
      <c r="J23" s="621"/>
    </row>
    <row r="24" spans="1:10" ht="13.5" hidden="1" thickBot="1">
      <c r="A24" s="25" t="s">
        <v>40</v>
      </c>
      <c r="B24" s="34"/>
      <c r="C24" s="34"/>
      <c r="D24" s="34"/>
      <c r="E24" s="34"/>
      <c r="F24" s="34"/>
      <c r="G24" s="34"/>
      <c r="H24" s="34"/>
      <c r="I24" s="34"/>
      <c r="J24" s="50"/>
    </row>
    <row r="25" spans="1:10" ht="13.5" hidden="1" thickBot="1">
      <c r="A25" s="32" t="s">
        <v>57</v>
      </c>
      <c r="B25" s="33"/>
      <c r="C25" s="15">
        <v>10</v>
      </c>
      <c r="D25" s="15">
        <v>55</v>
      </c>
      <c r="E25" s="15">
        <v>100</v>
      </c>
      <c r="F25" s="16">
        <v>200</v>
      </c>
      <c r="G25" s="17">
        <v>300</v>
      </c>
      <c r="H25" s="17">
        <v>500</v>
      </c>
      <c r="I25" s="16">
        <v>1000</v>
      </c>
      <c r="J25" s="48">
        <v>2000</v>
      </c>
    </row>
    <row r="26" spans="1:10" ht="12.75" hidden="1">
      <c r="A26" s="19" t="s">
        <v>347</v>
      </c>
      <c r="B26" s="55" t="s">
        <v>50</v>
      </c>
      <c r="C26" s="37"/>
      <c r="D26" s="38"/>
      <c r="E26" s="38"/>
      <c r="F26" s="39"/>
      <c r="G26" s="40"/>
      <c r="H26" s="40"/>
      <c r="I26" s="40"/>
      <c r="J26" s="51"/>
    </row>
    <row r="27" spans="1:10" ht="12.75" hidden="1">
      <c r="A27" s="20" t="s">
        <v>53</v>
      </c>
      <c r="B27" s="56" t="s">
        <v>412</v>
      </c>
      <c r="C27" s="42"/>
      <c r="D27" s="42"/>
      <c r="E27" s="42"/>
      <c r="F27" s="43"/>
      <c r="G27" s="44"/>
      <c r="H27" s="44"/>
      <c r="I27" s="821"/>
      <c r="J27" s="52"/>
    </row>
    <row r="28" spans="1:10" ht="12.75" hidden="1">
      <c r="A28" s="20" t="s">
        <v>54</v>
      </c>
      <c r="B28" s="53" t="s">
        <v>185</v>
      </c>
      <c r="C28" s="26"/>
      <c r="D28" s="27"/>
      <c r="E28" s="27"/>
      <c r="F28" s="28"/>
      <c r="G28" s="29"/>
      <c r="H28" s="29"/>
      <c r="I28" s="29"/>
      <c r="J28" s="14"/>
    </row>
    <row r="29" spans="1:10" ht="12.75" hidden="1">
      <c r="A29" s="280" t="s">
        <v>55</v>
      </c>
      <c r="B29" s="281" t="s">
        <v>52</v>
      </c>
      <c r="C29" s="282"/>
      <c r="D29" s="283"/>
      <c r="E29" s="283"/>
      <c r="F29" s="284"/>
      <c r="G29" s="285"/>
      <c r="H29" s="285"/>
      <c r="I29" s="285"/>
      <c r="J29" s="295"/>
    </row>
    <row r="30" spans="1:10" ht="13.5" hidden="1" thickBot="1">
      <c r="A30" s="30" t="s">
        <v>162</v>
      </c>
      <c r="B30" s="54" t="s">
        <v>52</v>
      </c>
      <c r="C30" s="309"/>
      <c r="D30" s="309"/>
      <c r="E30" s="309"/>
      <c r="F30" s="309"/>
      <c r="G30" s="309"/>
      <c r="H30" s="309"/>
      <c r="I30" s="309"/>
      <c r="J30" s="309"/>
    </row>
    <row r="31" spans="1:10" ht="13.5" thickBot="1">
      <c r="A31" s="623" t="s">
        <v>348</v>
      </c>
      <c r="B31" s="624"/>
      <c r="C31" s="624"/>
      <c r="D31" s="624"/>
      <c r="E31" s="624"/>
      <c r="F31" s="624"/>
      <c r="G31" s="624"/>
      <c r="H31" s="624"/>
      <c r="I31" s="624"/>
      <c r="J31" s="624"/>
    </row>
    <row r="32" spans="1:16" s="36" customFormat="1" ht="13.5" thickBot="1">
      <c r="A32" s="693" t="s">
        <v>395</v>
      </c>
      <c r="B32" s="33" t="s">
        <v>44</v>
      </c>
      <c r="C32" s="694">
        <v>135</v>
      </c>
      <c r="D32" s="35"/>
      <c r="E32" s="35"/>
      <c r="F32" s="35"/>
      <c r="G32" s="35"/>
      <c r="H32" s="35"/>
      <c r="I32" s="35"/>
      <c r="J32" s="5"/>
      <c r="K32" s="5"/>
      <c r="L32" s="5"/>
      <c r="M32" s="5"/>
      <c r="N32" s="5"/>
      <c r="O32" s="5"/>
      <c r="P32" s="5"/>
    </row>
    <row r="33" spans="1:8" ht="13.5" thickBot="1">
      <c r="A33" s="640"/>
      <c r="B33" s="624"/>
      <c r="C33" s="640"/>
      <c r="D33" s="640"/>
      <c r="E33" s="640"/>
      <c r="F33" s="640"/>
      <c r="G33" s="640"/>
      <c r="H33" s="640"/>
    </row>
    <row r="34" spans="1:9" ht="12.75" customHeight="1" thickBot="1">
      <c r="A34" s="1044" t="s">
        <v>349</v>
      </c>
      <c r="B34" s="1036"/>
      <c r="C34" s="1037"/>
      <c r="D34" s="1037"/>
      <c r="E34" s="1037"/>
      <c r="F34" s="1037"/>
      <c r="G34" s="1037"/>
      <c r="H34" s="1037"/>
      <c r="I34" s="1038"/>
    </row>
    <row r="35" spans="1:9" ht="12.75" customHeight="1">
      <c r="A35" s="695" t="s">
        <v>350</v>
      </c>
      <c r="B35" s="695" t="s">
        <v>42</v>
      </c>
      <c r="C35" s="1031" t="s">
        <v>250</v>
      </c>
      <c r="D35" s="1031"/>
      <c r="E35" s="1031"/>
      <c r="F35" s="1032"/>
      <c r="G35" s="1033" t="s">
        <v>251</v>
      </c>
      <c r="H35" s="1031"/>
      <c r="I35" s="1034"/>
    </row>
    <row r="36" spans="1:9" ht="12.75">
      <c r="A36" s="696" t="s">
        <v>351</v>
      </c>
      <c r="B36" s="698" t="s">
        <v>41</v>
      </c>
      <c r="C36" s="625">
        <v>600</v>
      </c>
      <c r="D36" s="626">
        <v>4500</v>
      </c>
      <c r="E36" s="626">
        <v>20000</v>
      </c>
      <c r="F36" s="626">
        <v>40000</v>
      </c>
      <c r="G36" s="626">
        <v>2000</v>
      </c>
      <c r="H36" s="626">
        <v>7000</v>
      </c>
      <c r="I36" s="627">
        <v>12000</v>
      </c>
    </row>
    <row r="37" spans="1:9" ht="12.75">
      <c r="A37" s="696" t="s">
        <v>356</v>
      </c>
      <c r="B37" s="698" t="s">
        <v>56</v>
      </c>
      <c r="C37" s="632">
        <f>17*1.2</f>
        <v>20.4</v>
      </c>
      <c r="D37" s="632">
        <f>8*1.15</f>
        <v>9.2</v>
      </c>
      <c r="E37" s="632">
        <f>5*1.12</f>
        <v>5.6000000000000005</v>
      </c>
      <c r="F37" s="632">
        <f>4*1.1</f>
        <v>4.4</v>
      </c>
      <c r="G37" s="632">
        <f>6*1.25</f>
        <v>7.5</v>
      </c>
      <c r="H37" s="632">
        <f>5*1.1</f>
        <v>5.5</v>
      </c>
      <c r="I37" s="633">
        <f>4*1.075</f>
        <v>4.3</v>
      </c>
    </row>
    <row r="38" spans="1:9" ht="12.75">
      <c r="A38" s="696" t="s">
        <v>53</v>
      </c>
      <c r="B38" s="698" t="s">
        <v>352</v>
      </c>
      <c r="C38" s="638">
        <f>17*0.015</f>
        <v>0.255</v>
      </c>
      <c r="D38" s="638">
        <f>8*0.015</f>
        <v>0.12</v>
      </c>
      <c r="E38" s="638">
        <f>5*0.015</f>
        <v>0.075</v>
      </c>
      <c r="F38" s="638">
        <f>4*0.015</f>
        <v>0.06</v>
      </c>
      <c r="G38" s="638">
        <f>6*0.015</f>
        <v>0.09</v>
      </c>
      <c r="H38" s="638">
        <f>5*0.015</f>
        <v>0.075</v>
      </c>
      <c r="I38" s="639">
        <f>4*0.015</f>
        <v>0.06</v>
      </c>
    </row>
    <row r="39" spans="1:9" ht="12.75">
      <c r="A39" s="696" t="s">
        <v>373</v>
      </c>
      <c r="B39" s="698" t="s">
        <v>353</v>
      </c>
      <c r="C39" s="625">
        <v>55</v>
      </c>
      <c r="D39" s="625">
        <v>55</v>
      </c>
      <c r="E39" s="625">
        <v>55</v>
      </c>
      <c r="F39" s="625">
        <v>55</v>
      </c>
      <c r="G39" s="625">
        <v>45</v>
      </c>
      <c r="H39" s="625">
        <v>45</v>
      </c>
      <c r="I39" s="628">
        <v>45</v>
      </c>
    </row>
    <row r="40" spans="1:9" ht="12.75">
      <c r="A40" s="696" t="s">
        <v>354</v>
      </c>
      <c r="B40" s="698" t="s">
        <v>353</v>
      </c>
      <c r="C40" s="625">
        <v>35</v>
      </c>
      <c r="D40" s="625">
        <v>35</v>
      </c>
      <c r="E40" s="625">
        <v>35</v>
      </c>
      <c r="F40" s="625">
        <v>35</v>
      </c>
      <c r="G40" s="625">
        <v>30</v>
      </c>
      <c r="H40" s="625">
        <v>30</v>
      </c>
      <c r="I40" s="628">
        <v>30</v>
      </c>
    </row>
    <row r="41" spans="1:9" ht="13.5" thickBot="1">
      <c r="A41" s="697" t="s">
        <v>55</v>
      </c>
      <c r="B41" s="699" t="s">
        <v>382</v>
      </c>
      <c r="C41" s="630">
        <v>1.1</v>
      </c>
      <c r="D41" s="630">
        <v>1.1</v>
      </c>
      <c r="E41" s="630">
        <v>1.1</v>
      </c>
      <c r="F41" s="630">
        <v>1.1</v>
      </c>
      <c r="G41" s="630">
        <v>0.8</v>
      </c>
      <c r="H41" s="630">
        <v>0.8</v>
      </c>
      <c r="I41" s="631">
        <v>0.8</v>
      </c>
    </row>
    <row r="42" ht="13.5" thickBot="1"/>
    <row r="43" spans="1:8" ht="12.75" customHeight="1" thickBot="1">
      <c r="A43" s="1035" t="s">
        <v>355</v>
      </c>
      <c r="B43" s="1036"/>
      <c r="C43" s="1037"/>
      <c r="D43" s="1037"/>
      <c r="E43" s="1037"/>
      <c r="F43" s="1037"/>
      <c r="G43" s="1037"/>
      <c r="H43" s="1038"/>
    </row>
    <row r="44" spans="1:8" ht="12.75" customHeight="1">
      <c r="A44" s="700" t="s">
        <v>350</v>
      </c>
      <c r="B44" s="695" t="s">
        <v>42</v>
      </c>
      <c r="C44" s="1031" t="s">
        <v>250</v>
      </c>
      <c r="D44" s="1031"/>
      <c r="E44" s="1032"/>
      <c r="F44" s="1033" t="s">
        <v>251</v>
      </c>
      <c r="G44" s="1031"/>
      <c r="H44" s="1034"/>
    </row>
    <row r="45" spans="1:8" ht="12.75">
      <c r="A45" s="701" t="s">
        <v>351</v>
      </c>
      <c r="B45" s="698" t="s">
        <v>41</v>
      </c>
      <c r="C45" s="626">
        <v>3000</v>
      </c>
      <c r="D45" s="626">
        <v>7500</v>
      </c>
      <c r="E45" s="626">
        <v>84000</v>
      </c>
      <c r="F45" s="626">
        <v>10000</v>
      </c>
      <c r="G45" s="626">
        <v>50000</v>
      </c>
      <c r="H45" s="627">
        <v>84000</v>
      </c>
    </row>
    <row r="46" spans="1:8" ht="12.75">
      <c r="A46" s="701" t="s">
        <v>356</v>
      </c>
      <c r="B46" s="698" t="s">
        <v>56</v>
      </c>
      <c r="C46" s="634">
        <f>15*1.2</f>
        <v>18</v>
      </c>
      <c r="D46" s="634">
        <f>8.5*1.15</f>
        <v>9.774999999999999</v>
      </c>
      <c r="E46" s="634">
        <f>4.5*1.12</f>
        <v>5.040000000000001</v>
      </c>
      <c r="F46" s="634">
        <f>6*1.15</f>
        <v>6.8999999999999995</v>
      </c>
      <c r="G46" s="634">
        <f>5*1.125</f>
        <v>5.625</v>
      </c>
      <c r="H46" s="635">
        <f>4.5*1.1</f>
        <v>4.95</v>
      </c>
    </row>
    <row r="47" spans="1:8" ht="12.75">
      <c r="A47" s="701" t="s">
        <v>53</v>
      </c>
      <c r="B47" s="698" t="s">
        <v>352</v>
      </c>
      <c r="C47" s="636">
        <f>15*0.025</f>
        <v>0.375</v>
      </c>
      <c r="D47" s="636">
        <f>8.5*0.025</f>
        <v>0.21250000000000002</v>
      </c>
      <c r="E47" s="636">
        <f>4.5*0.025</f>
        <v>0.1125</v>
      </c>
      <c r="F47" s="636">
        <f>6*0.025</f>
        <v>0.15000000000000002</v>
      </c>
      <c r="G47" s="636">
        <f>5*0.025</f>
        <v>0.125</v>
      </c>
      <c r="H47" s="637">
        <f>4.5*0.025</f>
        <v>0.1125</v>
      </c>
    </row>
    <row r="48" spans="1:8" ht="12.75">
      <c r="A48" s="701" t="s">
        <v>373</v>
      </c>
      <c r="B48" s="698" t="s">
        <v>353</v>
      </c>
      <c r="C48" s="625">
        <v>45</v>
      </c>
      <c r="D48" s="625">
        <v>45</v>
      </c>
      <c r="E48" s="625">
        <v>45</v>
      </c>
      <c r="F48" s="625">
        <v>35</v>
      </c>
      <c r="G48" s="625">
        <v>35</v>
      </c>
      <c r="H48" s="628">
        <v>35</v>
      </c>
    </row>
    <row r="49" spans="1:8" ht="13.5" thickBot="1">
      <c r="A49" s="701" t="s">
        <v>354</v>
      </c>
      <c r="B49" s="699" t="s">
        <v>353</v>
      </c>
      <c r="C49" s="625">
        <v>30</v>
      </c>
      <c r="D49" s="625">
        <v>30</v>
      </c>
      <c r="E49" s="625">
        <v>30</v>
      </c>
      <c r="F49" s="625">
        <v>30</v>
      </c>
      <c r="G49" s="625">
        <v>30</v>
      </c>
      <c r="H49" s="628">
        <v>30</v>
      </c>
    </row>
    <row r="50" spans="1:8" ht="13.5" thickBot="1">
      <c r="A50" s="629" t="s">
        <v>55</v>
      </c>
      <c r="B50" s="630" t="s">
        <v>382</v>
      </c>
      <c r="C50" s="630">
        <v>1.3</v>
      </c>
      <c r="D50" s="630">
        <v>1.3</v>
      </c>
      <c r="E50" s="630">
        <v>1.3</v>
      </c>
      <c r="F50" s="630">
        <v>1.3</v>
      </c>
      <c r="G50" s="630">
        <v>1.3</v>
      </c>
      <c r="H50" s="631">
        <v>1.3</v>
      </c>
    </row>
  </sheetData>
  <sheetProtection sheet="1" objects="1" scenarios="1"/>
  <mergeCells count="9">
    <mergeCell ref="C1:E1"/>
    <mergeCell ref="F1:G1"/>
    <mergeCell ref="H1:I1"/>
    <mergeCell ref="A34:I34"/>
    <mergeCell ref="C35:F35"/>
    <mergeCell ref="G35:I35"/>
    <mergeCell ref="A43:H43"/>
    <mergeCell ref="C44:E44"/>
    <mergeCell ref="F44:H44"/>
  </mergeCells>
  <conditionalFormatting sqref="G18:G20 H5:I8 H10:I20">
    <cfRule type="cellIs" priority="1" dxfId="0" operator="equal" stopIfTrue="1">
      <formula>0</formula>
    </cfRule>
  </conditionalFormatting>
  <printOptions/>
  <pageMargins left="0.75" right="0.75" top="1" bottom="1" header="0.5" footer="0.5"/>
  <pageSetup fitToHeight="1" fitToWidth="1" horizontalDpi="600" verticalDpi="600" orientation="landscape" scale="74" r:id="rId1"/>
</worksheet>
</file>

<file path=xl/worksheets/sheet17.xml><?xml version="1.0" encoding="utf-8"?>
<worksheet xmlns="http://schemas.openxmlformats.org/spreadsheetml/2006/main" xmlns:r="http://schemas.openxmlformats.org/officeDocument/2006/relationships">
  <sheetPr codeName="Sheet8"/>
  <dimension ref="A1:G108"/>
  <sheetViews>
    <sheetView workbookViewId="0" topLeftCell="A90">
      <selection activeCell="A103" sqref="A103"/>
    </sheetView>
  </sheetViews>
  <sheetFormatPr defaultColWidth="9.140625" defaultRowHeight="12.75"/>
  <cols>
    <col min="1" max="1" width="25.28125" style="62" customWidth="1"/>
    <col min="2" max="2" width="2.140625" style="132" bestFit="1" customWidth="1"/>
    <col min="3" max="3" width="28.00390625" style="62" customWidth="1"/>
    <col min="4" max="4" width="2.57421875" style="132" bestFit="1" customWidth="1"/>
    <col min="5" max="5" width="18.8515625" style="62" customWidth="1"/>
    <col min="6" max="6" width="11.00390625" style="62" customWidth="1"/>
    <col min="7" max="7" width="13.140625" style="62" customWidth="1"/>
    <col min="8" max="16384" width="9.140625" style="62" customWidth="1"/>
  </cols>
  <sheetData>
    <row r="1" spans="1:5" ht="20.25">
      <c r="A1" s="1058" t="s">
        <v>271</v>
      </c>
      <c r="B1" s="1058"/>
      <c r="C1" s="1058"/>
      <c r="D1" s="1058"/>
      <c r="E1" s="1058"/>
    </row>
    <row r="3" ht="12.75">
      <c r="A3" s="61" t="s">
        <v>216</v>
      </c>
    </row>
    <row r="4" spans="1:5" ht="12.75">
      <c r="A4" s="61" t="s">
        <v>168</v>
      </c>
      <c r="E4" s="137" t="s">
        <v>108</v>
      </c>
    </row>
    <row r="5" spans="1:5" ht="12.75">
      <c r="A5" s="135" t="s">
        <v>102</v>
      </c>
      <c r="B5" s="132" t="s">
        <v>26</v>
      </c>
      <c r="C5" s="62" t="s">
        <v>103</v>
      </c>
      <c r="E5" s="136">
        <v>0.6</v>
      </c>
    </row>
    <row r="6" spans="1:5" ht="12.75">
      <c r="A6" s="135" t="s">
        <v>104</v>
      </c>
      <c r="B6" s="132" t="s">
        <v>26</v>
      </c>
      <c r="C6" s="62" t="s">
        <v>106</v>
      </c>
      <c r="E6" s="136">
        <v>0.9</v>
      </c>
    </row>
    <row r="7" spans="1:5" ht="12.75">
      <c r="A7" s="135" t="s">
        <v>105</v>
      </c>
      <c r="B7" s="132" t="s">
        <v>26</v>
      </c>
      <c r="C7" s="62" t="s">
        <v>107</v>
      </c>
      <c r="E7" s="129" t="s">
        <v>109</v>
      </c>
    </row>
    <row r="8" spans="1:3" ht="12.75">
      <c r="A8" s="128" t="s">
        <v>219</v>
      </c>
      <c r="B8" s="132" t="s">
        <v>26</v>
      </c>
      <c r="C8" s="62" t="s">
        <v>165</v>
      </c>
    </row>
    <row r="9" ht="12.75">
      <c r="A9" s="128"/>
    </row>
    <row r="10" spans="1:7" ht="37.5" customHeight="1">
      <c r="A10" s="1051" t="s">
        <v>202</v>
      </c>
      <c r="C10" s="1060" t="s">
        <v>203</v>
      </c>
      <c r="D10" s="1060"/>
      <c r="E10" s="1060"/>
      <c r="F10" s="132"/>
      <c r="G10" s="132"/>
    </row>
    <row r="11" spans="1:5" ht="12.75">
      <c r="A11" s="1051"/>
      <c r="C11" s="1052" t="s">
        <v>204</v>
      </c>
      <c r="D11" s="1052"/>
      <c r="E11" s="1052"/>
    </row>
    <row r="13" spans="1:3" ht="12.75">
      <c r="A13" s="61" t="s">
        <v>91</v>
      </c>
      <c r="C13" s="129" t="s">
        <v>90</v>
      </c>
    </row>
    <row r="14" spans="1:3" ht="25.5">
      <c r="A14" s="131" t="s">
        <v>93</v>
      </c>
      <c r="B14" s="132" t="s">
        <v>26</v>
      </c>
      <c r="C14" s="130" t="s">
        <v>92</v>
      </c>
    </row>
    <row r="15" spans="1:3" ht="25.5">
      <c r="A15" s="131" t="s">
        <v>94</v>
      </c>
      <c r="B15" s="132" t="s">
        <v>26</v>
      </c>
      <c r="C15" s="130" t="s">
        <v>149</v>
      </c>
    </row>
    <row r="16" spans="1:3" ht="25.5">
      <c r="A16" s="131" t="s">
        <v>95</v>
      </c>
      <c r="B16" s="132" t="s">
        <v>26</v>
      </c>
      <c r="C16" s="130" t="s">
        <v>220</v>
      </c>
    </row>
    <row r="17" spans="1:3" ht="12.75">
      <c r="A17" s="131"/>
      <c r="C17" s="130"/>
    </row>
    <row r="18" spans="1:5" ht="12.75">
      <c r="A18" s="147" t="s">
        <v>361</v>
      </c>
      <c r="B18" s="1056" t="s">
        <v>357</v>
      </c>
      <c r="C18" s="1068"/>
      <c r="D18" s="1066" t="s">
        <v>113</v>
      </c>
      <c r="E18" s="1067"/>
    </row>
    <row r="19" spans="1:5" ht="12.75">
      <c r="A19" s="642" t="s">
        <v>362</v>
      </c>
      <c r="B19" s="1062" t="s">
        <v>371</v>
      </c>
      <c r="C19" s="1063"/>
      <c r="D19" s="1064" t="s">
        <v>372</v>
      </c>
      <c r="E19" s="1065"/>
    </row>
    <row r="20" spans="1:5" ht="12.75">
      <c r="A20" s="641" t="s">
        <v>366</v>
      </c>
      <c r="B20" s="1056" t="s">
        <v>360</v>
      </c>
      <c r="C20" s="1057"/>
      <c r="D20" s="1066" t="s">
        <v>367</v>
      </c>
      <c r="E20" s="1067"/>
    </row>
    <row r="21" spans="1:5" ht="12.75">
      <c r="A21" s="641" t="s">
        <v>358</v>
      </c>
      <c r="B21" s="1056" t="s">
        <v>363</v>
      </c>
      <c r="C21" s="1057"/>
      <c r="D21" s="1066" t="s">
        <v>368</v>
      </c>
      <c r="E21" s="1067"/>
    </row>
    <row r="22" spans="1:5" ht="12.75">
      <c r="A22" s="641" t="s">
        <v>359</v>
      </c>
      <c r="B22" s="1056" t="s">
        <v>364</v>
      </c>
      <c r="C22" s="1057"/>
      <c r="D22" s="1066" t="s">
        <v>369</v>
      </c>
      <c r="E22" s="1067"/>
    </row>
    <row r="23" spans="1:5" ht="12.75">
      <c r="A23" s="641" t="s">
        <v>365</v>
      </c>
      <c r="B23" s="1062" t="s">
        <v>370</v>
      </c>
      <c r="C23" s="1063"/>
      <c r="D23" s="1066">
        <v>600</v>
      </c>
      <c r="E23" s="1067"/>
    </row>
    <row r="24" spans="1:3" ht="12.75">
      <c r="A24" s="131"/>
      <c r="C24" s="130"/>
    </row>
    <row r="25" spans="1:3" ht="12.75">
      <c r="A25" s="131"/>
      <c r="C25" s="130"/>
    </row>
    <row r="26" spans="1:3" ht="12.75">
      <c r="A26" s="131"/>
      <c r="C26" s="130"/>
    </row>
    <row r="27" spans="1:3" ht="12.75">
      <c r="A27" s="131"/>
      <c r="C27" s="130"/>
    </row>
    <row r="28" spans="1:3" ht="12.75">
      <c r="A28" s="131"/>
      <c r="C28" s="130"/>
    </row>
    <row r="29" spans="1:7" ht="25.5">
      <c r="A29" s="147" t="s">
        <v>206</v>
      </c>
      <c r="C29" s="343" t="s">
        <v>42</v>
      </c>
      <c r="E29" s="141" t="s">
        <v>119</v>
      </c>
      <c r="F29" s="142" t="s">
        <v>121</v>
      </c>
      <c r="G29" s="142" t="s">
        <v>120</v>
      </c>
    </row>
    <row r="30" spans="1:7" ht="12.75">
      <c r="A30" s="128" t="s">
        <v>117</v>
      </c>
      <c r="C30" s="344" t="s">
        <v>123</v>
      </c>
      <c r="E30" s="143">
        <v>950</v>
      </c>
      <c r="F30" s="144">
        <v>1050</v>
      </c>
      <c r="G30" s="145">
        <f aca="true" t="shared" si="0" ref="G30:G35">E30/F30</f>
        <v>0.9047619047619048</v>
      </c>
    </row>
    <row r="31" spans="1:7" ht="12.75">
      <c r="A31" s="128" t="s">
        <v>125</v>
      </c>
      <c r="C31" s="344" t="s">
        <v>124</v>
      </c>
      <c r="E31" s="146">
        <v>130000</v>
      </c>
      <c r="F31" s="146">
        <v>138300</v>
      </c>
      <c r="G31" s="145">
        <f t="shared" si="0"/>
        <v>0.9399855386840202</v>
      </c>
    </row>
    <row r="32" spans="1:7" ht="12.75">
      <c r="A32" s="131" t="s">
        <v>126</v>
      </c>
      <c r="C32" s="344" t="s">
        <v>124</v>
      </c>
      <c r="E32" s="143">
        <v>143000</v>
      </c>
      <c r="F32" s="144">
        <v>150500</v>
      </c>
      <c r="G32" s="145">
        <f t="shared" si="0"/>
        <v>0.9501661129568106</v>
      </c>
    </row>
    <row r="33" spans="1:7" ht="12.75">
      <c r="A33" s="131" t="s">
        <v>122</v>
      </c>
      <c r="C33" s="344" t="s">
        <v>124</v>
      </c>
      <c r="E33" s="143">
        <v>84650</v>
      </c>
      <c r="F33" s="144">
        <v>92000</v>
      </c>
      <c r="G33" s="145">
        <f t="shared" si="0"/>
        <v>0.9201086956521739</v>
      </c>
    </row>
    <row r="34" spans="1:7" ht="12.75">
      <c r="A34" s="131" t="s">
        <v>127</v>
      </c>
      <c r="C34" s="344" t="s">
        <v>123</v>
      </c>
      <c r="E34" s="143">
        <v>350</v>
      </c>
      <c r="F34" s="144">
        <v>380</v>
      </c>
      <c r="G34" s="145">
        <f t="shared" si="0"/>
        <v>0.9210526315789473</v>
      </c>
    </row>
    <row r="35" spans="1:7" ht="12.75">
      <c r="A35" s="131" t="s">
        <v>128</v>
      </c>
      <c r="C35" s="344" t="s">
        <v>129</v>
      </c>
      <c r="E35" s="143">
        <v>13600</v>
      </c>
      <c r="F35" s="144">
        <v>14100</v>
      </c>
      <c r="G35" s="145">
        <f t="shared" si="0"/>
        <v>0.9645390070921985</v>
      </c>
    </row>
    <row r="37" spans="5:7" ht="12.75">
      <c r="E37" s="134"/>
      <c r="F37" s="134"/>
      <c r="G37" s="134"/>
    </row>
    <row r="38" spans="1:3" ht="12.75">
      <c r="A38" s="138" t="s">
        <v>113</v>
      </c>
      <c r="C38" s="130"/>
    </row>
    <row r="39" spans="1:3" ht="24.75">
      <c r="A39" s="131" t="s">
        <v>114</v>
      </c>
      <c r="C39" s="139" t="s">
        <v>115</v>
      </c>
    </row>
    <row r="40" spans="1:3" ht="25.5">
      <c r="A40" s="131" t="s">
        <v>221</v>
      </c>
      <c r="C40" s="139" t="s">
        <v>116</v>
      </c>
    </row>
    <row r="41" spans="1:3" ht="12.75">
      <c r="A41" s="131" t="s">
        <v>130</v>
      </c>
      <c r="C41" s="139" t="s">
        <v>190</v>
      </c>
    </row>
    <row r="42" spans="1:7" ht="12.75">
      <c r="A42" s="131"/>
      <c r="C42" s="140" t="s">
        <v>140</v>
      </c>
      <c r="D42" s="132" t="s">
        <v>26</v>
      </c>
      <c r="E42" s="62" t="s">
        <v>141</v>
      </c>
      <c r="G42" s="62" t="s">
        <v>80</v>
      </c>
    </row>
    <row r="43" spans="3:7" ht="12.75">
      <c r="C43" s="128" t="s">
        <v>131</v>
      </c>
      <c r="D43" s="132" t="s">
        <v>26</v>
      </c>
      <c r="E43" s="121" t="s">
        <v>132</v>
      </c>
      <c r="G43" s="62" t="s">
        <v>9</v>
      </c>
    </row>
    <row r="44" spans="3:7" ht="12.75">
      <c r="C44" s="128" t="s">
        <v>133</v>
      </c>
      <c r="D44" s="132" t="s">
        <v>26</v>
      </c>
      <c r="E44" s="62" t="s">
        <v>222</v>
      </c>
      <c r="F44" s="62">
        <v>0.25</v>
      </c>
      <c r="G44" s="62" t="s">
        <v>134</v>
      </c>
    </row>
    <row r="45" spans="3:7" ht="12.75">
      <c r="C45" s="128" t="s">
        <v>136</v>
      </c>
      <c r="D45" s="132" t="s">
        <v>26</v>
      </c>
      <c r="E45" s="62" t="s">
        <v>138</v>
      </c>
      <c r="G45" s="2" t="s">
        <v>135</v>
      </c>
    </row>
    <row r="46" spans="3:7" ht="12.75">
      <c r="C46" s="128" t="s">
        <v>137</v>
      </c>
      <c r="D46" s="132" t="s">
        <v>26</v>
      </c>
      <c r="E46" s="62" t="s">
        <v>139</v>
      </c>
      <c r="G46" s="2" t="s">
        <v>135</v>
      </c>
    </row>
    <row r="47" spans="1:7" ht="25.5">
      <c r="A47" s="128" t="s">
        <v>142</v>
      </c>
      <c r="B47" s="132" t="s">
        <v>26</v>
      </c>
      <c r="C47" s="130" t="s">
        <v>143</v>
      </c>
      <c r="G47" s="2"/>
    </row>
    <row r="48" spans="1:7" ht="12.75">
      <c r="A48" s="128"/>
      <c r="C48" s="340"/>
      <c r="G48" s="2"/>
    </row>
    <row r="49" spans="1:7" ht="12.75">
      <c r="A49" s="128"/>
      <c r="C49" s="340"/>
      <c r="G49" s="2"/>
    </row>
    <row r="50" spans="1:7" ht="12.75">
      <c r="A50" s="138" t="s">
        <v>195</v>
      </c>
      <c r="C50" s="130"/>
      <c r="G50" s="2"/>
    </row>
    <row r="51" spans="1:7" ht="12.75">
      <c r="A51" s="128" t="s">
        <v>196</v>
      </c>
      <c r="B51" s="132" t="s">
        <v>26</v>
      </c>
      <c r="C51" s="1059" t="s">
        <v>223</v>
      </c>
      <c r="D51" s="1059"/>
      <c r="E51" s="1059"/>
      <c r="G51" s="2"/>
    </row>
    <row r="52" spans="1:7" ht="12.75">
      <c r="A52" s="128" t="s">
        <v>197</v>
      </c>
      <c r="B52" s="132" t="s">
        <v>26</v>
      </c>
      <c r="C52" s="1059" t="s">
        <v>198</v>
      </c>
      <c r="D52" s="1059"/>
      <c r="E52" s="1059"/>
      <c r="G52" s="2"/>
    </row>
    <row r="53" spans="3:7" ht="12.75">
      <c r="C53" s="1061" t="s">
        <v>199</v>
      </c>
      <c r="D53" s="1061"/>
      <c r="E53" s="1061"/>
      <c r="G53" s="2"/>
    </row>
    <row r="54" spans="3:7" ht="12.75">
      <c r="C54" s="341"/>
      <c r="D54" s="341"/>
      <c r="E54" s="341"/>
      <c r="G54" s="2"/>
    </row>
    <row r="55" spans="1:7" ht="40.5" customHeight="1">
      <c r="A55" s="61" t="s">
        <v>213</v>
      </c>
      <c r="C55" s="1059" t="s">
        <v>224</v>
      </c>
      <c r="D55" s="1059"/>
      <c r="E55" s="1059"/>
      <c r="F55" s="1059"/>
      <c r="G55" s="1059"/>
    </row>
    <row r="56" ht="12.75">
      <c r="C56" s="339"/>
    </row>
    <row r="57" spans="1:3" ht="12.75">
      <c r="A57" s="61" t="s">
        <v>89</v>
      </c>
      <c r="C57" s="129" t="s">
        <v>88</v>
      </c>
    </row>
    <row r="58" spans="1:3" ht="25.5">
      <c r="A58" s="128" t="s">
        <v>27</v>
      </c>
      <c r="B58" s="132" t="s">
        <v>26</v>
      </c>
      <c r="C58" s="130" t="s">
        <v>225</v>
      </c>
    </row>
    <row r="59" spans="1:3" ht="25.5">
      <c r="A59" s="128" t="s">
        <v>8</v>
      </c>
      <c r="B59" s="132" t="s">
        <v>26</v>
      </c>
      <c r="C59" s="130" t="s">
        <v>226</v>
      </c>
    </row>
    <row r="60" spans="1:3" ht="12.75">
      <c r="A60" s="128"/>
      <c r="C60" s="130"/>
    </row>
    <row r="61" spans="1:3" ht="12.75">
      <c r="A61" s="1046" t="s">
        <v>332</v>
      </c>
      <c r="B61" s="1046"/>
      <c r="C61" s="1046"/>
    </row>
    <row r="62" spans="1:3" ht="12.75">
      <c r="A62" s="569" t="s">
        <v>316</v>
      </c>
      <c r="B62" s="2"/>
      <c r="C62" s="2"/>
    </row>
    <row r="63" spans="1:3" ht="12.75">
      <c r="A63" s="1047" t="s">
        <v>317</v>
      </c>
      <c r="B63" s="1047"/>
      <c r="C63" s="1047"/>
    </row>
    <row r="64" spans="1:3" ht="12.75">
      <c r="A64" s="570" t="s">
        <v>318</v>
      </c>
      <c r="B64" s="62" t="s">
        <v>326</v>
      </c>
      <c r="C64" s="568" t="s">
        <v>327</v>
      </c>
    </row>
    <row r="65" spans="1:3" ht="12.75">
      <c r="A65" s="570" t="s">
        <v>5</v>
      </c>
      <c r="B65" s="62" t="s">
        <v>326</v>
      </c>
      <c r="C65" s="568" t="s">
        <v>328</v>
      </c>
    </row>
    <row r="66" spans="1:3" ht="12.75">
      <c r="A66" s="1047" t="s">
        <v>319</v>
      </c>
      <c r="B66" s="1047"/>
      <c r="C66" s="1047"/>
    </row>
    <row r="67" spans="1:3" ht="12.75">
      <c r="A67" s="570" t="s">
        <v>320</v>
      </c>
      <c r="B67" s="568" t="s">
        <v>315</v>
      </c>
      <c r="C67" s="2"/>
    </row>
    <row r="68" spans="1:3" ht="12.75">
      <c r="A68" s="1048" t="s">
        <v>321</v>
      </c>
      <c r="B68" s="1048"/>
      <c r="C68" s="1048"/>
    </row>
    <row r="69" spans="1:3" ht="12.75">
      <c r="A69" s="571"/>
      <c r="B69" s="571"/>
      <c r="C69" s="571"/>
    </row>
    <row r="70" spans="1:3" ht="12.75">
      <c r="A70" s="569" t="s">
        <v>322</v>
      </c>
      <c r="B70" s="2"/>
      <c r="C70" s="2"/>
    </row>
    <row r="71" spans="1:3" ht="12.75">
      <c r="A71" s="570" t="s">
        <v>323</v>
      </c>
      <c r="B71" s="2" t="s">
        <v>326</v>
      </c>
      <c r="C71" s="568" t="s">
        <v>329</v>
      </c>
    </row>
    <row r="72" spans="1:3" ht="12.75">
      <c r="A72" s="570" t="s">
        <v>324</v>
      </c>
      <c r="B72" s="2" t="s">
        <v>326</v>
      </c>
      <c r="C72" s="568" t="s">
        <v>330</v>
      </c>
    </row>
    <row r="73" spans="1:3" ht="12.75">
      <c r="A73" s="570" t="s">
        <v>325</v>
      </c>
      <c r="B73" s="2" t="s">
        <v>26</v>
      </c>
      <c r="C73" s="568" t="s">
        <v>331</v>
      </c>
    </row>
    <row r="74" spans="1:3" ht="12.75">
      <c r="A74" s="128"/>
      <c r="C74" s="130"/>
    </row>
    <row r="75" spans="1:3" ht="12.75">
      <c r="A75" s="1046" t="s">
        <v>227</v>
      </c>
      <c r="B75" s="1046"/>
      <c r="C75" s="1046"/>
    </row>
    <row r="76" spans="1:5" ht="12.75">
      <c r="A76" s="135" t="s">
        <v>189</v>
      </c>
      <c r="B76" s="138" t="s">
        <v>26</v>
      </c>
      <c r="C76" s="1049" t="s">
        <v>309</v>
      </c>
      <c r="D76" s="1049"/>
      <c r="E76" s="1049"/>
    </row>
    <row r="77" spans="1:5" ht="12.75">
      <c r="A77" s="135"/>
      <c r="B77" s="138"/>
      <c r="C77" s="1050" t="s">
        <v>191</v>
      </c>
      <c r="D77" s="1050"/>
      <c r="E77" s="1050"/>
    </row>
    <row r="78" spans="1:3" ht="12.75">
      <c r="A78" s="135"/>
      <c r="B78" s="132" t="s">
        <v>192</v>
      </c>
      <c r="C78" s="139" t="s">
        <v>193</v>
      </c>
    </row>
    <row r="79" spans="1:3" ht="12.75">
      <c r="A79" s="135"/>
      <c r="C79" s="139" t="s">
        <v>194</v>
      </c>
    </row>
    <row r="80" spans="1:3" ht="12.75">
      <c r="A80" s="135"/>
      <c r="C80" s="139"/>
    </row>
    <row r="81" spans="2:3" ht="12.75">
      <c r="B81" s="62"/>
      <c r="C81" s="139"/>
    </row>
    <row r="82" spans="1:3" ht="12.75">
      <c r="A82" s="135"/>
      <c r="C82" s="139"/>
    </row>
    <row r="83" spans="1:3" ht="12.75">
      <c r="A83" s="138" t="s">
        <v>215</v>
      </c>
      <c r="C83" s="130"/>
    </row>
    <row r="84" spans="1:3" ht="24.75">
      <c r="A84" s="131" t="s">
        <v>112</v>
      </c>
      <c r="C84" s="139" t="s">
        <v>110</v>
      </c>
    </row>
    <row r="85" spans="1:3" ht="25.5">
      <c r="A85" s="131" t="s">
        <v>228</v>
      </c>
      <c r="C85" s="139" t="s">
        <v>111</v>
      </c>
    </row>
    <row r="86" spans="1:3" ht="12.75">
      <c r="A86" s="131"/>
      <c r="C86" s="139"/>
    </row>
    <row r="87" spans="1:5" ht="39.75" customHeight="1">
      <c r="A87" s="1046" t="s">
        <v>201</v>
      </c>
      <c r="B87" s="1053"/>
      <c r="C87" s="1054" t="s">
        <v>205</v>
      </c>
      <c r="D87" s="1054"/>
      <c r="E87" s="1054"/>
    </row>
    <row r="88" spans="1:5" ht="13.5" customHeight="1">
      <c r="A88" s="1046"/>
      <c r="B88" s="1053"/>
      <c r="C88" s="1055" t="s">
        <v>212</v>
      </c>
      <c r="D88" s="1055"/>
      <c r="E88" s="1055"/>
    </row>
    <row r="90" spans="1:5" ht="25.5">
      <c r="A90" s="133" t="s">
        <v>229</v>
      </c>
      <c r="B90" s="132" t="s">
        <v>26</v>
      </c>
      <c r="C90" s="130" t="s">
        <v>98</v>
      </c>
      <c r="D90" s="132" t="s">
        <v>79</v>
      </c>
      <c r="E90" s="130" t="s">
        <v>99</v>
      </c>
    </row>
    <row r="91" spans="1:5" ht="12.75">
      <c r="A91" s="133"/>
      <c r="C91" s="130"/>
      <c r="E91" s="130"/>
    </row>
    <row r="92" spans="1:7" ht="42.75" customHeight="1">
      <c r="A92" s="133" t="s">
        <v>214</v>
      </c>
      <c r="C92" s="1059" t="s">
        <v>230</v>
      </c>
      <c r="D92" s="1059"/>
      <c r="E92" s="1059"/>
      <c r="F92" s="1059"/>
      <c r="G92" s="1059"/>
    </row>
    <row r="93" spans="1:5" ht="12.75">
      <c r="A93" s="133"/>
      <c r="C93" s="130"/>
      <c r="E93" s="130"/>
    </row>
    <row r="94" spans="1:5" ht="12.75">
      <c r="A94" s="133"/>
      <c r="C94" s="130"/>
      <c r="E94" s="130"/>
    </row>
    <row r="95" spans="1:5" ht="12.75">
      <c r="A95" s="133" t="s">
        <v>209</v>
      </c>
      <c r="C95" s="1054" t="s">
        <v>210</v>
      </c>
      <c r="D95" s="1054"/>
      <c r="E95" s="1054"/>
    </row>
    <row r="96" spans="1:5" ht="26.25" customHeight="1">
      <c r="A96" s="133"/>
      <c r="C96" s="1055" t="s">
        <v>211</v>
      </c>
      <c r="D96" s="1055"/>
      <c r="E96" s="1055"/>
    </row>
    <row r="97" spans="1:3" ht="12.75">
      <c r="A97" s="133"/>
      <c r="C97" s="338"/>
    </row>
    <row r="98" spans="1:3" ht="25.5">
      <c r="A98" s="61" t="s">
        <v>96</v>
      </c>
      <c r="B98" s="132" t="s">
        <v>26</v>
      </c>
      <c r="C98" s="130" t="s">
        <v>97</v>
      </c>
    </row>
    <row r="101" spans="1:5" ht="12.75">
      <c r="A101" s="1051" t="s">
        <v>334</v>
      </c>
      <c r="B101" s="1051"/>
      <c r="C101" s="1051"/>
      <c r="D101" s="1051"/>
      <c r="E101" s="1051"/>
    </row>
    <row r="102" spans="1:6" ht="12.75">
      <c r="A102" s="62" t="s">
        <v>337</v>
      </c>
      <c r="B102" s="146"/>
      <c r="C102" s="622">
        <f>(8760*13/24*5/7)-(13*13/24)</f>
        <v>3382.2440476190477</v>
      </c>
      <c r="D102" s="1045" t="s">
        <v>150</v>
      </c>
      <c r="E102" s="1045"/>
      <c r="F102" s="62" t="s">
        <v>336</v>
      </c>
    </row>
    <row r="103" spans="1:6" ht="12.75">
      <c r="A103" s="62" t="s">
        <v>335</v>
      </c>
      <c r="B103" s="146"/>
      <c r="C103" s="622">
        <f>(8760*9/24*5/7)-(9*9/24)</f>
        <v>2343.0535714285716</v>
      </c>
      <c r="D103" s="1045" t="s">
        <v>150</v>
      </c>
      <c r="E103" s="1045"/>
      <c r="F103" s="62" t="s">
        <v>338</v>
      </c>
    </row>
    <row r="104" spans="1:6" ht="12.75">
      <c r="A104" s="62" t="s">
        <v>340</v>
      </c>
      <c r="C104" s="622">
        <f>C102*3/12</f>
        <v>845.5610119047619</v>
      </c>
      <c r="D104" s="1045" t="s">
        <v>150</v>
      </c>
      <c r="E104" s="1045"/>
      <c r="F104" s="62" t="s">
        <v>336</v>
      </c>
    </row>
    <row r="105" spans="1:6" ht="12.75">
      <c r="A105" s="62" t="s">
        <v>339</v>
      </c>
      <c r="C105" s="622">
        <f>C103*3/12</f>
        <v>585.7633928571429</v>
      </c>
      <c r="D105" s="1045" t="s">
        <v>150</v>
      </c>
      <c r="E105" s="1045"/>
      <c r="F105" s="62" t="s">
        <v>338</v>
      </c>
    </row>
    <row r="106" spans="1:6" ht="12.75">
      <c r="A106" s="62" t="s">
        <v>341</v>
      </c>
      <c r="C106" s="622">
        <f>(8760*16/24*5/7)-(9*16/24)</f>
        <v>4165.428571428572</v>
      </c>
      <c r="D106" s="1045" t="s">
        <v>150</v>
      </c>
      <c r="E106" s="1045"/>
      <c r="F106" s="62" t="s">
        <v>342</v>
      </c>
    </row>
    <row r="107" spans="1:6" ht="12.75">
      <c r="A107" s="62" t="s">
        <v>343</v>
      </c>
      <c r="C107" s="622">
        <f>(8760*5/7)-(9)</f>
        <v>6248.142857142857</v>
      </c>
      <c r="D107" s="1045" t="s">
        <v>150</v>
      </c>
      <c r="E107" s="1045"/>
      <c r="F107" s="62" t="s">
        <v>344</v>
      </c>
    </row>
    <row r="108" spans="1:6" ht="12.75">
      <c r="A108" s="62" t="s">
        <v>345</v>
      </c>
      <c r="C108" s="622">
        <v>8760</v>
      </c>
      <c r="D108" s="1045" t="s">
        <v>150</v>
      </c>
      <c r="E108" s="1045"/>
      <c r="F108" s="62" t="s">
        <v>346</v>
      </c>
    </row>
  </sheetData>
  <sheetProtection sheet="1" objects="1" scenarios="1"/>
  <mergeCells count="42">
    <mergeCell ref="B23:C23"/>
    <mergeCell ref="D19:E19"/>
    <mergeCell ref="D18:E18"/>
    <mergeCell ref="D20:E20"/>
    <mergeCell ref="D21:E21"/>
    <mergeCell ref="D22:E22"/>
    <mergeCell ref="D23:E23"/>
    <mergeCell ref="B18:C18"/>
    <mergeCell ref="B19:C19"/>
    <mergeCell ref="A1:E1"/>
    <mergeCell ref="C96:E96"/>
    <mergeCell ref="C55:G55"/>
    <mergeCell ref="C92:G92"/>
    <mergeCell ref="C10:E10"/>
    <mergeCell ref="C51:E51"/>
    <mergeCell ref="C52:E52"/>
    <mergeCell ref="C53:E53"/>
    <mergeCell ref="B20:C20"/>
    <mergeCell ref="B21:C21"/>
    <mergeCell ref="A10:A11"/>
    <mergeCell ref="C11:E11"/>
    <mergeCell ref="A101:E101"/>
    <mergeCell ref="D102:E102"/>
    <mergeCell ref="A87:A88"/>
    <mergeCell ref="B87:B88"/>
    <mergeCell ref="C95:E95"/>
    <mergeCell ref="C87:E87"/>
    <mergeCell ref="C88:E88"/>
    <mergeCell ref="B22:C22"/>
    <mergeCell ref="D103:E103"/>
    <mergeCell ref="A61:C61"/>
    <mergeCell ref="A63:C63"/>
    <mergeCell ref="A66:C66"/>
    <mergeCell ref="A68:C68"/>
    <mergeCell ref="A75:C75"/>
    <mergeCell ref="C76:E76"/>
    <mergeCell ref="C77:E77"/>
    <mergeCell ref="D108:E108"/>
    <mergeCell ref="D104:E104"/>
    <mergeCell ref="D105:E105"/>
    <mergeCell ref="D106:E106"/>
    <mergeCell ref="D107:E107"/>
  </mergeCells>
  <conditionalFormatting sqref="H5:I32 G30:G32">
    <cfRule type="cellIs" priority="1" dxfId="0" operator="equal" stopIfTrue="1">
      <formula>0</formula>
    </cfRule>
  </conditionalFormatting>
  <printOptions/>
  <pageMargins left="0.75" right="0.75" top="1" bottom="1" header="0.5" footer="0.5"/>
  <pageSetup horizontalDpi="600" verticalDpi="600" orientation="portrait" scale="90" r:id="rId1"/>
</worksheet>
</file>

<file path=xl/worksheets/sheet18.xml><?xml version="1.0" encoding="utf-8"?>
<worksheet xmlns="http://schemas.openxmlformats.org/spreadsheetml/2006/main" xmlns:r="http://schemas.openxmlformats.org/officeDocument/2006/relationships">
  <sheetPr codeName="Sheet9">
    <pageSetUpPr fitToPage="1"/>
  </sheetPr>
  <dimension ref="A2:O45"/>
  <sheetViews>
    <sheetView workbookViewId="0" topLeftCell="A1">
      <selection activeCell="I20" sqref="I20"/>
    </sheetView>
  </sheetViews>
  <sheetFormatPr defaultColWidth="9.140625" defaultRowHeight="12.75"/>
  <cols>
    <col min="1" max="1" width="25.00390625" style="62" bestFit="1" customWidth="1"/>
    <col min="2" max="2" width="4.8515625" style="62" customWidth="1"/>
    <col min="3" max="3" width="10.00390625" style="62" bestFit="1" customWidth="1"/>
    <col min="4" max="4" width="2.140625" style="62" bestFit="1" customWidth="1"/>
    <col min="5" max="5" width="7.57421875" style="134" bestFit="1" customWidth="1"/>
    <col min="6" max="6" width="9.140625" style="62" customWidth="1"/>
    <col min="7" max="7" width="9.7109375" style="62" customWidth="1"/>
    <col min="8" max="8" width="9.00390625" style="62" bestFit="1" customWidth="1"/>
    <col min="9" max="10" width="9.140625" style="62" customWidth="1"/>
    <col min="11" max="11" width="10.00390625" style="62" bestFit="1" customWidth="1"/>
    <col min="12" max="16384" width="9.140625" style="62" customWidth="1"/>
  </cols>
  <sheetData>
    <row r="2" spans="1:7" ht="20.25">
      <c r="A2" s="1058" t="s">
        <v>272</v>
      </c>
      <c r="B2" s="1058"/>
      <c r="C2" s="1058"/>
      <c r="D2" s="1058"/>
      <c r="E2" s="1058"/>
      <c r="F2" s="1058"/>
      <c r="G2" s="1058"/>
    </row>
    <row r="4" spans="1:9" ht="12.75">
      <c r="A4" s="61" t="s">
        <v>231</v>
      </c>
      <c r="I4" s="132"/>
    </row>
    <row r="5" spans="1:9" ht="12.75">
      <c r="A5" s="128" t="s">
        <v>4</v>
      </c>
      <c r="B5" s="62">
        <v>1</v>
      </c>
      <c r="C5" s="62" t="s">
        <v>3</v>
      </c>
      <c r="D5" s="62" t="s">
        <v>26</v>
      </c>
      <c r="E5" s="196">
        <v>3412.8</v>
      </c>
      <c r="F5" s="62" t="s">
        <v>82</v>
      </c>
      <c r="I5" s="132"/>
    </row>
    <row r="6" spans="1:9" ht="12.75">
      <c r="A6" s="128"/>
      <c r="B6" s="62">
        <v>1</v>
      </c>
      <c r="C6" s="62" t="s">
        <v>83</v>
      </c>
      <c r="D6" s="62" t="s">
        <v>26</v>
      </c>
      <c r="E6" s="134">
        <v>778</v>
      </c>
      <c r="F6" s="62" t="s">
        <v>84</v>
      </c>
      <c r="I6" s="132"/>
    </row>
    <row r="7" spans="1:9" ht="12.75">
      <c r="A7" s="128"/>
      <c r="I7" s="132"/>
    </row>
    <row r="8" spans="1:6" ht="12.75">
      <c r="A8" s="128" t="s">
        <v>86</v>
      </c>
      <c r="B8" s="62">
        <v>1</v>
      </c>
      <c r="C8" s="62" t="s">
        <v>0</v>
      </c>
      <c r="D8" s="62" t="s">
        <v>26</v>
      </c>
      <c r="E8" s="196">
        <v>3412.8</v>
      </c>
      <c r="F8" s="62" t="s">
        <v>80</v>
      </c>
    </row>
    <row r="9" spans="2:6" ht="12.75">
      <c r="B9" s="62">
        <v>1</v>
      </c>
      <c r="C9" s="62" t="s">
        <v>81</v>
      </c>
      <c r="D9" s="62" t="s">
        <v>26</v>
      </c>
      <c r="E9" s="134">
        <v>2545</v>
      </c>
      <c r="F9" s="62" t="s">
        <v>80</v>
      </c>
    </row>
    <row r="11" spans="1:7" ht="12.75">
      <c r="A11" s="61" t="s">
        <v>256</v>
      </c>
      <c r="B11" s="62">
        <v>1</v>
      </c>
      <c r="C11" s="62" t="s">
        <v>255</v>
      </c>
      <c r="D11" s="62" t="s">
        <v>26</v>
      </c>
      <c r="E11" s="353">
        <v>130000</v>
      </c>
      <c r="F11" s="62" t="s">
        <v>82</v>
      </c>
      <c r="G11" s="62" t="s">
        <v>119</v>
      </c>
    </row>
    <row r="12" spans="1:7" ht="12.75">
      <c r="A12" s="61" t="s">
        <v>257</v>
      </c>
      <c r="B12" s="62">
        <v>1</v>
      </c>
      <c r="C12" s="62" t="s">
        <v>255</v>
      </c>
      <c r="D12" s="62" t="s">
        <v>26</v>
      </c>
      <c r="E12" s="353">
        <v>143000</v>
      </c>
      <c r="F12" s="62" t="s">
        <v>82</v>
      </c>
      <c r="G12" s="62" t="s">
        <v>119</v>
      </c>
    </row>
    <row r="13" spans="1:3" ht="12.75">
      <c r="A13" s="350"/>
      <c r="B13" s="350"/>
      <c r="C13" s="350"/>
    </row>
    <row r="14" ht="12.75">
      <c r="A14" s="61" t="s">
        <v>200</v>
      </c>
    </row>
    <row r="15" spans="2:15" ht="12.75">
      <c r="B15" s="1069" t="s">
        <v>117</v>
      </c>
      <c r="C15" s="1069"/>
      <c r="D15" s="62" t="s">
        <v>26</v>
      </c>
      <c r="E15" s="347">
        <v>0.9047619047619048</v>
      </c>
      <c r="I15" s="147"/>
      <c r="J15" s="132"/>
      <c r="K15" s="343"/>
      <c r="L15" s="132"/>
      <c r="M15" s="141"/>
      <c r="N15" s="142"/>
      <c r="O15" s="142"/>
    </row>
    <row r="16" spans="2:15" ht="12.75">
      <c r="B16" s="1069" t="s">
        <v>125</v>
      </c>
      <c r="C16" s="1069"/>
      <c r="D16" s="62" t="s">
        <v>26</v>
      </c>
      <c r="E16" s="347">
        <v>0.9399855386840202</v>
      </c>
      <c r="I16" s="128"/>
      <c r="J16" s="132"/>
      <c r="K16" s="344"/>
      <c r="L16" s="132"/>
      <c r="M16" s="143"/>
      <c r="N16" s="144"/>
      <c r="O16" s="145"/>
    </row>
    <row r="17" spans="2:15" ht="12.75">
      <c r="B17" s="1069" t="s">
        <v>126</v>
      </c>
      <c r="C17" s="1069"/>
      <c r="D17" s="62" t="s">
        <v>26</v>
      </c>
      <c r="E17" s="347">
        <v>0.9501661129568106</v>
      </c>
      <c r="I17" s="128"/>
      <c r="J17" s="132"/>
      <c r="K17" s="344"/>
      <c r="L17" s="132"/>
      <c r="M17" s="146"/>
      <c r="N17" s="146"/>
      <c r="O17" s="145"/>
    </row>
    <row r="18" spans="2:15" ht="12.75">
      <c r="B18" s="1070" t="s">
        <v>122</v>
      </c>
      <c r="C18" s="1070"/>
      <c r="D18" s="62" t="s">
        <v>26</v>
      </c>
      <c r="E18" s="346">
        <v>0.92</v>
      </c>
      <c r="I18" s="128"/>
      <c r="J18" s="132"/>
      <c r="K18" s="344"/>
      <c r="L18" s="132"/>
      <c r="M18" s="146"/>
      <c r="N18" s="146"/>
      <c r="O18" s="145"/>
    </row>
    <row r="19" spans="2:15" ht="12.75">
      <c r="B19" s="1070" t="s">
        <v>127</v>
      </c>
      <c r="C19" s="1070"/>
      <c r="D19" s="62" t="s">
        <v>26</v>
      </c>
      <c r="E19" s="346">
        <v>0.921</v>
      </c>
      <c r="I19" s="128"/>
      <c r="J19" s="132"/>
      <c r="K19" s="344"/>
      <c r="L19" s="132"/>
      <c r="M19" s="146"/>
      <c r="N19" s="146"/>
      <c r="O19" s="145"/>
    </row>
    <row r="20" spans="2:15" ht="12.75">
      <c r="B20" s="1070" t="s">
        <v>207</v>
      </c>
      <c r="C20" s="1070"/>
      <c r="D20" s="62" t="s">
        <v>26</v>
      </c>
      <c r="E20" s="346">
        <v>0.965</v>
      </c>
      <c r="F20" s="129" t="s">
        <v>208</v>
      </c>
      <c r="I20" s="128"/>
      <c r="J20" s="132"/>
      <c r="K20" s="344"/>
      <c r="L20" s="132"/>
      <c r="M20" s="146"/>
      <c r="N20" s="146"/>
      <c r="O20" s="145"/>
    </row>
    <row r="21" spans="2:15" ht="12.75">
      <c r="B21" s="345"/>
      <c r="C21" s="345"/>
      <c r="E21" s="342"/>
      <c r="I21" s="128"/>
      <c r="J21" s="132"/>
      <c r="K21" s="344"/>
      <c r="L21" s="132"/>
      <c r="M21" s="146"/>
      <c r="N21" s="146"/>
      <c r="O21" s="145"/>
    </row>
    <row r="22" spans="9:15" ht="12.75">
      <c r="I22" s="131"/>
      <c r="J22" s="132"/>
      <c r="K22" s="344"/>
      <c r="L22" s="132"/>
      <c r="M22" s="143"/>
      <c r="N22" s="144"/>
      <c r="O22" s="145"/>
    </row>
    <row r="23" spans="1:14" ht="12.75">
      <c r="A23" s="61" t="s">
        <v>117</v>
      </c>
      <c r="B23" s="62">
        <v>1</v>
      </c>
      <c r="C23" s="62" t="s">
        <v>118</v>
      </c>
      <c r="D23" s="62" t="s">
        <v>26</v>
      </c>
      <c r="E23" s="134">
        <v>100000</v>
      </c>
      <c r="F23" s="62" t="s">
        <v>82</v>
      </c>
      <c r="J23" s="132"/>
      <c r="K23" s="344"/>
      <c r="L23" s="132"/>
      <c r="M23" s="143"/>
      <c r="N23" s="144"/>
    </row>
    <row r="24" spans="10:14" ht="12.75">
      <c r="J24" s="132"/>
      <c r="K24" s="344"/>
      <c r="L24" s="132"/>
      <c r="M24" s="143"/>
      <c r="N24" s="144"/>
    </row>
    <row r="25" spans="1:14" ht="12.75">
      <c r="A25" s="61" t="s">
        <v>57</v>
      </c>
      <c r="B25" s="62">
        <v>1</v>
      </c>
      <c r="C25" s="62" t="s">
        <v>49</v>
      </c>
      <c r="D25" s="62" t="s">
        <v>26</v>
      </c>
      <c r="E25" s="134">
        <v>12000</v>
      </c>
      <c r="F25" s="62" t="s">
        <v>100</v>
      </c>
      <c r="J25" s="132"/>
      <c r="K25" s="344"/>
      <c r="L25" s="132"/>
      <c r="M25" s="143"/>
      <c r="N25" s="144"/>
    </row>
    <row r="26" spans="1:6" ht="12.75">
      <c r="A26" s="61"/>
      <c r="B26" s="62">
        <v>1</v>
      </c>
      <c r="C26" s="62" t="s">
        <v>101</v>
      </c>
      <c r="D26" s="62" t="s">
        <v>26</v>
      </c>
      <c r="E26" s="134">
        <v>12000</v>
      </c>
      <c r="F26" s="62" t="s">
        <v>82</v>
      </c>
    </row>
    <row r="28" ht="12.75">
      <c r="A28" s="61" t="s">
        <v>85</v>
      </c>
    </row>
    <row r="29" spans="1:6" ht="12.75">
      <c r="A29" s="128" t="s">
        <v>4</v>
      </c>
      <c r="B29" s="62">
        <v>1</v>
      </c>
      <c r="C29" s="62" t="s">
        <v>232</v>
      </c>
      <c r="D29" s="62" t="s">
        <v>26</v>
      </c>
      <c r="E29" s="134">
        <v>1000</v>
      </c>
      <c r="F29" s="62" t="s">
        <v>82</v>
      </c>
    </row>
    <row r="30" ht="12.75">
      <c r="A30" s="132"/>
    </row>
    <row r="31" spans="1:6" ht="12.75">
      <c r="A31" s="128" t="s">
        <v>86</v>
      </c>
      <c r="C31" s="62" t="s">
        <v>87</v>
      </c>
      <c r="D31" s="62" t="s">
        <v>26</v>
      </c>
      <c r="E31" s="134">
        <v>1000</v>
      </c>
      <c r="F31" s="62" t="s">
        <v>80</v>
      </c>
    </row>
    <row r="32" spans="1:9" ht="12.75">
      <c r="A32" s="1061" t="s">
        <v>233</v>
      </c>
      <c r="B32" s="1061"/>
      <c r="C32" s="1061"/>
      <c r="D32" s="1061"/>
      <c r="E32" s="1061"/>
      <c r="F32" s="1061"/>
      <c r="G32" s="1061"/>
      <c r="H32" s="1061"/>
      <c r="I32" s="1061"/>
    </row>
    <row r="45" ht="12.75">
      <c r="E45" s="197"/>
    </row>
  </sheetData>
  <sheetProtection sheet="1" objects="1" scenarios="1"/>
  <mergeCells count="8">
    <mergeCell ref="A2:G2"/>
    <mergeCell ref="A32:I32"/>
    <mergeCell ref="B15:C15"/>
    <mergeCell ref="B16:C16"/>
    <mergeCell ref="B17:C17"/>
    <mergeCell ref="B18:C18"/>
    <mergeCell ref="B19:C19"/>
    <mergeCell ref="B20:C20"/>
  </mergeCells>
  <conditionalFormatting sqref="G33:I34 I8:I14 I26:I31 O16:O22 H8:H31 F11:F12">
    <cfRule type="cellIs" priority="1" dxfId="0" operator="equal" stopIfTrue="1">
      <formula>0</formula>
    </cfRule>
  </conditionalFormatting>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5:O41"/>
  <sheetViews>
    <sheetView workbookViewId="0" topLeftCell="C1">
      <selection activeCell="N29" sqref="N29"/>
    </sheetView>
  </sheetViews>
  <sheetFormatPr defaultColWidth="9.140625" defaultRowHeight="12.75"/>
  <cols>
    <col min="1" max="1" width="5.140625" style="518" customWidth="1"/>
    <col min="2" max="2" width="13.8515625" style="518" customWidth="1"/>
    <col min="3" max="3" width="8.7109375" style="518" bestFit="1" customWidth="1"/>
    <col min="4" max="4" width="11.7109375" style="518" bestFit="1" customWidth="1"/>
    <col min="5" max="5" width="10.00390625" style="518" bestFit="1" customWidth="1"/>
    <col min="6" max="6" width="10.140625" style="518" customWidth="1"/>
    <col min="7" max="7" width="12.57421875" style="518" customWidth="1"/>
    <col min="8" max="8" width="9.8515625" style="518" customWidth="1"/>
    <col min="9" max="9" width="10.28125" style="518" customWidth="1"/>
    <col min="10" max="10" width="9.7109375" style="518" customWidth="1"/>
    <col min="11" max="11" width="8.57421875" style="518" customWidth="1"/>
    <col min="12" max="12" width="10.8515625" style="518" bestFit="1" customWidth="1"/>
    <col min="13" max="13" width="8.28125" style="518" customWidth="1"/>
    <col min="14" max="14" width="10.8515625" style="518" bestFit="1" customWidth="1"/>
    <col min="15" max="16384" width="9.140625" style="518" customWidth="1"/>
  </cols>
  <sheetData>
    <row r="1" ht="11.25"/>
    <row r="2" ht="11.25"/>
    <row r="3" ht="11.25"/>
    <row r="4" ht="12" thickBot="1"/>
    <row r="5" spans="2:10" ht="11.25">
      <c r="B5" s="877" t="s">
        <v>237</v>
      </c>
      <c r="C5" s="878"/>
      <c r="D5" s="879" t="s">
        <v>238</v>
      </c>
      <c r="E5" s="878"/>
      <c r="F5" s="879" t="s">
        <v>239</v>
      </c>
      <c r="G5" s="878"/>
      <c r="H5" s="879" t="s">
        <v>240</v>
      </c>
      <c r="I5" s="878"/>
      <c r="J5" s="519" t="s">
        <v>241</v>
      </c>
    </row>
    <row r="6" spans="2:10" ht="12" thickBot="1">
      <c r="B6" s="874" t="s">
        <v>383</v>
      </c>
      <c r="C6" s="875"/>
      <c r="D6" s="876" t="s">
        <v>262</v>
      </c>
      <c r="E6" s="875"/>
      <c r="F6" s="876" t="s">
        <v>413</v>
      </c>
      <c r="G6" s="875"/>
      <c r="H6" s="876" t="s">
        <v>414</v>
      </c>
      <c r="I6" s="875"/>
      <c r="J6" s="520"/>
    </row>
    <row r="7" spans="2:10" ht="11.25">
      <c r="B7" s="877" t="s">
        <v>247</v>
      </c>
      <c r="C7" s="878"/>
      <c r="D7" s="879" t="s">
        <v>248</v>
      </c>
      <c r="E7" s="878"/>
      <c r="F7" s="880" t="s">
        <v>249</v>
      </c>
      <c r="G7" s="881"/>
      <c r="H7" s="521"/>
      <c r="I7" s="522"/>
      <c r="J7" s="522"/>
    </row>
    <row r="8" spans="2:10" ht="12" thickBot="1">
      <c r="B8" s="874"/>
      <c r="C8" s="875"/>
      <c r="D8" s="876"/>
      <c r="E8" s="875"/>
      <c r="F8" s="876" t="s">
        <v>251</v>
      </c>
      <c r="G8" s="885"/>
      <c r="H8" s="523"/>
      <c r="I8" s="524"/>
      <c r="J8" s="524"/>
    </row>
    <row r="9" spans="2:12" ht="11.25">
      <c r="B9" s="877" t="s">
        <v>242</v>
      </c>
      <c r="C9" s="878"/>
      <c r="D9" s="879" t="s">
        <v>243</v>
      </c>
      <c r="E9" s="878"/>
      <c r="F9" s="879" t="s">
        <v>246</v>
      </c>
      <c r="G9" s="878"/>
      <c r="H9" s="879" t="s">
        <v>244</v>
      </c>
      <c r="I9" s="878"/>
      <c r="J9" s="519" t="s">
        <v>245</v>
      </c>
      <c r="L9" s="525" t="s">
        <v>250</v>
      </c>
    </row>
    <row r="10" spans="2:12" ht="12" thickBot="1">
      <c r="B10" s="874"/>
      <c r="C10" s="875"/>
      <c r="D10" s="876"/>
      <c r="E10" s="875"/>
      <c r="F10" s="876"/>
      <c r="G10" s="875"/>
      <c r="H10" s="876"/>
      <c r="I10" s="875"/>
      <c r="J10" s="520"/>
      <c r="L10" s="525" t="s">
        <v>251</v>
      </c>
    </row>
    <row r="11" ht="12" thickBot="1">
      <c r="L11" s="525" t="s">
        <v>252</v>
      </c>
    </row>
    <row r="12" spans="3:13" ht="11.25">
      <c r="C12" s="877" t="s">
        <v>7</v>
      </c>
      <c r="D12" s="884"/>
      <c r="E12" s="845"/>
      <c r="F12" s="877" t="s">
        <v>12</v>
      </c>
      <c r="G12" s="884"/>
      <c r="H12" s="884"/>
      <c r="I12" s="884"/>
      <c r="J12" s="526"/>
      <c r="K12" s="527"/>
      <c r="L12" s="527"/>
      <c r="M12" s="527"/>
    </row>
    <row r="13" spans="3:11" ht="22.5" customHeight="1" thickBot="1">
      <c r="C13" s="865" t="s">
        <v>4</v>
      </c>
      <c r="D13" s="858" t="s">
        <v>5</v>
      </c>
      <c r="E13" s="858" t="s">
        <v>411</v>
      </c>
      <c r="F13" s="860" t="s">
        <v>397</v>
      </c>
      <c r="G13" s="882" t="s">
        <v>10</v>
      </c>
      <c r="H13" s="883"/>
      <c r="I13" s="528" t="s">
        <v>235</v>
      </c>
      <c r="J13" s="529" t="s">
        <v>258</v>
      </c>
      <c r="K13" s="530" t="s">
        <v>258</v>
      </c>
    </row>
    <row r="14" spans="3:15" ht="11.25">
      <c r="C14" s="866"/>
      <c r="D14" s="859"/>
      <c r="E14" s="867"/>
      <c r="F14" s="861"/>
      <c r="G14" s="533" t="s">
        <v>4</v>
      </c>
      <c r="H14" s="534" t="s">
        <v>397</v>
      </c>
      <c r="I14" s="531" t="s">
        <v>4</v>
      </c>
      <c r="J14" s="532" t="s">
        <v>1</v>
      </c>
      <c r="K14" s="535" t="s">
        <v>259</v>
      </c>
      <c r="L14" s="846" t="s">
        <v>385</v>
      </c>
      <c r="M14" s="847"/>
      <c r="N14" s="848" t="s">
        <v>70</v>
      </c>
      <c r="O14" s="849"/>
    </row>
    <row r="15" spans="3:15" ht="12" thickBot="1">
      <c r="C15" s="536" t="s">
        <v>3</v>
      </c>
      <c r="D15" s="537" t="s">
        <v>0</v>
      </c>
      <c r="E15" s="867"/>
      <c r="F15" s="538" t="s">
        <v>11</v>
      </c>
      <c r="G15" s="536" t="s">
        <v>234</v>
      </c>
      <c r="H15" s="539" t="s">
        <v>11</v>
      </c>
      <c r="I15" s="539" t="s">
        <v>254</v>
      </c>
      <c r="J15" s="540" t="s">
        <v>11</v>
      </c>
      <c r="L15" s="850" t="s">
        <v>387</v>
      </c>
      <c r="M15" s="851"/>
      <c r="N15" s="852" t="s">
        <v>69</v>
      </c>
      <c r="O15" s="853"/>
    </row>
    <row r="16" spans="2:15" ht="11.25">
      <c r="B16" s="831">
        <v>37622</v>
      </c>
      <c r="C16" s="835">
        <v>640495</v>
      </c>
      <c r="D16" s="838">
        <v>1079</v>
      </c>
      <c r="E16" s="818">
        <f>11056/F16</f>
        <v>0.34896786819013953</v>
      </c>
      <c r="F16" s="841">
        <v>31682</v>
      </c>
      <c r="G16" s="835">
        <v>54340</v>
      </c>
      <c r="H16" s="842">
        <v>41434</v>
      </c>
      <c r="I16" s="541"/>
      <c r="J16" s="542"/>
      <c r="L16" s="872" t="s">
        <v>279</v>
      </c>
      <c r="M16" s="873"/>
      <c r="N16" s="685">
        <v>1.5</v>
      </c>
      <c r="O16" s="684" t="s">
        <v>78</v>
      </c>
    </row>
    <row r="17" spans="2:15" ht="11.25">
      <c r="B17" s="832">
        <v>37653</v>
      </c>
      <c r="C17" s="836">
        <v>580107</v>
      </c>
      <c r="D17" s="839">
        <v>1076</v>
      </c>
      <c r="E17" s="817">
        <f>11031/F17</f>
        <v>0.37308485811884873</v>
      </c>
      <c r="F17" s="843">
        <v>29567</v>
      </c>
      <c r="G17" s="836">
        <v>45840</v>
      </c>
      <c r="H17" s="844">
        <v>34953</v>
      </c>
      <c r="I17" s="543"/>
      <c r="J17" s="544"/>
      <c r="L17" s="872" t="s">
        <v>386</v>
      </c>
      <c r="M17" s="873"/>
      <c r="N17" s="683">
        <v>1.5</v>
      </c>
      <c r="O17" s="684" t="s">
        <v>23</v>
      </c>
    </row>
    <row r="18" spans="2:15" ht="11.25">
      <c r="B18" s="832">
        <v>37681</v>
      </c>
      <c r="C18" s="836">
        <v>650700</v>
      </c>
      <c r="D18" s="839">
        <v>1199</v>
      </c>
      <c r="E18" s="817">
        <f>12277/F18</f>
        <v>0.36953315474219667</v>
      </c>
      <c r="F18" s="843">
        <v>33223</v>
      </c>
      <c r="G18" s="836">
        <v>44290</v>
      </c>
      <c r="H18" s="844">
        <v>33768</v>
      </c>
      <c r="I18" s="543"/>
      <c r="J18" s="544"/>
      <c r="L18" s="868" t="s">
        <v>398</v>
      </c>
      <c r="M18" s="869"/>
      <c r="N18" s="856">
        <v>4</v>
      </c>
      <c r="O18" s="545" t="s">
        <v>169</v>
      </c>
    </row>
    <row r="19" spans="2:15" ht="11.25">
      <c r="B19" s="832">
        <v>37712</v>
      </c>
      <c r="C19" s="836">
        <v>648328</v>
      </c>
      <c r="D19" s="839">
        <v>1155</v>
      </c>
      <c r="E19" s="817">
        <f>11893/F19</f>
        <v>0.36350021394950793</v>
      </c>
      <c r="F19" s="843">
        <v>32718</v>
      </c>
      <c r="G19" s="836">
        <v>31540</v>
      </c>
      <c r="H19" s="844">
        <v>24045</v>
      </c>
      <c r="I19" s="543"/>
      <c r="J19" s="544"/>
      <c r="L19" s="868" t="s">
        <v>277</v>
      </c>
      <c r="M19" s="869"/>
      <c r="N19" s="857">
        <f>H28/G28/0.1</f>
        <v>6.40006646410938</v>
      </c>
      <c r="O19" s="545" t="s">
        <v>169</v>
      </c>
    </row>
    <row r="20" spans="2:15" ht="12" thickBot="1">
      <c r="B20" s="833">
        <v>37377</v>
      </c>
      <c r="C20" s="836">
        <v>716199</v>
      </c>
      <c r="D20" s="839">
        <v>1311</v>
      </c>
      <c r="E20" s="817">
        <f>13430/F20</f>
        <v>0.3677235638793056</v>
      </c>
      <c r="F20" s="843">
        <v>36522</v>
      </c>
      <c r="G20" s="836">
        <v>25220</v>
      </c>
      <c r="H20" s="844">
        <v>11144</v>
      </c>
      <c r="I20" s="543"/>
      <c r="J20" s="544"/>
      <c r="L20" s="870" t="s">
        <v>278</v>
      </c>
      <c r="M20" s="871"/>
      <c r="N20" s="682">
        <v>80</v>
      </c>
      <c r="O20" s="546" t="s">
        <v>21</v>
      </c>
    </row>
    <row r="21" spans="2:10" ht="11.25">
      <c r="B21" s="832">
        <v>37408</v>
      </c>
      <c r="C21" s="836">
        <v>743382</v>
      </c>
      <c r="D21" s="839">
        <v>1385</v>
      </c>
      <c r="E21" s="817">
        <f>14217/38165</f>
        <v>0.372514083584436</v>
      </c>
      <c r="F21" s="843">
        <v>38165</v>
      </c>
      <c r="G21" s="836">
        <v>25950</v>
      </c>
      <c r="H21" s="844">
        <v>11465</v>
      </c>
      <c r="I21" s="543"/>
      <c r="J21" s="544"/>
    </row>
    <row r="22" spans="2:10" ht="11.25">
      <c r="B22" s="832">
        <v>37438</v>
      </c>
      <c r="C22" s="836">
        <v>794868</v>
      </c>
      <c r="D22" s="839">
        <v>1429</v>
      </c>
      <c r="E22" s="817">
        <f>14652/40059</f>
        <v>0.3657605032576949</v>
      </c>
      <c r="F22" s="843">
        <v>40059</v>
      </c>
      <c r="G22" s="836">
        <v>28980</v>
      </c>
      <c r="H22" s="844">
        <v>12803</v>
      </c>
      <c r="I22" s="543"/>
      <c r="J22" s="544"/>
    </row>
    <row r="23" spans="2:10" ht="11.25">
      <c r="B23" s="832">
        <v>37469</v>
      </c>
      <c r="C23" s="836">
        <v>794062</v>
      </c>
      <c r="D23" s="839">
        <v>1435</v>
      </c>
      <c r="E23" s="817">
        <f>14755/40516</f>
        <v>0.36417711521374274</v>
      </c>
      <c r="F23" s="843">
        <v>40516</v>
      </c>
      <c r="G23" s="836">
        <v>31020</v>
      </c>
      <c r="H23" s="844">
        <v>13705</v>
      </c>
      <c r="I23" s="543"/>
      <c r="J23" s="544"/>
    </row>
    <row r="24" spans="2:12" ht="11.25">
      <c r="B24" s="832">
        <v>37500</v>
      </c>
      <c r="C24" s="836">
        <v>722532</v>
      </c>
      <c r="D24" s="839">
        <v>1329</v>
      </c>
      <c r="E24" s="817">
        <f>13615/F24</f>
        <v>0.37341268752914075</v>
      </c>
      <c r="F24" s="843">
        <v>36461</v>
      </c>
      <c r="G24" s="836">
        <v>23030</v>
      </c>
      <c r="H24" s="844">
        <v>10176</v>
      </c>
      <c r="I24" s="543"/>
      <c r="J24" s="544"/>
      <c r="L24" s="670"/>
    </row>
    <row r="25" spans="2:12" ht="11.25">
      <c r="B25" s="832">
        <v>37530</v>
      </c>
      <c r="C25" s="836">
        <v>691080</v>
      </c>
      <c r="D25" s="839">
        <v>1249</v>
      </c>
      <c r="E25" s="817">
        <f>12818/F25</f>
        <v>0.36515397544369427</v>
      </c>
      <c r="F25" s="843">
        <v>35103</v>
      </c>
      <c r="G25" s="836">
        <v>26700</v>
      </c>
      <c r="H25" s="844">
        <v>11797</v>
      </c>
      <c r="I25" s="543"/>
      <c r="J25" s="544"/>
      <c r="L25" s="670"/>
    </row>
    <row r="26" spans="2:10" ht="11.25">
      <c r="B26" s="832">
        <v>37561</v>
      </c>
      <c r="C26" s="836">
        <v>636733</v>
      </c>
      <c r="D26" s="839">
        <v>1228</v>
      </c>
      <c r="E26" s="817">
        <f>12621/F26</f>
        <v>0.3836753305973552</v>
      </c>
      <c r="F26" s="843">
        <v>32895</v>
      </c>
      <c r="G26" s="836">
        <v>34330</v>
      </c>
      <c r="H26" s="844">
        <v>26179</v>
      </c>
      <c r="I26" s="543"/>
      <c r="J26" s="544"/>
    </row>
    <row r="27" spans="2:10" ht="12" thickBot="1">
      <c r="B27" s="834">
        <v>37591</v>
      </c>
      <c r="C27" s="837">
        <v>640442</v>
      </c>
      <c r="D27" s="840">
        <v>1087</v>
      </c>
      <c r="E27" s="816">
        <f>11139/F27</f>
        <v>0.35446300715990453</v>
      </c>
      <c r="F27" s="854">
        <v>31425</v>
      </c>
      <c r="G27" s="837">
        <v>50040</v>
      </c>
      <c r="H27" s="855">
        <v>38153</v>
      </c>
      <c r="I27" s="547"/>
      <c r="J27" s="548"/>
    </row>
    <row r="28" spans="2:8" ht="11.25">
      <c r="B28" s="518" t="s">
        <v>406</v>
      </c>
      <c r="C28" s="671">
        <f>SUM(C16:C27)</f>
        <v>8258928</v>
      </c>
      <c r="D28" s="525">
        <f>SUM(D16:D27)/12</f>
        <v>1246.8333333333333</v>
      </c>
      <c r="E28" s="819">
        <f>SUM(E16:E27)/12</f>
        <v>0.3668305301388306</v>
      </c>
      <c r="F28" s="820">
        <f>SUM(F16:F27)</f>
        <v>418336</v>
      </c>
      <c r="G28" s="671">
        <f>SUM(G16:G27)</f>
        <v>421280</v>
      </c>
      <c r="H28" s="820">
        <f>SUM(H16:H27)</f>
        <v>269622</v>
      </c>
    </row>
    <row r="29" ht="11.25"/>
    <row r="30" spans="7:11" ht="12.75" customHeight="1">
      <c r="G30" s="552"/>
      <c r="H30" s="552"/>
      <c r="K30" s="549" t="s">
        <v>69</v>
      </c>
    </row>
    <row r="31" spans="7:15" ht="11.25">
      <c r="G31" s="552"/>
      <c r="H31" s="552"/>
      <c r="K31" s="525" t="s">
        <v>70</v>
      </c>
      <c r="O31" s="525">
        <v>1</v>
      </c>
    </row>
    <row r="32" spans="2:15" ht="11.25">
      <c r="B32" s="675"/>
      <c r="C32" s="675"/>
      <c r="D32" s="677"/>
      <c r="E32" s="676"/>
      <c r="F32" s="677"/>
      <c r="G32" s="673"/>
      <c r="H32" s="552"/>
      <c r="K32" s="552"/>
      <c r="L32" s="552"/>
      <c r="O32" s="525"/>
    </row>
    <row r="33" spans="2:12" ht="11.25">
      <c r="B33" s="702"/>
      <c r="C33" s="702"/>
      <c r="D33" s="702"/>
      <c r="E33" s="702"/>
      <c r="F33" s="702"/>
      <c r="I33" s="552"/>
      <c r="J33" s="552"/>
      <c r="K33" s="552"/>
      <c r="L33" s="552"/>
    </row>
    <row r="34" spans="2:12" ht="11.25">
      <c r="B34" s="703"/>
      <c r="C34" s="863"/>
      <c r="D34" s="863"/>
      <c r="E34" s="704"/>
      <c r="F34" s="705"/>
      <c r="G34" s="672"/>
      <c r="I34" s="552"/>
      <c r="J34" s="552"/>
      <c r="K34" s="552"/>
      <c r="L34" s="552"/>
    </row>
    <row r="35" spans="2:12" ht="11.25">
      <c r="B35" s="706"/>
      <c r="C35" s="707"/>
      <c r="D35" s="708"/>
      <c r="E35" s="709"/>
      <c r="F35" s="705"/>
      <c r="G35" s="673"/>
      <c r="I35" s="552"/>
      <c r="J35" s="552"/>
      <c r="K35" s="552"/>
      <c r="L35" s="552"/>
    </row>
    <row r="36" spans="2:12" ht="11.25">
      <c r="B36" s="706"/>
      <c r="C36" s="706"/>
      <c r="D36" s="708"/>
      <c r="E36" s="710"/>
      <c r="F36" s="705"/>
      <c r="G36" s="674"/>
      <c r="I36" s="552"/>
      <c r="J36" s="552"/>
      <c r="K36" s="552"/>
      <c r="L36" s="552"/>
    </row>
    <row r="37" spans="2:12" ht="11.25">
      <c r="B37" s="706"/>
      <c r="C37" s="864"/>
      <c r="D37" s="864"/>
      <c r="E37" s="711"/>
      <c r="F37" s="712"/>
      <c r="G37" s="673"/>
      <c r="I37" s="552"/>
      <c r="J37" s="552"/>
      <c r="K37" s="552"/>
      <c r="L37" s="552"/>
    </row>
    <row r="38" spans="2:12" ht="11.25">
      <c r="B38" s="553"/>
      <c r="C38" s="553"/>
      <c r="D38" s="554"/>
      <c r="E38" s="555"/>
      <c r="F38" s="674"/>
      <c r="G38" s="674"/>
      <c r="I38" s="552"/>
      <c r="J38" s="552"/>
      <c r="K38" s="552"/>
      <c r="L38" s="552"/>
    </row>
    <row r="39" spans="2:12" ht="11.25">
      <c r="B39" s="553"/>
      <c r="C39" s="553"/>
      <c r="D39" s="554"/>
      <c r="E39" s="555"/>
      <c r="F39" s="674"/>
      <c r="G39" s="674"/>
      <c r="I39" s="552"/>
      <c r="J39" s="552"/>
      <c r="K39" s="552"/>
      <c r="L39" s="552"/>
    </row>
    <row r="40" spans="2:12" ht="11.25">
      <c r="B40" s="553"/>
      <c r="C40" s="553"/>
      <c r="D40" s="554"/>
      <c r="E40" s="678"/>
      <c r="F40" s="674"/>
      <c r="G40" s="674"/>
      <c r="I40" s="862"/>
      <c r="J40" s="862"/>
      <c r="K40" s="556"/>
      <c r="L40" s="557"/>
    </row>
    <row r="41" spans="2:7" ht="11.25">
      <c r="B41" s="553"/>
      <c r="C41" s="553"/>
      <c r="D41" s="554"/>
      <c r="E41" s="555"/>
      <c r="F41" s="674"/>
      <c r="G41" s="674"/>
    </row>
  </sheetData>
  <mergeCells count="41">
    <mergeCell ref="L14:M14"/>
    <mergeCell ref="N14:O14"/>
    <mergeCell ref="L15:M15"/>
    <mergeCell ref="N15:O15"/>
    <mergeCell ref="D8:E8"/>
    <mergeCell ref="G13:H13"/>
    <mergeCell ref="F12:I12"/>
    <mergeCell ref="F10:G10"/>
    <mergeCell ref="F9:G9"/>
    <mergeCell ref="H9:I9"/>
    <mergeCell ref="H10:I10"/>
    <mergeCell ref="F8:G8"/>
    <mergeCell ref="C12:E12"/>
    <mergeCell ref="D10:E10"/>
    <mergeCell ref="H5:I5"/>
    <mergeCell ref="F5:G5"/>
    <mergeCell ref="B5:C5"/>
    <mergeCell ref="B9:C9"/>
    <mergeCell ref="D5:E5"/>
    <mergeCell ref="D7:E7"/>
    <mergeCell ref="D9:E9"/>
    <mergeCell ref="H6:I6"/>
    <mergeCell ref="F7:G7"/>
    <mergeCell ref="B8:C8"/>
    <mergeCell ref="L19:M19"/>
    <mergeCell ref="L20:M20"/>
    <mergeCell ref="L16:M16"/>
    <mergeCell ref="B6:C6"/>
    <mergeCell ref="D6:E6"/>
    <mergeCell ref="F6:G6"/>
    <mergeCell ref="L17:M17"/>
    <mergeCell ref="L18:M18"/>
    <mergeCell ref="B7:C7"/>
    <mergeCell ref="B10:C10"/>
    <mergeCell ref="D13:D14"/>
    <mergeCell ref="F13:F14"/>
    <mergeCell ref="I40:J40"/>
    <mergeCell ref="C34:D34"/>
    <mergeCell ref="C37:D37"/>
    <mergeCell ref="C13:C14"/>
    <mergeCell ref="E13:E15"/>
  </mergeCells>
  <conditionalFormatting sqref="L16:M20">
    <cfRule type="cellIs" priority="1" dxfId="0" operator="equal" stopIfTrue="1">
      <formula>0</formula>
    </cfRule>
  </conditionalFormatting>
  <dataValidations count="4">
    <dataValidation type="list" allowBlank="1" showInputMessage="1" showErrorMessage="1" sqref="F8">
      <formula1>$L$9:$L$11</formula1>
    </dataValidation>
    <dataValidation type="list" allowBlank="1" showInputMessage="1" showErrorMessage="1" sqref="J13">
      <formula1>$K$13:$K$14</formula1>
    </dataValidation>
    <dataValidation type="list" allowBlank="1" showInputMessage="1" showErrorMessage="1" sqref="N14:N15">
      <formula1>$K$30:$K$31</formula1>
    </dataValidation>
    <dataValidation type="whole" allowBlank="1" showInputMessage="1" showErrorMessage="1" promptTitle="Heating Equipment Efficiency" prompt="If unknown enter 80%" sqref="N20">
      <formula1>60</formula1>
      <formula2>95</formula2>
    </dataValidation>
  </dataValidations>
  <printOptions/>
  <pageMargins left="0.75" right="0.75" top="1" bottom="1" header="0.5" footer="0.5"/>
  <pageSetup fitToHeight="1" fitToWidth="1"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sheetPr codeName="Sheet15"/>
  <dimension ref="A1:Q22"/>
  <sheetViews>
    <sheetView workbookViewId="0" topLeftCell="A11">
      <selection activeCell="A2" sqref="A2"/>
    </sheetView>
  </sheetViews>
  <sheetFormatPr defaultColWidth="9.140625" defaultRowHeight="12.75"/>
  <cols>
    <col min="1" max="1" width="14.57421875" style="0" customWidth="1"/>
    <col min="4" max="4" width="12.00390625" style="0" customWidth="1"/>
    <col min="5" max="5" width="11.00390625" style="0" customWidth="1"/>
    <col min="6" max="6" width="13.421875" style="0" bestFit="1" customWidth="1"/>
    <col min="9" max="9" width="7.00390625" style="0" customWidth="1"/>
    <col min="10" max="10" width="8.7109375" style="0" customWidth="1"/>
    <col min="11" max="11" width="12.28125" style="0" customWidth="1"/>
    <col min="12" max="12" width="9.57421875" style="0" customWidth="1"/>
  </cols>
  <sheetData>
    <row r="1" ht="13.5" thickBot="1">
      <c r="A1" s="719"/>
    </row>
    <row r="2" spans="2:13" ht="21" thickBot="1">
      <c r="B2" s="752" t="s">
        <v>405</v>
      </c>
      <c r="C2" s="753"/>
      <c r="D2" s="756"/>
      <c r="E2" s="754" t="str">
        <f>'Site Data'!B6</f>
        <v>MN Hospital</v>
      </c>
      <c r="F2" s="755"/>
      <c r="H2" s="720"/>
      <c r="I2" s="720"/>
      <c r="J2" s="757"/>
      <c r="K2" s="757"/>
      <c r="L2" s="757"/>
      <c r="M2" s="757"/>
    </row>
    <row r="5" ht="16.5" customHeight="1" thickBot="1"/>
    <row r="6" spans="10:17" ht="12.75">
      <c r="J6">
        <f>'Site Data'!B12</f>
        <v>0</v>
      </c>
      <c r="K6" s="826" t="str">
        <f>'Site Data'!C12</f>
        <v>Electricity</v>
      </c>
      <c r="L6" s="829"/>
      <c r="M6" s="830"/>
      <c r="N6" s="828" t="str">
        <f>'Site Data'!F12</f>
        <v>Fuels</v>
      </c>
      <c r="O6" s="829"/>
      <c r="P6" s="829"/>
      <c r="Q6" s="830"/>
    </row>
    <row r="7" spans="10:17" ht="14.25" customHeight="1">
      <c r="J7">
        <f>'Site Data'!B13</f>
        <v>0</v>
      </c>
      <c r="K7" s="827" t="str">
        <f>'Site Data'!C13</f>
        <v>Energy</v>
      </c>
      <c r="L7" s="824" t="str">
        <f>'Site Data'!D13</f>
        <v>Peak Demand</v>
      </c>
      <c r="M7" s="822" t="str">
        <f>'Site Data'!F13</f>
        <v>Cost*</v>
      </c>
      <c r="N7" s="733" t="str">
        <f>'Site Data'!G13</f>
        <v>Gas</v>
      </c>
      <c r="O7" s="722">
        <f>'Site Data'!H13</f>
        <v>0</v>
      </c>
      <c r="P7" s="722" t="str">
        <f>'Site Data'!I13</f>
        <v>Fuel Oil</v>
      </c>
      <c r="Q7" s="723" t="str">
        <f>'Site Data'!J13</f>
        <v>#2</v>
      </c>
    </row>
    <row r="8" spans="10:17" ht="12.75">
      <c r="J8">
        <f>'Site Data'!B14</f>
        <v>0</v>
      </c>
      <c r="K8" s="825"/>
      <c r="L8" s="823"/>
      <c r="M8" s="886"/>
      <c r="N8" s="733" t="str">
        <f>'Site Data'!G14</f>
        <v>Energy</v>
      </c>
      <c r="O8" s="722" t="str">
        <f>'Site Data'!H14</f>
        <v>Cost*</v>
      </c>
      <c r="P8" s="722" t="str">
        <f>'Site Data'!I14</f>
        <v>Energy</v>
      </c>
      <c r="Q8" s="723" t="str">
        <f>'Site Data'!J14</f>
        <v>Cost</v>
      </c>
    </row>
    <row r="9" spans="10:17" ht="13.5" thickBot="1">
      <c r="J9">
        <f>'Site Data'!B15</f>
        <v>0</v>
      </c>
      <c r="K9" s="741" t="str">
        <f>'Site Data'!C15</f>
        <v>kWh</v>
      </c>
      <c r="L9" s="742" t="str">
        <f>'Site Data'!D15</f>
        <v>kW</v>
      </c>
      <c r="M9" s="743" t="str">
        <f>'Site Data'!F15</f>
        <v>$</v>
      </c>
      <c r="N9" s="744" t="str">
        <f>'Site Data'!G15</f>
        <v>Therms</v>
      </c>
      <c r="O9" s="742" t="str">
        <f>'Site Data'!H15</f>
        <v>$</v>
      </c>
      <c r="P9" s="742" t="str">
        <f>'Site Data'!I15</f>
        <v>Gallons</v>
      </c>
      <c r="Q9" s="743" t="str">
        <f>'Site Data'!J15</f>
        <v>$</v>
      </c>
    </row>
    <row r="10" spans="10:17" ht="12.75">
      <c r="J10" s="738">
        <f>'Site Data'!B16</f>
        <v>37622</v>
      </c>
      <c r="K10" s="745">
        <f>'Site Data'!C16</f>
        <v>640495</v>
      </c>
      <c r="L10" s="746">
        <f>'Site Data'!D16</f>
        <v>1079</v>
      </c>
      <c r="M10" s="747">
        <f>'Site Data'!F16</f>
        <v>31682</v>
      </c>
      <c r="N10" s="748">
        <f>'Site Data'!G16</f>
        <v>54340</v>
      </c>
      <c r="O10" s="749">
        <f>'Site Data'!H16</f>
        <v>41434</v>
      </c>
      <c r="P10" s="750" t="str">
        <f>IF('Site Data'!I16=0,"N/A",'Site Data'!I16)</f>
        <v>N/A</v>
      </c>
      <c r="Q10" s="751" t="str">
        <f>IF('Site Data'!J16=0,"N/A",'Site Data'!J16)</f>
        <v>N/A</v>
      </c>
    </row>
    <row r="11" spans="10:17" ht="12.75">
      <c r="J11" s="739">
        <f>'Site Data'!B17</f>
        <v>37653</v>
      </c>
      <c r="K11" s="724">
        <f>'Site Data'!C17</f>
        <v>580107</v>
      </c>
      <c r="L11" s="718">
        <f>'Site Data'!D17</f>
        <v>1076</v>
      </c>
      <c r="M11" s="736">
        <f>'Site Data'!F17</f>
        <v>29567</v>
      </c>
      <c r="N11" s="734">
        <f>'Site Data'!G17</f>
        <v>45840</v>
      </c>
      <c r="O11" s="725">
        <f>'Site Data'!H17</f>
        <v>34953</v>
      </c>
      <c r="P11" s="726" t="str">
        <f>IF('Site Data'!I17=0,"N/A",'Site Data'!I17)</f>
        <v>N/A</v>
      </c>
      <c r="Q11" s="727" t="str">
        <f>IF('Site Data'!J17=0,"N/A",'Site Data'!J17)</f>
        <v>N/A</v>
      </c>
    </row>
    <row r="12" spans="10:17" ht="12.75">
      <c r="J12" s="739">
        <f>'Site Data'!B18</f>
        <v>37681</v>
      </c>
      <c r="K12" s="724">
        <f>'Site Data'!C18</f>
        <v>650700</v>
      </c>
      <c r="L12" s="718">
        <f>'Site Data'!D18</f>
        <v>1199</v>
      </c>
      <c r="M12" s="736">
        <f>'Site Data'!F18</f>
        <v>33223</v>
      </c>
      <c r="N12" s="734">
        <f>'Site Data'!G18</f>
        <v>44290</v>
      </c>
      <c r="O12" s="725">
        <f>'Site Data'!H18</f>
        <v>33768</v>
      </c>
      <c r="P12" s="726" t="str">
        <f>IF('Site Data'!I18=0,"N/A",'Site Data'!I18)</f>
        <v>N/A</v>
      </c>
      <c r="Q12" s="727" t="str">
        <f>IF('Site Data'!J18=0,"N/A",'Site Data'!J18)</f>
        <v>N/A</v>
      </c>
    </row>
    <row r="13" spans="10:17" ht="12.75">
      <c r="J13" s="739">
        <f>'Site Data'!B19</f>
        <v>37712</v>
      </c>
      <c r="K13" s="724">
        <f>'Site Data'!C19</f>
        <v>648328</v>
      </c>
      <c r="L13" s="718">
        <f>'Site Data'!D19</f>
        <v>1155</v>
      </c>
      <c r="M13" s="736">
        <f>'Site Data'!F19</f>
        <v>32718</v>
      </c>
      <c r="N13" s="734">
        <f>'Site Data'!G19</f>
        <v>31540</v>
      </c>
      <c r="O13" s="725">
        <f>'Site Data'!H19</f>
        <v>24045</v>
      </c>
      <c r="P13" s="726" t="str">
        <f>IF('Site Data'!I19=0,"N/A",'Site Data'!I19)</f>
        <v>N/A</v>
      </c>
      <c r="Q13" s="727" t="str">
        <f>IF('Site Data'!J19=0,"N/A",'Site Data'!J19)</f>
        <v>N/A</v>
      </c>
    </row>
    <row r="14" spans="10:17" ht="12.75">
      <c r="J14" s="739">
        <f>'Site Data'!B20</f>
        <v>37377</v>
      </c>
      <c r="K14" s="724">
        <f>'Site Data'!C20</f>
        <v>716199</v>
      </c>
      <c r="L14" s="718">
        <f>'Site Data'!D20</f>
        <v>1311</v>
      </c>
      <c r="M14" s="736">
        <f>'Site Data'!F20</f>
        <v>36522</v>
      </c>
      <c r="N14" s="734">
        <f>'Site Data'!G20</f>
        <v>25220</v>
      </c>
      <c r="O14" s="725">
        <f>'Site Data'!H20</f>
        <v>11144</v>
      </c>
      <c r="P14" s="726" t="str">
        <f>IF('Site Data'!I20=0,"N/A",'Site Data'!I20)</f>
        <v>N/A</v>
      </c>
      <c r="Q14" s="727" t="str">
        <f>IF('Site Data'!J20=0,"N/A",'Site Data'!J20)</f>
        <v>N/A</v>
      </c>
    </row>
    <row r="15" spans="10:17" ht="12.75">
      <c r="J15" s="739">
        <f>'Site Data'!B21</f>
        <v>37408</v>
      </c>
      <c r="K15" s="724">
        <f>'Site Data'!C21</f>
        <v>743382</v>
      </c>
      <c r="L15" s="718">
        <f>'Site Data'!D21</f>
        <v>1385</v>
      </c>
      <c r="M15" s="736">
        <f>'Site Data'!F21</f>
        <v>38165</v>
      </c>
      <c r="N15" s="734">
        <f>'Site Data'!G21</f>
        <v>25950</v>
      </c>
      <c r="O15" s="725">
        <f>'Site Data'!H21</f>
        <v>11465</v>
      </c>
      <c r="P15" s="726" t="str">
        <f>IF('Site Data'!I21=0,"N/A",'Site Data'!I21)</f>
        <v>N/A</v>
      </c>
      <c r="Q15" s="727" t="str">
        <f>IF('Site Data'!J21=0,"N/A",'Site Data'!J21)</f>
        <v>N/A</v>
      </c>
    </row>
    <row r="16" spans="10:17" ht="12.75">
      <c r="J16" s="739">
        <f>'Site Data'!B22</f>
        <v>37438</v>
      </c>
      <c r="K16" s="724">
        <f>'Site Data'!C22</f>
        <v>794868</v>
      </c>
      <c r="L16" s="718">
        <f>'Site Data'!D22</f>
        <v>1429</v>
      </c>
      <c r="M16" s="736">
        <f>'Site Data'!F22</f>
        <v>40059</v>
      </c>
      <c r="N16" s="734">
        <f>'Site Data'!G22</f>
        <v>28980</v>
      </c>
      <c r="O16" s="725">
        <f>'Site Data'!H22</f>
        <v>12803</v>
      </c>
      <c r="P16" s="726" t="str">
        <f>IF('Site Data'!I22=0,"N/A",'Site Data'!I22)</f>
        <v>N/A</v>
      </c>
      <c r="Q16" s="727" t="str">
        <f>IF('Site Data'!J22=0,"N/A",'Site Data'!J22)</f>
        <v>N/A</v>
      </c>
    </row>
    <row r="17" spans="10:17" ht="12.75">
      <c r="J17" s="739">
        <f>'Site Data'!B23</f>
        <v>37469</v>
      </c>
      <c r="K17" s="724">
        <f>'Site Data'!C23</f>
        <v>794062</v>
      </c>
      <c r="L17" s="718">
        <f>'Site Data'!D23</f>
        <v>1435</v>
      </c>
      <c r="M17" s="736">
        <f>'Site Data'!F23</f>
        <v>40516</v>
      </c>
      <c r="N17" s="734">
        <f>'Site Data'!G23</f>
        <v>31020</v>
      </c>
      <c r="O17" s="725">
        <f>'Site Data'!H23</f>
        <v>13705</v>
      </c>
      <c r="P17" s="726" t="str">
        <f>IF('Site Data'!I23=0,"N/A",'Site Data'!I23)</f>
        <v>N/A</v>
      </c>
      <c r="Q17" s="727" t="str">
        <f>IF('Site Data'!J23=0,"N/A",'Site Data'!J23)</f>
        <v>N/A</v>
      </c>
    </row>
    <row r="18" spans="10:17" ht="12.75">
      <c r="J18" s="739">
        <f>'Site Data'!B24</f>
        <v>37500</v>
      </c>
      <c r="K18" s="724">
        <f>'Site Data'!C24</f>
        <v>722532</v>
      </c>
      <c r="L18" s="718">
        <f>'Site Data'!D24</f>
        <v>1329</v>
      </c>
      <c r="M18" s="736">
        <f>'Site Data'!F24</f>
        <v>36461</v>
      </c>
      <c r="N18" s="734">
        <f>'Site Data'!G24</f>
        <v>23030</v>
      </c>
      <c r="O18" s="725">
        <f>'Site Data'!H24</f>
        <v>10176</v>
      </c>
      <c r="P18" s="726" t="str">
        <f>IF('Site Data'!I24=0,"N/A",'Site Data'!I24)</f>
        <v>N/A</v>
      </c>
      <c r="Q18" s="727" t="str">
        <f>IF('Site Data'!J24=0,"N/A",'Site Data'!J24)</f>
        <v>N/A</v>
      </c>
    </row>
    <row r="19" spans="10:17" ht="12.75">
      <c r="J19" s="739">
        <f>'Site Data'!B25</f>
        <v>37530</v>
      </c>
      <c r="K19" s="724">
        <f>'Site Data'!C25</f>
        <v>691080</v>
      </c>
      <c r="L19" s="718">
        <f>'Site Data'!D25</f>
        <v>1249</v>
      </c>
      <c r="M19" s="736">
        <f>'Site Data'!F25</f>
        <v>35103</v>
      </c>
      <c r="N19" s="734">
        <f>'Site Data'!G25</f>
        <v>26700</v>
      </c>
      <c r="O19" s="725">
        <f>'Site Data'!H25</f>
        <v>11797</v>
      </c>
      <c r="P19" s="726" t="str">
        <f>IF('Site Data'!I25=0,"N/A",'Site Data'!I25)</f>
        <v>N/A</v>
      </c>
      <c r="Q19" s="727" t="str">
        <f>IF('Site Data'!J25=0,"N/A",'Site Data'!J25)</f>
        <v>N/A</v>
      </c>
    </row>
    <row r="20" spans="10:17" ht="12.75">
      <c r="J20" s="739">
        <f>'Site Data'!B26</f>
        <v>37561</v>
      </c>
      <c r="K20" s="724">
        <f>'Site Data'!C26</f>
        <v>636733</v>
      </c>
      <c r="L20" s="718">
        <f>'Site Data'!D26</f>
        <v>1228</v>
      </c>
      <c r="M20" s="736">
        <f>'Site Data'!F26</f>
        <v>32895</v>
      </c>
      <c r="N20" s="734">
        <f>'Site Data'!G26</f>
        <v>34330</v>
      </c>
      <c r="O20" s="725">
        <f>'Site Data'!H26</f>
        <v>26179</v>
      </c>
      <c r="P20" s="726" t="str">
        <f>IF('Site Data'!I26=0,"N/A",'Site Data'!I26)</f>
        <v>N/A</v>
      </c>
      <c r="Q20" s="727" t="str">
        <f>IF('Site Data'!J26=0,"N/A",'Site Data'!J26)</f>
        <v>N/A</v>
      </c>
    </row>
    <row r="21" spans="10:17" ht="13.5" thickBot="1">
      <c r="J21" s="740">
        <f>'Site Data'!B27</f>
        <v>37591</v>
      </c>
      <c r="K21" s="728">
        <f>'Site Data'!C27</f>
        <v>640442</v>
      </c>
      <c r="L21" s="729">
        <f>'Site Data'!D27</f>
        <v>1087</v>
      </c>
      <c r="M21" s="737">
        <f>'Site Data'!F27</f>
        <v>31425</v>
      </c>
      <c r="N21" s="735">
        <f>'Site Data'!G27</f>
        <v>50040</v>
      </c>
      <c r="O21" s="730">
        <f>'Site Data'!H27</f>
        <v>38153</v>
      </c>
      <c r="P21" s="731" t="str">
        <f>IF('Site Data'!I27=0,"N/A",'Site Data'!I27)</f>
        <v>N/A</v>
      </c>
      <c r="Q21" s="732" t="str">
        <f>IF('Site Data'!J27=0,"N/A",'Site Data'!J27)</f>
        <v>N/A</v>
      </c>
    </row>
    <row r="22" spans="10:17" ht="12.75">
      <c r="J22" s="721" t="str">
        <f>'Site Data'!B28</f>
        <v>* Excludes Taxes</v>
      </c>
      <c r="K22" s="721"/>
      <c r="M22">
        <f>'Site Data'!E28</f>
        <v>0.3668305301388306</v>
      </c>
      <c r="N22">
        <f>'Site Data'!F28</f>
        <v>418336</v>
      </c>
      <c r="O22">
        <f>'Site Data'!G28</f>
        <v>421280</v>
      </c>
      <c r="P22">
        <f>'Site Data'!H28</f>
        <v>269622</v>
      </c>
      <c r="Q22">
        <f>'Site Data'!I28</f>
        <v>0</v>
      </c>
    </row>
  </sheetData>
  <mergeCells count="5">
    <mergeCell ref="N6:Q6"/>
    <mergeCell ref="K6:M6"/>
    <mergeCell ref="K7:K8"/>
    <mergeCell ref="L7:L8"/>
    <mergeCell ref="M7:M8"/>
  </mergeCells>
  <conditionalFormatting sqref="J6:J22 K9:M22 L7:M7 N6:N22 K6:K7 O7:Q22">
    <cfRule type="cellIs" priority="1" dxfId="0" operator="equal" stopIfTrue="1">
      <formula>0</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2:O53"/>
  <sheetViews>
    <sheetView zoomScale="75" zoomScaleNormal="75" workbookViewId="0" topLeftCell="A11">
      <selection activeCell="C14" sqref="C14:D14"/>
    </sheetView>
  </sheetViews>
  <sheetFormatPr defaultColWidth="9.140625" defaultRowHeight="12.75"/>
  <cols>
    <col min="1" max="1" width="32.140625" style="69" customWidth="1"/>
    <col min="2" max="2" width="2.140625" style="69" bestFit="1" customWidth="1"/>
    <col min="3" max="3" width="11.57421875" style="69" bestFit="1" customWidth="1"/>
    <col min="4" max="4" width="17.00390625" style="69" customWidth="1"/>
    <col min="5" max="5" width="4.140625" style="69" customWidth="1"/>
    <col min="6" max="6" width="20.8515625" style="69" customWidth="1"/>
    <col min="7" max="7" width="8.140625" style="69" customWidth="1"/>
    <col min="8" max="8" width="11.00390625" style="69" customWidth="1"/>
    <col min="9" max="9" width="12.140625" style="69" bestFit="1" customWidth="1"/>
    <col min="10" max="10" width="10.8515625" style="69" bestFit="1" customWidth="1"/>
    <col min="11" max="11" width="12.140625" style="69" bestFit="1" customWidth="1"/>
    <col min="12" max="12" width="11.140625" style="69" bestFit="1" customWidth="1"/>
    <col min="13" max="14" width="9.140625" style="69" customWidth="1"/>
    <col min="15" max="15" width="11.140625" style="69" bestFit="1" customWidth="1"/>
    <col min="16" max="16384" width="9.140625" style="69" customWidth="1"/>
  </cols>
  <sheetData>
    <row r="1" ht="12.75"/>
    <row r="2" spans="1:10" ht="12.75">
      <c r="A2" s="404"/>
      <c r="B2" s="404"/>
      <c r="C2" s="404"/>
      <c r="D2" s="404"/>
      <c r="E2" s="404"/>
      <c r="F2" s="404"/>
      <c r="G2" s="404"/>
      <c r="H2" s="404"/>
      <c r="I2" s="412"/>
      <c r="J2" s="412"/>
    </row>
    <row r="3" spans="1:10" ht="12.75">
      <c r="A3" s="404"/>
      <c r="B3" s="404"/>
      <c r="C3" s="404"/>
      <c r="D3" s="404"/>
      <c r="E3" s="404"/>
      <c r="F3" s="404"/>
      <c r="G3" s="404"/>
      <c r="H3" s="404"/>
      <c r="I3" s="412"/>
      <c r="J3" s="412"/>
    </row>
    <row r="4" spans="1:10" ht="12.75">
      <c r="A4" s="410"/>
      <c r="B4" s="411"/>
      <c r="C4" s="411"/>
      <c r="D4" s="411"/>
      <c r="E4" s="412"/>
      <c r="F4" s="713"/>
      <c r="G4" s="713"/>
      <c r="H4" s="713"/>
      <c r="I4" s="713"/>
      <c r="J4" s="713"/>
    </row>
    <row r="5" spans="1:10" ht="13.5" thickBot="1">
      <c r="A5" s="198"/>
      <c r="B5" s="121"/>
      <c r="C5" s="121"/>
      <c r="D5" s="121"/>
      <c r="F5" s="714"/>
      <c r="G5" s="714"/>
      <c r="H5" s="714"/>
      <c r="I5" s="714"/>
      <c r="J5" s="714"/>
    </row>
    <row r="6" spans="1:10" ht="13.5" thickBot="1">
      <c r="A6" s="199" t="s">
        <v>30</v>
      </c>
      <c r="B6" s="200" t="s">
        <v>26</v>
      </c>
      <c r="C6" s="201">
        <f>'Energy Consumption &amp; Costs'!O17/('Energy Consumption &amp; Costs'!C17*3412.8)</f>
        <v>1.0818339762631761</v>
      </c>
      <c r="D6" s="121"/>
      <c r="F6" s="315">
        <f>IF('Site Data'!F8="Industrial",6000,IF('Site Data'!F8="Commercial",1,IF('Site Data'!F8="Institutional",2,"Unknown")))</f>
        <v>1</v>
      </c>
      <c r="G6" s="315" t="s">
        <v>401</v>
      </c>
      <c r="H6" s="315"/>
      <c r="I6" s="315"/>
      <c r="J6" s="714"/>
    </row>
    <row r="7" spans="1:10" ht="13.5" thickBot="1">
      <c r="A7" s="121"/>
      <c r="B7" s="121"/>
      <c r="C7" s="121"/>
      <c r="D7" s="121"/>
      <c r="F7" s="807">
        <f>IF(F6&gt;2,6000,IF(AND(F6&lt;=2,C6&gt;1.5),0.6,IF(AND(F6&lt;=2,C6&lt;1.5,C6&gt;=1),0.5,IF(AND(F6&lt;=2,C6&lt;1),0.4,"Unknown"))))</f>
        <v>0.5</v>
      </c>
      <c r="G7" s="315"/>
      <c r="H7" s="315"/>
      <c r="I7" s="315"/>
      <c r="J7" s="714"/>
    </row>
    <row r="8" spans="1:10" ht="13.5" thickBot="1">
      <c r="A8" s="202" t="s">
        <v>31</v>
      </c>
      <c r="B8" s="203"/>
      <c r="C8" s="906">
        <f>IF(C6&lt;0.5,"CHP Not Recommended","")</f>
      </c>
      <c r="D8" s="907"/>
      <c r="F8" s="315">
        <f>IF(F7&lt;1,F7*'Electric Load Profile'!D5,'Electric Load Profile'!G3)</f>
        <v>714.5</v>
      </c>
      <c r="G8" s="315"/>
      <c r="H8" s="315"/>
      <c r="I8" s="315"/>
      <c r="J8" s="714"/>
    </row>
    <row r="9" spans="1:10" ht="13.5" thickBot="1">
      <c r="A9" s="204" t="str">
        <f>'Equipment Factors'!$C$1</f>
        <v>Gas Engine</v>
      </c>
      <c r="B9" s="910" t="str">
        <f>IF(AND(C6&gt;0.5,C6&lt;=1.5),"Recommended","")</f>
        <v>Recommended</v>
      </c>
      <c r="C9" s="911"/>
      <c r="D9" s="912"/>
      <c r="F9" s="715"/>
      <c r="G9" s="714"/>
      <c r="H9" s="714"/>
      <c r="I9" s="714"/>
      <c r="J9" s="714"/>
    </row>
    <row r="10" spans="1:12" ht="12.75">
      <c r="A10" s="205" t="str">
        <f>'Equipment Factors'!$F$1</f>
        <v>Microturbine</v>
      </c>
      <c r="B10" s="913">
        <f>IF(C17&lt;500,(IF(AND(C6&gt;1,C6&lt;=10),"Recommended","")),"")</f>
      </c>
      <c r="C10" s="914"/>
      <c r="D10" s="915"/>
      <c r="F10" s="900" t="s">
        <v>161</v>
      </c>
      <c r="G10" s="877" t="s">
        <v>163</v>
      </c>
      <c r="H10" s="845"/>
      <c r="I10" s="877" t="s">
        <v>216</v>
      </c>
      <c r="J10" s="887"/>
      <c r="K10" s="877" t="s">
        <v>65</v>
      </c>
      <c r="L10" s="887"/>
    </row>
    <row r="11" spans="1:12" ht="13.5" thickBot="1">
      <c r="A11" s="205" t="str">
        <f>'Equipment Factors'!$H$1</f>
        <v>Gas Turbine (Simple Cycle)</v>
      </c>
      <c r="B11" s="913" t="str">
        <f>IF(AND(C6&gt;1,C6&lt;=10),"Recommended","")</f>
        <v>Recommended</v>
      </c>
      <c r="C11" s="914"/>
      <c r="D11" s="915"/>
      <c r="F11" s="901"/>
      <c r="G11" s="550">
        <v>3200</v>
      </c>
      <c r="H11" s="551" t="s">
        <v>150</v>
      </c>
      <c r="I11" s="550">
        <v>846</v>
      </c>
      <c r="J11" s="716" t="s">
        <v>150</v>
      </c>
      <c r="K11" s="550">
        <v>846</v>
      </c>
      <c r="L11" s="716" t="s">
        <v>150</v>
      </c>
    </row>
    <row r="12" spans="1:10" ht="16.5" customHeight="1" thickBot="1">
      <c r="A12" s="206" t="str">
        <f>'Equipment Factors'!$K$1</f>
        <v>Phosphoric Acid Fuel Cells</v>
      </c>
      <c r="B12" s="916"/>
      <c r="C12" s="917"/>
      <c r="D12" s="918"/>
      <c r="F12" s="714"/>
      <c r="G12" s="714"/>
      <c r="H12" s="714"/>
      <c r="I12" s="714"/>
      <c r="J12" s="714"/>
    </row>
    <row r="13" spans="1:10" ht="13.5" thickBot="1">
      <c r="A13" s="121"/>
      <c r="B13" s="121"/>
      <c r="C13" s="121"/>
      <c r="D13" s="121"/>
      <c r="F13" s="714"/>
      <c r="G13" s="714"/>
      <c r="H13" s="714"/>
      <c r="I13" s="714"/>
      <c r="J13" s="714"/>
    </row>
    <row r="14" spans="1:15" ht="13.5" thickBot="1">
      <c r="A14" s="199" t="s">
        <v>32</v>
      </c>
      <c r="B14" s="207"/>
      <c r="C14" s="908" t="s">
        <v>37</v>
      </c>
      <c r="D14" s="909"/>
      <c r="F14" s="714"/>
      <c r="G14" s="714"/>
      <c r="H14" s="714"/>
      <c r="I14" s="714"/>
      <c r="J14" s="714"/>
      <c r="K14" s="895" t="s">
        <v>408</v>
      </c>
      <c r="L14" s="896"/>
      <c r="M14" s="896"/>
      <c r="N14" s="896"/>
      <c r="O14" s="897"/>
    </row>
    <row r="15" spans="1:15" ht="30" customHeight="1" thickBot="1">
      <c r="A15" s="902" t="s">
        <v>392</v>
      </c>
      <c r="B15" s="903"/>
      <c r="C15" s="904" t="s">
        <v>69</v>
      </c>
      <c r="D15" s="905"/>
      <c r="F15" s="208" t="s">
        <v>35</v>
      </c>
      <c r="G15" s="193"/>
      <c r="H15" s="193"/>
      <c r="I15" s="209" t="s">
        <v>62</v>
      </c>
      <c r="J15" s="210" t="s">
        <v>34</v>
      </c>
      <c r="K15" s="313" t="s">
        <v>62</v>
      </c>
      <c r="L15" s="893" t="s">
        <v>34</v>
      </c>
      <c r="M15" s="894"/>
      <c r="N15" s="898" t="s">
        <v>166</v>
      </c>
      <c r="O15" s="899"/>
    </row>
    <row r="16" spans="1:15" ht="13.5" thickBot="1">
      <c r="A16" s="690" t="s">
        <v>393</v>
      </c>
      <c r="B16" s="691"/>
      <c r="C16" s="692">
        <v>1200</v>
      </c>
      <c r="D16" s="813" t="s">
        <v>33</v>
      </c>
      <c r="F16" s="214" t="s">
        <v>36</v>
      </c>
      <c r="G16" s="215">
        <f>IF(C14=A9,HLOOKUP(C18,'Equipment Factors'!C2:E9,6),(IF(C14=A10,HLOOKUP(C18,'Equipment Factors'!F2:G9,6),(IF(C14=A11,HLOOKUP(C18,'Equipment Factors'!H2:I9,6),(IF(C14=#REF!,HLOOKUP(C18,'Equipment Factors'!#REF!,6),(IF(C14=A12,HLOOKUP(C18,'Equipment Factors'!K2:K9,6),9999999999)))))))))</f>
        <v>1200</v>
      </c>
      <c r="H16" s="216" t="s">
        <v>61</v>
      </c>
      <c r="I16" s="217">
        <f>IF(J16="",(IF(AND(J16="",C15="Yes"),((C20*G16)-(C16*'Equipment Factors'!C13)),(C20*G16))),"")</f>
        <v>1380000</v>
      </c>
      <c r="J16" s="578"/>
      <c r="K16" s="287">
        <f>IF(L16="",C20*C25,"")</f>
        <v>0</v>
      </c>
      <c r="L16" s="582"/>
      <c r="M16" s="276" t="s">
        <v>33</v>
      </c>
      <c r="N16" s="310">
        <f>IF(L16="",K16*Gen_Hours,L16*Gen_Hours)</f>
        <v>0</v>
      </c>
      <c r="O16" s="276" t="s">
        <v>3</v>
      </c>
    </row>
    <row r="17" spans="1:15" ht="12.75">
      <c r="A17" s="211" t="s">
        <v>59</v>
      </c>
      <c r="B17" s="212"/>
      <c r="C17" s="355">
        <f>IF(F7&lt;1,F7*'Electric Load Profile'!D5,'Electric Load Profile'!G3)</f>
        <v>714.5</v>
      </c>
      <c r="D17" s="125" t="s">
        <v>33</v>
      </c>
      <c r="F17" s="205" t="s">
        <v>67</v>
      </c>
      <c r="G17" s="219"/>
      <c r="H17" s="220"/>
      <c r="I17" s="408" t="str">
        <f>IF(J16="","Included","")</f>
        <v>Included</v>
      </c>
      <c r="J17" s="579"/>
      <c r="K17" s="407" t="str">
        <f>IF(L16="","Included","")</f>
        <v>Included</v>
      </c>
      <c r="L17" s="583"/>
      <c r="M17" s="277" t="s">
        <v>33</v>
      </c>
      <c r="N17" s="311">
        <f>L17*Gen_Hours</f>
        <v>0</v>
      </c>
      <c r="O17" s="277" t="s">
        <v>3</v>
      </c>
    </row>
    <row r="18" spans="1:15" ht="12.75">
      <c r="A18" s="218" t="s">
        <v>71</v>
      </c>
      <c r="B18" s="122"/>
      <c r="C18" s="574">
        <v>750</v>
      </c>
      <c r="D18" s="126" t="s">
        <v>33</v>
      </c>
      <c r="F18" s="205" t="s">
        <v>64</v>
      </c>
      <c r="G18" s="223">
        <f>IF(C27="YES",HLOOKUP(C29,'Equipment Factors'!C17:J22,2),"NONE")</f>
        <v>850</v>
      </c>
      <c r="H18" s="220" t="s">
        <v>73</v>
      </c>
      <c r="I18" s="224">
        <f>IF(C27="No","N/A",(IF(J18="",(IF(AND(J18="",C28="Yes"),((C29*G18)-(C29*'Equipment Factors'!C32)),(C29*G18))),"")))</f>
        <v>279834.17647058825</v>
      </c>
      <c r="J18" s="579"/>
      <c r="K18" s="288">
        <f>IF(C27="Yes",IF(L18="",C29*C32,""),0)</f>
        <v>11.741294117647058</v>
      </c>
      <c r="L18" s="583"/>
      <c r="M18" s="277" t="s">
        <v>33</v>
      </c>
      <c r="N18" s="311">
        <f>IF(L18="",K18*Absopt_Hours,L18*Absopt_Hours)</f>
        <v>9933.134823529412</v>
      </c>
      <c r="O18" s="277" t="s">
        <v>3</v>
      </c>
    </row>
    <row r="19" spans="1:15" ht="13.5" thickBot="1">
      <c r="A19" s="221" t="s">
        <v>72</v>
      </c>
      <c r="B19" s="123"/>
      <c r="C19" s="575">
        <v>2</v>
      </c>
      <c r="D19" s="222" t="s">
        <v>75</v>
      </c>
      <c r="F19" s="205" t="s">
        <v>65</v>
      </c>
      <c r="G19" s="647">
        <f>IF(AND(C36="Solid",(OR(Class="Commercial",Class="Institutional"))),HLOOKUP(C38,'Equipment Factors'!G36:I41,2),IF(AND(C36="Liquid",(OR(Class="Commercial",Class="Institutional"))),HLOOKUP(C38,'Equipment Factors'!F45:H50,2),IF(AND(C36="Liquid",(OR(Class="Commercial",Class="Institutional"))),HLOOKUP(C38,'Equipment Factors'!F45:H50,2),IF(AND(C36="Liquid",Class="Industrial"),HLOOKUP(C38,'Equipment Factors'!C45:E50,2),0))))</f>
        <v>5.5</v>
      </c>
      <c r="H19" s="220" t="s">
        <v>74</v>
      </c>
      <c r="I19" s="489">
        <f>IF(C37="Yes",0,(IF(J19="",IF(C40&gt;0,C40*G19,),0)))</f>
        <v>0</v>
      </c>
      <c r="J19" s="579"/>
      <c r="K19" s="288">
        <f>IF(AND(L19="",OR(C36="Solid",C36="Liquid")),C40*C44/1000,"")</f>
        <v>8</v>
      </c>
      <c r="L19" s="646"/>
      <c r="M19" s="277" t="s">
        <v>33</v>
      </c>
      <c r="N19" s="311">
        <f>IF(L19="",K19*Absopt_Hours,L19*K11)</f>
        <v>6768</v>
      </c>
      <c r="O19" s="277" t="s">
        <v>3</v>
      </c>
    </row>
    <row r="20" spans="1:15" ht="13.5" thickBot="1">
      <c r="A20" s="225" t="s">
        <v>60</v>
      </c>
      <c r="B20" s="226"/>
      <c r="C20" s="227">
        <f>C18*C19</f>
        <v>1500</v>
      </c>
      <c r="D20" s="228" t="s">
        <v>33</v>
      </c>
      <c r="F20" s="270" t="s">
        <v>63</v>
      </c>
      <c r="G20" s="271"/>
      <c r="H20" s="272"/>
      <c r="I20" s="409" t="str">
        <f>IF(J20="",IF(J16="","Included",""),0)</f>
        <v>Included</v>
      </c>
      <c r="J20" s="580"/>
      <c r="K20" s="289"/>
      <c r="L20" s="584"/>
      <c r="M20" s="303"/>
      <c r="N20" s="304"/>
      <c r="O20" s="303"/>
    </row>
    <row r="21" spans="1:15" ht="13.5" thickBot="1">
      <c r="A21" s="225" t="s">
        <v>261</v>
      </c>
      <c r="B21" s="226"/>
      <c r="C21" s="227">
        <f>(IF(C14=A9,HLOOKUP(C18,'Equipment Factors'!C2:E8,2),(IF(C14=A10,HLOOKUP(C18,'Equipment Factors'!F2:G8,2),(IF(C14=A11,HLOOKUP(C18,'Equipment Factors'!H2:I8,2),(IF(C14=#REF!,HLOOKUP(C18,'Equipment Factors'!#REF!,2),(IF(C14=A12,HLOOKUP(C18,'Equipment Factors'!K2:K8,2),999999))))))))))*100</f>
        <v>35</v>
      </c>
      <c r="D21" s="228" t="s">
        <v>21</v>
      </c>
      <c r="F21" s="232" t="s">
        <v>159</v>
      </c>
      <c r="G21" s="490"/>
      <c r="H21" s="490"/>
      <c r="I21" s="273"/>
      <c r="J21" s="581"/>
      <c r="K21" s="289"/>
      <c r="L21" s="585"/>
      <c r="M21" s="297" t="s">
        <v>33</v>
      </c>
      <c r="N21" s="311">
        <f>L21*RESULTS!F11</f>
        <v>0</v>
      </c>
      <c r="O21" s="278" t="s">
        <v>3</v>
      </c>
    </row>
    <row r="22" spans="1:15" ht="13.5" thickBot="1">
      <c r="A22" s="229" t="s">
        <v>308</v>
      </c>
      <c r="B22" s="230"/>
      <c r="C22" s="231">
        <f>(IF(C14=A9,HLOOKUP(C18,'Equipment Factors'!C2:E8,3),(IF(C14=A10,HLOOKUP(C18,'Equipment Factors'!F2:G8,3),(IF(C14=A11,HLOOKUP(C18,'Equipment Factors'!H2:I8,3),(IF(C14=A12,HLOOKUP(C18,'Equipment Factors'!K2:K8,3),999999))))))))</f>
        <v>6336.571428571429</v>
      </c>
      <c r="D22" s="213" t="s">
        <v>146</v>
      </c>
      <c r="F22" s="919" t="s">
        <v>15</v>
      </c>
      <c r="G22" s="920"/>
      <c r="H22" s="920"/>
      <c r="I22" s="240">
        <f>SUM(I16:J21)</f>
        <v>1659834.1764705882</v>
      </c>
      <c r="J22" s="241"/>
      <c r="K22" s="290">
        <f>SUM(K16:L21)</f>
        <v>19.741294117647058</v>
      </c>
      <c r="L22" s="286"/>
      <c r="M22" s="302" t="s">
        <v>33</v>
      </c>
      <c r="N22" s="312">
        <f>SUM(N16:N21)</f>
        <v>16701.134823529414</v>
      </c>
      <c r="O22" s="302" t="s">
        <v>3</v>
      </c>
    </row>
    <row r="23" spans="1:11" ht="13.5" thickBot="1">
      <c r="A23" s="232" t="s">
        <v>148</v>
      </c>
      <c r="B23" s="233"/>
      <c r="C23" s="234">
        <f>(IF(C14=A9,HLOOKUP(C18,'Equipment Factors'!C2:E8,5),(IF(C14=A10,HLOOKUP(C18,'Equipment Factors'!F2:G8,5),(IF(C14=A11,HLOOKUP(C18,'Equipment Factors'!H2:I8,5),(IF(C14=A12,HLOOKUP(C18,'Equipment Factors'!K2:K8,5),999999))))))))</f>
        <v>4435.6</v>
      </c>
      <c r="D23" s="235" t="s">
        <v>146</v>
      </c>
      <c r="F23" s="159"/>
      <c r="K23" s="242"/>
    </row>
    <row r="24" spans="1:9" ht="13.5" thickBot="1">
      <c r="A24" s="236" t="s">
        <v>53</v>
      </c>
      <c r="B24" s="200"/>
      <c r="C24" s="812">
        <f>(IF(C14=A9,HLOOKUP(C18,'Equipment Factors'!C2:E8,7),(IF(C14=A10,HLOOKUP(C18,'Equipment Factors'!F2:G8,7),(IF(C14=A11,HLOOKUP(C18,'Equipment Factors'!H2:I8,7),(IF(C14=A12,HLOOKUP(C18,'Equipment Factors'!K2:K8,7),999999))))))))</f>
        <v>0.008</v>
      </c>
      <c r="D24" s="237" t="s">
        <v>172</v>
      </c>
      <c r="F24" s="412" t="s">
        <v>66</v>
      </c>
      <c r="G24" s="412"/>
      <c r="H24" s="412"/>
      <c r="I24" s="412"/>
    </row>
    <row r="25" spans="1:7" ht="13.5" hidden="1" thickBot="1">
      <c r="A25" s="808" t="s">
        <v>55</v>
      </c>
      <c r="B25" s="809"/>
      <c r="C25" s="810">
        <f>(IF(C14=A9,HLOOKUP(C18,'Equipment Factors'!C2:E9,8),(IF(C14=A10,HLOOKUP(C18,'Equipment Factors'!F2:G9,8),(IF(C14=A11,HLOOKUP(C18,'Equipment Factors'!H2:I9,8),(IF(C14=A12,HLOOKUP(C18,'Equipment Factors'!K2:K9,8),999999))))))))</f>
        <v>0</v>
      </c>
      <c r="D25" s="811" t="s">
        <v>409</v>
      </c>
      <c r="G25" s="315"/>
    </row>
    <row r="26" spans="1:7" ht="13.5" thickBot="1">
      <c r="A26" s="238"/>
      <c r="B26" s="121"/>
      <c r="C26" s="239"/>
      <c r="D26" s="121"/>
      <c r="F26" s="315">
        <f>C20/1000*250</f>
        <v>375</v>
      </c>
      <c r="G26" s="315"/>
    </row>
    <row r="27" spans="1:4" ht="27.75" customHeight="1" thickBot="1">
      <c r="A27" s="243" t="s">
        <v>396</v>
      </c>
      <c r="B27" s="207"/>
      <c r="C27" s="904" t="s">
        <v>69</v>
      </c>
      <c r="D27" s="905"/>
    </row>
    <row r="28" spans="1:4" ht="26.25" customHeight="1" thickBot="1">
      <c r="A28" s="902" t="s">
        <v>390</v>
      </c>
      <c r="B28" s="903"/>
      <c r="C28" s="904" t="s">
        <v>69</v>
      </c>
      <c r="D28" s="905"/>
    </row>
    <row r="29" spans="1:4" ht="12.75">
      <c r="A29" s="229" t="s">
        <v>389</v>
      </c>
      <c r="B29" s="230"/>
      <c r="C29" s="689">
        <f>IF(C27="YES",C23/1000/HLOOKUP(F26,'Equipment Factors'!C17:J22,4)*C20,0)</f>
        <v>391.3764705882353</v>
      </c>
      <c r="D29" s="213" t="s">
        <v>49</v>
      </c>
    </row>
    <row r="30" spans="1:4" ht="12.75">
      <c r="A30" s="211" t="s">
        <v>54</v>
      </c>
      <c r="B30" s="686"/>
      <c r="C30" s="687">
        <f>IF(C27="YES",HLOOKUP(C29,'Equipment Factors'!C17:J22,4)*C29,0)</f>
        <v>6653.4</v>
      </c>
      <c r="D30" s="688" t="s">
        <v>186</v>
      </c>
    </row>
    <row r="31" spans="1:4" ht="12.75">
      <c r="A31" s="326" t="s">
        <v>53</v>
      </c>
      <c r="B31" s="124"/>
      <c r="C31" s="327">
        <f>IF(C27="YES",HLOOKUP(C29,'Equipment Factors'!C17:J22,3),0)</f>
        <v>30</v>
      </c>
      <c r="D31" s="328" t="s">
        <v>51</v>
      </c>
    </row>
    <row r="32" spans="1:4" ht="12.75">
      <c r="A32" s="492" t="s">
        <v>55</v>
      </c>
      <c r="B32" s="123"/>
      <c r="C32" s="291">
        <f>IF(C27="YES",HLOOKUP(C29,'Equipment Factors'!C17:J22,5),0)</f>
        <v>0.03</v>
      </c>
      <c r="D32" s="126" t="s">
        <v>52</v>
      </c>
    </row>
    <row r="33" spans="1:4" ht="13.5" thickBot="1">
      <c r="A33" s="491" t="s">
        <v>162</v>
      </c>
      <c r="B33" s="246"/>
      <c r="C33" s="292">
        <f>IF(C27="YES",HLOOKUP(C29,'Equipment Factors'!C17:J22,6),0)</f>
        <v>0.6</v>
      </c>
      <c r="D33" s="235" t="s">
        <v>52</v>
      </c>
    </row>
    <row r="34" spans="1:4" ht="12.75">
      <c r="A34" s="238"/>
      <c r="B34" s="121"/>
      <c r="C34" s="239"/>
      <c r="D34" s="121"/>
    </row>
    <row r="35" spans="1:4" ht="15.75" customHeight="1" thickBot="1">
      <c r="A35" s="493"/>
      <c r="B35" s="296"/>
      <c r="C35" s="366"/>
      <c r="D35" s="296"/>
    </row>
    <row r="36" spans="1:4" ht="29.25" customHeight="1" thickBot="1">
      <c r="A36" s="243" t="s">
        <v>68</v>
      </c>
      <c r="B36" s="200"/>
      <c r="C36" s="904" t="s">
        <v>375</v>
      </c>
      <c r="D36" s="905"/>
    </row>
    <row r="37" spans="1:4" ht="13.5" thickBot="1">
      <c r="A37" s="902" t="s">
        <v>391</v>
      </c>
      <c r="B37" s="903"/>
      <c r="C37" s="904" t="s">
        <v>69</v>
      </c>
      <c r="D37" s="905"/>
    </row>
    <row r="38" spans="1:10" ht="13.5" thickBot="1">
      <c r="A38" s="229" t="s">
        <v>71</v>
      </c>
      <c r="B38" s="245"/>
      <c r="C38" s="576">
        <v>10000</v>
      </c>
      <c r="D38" s="213" t="s">
        <v>41</v>
      </c>
      <c r="F38" s="890" t="s">
        <v>171</v>
      </c>
      <c r="G38" s="891"/>
      <c r="H38" s="891"/>
      <c r="I38" s="891"/>
      <c r="J38" s="892"/>
    </row>
    <row r="39" spans="1:10" ht="13.5" thickBot="1">
      <c r="A39" s="232" t="s">
        <v>72</v>
      </c>
      <c r="B39" s="246"/>
      <c r="C39" s="577">
        <v>1</v>
      </c>
      <c r="D39" s="222" t="s">
        <v>75</v>
      </c>
      <c r="F39" s="888">
        <f>(C33*C29)+(C43/12000*0.6)</f>
        <v>249.82588235294116</v>
      </c>
      <c r="G39" s="889"/>
      <c r="H39" s="305" t="s">
        <v>33</v>
      </c>
      <c r="I39" s="312">
        <f>(C33*C29*Equipment!I11)+((C43/12000*0.6)*Equipment!I11)</f>
        <v>211352.6964705882</v>
      </c>
      <c r="J39" s="302" t="s">
        <v>3</v>
      </c>
    </row>
    <row r="40" spans="1:4" ht="13.5" thickBot="1">
      <c r="A40" s="236" t="s">
        <v>60</v>
      </c>
      <c r="B40" s="200"/>
      <c r="C40" s="244">
        <f>IF(C36="None",0,C39*C38)</f>
        <v>10000</v>
      </c>
      <c r="D40" s="237" t="s">
        <v>41</v>
      </c>
    </row>
    <row r="41" spans="1:4" ht="12.75">
      <c r="A41" s="229" t="s">
        <v>373</v>
      </c>
      <c r="B41" s="245"/>
      <c r="C41" s="329">
        <f>IF(AND(C36="Solid",(OR(Class="Commercial",Class="Institutional"))),HLOOKUP(C38,'Equipment Factors'!G36:I41,4)*C40,IF(AND(C36="Liquid",(OR(Class="Commercial",Class="Institutional"))),HLOOKUP(C38,'Equipment Factors'!F45:H50,4)*C40,IF(AND(C36="Liquid",(OR(Class="Commercial",Class="Institutional"))),HLOOKUP(C38,'Equipment Factors'!F45:H50,4)*C40,IF(AND(C36="Liquid",Class="Industrial"),HLOOKUP(C38,'Equipment Factors'!C45:E50,4)*C40,0))))</f>
        <v>450000</v>
      </c>
      <c r="D41" s="213" t="s">
        <v>187</v>
      </c>
    </row>
    <row r="42" spans="1:6" ht="12.75">
      <c r="A42" s="326" t="s">
        <v>53</v>
      </c>
      <c r="B42" s="124"/>
      <c r="C42" s="668">
        <f>IF(AND(C36="Solid",(OR(Class="Commercial",Class="Institutional"))),HLOOKUP(C38,'Equipment Factors'!G36:I41,3),IF(AND(C36="Liquid",(OR(Class="Commercial",Class="Institutional"))),HLOOKUP(C38,'Equipment Factors'!F45:H50,3),IF(AND(C36="Liquid",(OR(Class="Commercial",Class="Institutional"))),HLOOKUP(C38,'Equipment Factors'!F45:H50,3),IF(AND(C36="Liquid",Class="Industrial"),HLOOKUP(C38,'Equipment Factors'!C45:E50,3),0))))</f>
        <v>0.075</v>
      </c>
      <c r="D42" s="328" t="s">
        <v>352</v>
      </c>
      <c r="F42" s="648"/>
    </row>
    <row r="43" spans="1:4" ht="12.75">
      <c r="A43" s="218" t="s">
        <v>381</v>
      </c>
      <c r="B43" s="644"/>
      <c r="C43" s="669">
        <f>IF(AND(C36="Solid",(OR(Class="Commercial",Class="Institutional"))),HLOOKUP(C38,'Equipment Factors'!G36:I41,5)*C40,IF(AND(C36="Liquid",(OR(Class="Commercial",Class="Institutional"))),HLOOKUP(C38,'Equipment Factors'!F45:H50,5)*C40,IF(AND(C36="Liquid",(OR(Class="Commercial",Class="Institutional"))),HLOOKUP(C38,'Equipment Factors'!F45:H50,5)*C40,IF(AND(C36="Liquid",Class="Industrial"),HLOOKUP(C38,'Equipment Factors'!C45:E50,5)*C40,0))))</f>
        <v>300000</v>
      </c>
      <c r="D43" s="645" t="s">
        <v>187</v>
      </c>
    </row>
    <row r="44" spans="1:4" ht="13.5" thickBot="1">
      <c r="A44" s="491" t="s">
        <v>55</v>
      </c>
      <c r="B44" s="233"/>
      <c r="C44" s="815">
        <f>IF(AND(C36="Solid",(OR(Class="Commercial",Class="Institutional"))),HLOOKUP(C38,'Equipment Factors'!G36:I41,6),IF(AND(C36="Liquid",(OR(Class="Commercial",Class="Institutional"))),HLOOKUP(C38,'Equipment Factors'!F45:H50,6),IF(AND(C36="Liquid",(OR(Class="Commercial",Class="Institutional"))),HLOOKUP(C38,'Equipment Factors'!F45:H50,4),IF(AND(C36="Liquid",Class="Industrial"),HLOOKUP(C38,'Equipment Factors'!C45:E50,6),0))))</f>
        <v>0.8</v>
      </c>
      <c r="D44" s="235" t="s">
        <v>410</v>
      </c>
    </row>
    <row r="45" ht="12.75">
      <c r="C45" s="643"/>
    </row>
    <row r="46" spans="3:4" ht="12.75">
      <c r="C46" s="649" t="s">
        <v>374</v>
      </c>
      <c r="D46" s="315" t="s">
        <v>69</v>
      </c>
    </row>
    <row r="47" spans="3:4" ht="12.75">
      <c r="C47" s="649" t="s">
        <v>375</v>
      </c>
      <c r="D47" s="315" t="s">
        <v>70</v>
      </c>
    </row>
    <row r="48" spans="3:4" ht="12.75">
      <c r="C48" s="649" t="s">
        <v>376</v>
      </c>
      <c r="D48" s="315"/>
    </row>
    <row r="49" spans="3:4" ht="12.75">
      <c r="C49" s="315"/>
      <c r="D49" s="315"/>
    </row>
    <row r="50" spans="3:4" ht="12.75">
      <c r="C50" s="315">
        <f>IF(AND(C36="Solid",(OR(Class="Commercial",Class="Institutional"))),HLOOKUP(C38,'Equipment Factors'!G36:I41,4)*C40,0)</f>
        <v>450000</v>
      </c>
      <c r="D50" s="315" t="s">
        <v>377</v>
      </c>
    </row>
    <row r="51" spans="3:4" ht="12.75">
      <c r="C51" s="315">
        <f>IF(AND(C36="Solid",Class="Industrial"),HLOOKUP(C38,'Equipment Factors'!C36:F41,4)*C40,0)</f>
        <v>0</v>
      </c>
      <c r="D51" s="315" t="s">
        <v>378</v>
      </c>
    </row>
    <row r="52" spans="3:4" ht="12.75">
      <c r="C52" s="315">
        <f>IF(AND(C36="Liquid",(OR(Class="Commercial",Class="Institutional"))),HLOOKUP(C38,'Equipment Factors'!F45:H50,4)*C40,0)</f>
        <v>0</v>
      </c>
      <c r="D52" s="315" t="s">
        <v>379</v>
      </c>
    </row>
    <row r="53" spans="3:4" ht="12.75">
      <c r="C53" s="315">
        <f>IF(AND(C36="Liquid",Class="Industrial"),HLOOKUP(C38,'Equipment Factors'!C45:E50,4)*C40,0)</f>
        <v>0</v>
      </c>
      <c r="D53" s="315" t="s">
        <v>380</v>
      </c>
    </row>
  </sheetData>
  <mergeCells count="24">
    <mergeCell ref="A28:B28"/>
    <mergeCell ref="C28:D28"/>
    <mergeCell ref="F22:H22"/>
    <mergeCell ref="A15:B15"/>
    <mergeCell ref="C15:D15"/>
    <mergeCell ref="A37:B37"/>
    <mergeCell ref="C37:D37"/>
    <mergeCell ref="C8:D8"/>
    <mergeCell ref="C14:D14"/>
    <mergeCell ref="B9:D9"/>
    <mergeCell ref="C27:D27"/>
    <mergeCell ref="C36:D36"/>
    <mergeCell ref="B10:D10"/>
    <mergeCell ref="B11:D11"/>
    <mergeCell ref="B12:D12"/>
    <mergeCell ref="K10:L10"/>
    <mergeCell ref="F39:G39"/>
    <mergeCell ref="F38:J38"/>
    <mergeCell ref="L15:M15"/>
    <mergeCell ref="K14:O14"/>
    <mergeCell ref="N15:O15"/>
    <mergeCell ref="G10:H10"/>
    <mergeCell ref="F10:F11"/>
    <mergeCell ref="I10:J10"/>
  </mergeCells>
  <conditionalFormatting sqref="J22 I20:I21 G19:G21 I12:I18 C40:C44 K15 H8:I9 H12:H21">
    <cfRule type="cellIs" priority="1" dxfId="0" operator="equal" stopIfTrue="1">
      <formula>0</formula>
    </cfRule>
  </conditionalFormatting>
  <dataValidations count="7">
    <dataValidation type="list" allowBlank="1" showInputMessage="1" showErrorMessage="1" sqref="C14:D14">
      <formula1>$A$9:$A$13</formula1>
    </dataValidation>
    <dataValidation type="list" allowBlank="1" showInputMessage="1" showErrorMessage="1" sqref="C36:D36">
      <formula1>$C$46:$C$48</formula1>
    </dataValidation>
    <dataValidation allowBlank="1" showInputMessage="1" showErrorMessage="1" promptTitle="Minumum Desicant Sizing" prompt="Minimum Solid Desiccant Size for Commercial Applications is 2,000 SCFM and for Industrial is 600 SCFM.&#10;Minimum Liquid Desiccant Size for Commercial Appliacations is 10,000 SCFM and for Industrial is 3,000 SCFM." sqref="C38"/>
    <dataValidation type="list" allowBlank="1" showInputMessage="1" showErrorMessage="1" sqref="C37:D37 C15:D15 C27:D28">
      <formula1>$D$46:$D$47</formula1>
    </dataValidation>
    <dataValidation type="whole" allowBlank="1" showInputMessage="1" showErrorMessage="1" promptTitle="Operational Hours Recommendation" prompt="Commercial/Institutional:&#10;1)  Based on Building Occupancy of 9 Hours/Day ~ 2400 Hours/Year&#10;2)  Based on Peak Demand  Period Operation ~ 3200 Hours/Year &#10;&#10;Industrial:&#10;2 Shifts   ~ 4200 Hours/Year&#10;3 Shifts   ~ 6300 Hours/Year&#10;Continuous  = 8760 Hours/Year" sqref="G11">
      <formula1>1500</formula1>
      <formula2>8760</formula2>
    </dataValidation>
    <dataValidation allowBlank="1" showInputMessage="1" showErrorMessage="1" promptTitle="Absortion Chiller Recommendation" prompt="3 Months  ~ 850 Hours/Year&#10;(Based on operating only during peak summer demand hours) " sqref="I11"/>
    <dataValidation allowBlank="1" showInputMessage="1" showErrorMessage="1" promptTitle="Desicant Recommendation" prompt="3 Months  ~ 850 Hours/Year&#10;(Based on operating only during peak summer demand hours)&#10;For Hospitals Use 3000 Hours/Year&#10;(Based on operating them during Operating Room hours)" sqref="K11"/>
  </dataValidations>
  <printOptions/>
  <pageMargins left="0.75" right="0.75" top="1" bottom="1" header="0.5" footer="0.5"/>
  <pageSetup fitToHeight="1" fitToWidth="1" horizontalDpi="600" verticalDpi="600" orientation="landscape" scale="64" r:id="rId2"/>
  <drawing r:id="rId1"/>
</worksheet>
</file>

<file path=xl/worksheets/sheet5.xml><?xml version="1.0" encoding="utf-8"?>
<worksheet xmlns="http://schemas.openxmlformats.org/spreadsheetml/2006/main" xmlns:r="http://schemas.openxmlformats.org/officeDocument/2006/relationships">
  <sheetPr codeName="Sheet10"/>
  <dimension ref="A1:AD72"/>
  <sheetViews>
    <sheetView tabSelected="1" zoomScale="75" zoomScaleNormal="75" workbookViewId="0" topLeftCell="A8">
      <selection activeCell="E2" sqref="E2:G3"/>
    </sheetView>
  </sheetViews>
  <sheetFormatPr defaultColWidth="9.140625" defaultRowHeight="12.75"/>
  <cols>
    <col min="1" max="1" width="19.57421875" style="413" customWidth="1"/>
    <col min="2" max="2" width="21.57421875" style="413" customWidth="1"/>
    <col min="3" max="3" width="9.00390625" style="413" bestFit="1" customWidth="1"/>
    <col min="4" max="4" width="12.140625" style="413" bestFit="1" customWidth="1"/>
    <col min="5" max="5" width="41.421875" style="413" bestFit="1" customWidth="1"/>
    <col min="6" max="6" width="8.7109375" style="413" bestFit="1" customWidth="1"/>
    <col min="7" max="7" width="10.140625" style="413" bestFit="1" customWidth="1"/>
    <col min="8" max="8" width="11.7109375" style="413" customWidth="1"/>
    <col min="9" max="9" width="12.8515625" style="413" customWidth="1"/>
    <col min="10" max="10" width="12.8515625" style="413" bestFit="1" customWidth="1"/>
    <col min="11" max="11" width="11.7109375" style="413" customWidth="1"/>
    <col min="12" max="12" width="14.140625" style="413" customWidth="1"/>
    <col min="13" max="13" width="13.8515625" style="413" customWidth="1"/>
    <col min="14" max="14" width="11.7109375" style="413" bestFit="1" customWidth="1"/>
    <col min="15" max="17" width="11.7109375" style="413" customWidth="1"/>
    <col min="18" max="18" width="10.7109375" style="413" customWidth="1"/>
    <col min="19" max="19" width="9.140625" style="413" customWidth="1"/>
    <col min="20" max="20" width="10.00390625" style="413" customWidth="1"/>
    <col min="21" max="16384" width="9.140625" style="413" customWidth="1"/>
  </cols>
  <sheetData>
    <row r="1" spans="1:30" ht="18">
      <c r="A1" s="936" t="s">
        <v>263</v>
      </c>
      <c r="B1" s="937"/>
      <c r="C1" s="937"/>
      <c r="D1" s="938"/>
      <c r="E1" s="586"/>
      <c r="F1" s="587"/>
      <c r="G1" s="588"/>
      <c r="I1" s="414"/>
      <c r="J1" s="414"/>
      <c r="L1" s="415"/>
      <c r="M1" s="415"/>
      <c r="N1" s="415"/>
      <c r="O1" s="415"/>
      <c r="P1" s="415"/>
      <c r="AD1" s="414"/>
    </row>
    <row r="2" spans="1:30" ht="15.75">
      <c r="A2" s="939" t="str">
        <f>'Site Data'!B6</f>
        <v>MN Hospital</v>
      </c>
      <c r="B2" s="940"/>
      <c r="C2" s="940"/>
      <c r="D2" s="941"/>
      <c r="E2" s="953" t="s">
        <v>269</v>
      </c>
      <c r="F2" s="954"/>
      <c r="G2" s="955"/>
      <c r="I2" s="414"/>
      <c r="J2" s="414"/>
      <c r="K2" s="414"/>
      <c r="L2" s="414"/>
      <c r="M2" s="414"/>
      <c r="N2" s="414"/>
      <c r="O2" s="414"/>
      <c r="P2" s="414"/>
      <c r="AD2" s="414"/>
    </row>
    <row r="3" spans="1:30" ht="15.75">
      <c r="A3" s="942" t="str">
        <f>'Site Data'!D6</f>
        <v>1234 W. Main St</v>
      </c>
      <c r="B3" s="943"/>
      <c r="C3" s="943"/>
      <c r="D3" s="944"/>
      <c r="E3" s="953"/>
      <c r="F3" s="954"/>
      <c r="G3" s="955"/>
      <c r="I3" s="414"/>
      <c r="J3" s="650"/>
      <c r="K3" s="650"/>
      <c r="L3" s="650"/>
      <c r="M3" s="650"/>
      <c r="N3" s="414"/>
      <c r="O3" s="414"/>
      <c r="P3" s="414"/>
      <c r="AD3" s="414"/>
    </row>
    <row r="4" spans="1:30" ht="16.5" thickBot="1">
      <c r="A4" s="947" t="str">
        <f>'Site Data'!F6</f>
        <v>Milwakee</v>
      </c>
      <c r="B4" s="948"/>
      <c r="C4" s="945" t="str">
        <f>'Site Data'!H6</f>
        <v>WI</v>
      </c>
      <c r="D4" s="946"/>
      <c r="E4" s="589"/>
      <c r="F4" s="590"/>
      <c r="G4" s="591"/>
      <c r="I4" s="414"/>
      <c r="J4" s="414"/>
      <c r="K4" s="414"/>
      <c r="L4" s="414"/>
      <c r="M4" s="414"/>
      <c r="N4" s="414"/>
      <c r="O4" s="414"/>
      <c r="P4" s="414"/>
      <c r="Q4" s="416"/>
      <c r="R4" s="417"/>
      <c r="S4" s="417"/>
      <c r="T4" s="417"/>
      <c r="U4" s="417"/>
      <c r="V4" s="417"/>
      <c r="AD4" s="414"/>
    </row>
    <row r="5" spans="1:25" ht="15.75" thickBot="1">
      <c r="A5" s="921" t="s">
        <v>20</v>
      </c>
      <c r="B5" s="922"/>
      <c r="C5" s="922"/>
      <c r="D5" s="923"/>
      <c r="E5" s="921" t="s">
        <v>268</v>
      </c>
      <c r="F5" s="922"/>
      <c r="G5" s="923"/>
      <c r="H5" s="418"/>
      <c r="I5" s="419"/>
      <c r="J5" s="419"/>
      <c r="K5" s="419"/>
      <c r="L5" s="420"/>
      <c r="M5" s="420"/>
      <c r="P5" s="414"/>
      <c r="Q5" s="416"/>
      <c r="R5" s="417"/>
      <c r="S5" s="417"/>
      <c r="T5" s="417"/>
      <c r="U5" s="417"/>
      <c r="V5" s="417"/>
      <c r="Y5" s="414"/>
    </row>
    <row r="6" spans="1:25" ht="15">
      <c r="A6" s="932" t="s">
        <v>273</v>
      </c>
      <c r="B6" s="933"/>
      <c r="C6" s="680">
        <f>'Energy Consumption &amp; Costs'!F17/'Energy Consumption &amp; Costs'!C17*100</f>
        <v>5.065257863974598</v>
      </c>
      <c r="D6" s="681" t="s">
        <v>23</v>
      </c>
      <c r="E6" s="421" t="s">
        <v>292</v>
      </c>
      <c r="F6" s="422"/>
      <c r="G6" s="773"/>
      <c r="H6" s="423"/>
      <c r="I6" s="420"/>
      <c r="J6" s="420"/>
      <c r="K6" s="420"/>
      <c r="L6" s="420"/>
      <c r="M6" s="420"/>
      <c r="P6" s="414"/>
      <c r="Q6" s="416"/>
      <c r="R6" s="417"/>
      <c r="S6" s="417"/>
      <c r="T6" s="417"/>
      <c r="U6" s="417"/>
      <c r="V6" s="417"/>
      <c r="Y6" s="414"/>
    </row>
    <row r="7" spans="1:24" ht="14.25">
      <c r="A7" s="934" t="s">
        <v>384</v>
      </c>
      <c r="B7" s="935"/>
      <c r="C7" s="680">
        <f>IF(AND('Site Data'!N15="Yes",Gen_Hours&lt;3600),C6*(1+'Site Data'!E28),"N/A")</f>
        <v>6.923349091506281</v>
      </c>
      <c r="D7" s="681" t="s">
        <v>23</v>
      </c>
      <c r="E7" s="424" t="s">
        <v>291</v>
      </c>
      <c r="F7" s="426">
        <f>IF(Equipment!J22=0,Equipment!I22/1000,Equipment!J22/1000)</f>
        <v>1659.834176470588</v>
      </c>
      <c r="G7" s="425" t="s">
        <v>17</v>
      </c>
      <c r="H7" s="423"/>
      <c r="I7" s="420"/>
      <c r="J7" s="420"/>
      <c r="K7" s="420"/>
      <c r="L7" s="420"/>
      <c r="M7" s="420"/>
      <c r="O7" s="414"/>
      <c r="P7" s="417"/>
      <c r="Q7" s="417"/>
      <c r="R7" s="417"/>
      <c r="S7" s="417"/>
      <c r="T7" s="417"/>
      <c r="U7" s="417"/>
      <c r="X7" s="414"/>
    </row>
    <row r="8" spans="1:24" ht="15">
      <c r="A8" s="924" t="s">
        <v>274</v>
      </c>
      <c r="B8" s="925"/>
      <c r="C8" s="651">
        <f>'Site Data'!N17</f>
        <v>1.5</v>
      </c>
      <c r="D8" s="425" t="s">
        <v>23</v>
      </c>
      <c r="E8" s="424" t="s">
        <v>292</v>
      </c>
      <c r="F8" s="960" t="str">
        <f>Equipment!$C$14</f>
        <v>Gas Engine</v>
      </c>
      <c r="G8" s="961"/>
      <c r="H8" s="423"/>
      <c r="I8" s="420"/>
      <c r="J8" s="420"/>
      <c r="K8" s="420"/>
      <c r="L8" s="420"/>
      <c r="M8" s="420"/>
      <c r="O8" s="414"/>
      <c r="P8" s="417"/>
      <c r="Q8" s="652"/>
      <c r="R8" s="652"/>
      <c r="S8" s="652"/>
      <c r="T8" s="652"/>
      <c r="U8" s="652"/>
      <c r="X8" s="414"/>
    </row>
    <row r="9" spans="1:24" ht="15">
      <c r="A9" s="924" t="s">
        <v>275</v>
      </c>
      <c r="B9" s="925"/>
      <c r="C9" s="651">
        <f>C6</f>
        <v>5.065257863974598</v>
      </c>
      <c r="D9" s="425" t="s">
        <v>23</v>
      </c>
      <c r="E9" s="424" t="s">
        <v>293</v>
      </c>
      <c r="F9" s="654">
        <f>Equipment!K22</f>
        <v>19.741294117647058</v>
      </c>
      <c r="G9" s="425" t="s">
        <v>0</v>
      </c>
      <c r="H9" s="423"/>
      <c r="I9" s="420"/>
      <c r="J9" s="420"/>
      <c r="K9" s="420"/>
      <c r="L9" s="420"/>
      <c r="M9" s="420"/>
      <c r="O9" s="414"/>
      <c r="P9" s="417"/>
      <c r="Q9" s="652"/>
      <c r="R9" s="652"/>
      <c r="S9" s="652"/>
      <c r="T9" s="652"/>
      <c r="U9" s="652"/>
      <c r="X9" s="414"/>
    </row>
    <row r="10" spans="1:24" ht="15">
      <c r="A10" s="924" t="s">
        <v>276</v>
      </c>
      <c r="B10" s="925"/>
      <c r="C10" s="653">
        <f>'Site Data'!N18</f>
        <v>4</v>
      </c>
      <c r="D10" s="425" t="s">
        <v>169</v>
      </c>
      <c r="E10" s="424" t="s">
        <v>294</v>
      </c>
      <c r="F10" s="428">
        <f>Equipment!C20</f>
        <v>1500</v>
      </c>
      <c r="G10" s="425" t="s">
        <v>0</v>
      </c>
      <c r="H10" s="423"/>
      <c r="I10" s="420"/>
      <c r="J10" s="420"/>
      <c r="K10" s="420"/>
      <c r="L10" s="420"/>
      <c r="M10" s="420"/>
      <c r="O10" s="414"/>
      <c r="P10" s="417"/>
      <c r="Q10" s="652"/>
      <c r="R10" s="652"/>
      <c r="S10" s="652"/>
      <c r="T10" s="652"/>
      <c r="U10" s="652"/>
      <c r="X10" s="414"/>
    </row>
    <row r="11" spans="1:24" ht="15">
      <c r="A11" s="924" t="s">
        <v>277</v>
      </c>
      <c r="B11" s="925"/>
      <c r="C11" s="653">
        <f>'Site Data'!N19</f>
        <v>6.40006646410938</v>
      </c>
      <c r="D11" s="425" t="s">
        <v>169</v>
      </c>
      <c r="E11" s="424" t="s">
        <v>295</v>
      </c>
      <c r="F11" s="428">
        <f>'Generation Capability'!$C$18/1000</f>
        <v>4800</v>
      </c>
      <c r="G11" s="425" t="s">
        <v>19</v>
      </c>
      <c r="H11" s="423"/>
      <c r="I11" s="420"/>
      <c r="J11" s="420"/>
      <c r="K11" s="420"/>
      <c r="L11" s="420"/>
      <c r="M11" s="420"/>
      <c r="O11" s="414"/>
      <c r="P11" s="417"/>
      <c r="Q11" s="652"/>
      <c r="R11" s="652"/>
      <c r="S11" s="652"/>
      <c r="T11" s="652"/>
      <c r="U11" s="652"/>
      <c r="X11" s="414"/>
    </row>
    <row r="12" spans="1:24" ht="15">
      <c r="A12" s="924" t="s">
        <v>278</v>
      </c>
      <c r="B12" s="925"/>
      <c r="C12" s="655">
        <f>'Site Data'!N20</f>
        <v>80</v>
      </c>
      <c r="D12" s="425" t="s">
        <v>21</v>
      </c>
      <c r="E12" s="424" t="s">
        <v>296</v>
      </c>
      <c r="F12" s="428">
        <f>Equipment!I39/1000</f>
        <v>211.3526964705882</v>
      </c>
      <c r="G12" s="425" t="s">
        <v>19</v>
      </c>
      <c r="H12" s="423"/>
      <c r="I12" s="420"/>
      <c r="J12" s="420"/>
      <c r="K12" s="420"/>
      <c r="L12" s="420"/>
      <c r="M12" s="420"/>
      <c r="O12" s="414"/>
      <c r="P12" s="417"/>
      <c r="Q12" s="652"/>
      <c r="R12" s="652"/>
      <c r="S12" s="652"/>
      <c r="T12" s="652"/>
      <c r="U12" s="652"/>
      <c r="X12" s="414"/>
    </row>
    <row r="13" spans="1:24" ht="15">
      <c r="A13" s="924" t="s">
        <v>279</v>
      </c>
      <c r="B13" s="925"/>
      <c r="C13" s="656">
        <f>'Site Data'!N16</f>
        <v>1.5</v>
      </c>
      <c r="D13" s="425" t="s">
        <v>78</v>
      </c>
      <c r="E13" s="424" t="s">
        <v>297</v>
      </c>
      <c r="F13" s="774">
        <f>SUM(F11:F12)</f>
        <v>5011.352696470588</v>
      </c>
      <c r="G13" s="425" t="s">
        <v>19</v>
      </c>
      <c r="H13" s="423"/>
      <c r="I13" s="420"/>
      <c r="J13" s="420"/>
      <c r="K13" s="420"/>
      <c r="L13" s="420"/>
      <c r="M13" s="420"/>
      <c r="O13" s="414"/>
      <c r="P13" s="417"/>
      <c r="Q13" s="652"/>
      <c r="R13" s="652"/>
      <c r="S13" s="652"/>
      <c r="T13" s="652"/>
      <c r="U13" s="652"/>
      <c r="X13" s="414"/>
    </row>
    <row r="14" spans="1:24" ht="15">
      <c r="A14" s="958" t="s">
        <v>280</v>
      </c>
      <c r="B14" s="959"/>
      <c r="C14" s="657">
        <f>IF('Site Data'!F8="Commercial",Equipment!C18,(IF(Equipment!C19&lt;=1,Equipment!C18,(Equipment!C20-Equipment!C18))))</f>
        <v>750</v>
      </c>
      <c r="D14" s="425" t="s">
        <v>0</v>
      </c>
      <c r="E14" s="424" t="s">
        <v>298</v>
      </c>
      <c r="F14" s="566">
        <f>'Generation Capability'!$K$4*100</f>
        <v>36.5296803652968</v>
      </c>
      <c r="G14" s="425" t="s">
        <v>21</v>
      </c>
      <c r="H14" s="423"/>
      <c r="I14" s="420"/>
      <c r="J14" s="420"/>
      <c r="K14" s="420"/>
      <c r="L14" s="420"/>
      <c r="M14" s="420"/>
      <c r="O14" s="414"/>
      <c r="P14" s="417"/>
      <c r="Q14" s="652"/>
      <c r="R14" s="652"/>
      <c r="S14" s="652"/>
      <c r="T14" s="652"/>
      <c r="U14" s="652"/>
      <c r="V14" s="414"/>
      <c r="W14" s="414"/>
      <c r="X14" s="414"/>
    </row>
    <row r="15" spans="1:24" ht="15">
      <c r="A15" s="924" t="s">
        <v>281</v>
      </c>
      <c r="B15" s="925"/>
      <c r="C15" s="658">
        <f>(Equipment!C24*F11)+(Equipment!C31*Equipment!C29)+(Equipment!C42*Equipment!C40)</f>
        <v>12529.69411764706</v>
      </c>
      <c r="D15" s="425" t="s">
        <v>173</v>
      </c>
      <c r="E15" s="424" t="s">
        <v>147</v>
      </c>
      <c r="F15" s="428">
        <f>(3412.8*100)/Equipment!C21</f>
        <v>9750.857142857143</v>
      </c>
      <c r="G15" s="425" t="s">
        <v>76</v>
      </c>
      <c r="H15" s="429"/>
      <c r="I15" s="416"/>
      <c r="J15" s="416"/>
      <c r="K15" s="420"/>
      <c r="L15" s="420"/>
      <c r="M15" s="420"/>
      <c r="O15" s="414"/>
      <c r="P15" s="417"/>
      <c r="Q15" s="652"/>
      <c r="R15" s="652"/>
      <c r="S15" s="652"/>
      <c r="T15" s="652"/>
      <c r="U15" s="652"/>
      <c r="V15" s="414"/>
      <c r="W15" s="414"/>
      <c r="X15" s="414"/>
    </row>
    <row r="16" spans="1:22" ht="15">
      <c r="A16" s="924" t="s">
        <v>282</v>
      </c>
      <c r="B16" s="925"/>
      <c r="C16" s="659">
        <f>'Energy Consumption &amp; Costs'!C17/1000</f>
        <v>8258.928</v>
      </c>
      <c r="D16" s="425" t="s">
        <v>19</v>
      </c>
      <c r="E16" s="424" t="s">
        <v>299</v>
      </c>
      <c r="F16" s="428">
        <f>Equipment!C23</f>
        <v>4435.6</v>
      </c>
      <c r="G16" s="425" t="s">
        <v>76</v>
      </c>
      <c r="H16" s="559"/>
      <c r="I16" s="560"/>
      <c r="J16" s="420"/>
      <c r="K16" s="420"/>
      <c r="L16" s="420"/>
      <c r="M16" s="420"/>
      <c r="Q16" s="417"/>
      <c r="R16" s="652"/>
      <c r="S16" s="652"/>
      <c r="T16" s="652"/>
      <c r="U16" s="652"/>
      <c r="V16" s="652"/>
    </row>
    <row r="17" spans="1:22" ht="15.75" thickBot="1">
      <c r="A17" s="956" t="s">
        <v>283</v>
      </c>
      <c r="B17" s="957"/>
      <c r="C17" s="660">
        <f>'Energy Consumption &amp; Costs'!O17/1000000</f>
        <v>30492.64761904762</v>
      </c>
      <c r="D17" s="430" t="s">
        <v>157</v>
      </c>
      <c r="E17" s="435" t="s">
        <v>300</v>
      </c>
      <c r="F17" s="420"/>
      <c r="G17" s="451"/>
      <c r="H17" s="559"/>
      <c r="I17" s="560"/>
      <c r="J17" s="420"/>
      <c r="K17" s="420"/>
      <c r="L17" s="420"/>
      <c r="M17" s="420"/>
      <c r="Q17" s="417"/>
      <c r="R17" s="652"/>
      <c r="S17" s="652"/>
      <c r="T17" s="652"/>
      <c r="U17" s="652"/>
      <c r="V17" s="652"/>
    </row>
    <row r="18" spans="1:22" ht="15.75" thickBot="1">
      <c r="A18" s="429"/>
      <c r="B18" s="433"/>
      <c r="C18" s="661"/>
      <c r="D18" s="434"/>
      <c r="E18" s="424" t="s">
        <v>301</v>
      </c>
      <c r="F18" s="428"/>
      <c r="G18" s="425"/>
      <c r="H18" s="418"/>
      <c r="I18" s="419"/>
      <c r="J18" s="419"/>
      <c r="K18" s="419"/>
      <c r="L18" s="432"/>
      <c r="M18" s="432"/>
      <c r="N18" s="420"/>
      <c r="O18" s="420"/>
      <c r="P18" s="420"/>
      <c r="Q18" s="416"/>
      <c r="R18" s="420"/>
      <c r="S18" s="420"/>
      <c r="T18" s="420"/>
      <c r="U18" s="416"/>
      <c r="V18" s="416"/>
    </row>
    <row r="19" spans="1:30" ht="15">
      <c r="A19" s="436" t="str">
        <f>'Generation Capability'!K9</f>
        <v>PURPA</v>
      </c>
      <c r="B19" s="437" t="str">
        <f>'Generation Capability'!K10</f>
        <v>(Assuming Gas or Liquid Fuel Fired)</v>
      </c>
      <c r="C19" s="437"/>
      <c r="D19" s="438"/>
      <c r="E19" s="427" t="s">
        <v>64</v>
      </c>
      <c r="F19" s="428">
        <f>(Equipment!C30/1000*(Equipment!I11))</f>
        <v>5628.7764</v>
      </c>
      <c r="G19" s="440" t="s">
        <v>157</v>
      </c>
      <c r="H19" s="423"/>
      <c r="I19" s="420"/>
      <c r="J19" s="420"/>
      <c r="K19" s="420"/>
      <c r="L19" s="441"/>
      <c r="M19" s="420"/>
      <c r="N19" s="420"/>
      <c r="O19" s="420"/>
      <c r="P19" s="420"/>
      <c r="Q19" s="416"/>
      <c r="U19" s="414"/>
      <c r="V19" s="414"/>
      <c r="W19" s="414"/>
      <c r="X19" s="414"/>
      <c r="Y19" s="414"/>
      <c r="Z19" s="414"/>
      <c r="AA19" s="414"/>
      <c r="AB19" s="414"/>
      <c r="AC19" s="414"/>
      <c r="AD19" s="414"/>
    </row>
    <row r="20" spans="1:30" ht="14.25">
      <c r="A20" s="926" t="str">
        <f>'Generation Capability'!K11</f>
        <v>Efficiency</v>
      </c>
      <c r="B20" s="927"/>
      <c r="C20" s="765">
        <f>'Generation Capability'!M11</f>
        <v>57.74466713548992</v>
      </c>
      <c r="D20" s="439" t="str">
        <f>'Generation Capability'!N11</f>
        <v>%</v>
      </c>
      <c r="E20" s="427" t="s">
        <v>65</v>
      </c>
      <c r="F20" s="428">
        <f>Equipment!C41*(Equipment!I11)/1000000</f>
        <v>380.7</v>
      </c>
      <c r="G20" s="440" t="s">
        <v>157</v>
      </c>
      <c r="H20" s="423"/>
      <c r="I20" s="420"/>
      <c r="J20" s="420"/>
      <c r="K20" s="420"/>
      <c r="L20" s="443"/>
      <c r="Q20" s="416"/>
      <c r="U20" s="414"/>
      <c r="V20" s="414"/>
      <c r="W20" s="414"/>
      <c r="X20" s="414"/>
      <c r="Y20" s="414"/>
      <c r="Z20" s="414"/>
      <c r="AA20" s="414"/>
      <c r="AB20" s="414"/>
      <c r="AC20" s="414"/>
      <c r="AD20" s="414"/>
    </row>
    <row r="21" spans="1:30" ht="14.25">
      <c r="A21" s="928" t="str">
        <f>'Generation Capability'!K12</f>
        <v>Qualified Facility</v>
      </c>
      <c r="B21" s="929"/>
      <c r="C21" s="766" t="str">
        <f>'Generation Capability'!M12</f>
        <v>Yes</v>
      </c>
      <c r="D21" s="442"/>
      <c r="E21" s="424" t="s">
        <v>302</v>
      </c>
      <c r="F21" s="428">
        <f>C17+F19+F20</f>
        <v>36502.12401904762</v>
      </c>
      <c r="G21" s="440" t="s">
        <v>157</v>
      </c>
      <c r="H21" s="423"/>
      <c r="I21" s="420"/>
      <c r="J21" s="420"/>
      <c r="K21" s="420"/>
      <c r="L21" s="443"/>
      <c r="M21" s="444"/>
      <c r="Q21" s="416"/>
      <c r="U21" s="414"/>
      <c r="V21" s="414"/>
      <c r="W21" s="414"/>
      <c r="X21" s="414"/>
      <c r="Y21" s="414"/>
      <c r="Z21" s="414"/>
      <c r="AA21" s="414"/>
      <c r="AB21" s="414"/>
      <c r="AC21" s="414"/>
      <c r="AD21" s="414"/>
    </row>
    <row r="22" spans="1:30" ht="14.25">
      <c r="A22" s="928" t="str">
        <f>'Generation Capability'!K13</f>
        <v>Sell Back</v>
      </c>
      <c r="B22" s="929"/>
      <c r="C22" s="767">
        <f>'Generation Capability'!M13</f>
        <v>0</v>
      </c>
      <c r="D22" s="425" t="str">
        <f>'Generation Capability'!N13</f>
        <v>kWh</v>
      </c>
      <c r="E22" s="446" t="s">
        <v>155</v>
      </c>
      <c r="F22" s="447">
        <f>'Thermal Profile inc TAT'!$G$7*100</f>
        <v>100</v>
      </c>
      <c r="G22" s="448" t="s">
        <v>21</v>
      </c>
      <c r="H22" s="423"/>
      <c r="I22" s="420"/>
      <c r="J22" s="420"/>
      <c r="K22" s="420"/>
      <c r="L22" s="662"/>
      <c r="M22" s="449"/>
      <c r="Q22" s="416"/>
      <c r="U22" s="414"/>
      <c r="V22" s="414"/>
      <c r="W22" s="414"/>
      <c r="X22" s="414"/>
      <c r="Y22" s="414"/>
      <c r="Z22" s="414"/>
      <c r="AA22" s="414"/>
      <c r="AB22" s="414"/>
      <c r="AC22" s="414"/>
      <c r="AD22" s="414"/>
    </row>
    <row r="23" spans="1:30" ht="15" thickBot="1">
      <c r="A23" s="930" t="str">
        <f>'Generation Capability'!K14</f>
        <v>Sell Back Desired</v>
      </c>
      <c r="B23" s="931"/>
      <c r="C23" s="768" t="str">
        <f>'Generation Capability'!M14</f>
        <v>No</v>
      </c>
      <c r="D23" s="445"/>
      <c r="E23" s="424" t="s">
        <v>303</v>
      </c>
      <c r="F23" s="428"/>
      <c r="G23" s="425"/>
      <c r="H23" s="420"/>
      <c r="I23" s="420"/>
      <c r="J23" s="420"/>
      <c r="K23" s="420"/>
      <c r="L23" s="443"/>
      <c r="M23" s="449"/>
      <c r="Q23" s="416"/>
      <c r="U23" s="414"/>
      <c r="V23" s="414"/>
      <c r="W23" s="414"/>
      <c r="X23" s="414"/>
      <c r="Y23" s="414"/>
      <c r="Z23" s="414"/>
      <c r="AA23" s="414"/>
      <c r="AB23" s="414"/>
      <c r="AC23" s="414"/>
      <c r="AD23" s="414"/>
    </row>
    <row r="24" spans="1:30" ht="15.75" thickBot="1">
      <c r="A24" s="431"/>
      <c r="B24" s="432"/>
      <c r="C24" s="450"/>
      <c r="D24" s="451"/>
      <c r="E24" s="427" t="s">
        <v>304</v>
      </c>
      <c r="F24" s="428">
        <f>(F11*1000)*(F16/1000000)</f>
        <v>21290.88</v>
      </c>
      <c r="G24" s="425" t="s">
        <v>157</v>
      </c>
      <c r="H24" s="432"/>
      <c r="I24" s="432"/>
      <c r="J24" s="775"/>
      <c r="K24" s="420"/>
      <c r="L24" s="663"/>
      <c r="M24" s="449"/>
      <c r="Q24" s="416"/>
      <c r="U24" s="414"/>
      <c r="V24" s="414"/>
      <c r="W24" s="414"/>
      <c r="X24" s="414"/>
      <c r="Y24" s="414"/>
      <c r="Z24" s="414"/>
      <c r="AA24" s="414"/>
      <c r="AB24" s="414"/>
      <c r="AC24" s="414"/>
      <c r="AD24" s="414"/>
    </row>
    <row r="25" spans="1:29" ht="15.75" thickBot="1">
      <c r="A25" s="921" t="s">
        <v>264</v>
      </c>
      <c r="B25" s="922"/>
      <c r="C25" s="922"/>
      <c r="D25" s="923"/>
      <c r="E25" s="427" t="s">
        <v>305</v>
      </c>
      <c r="F25" s="428">
        <f>IF(F24&gt;=C17,0,(C17-F24))</f>
        <v>9201.76761904762</v>
      </c>
      <c r="G25" s="425" t="s">
        <v>157</v>
      </c>
      <c r="H25" s="432"/>
      <c r="I25" s="432"/>
      <c r="J25" s="775"/>
      <c r="K25" s="420"/>
      <c r="L25" s="449"/>
      <c r="P25" s="416"/>
      <c r="T25" s="414"/>
      <c r="U25" s="414"/>
      <c r="V25" s="414"/>
      <c r="W25" s="414"/>
      <c r="X25" s="414"/>
      <c r="Y25" s="414"/>
      <c r="Z25" s="414"/>
      <c r="AA25" s="414"/>
      <c r="AB25" s="414"/>
      <c r="AC25" s="414"/>
    </row>
    <row r="26" spans="1:29" ht="15">
      <c r="A26" s="452" t="s">
        <v>77</v>
      </c>
      <c r="B26" s="769"/>
      <c r="C26" s="771"/>
      <c r="D26" s="770"/>
      <c r="E26" s="457" t="s">
        <v>167</v>
      </c>
      <c r="F26" s="458"/>
      <c r="G26" s="459"/>
      <c r="H26" s="420"/>
      <c r="I26" s="420"/>
      <c r="J26" s="460"/>
      <c r="K26" s="416"/>
      <c r="L26" s="449"/>
      <c r="P26" s="416"/>
      <c r="T26" s="414"/>
      <c r="U26" s="414"/>
      <c r="V26" s="414"/>
      <c r="W26" s="414"/>
      <c r="X26" s="414"/>
      <c r="Y26" s="414"/>
      <c r="Z26" s="414"/>
      <c r="AA26" s="414"/>
      <c r="AB26" s="414"/>
      <c r="AC26" s="414"/>
    </row>
    <row r="27" spans="1:29" ht="14.25">
      <c r="A27" s="453" t="s">
        <v>284</v>
      </c>
      <c r="B27" s="454"/>
      <c r="C27" s="455"/>
      <c r="D27" s="456">
        <f>'Energy Consumption &amp; Costs'!$F$17/1000</f>
        <v>418.336</v>
      </c>
      <c r="E27" s="463" t="s">
        <v>306</v>
      </c>
      <c r="F27" s="428">
        <f>(F15*F11/' Conversions'!E15)*(1000/1000000)</f>
        <v>51730.86315789473</v>
      </c>
      <c r="G27" s="425" t="s">
        <v>157</v>
      </c>
      <c r="H27" s="420"/>
      <c r="I27" s="420"/>
      <c r="J27" s="460"/>
      <c r="K27" s="416"/>
      <c r="P27" s="416"/>
      <c r="T27" s="414"/>
      <c r="U27" s="414"/>
      <c r="V27" s="414"/>
      <c r="W27" s="414"/>
      <c r="X27" s="414"/>
      <c r="Y27" s="414"/>
      <c r="Z27" s="414"/>
      <c r="AA27" s="414"/>
      <c r="AB27" s="414"/>
      <c r="AC27" s="414"/>
    </row>
    <row r="28" spans="1:29" ht="15" thickBot="1">
      <c r="A28" s="427" t="s">
        <v>285</v>
      </c>
      <c r="B28" s="461"/>
      <c r="C28" s="455"/>
      <c r="D28" s="462">
        <f>'Energy Consumption &amp; Costs'!$J$17/1000</f>
        <v>269.622</v>
      </c>
      <c r="E28" s="468" t="s">
        <v>307</v>
      </c>
      <c r="F28" s="563">
        <f>(F25/' Conversions'!E15)/(C12/100)</f>
        <v>12712.968421052632</v>
      </c>
      <c r="G28" s="430" t="s">
        <v>157</v>
      </c>
      <c r="H28" s="416"/>
      <c r="I28" s="420"/>
      <c r="J28" s="460"/>
      <c r="K28" s="416"/>
      <c r="P28" s="416"/>
      <c r="T28" s="414"/>
      <c r="U28" s="414"/>
      <c r="V28" s="414"/>
      <c r="W28" s="414"/>
      <c r="X28" s="414"/>
      <c r="Y28" s="414"/>
      <c r="Z28" s="414"/>
      <c r="AA28" s="414"/>
      <c r="AB28" s="414"/>
      <c r="AC28" s="414"/>
    </row>
    <row r="29" spans="1:29" ht="15.75" thickBot="1">
      <c r="A29" s="464"/>
      <c r="B29" s="465"/>
      <c r="C29" s="466" t="s">
        <v>266</v>
      </c>
      <c r="D29" s="467">
        <f>SUM(D27:D28)</f>
        <v>687.9580000000001</v>
      </c>
      <c r="E29" s="572"/>
      <c r="F29" s="573"/>
      <c r="G29" s="573"/>
      <c r="P29" s="416"/>
      <c r="T29" s="414"/>
      <c r="U29" s="414"/>
      <c r="V29" s="414"/>
      <c r="W29" s="414"/>
      <c r="X29" s="414"/>
      <c r="Y29" s="414"/>
      <c r="Z29" s="414"/>
      <c r="AA29" s="414"/>
      <c r="AB29" s="414"/>
      <c r="AC29" s="414"/>
    </row>
    <row r="30" spans="1:29" ht="15.75" thickBot="1">
      <c r="A30" s="469" t="s">
        <v>22</v>
      </c>
      <c r="B30" s="772"/>
      <c r="C30" s="437"/>
      <c r="D30" s="470"/>
      <c r="E30" s="804" t="s">
        <v>170</v>
      </c>
      <c r="F30" s="805">
        <f>(C10*F27/(F11*1000))*100</f>
        <v>4.310905263157895</v>
      </c>
      <c r="G30" s="806" t="s">
        <v>23</v>
      </c>
      <c r="P30" s="416"/>
      <c r="T30" s="414"/>
      <c r="U30" s="414"/>
      <c r="V30" s="414"/>
      <c r="W30" s="414"/>
      <c r="X30" s="414"/>
      <c r="Y30" s="414"/>
      <c r="Z30" s="414"/>
      <c r="AA30" s="414"/>
      <c r="AB30" s="414"/>
      <c r="AC30" s="414"/>
    </row>
    <row r="31" spans="1:29" ht="14.25">
      <c r="A31" s="471" t="s">
        <v>286</v>
      </c>
      <c r="B31" s="472"/>
      <c r="C31" s="455"/>
      <c r="D31" s="462">
        <f>IF(F13&lt;C16,(((C16-F13)*1000)*(C9/100))/1000,0)</f>
        <v>164.49806345052048</v>
      </c>
      <c r="P31" s="416"/>
      <c r="Q31" s="416"/>
      <c r="R31" s="416"/>
      <c r="S31" s="416"/>
      <c r="T31" s="414"/>
      <c r="U31" s="414"/>
      <c r="V31" s="414"/>
      <c r="W31" s="414"/>
      <c r="X31" s="414"/>
      <c r="Y31" s="414"/>
      <c r="Z31" s="414"/>
      <c r="AA31" s="414"/>
      <c r="AB31" s="414"/>
      <c r="AC31" s="414"/>
    </row>
    <row r="32" spans="1:29" ht="18.75" customHeight="1">
      <c r="A32" s="471" t="s">
        <v>388</v>
      </c>
      <c r="B32" s="472"/>
      <c r="C32" s="420"/>
      <c r="D32" s="462">
        <f>IF(C7&gt;C6,-D27*'Site Data'!E28,0)</f>
        <v>-153.45841665615785</v>
      </c>
      <c r="E32" s="949"/>
      <c r="F32" s="950"/>
      <c r="G32" s="950"/>
      <c r="H32" s="950"/>
      <c r="Q32" s="416"/>
      <c r="R32" s="416"/>
      <c r="S32" s="416"/>
      <c r="T32" s="414"/>
      <c r="U32" s="414"/>
      <c r="V32" s="414"/>
      <c r="W32" s="414"/>
      <c r="X32" s="414"/>
      <c r="Y32" s="414"/>
      <c r="Z32" s="414"/>
      <c r="AA32" s="414"/>
      <c r="AB32" s="414"/>
      <c r="AC32" s="414"/>
    </row>
    <row r="33" spans="1:29" ht="14.25">
      <c r="A33" s="471" t="s">
        <v>287</v>
      </c>
      <c r="B33" s="472"/>
      <c r="C33" s="455"/>
      <c r="D33" s="462">
        <f>(F27+F28)*C10/1000</f>
        <v>257.77532631578947</v>
      </c>
      <c r="E33" s="949"/>
      <c r="F33" s="950"/>
      <c r="G33" s="950"/>
      <c r="H33" s="950"/>
      <c r="K33" s="443"/>
      <c r="L33" s="416"/>
      <c r="R33" s="414"/>
      <c r="S33" s="414"/>
      <c r="T33" s="414"/>
      <c r="U33" s="414"/>
      <c r="V33" s="414"/>
      <c r="W33" s="414"/>
      <c r="X33" s="414"/>
      <c r="Y33" s="414"/>
      <c r="Z33" s="414"/>
      <c r="AA33" s="414"/>
      <c r="AB33" s="414"/>
      <c r="AC33" s="414"/>
    </row>
    <row r="34" spans="1:28" ht="14.25">
      <c r="A34" s="471" t="s">
        <v>288</v>
      </c>
      <c r="B34" s="472"/>
      <c r="C34" s="455"/>
      <c r="D34" s="462">
        <f>IF(C21="Yes",(C22*C8/100)/1000,0)</f>
        <v>0</v>
      </c>
      <c r="E34" s="949"/>
      <c r="F34" s="950"/>
      <c r="G34" s="950"/>
      <c r="H34" s="950"/>
      <c r="I34" s="477"/>
      <c r="J34" s="477"/>
      <c r="K34" s="477"/>
      <c r="L34" s="477"/>
      <c r="M34" s="477"/>
      <c r="N34" s="477"/>
      <c r="O34" s="477"/>
      <c r="P34" s="477"/>
      <c r="R34" s="414"/>
      <c r="S34" s="414"/>
      <c r="T34" s="414"/>
      <c r="U34" s="414"/>
      <c r="V34" s="414"/>
      <c r="W34" s="414"/>
      <c r="X34" s="414"/>
      <c r="Y34" s="414"/>
      <c r="Z34" s="414"/>
      <c r="AA34" s="414"/>
      <c r="AB34" s="414"/>
    </row>
    <row r="35" spans="1:28" ht="14.25">
      <c r="A35" s="471" t="s">
        <v>289</v>
      </c>
      <c r="B35" s="472"/>
      <c r="C35" s="455"/>
      <c r="D35" s="462">
        <f>C15/1000</f>
        <v>12.52969411764706</v>
      </c>
      <c r="E35" s="949"/>
      <c r="F35" s="950"/>
      <c r="G35" s="950"/>
      <c r="H35" s="950"/>
      <c r="I35" s="480"/>
      <c r="J35" s="480"/>
      <c r="K35" s="480"/>
      <c r="L35" s="480"/>
      <c r="M35" s="480"/>
      <c r="N35" s="480"/>
      <c r="O35" s="480"/>
      <c r="P35" s="480"/>
      <c r="R35" s="414"/>
      <c r="S35" s="414"/>
      <c r="T35" s="414"/>
      <c r="U35" s="414"/>
      <c r="V35" s="414"/>
      <c r="W35" s="414"/>
      <c r="X35" s="414"/>
      <c r="Y35" s="414"/>
      <c r="Z35" s="414"/>
      <c r="AA35" s="414"/>
      <c r="AB35" s="414"/>
    </row>
    <row r="36" spans="1:28" ht="15" thickBot="1">
      <c r="A36" s="473" t="s">
        <v>290</v>
      </c>
      <c r="B36" s="474"/>
      <c r="C36" s="475"/>
      <c r="D36" s="476">
        <f>C13*C14*12/1000</f>
        <v>13.5</v>
      </c>
      <c r="E36" s="949"/>
      <c r="F36" s="950"/>
      <c r="G36" s="950"/>
      <c r="H36" s="950"/>
      <c r="I36" s="480"/>
      <c r="J36" s="480"/>
      <c r="K36" s="480"/>
      <c r="L36" s="480"/>
      <c r="M36" s="480"/>
      <c r="N36" s="480"/>
      <c r="O36" s="480"/>
      <c r="P36" s="480"/>
      <c r="R36" s="414"/>
      <c r="S36" s="414"/>
      <c r="T36" s="414"/>
      <c r="U36" s="414"/>
      <c r="V36" s="414"/>
      <c r="W36" s="414"/>
      <c r="X36" s="414"/>
      <c r="Y36" s="414"/>
      <c r="Z36" s="414"/>
      <c r="AA36" s="414"/>
      <c r="AB36" s="414"/>
    </row>
    <row r="37" spans="1:28" ht="15.75" thickBot="1">
      <c r="A37" s="478"/>
      <c r="B37" s="479"/>
      <c r="C37" s="466" t="s">
        <v>267</v>
      </c>
      <c r="D37" s="467">
        <f>SUM(D31:D36)</f>
        <v>294.84466722779916</v>
      </c>
      <c r="E37" s="949"/>
      <c r="F37" s="950"/>
      <c r="G37" s="950"/>
      <c r="H37" s="950"/>
      <c r="I37" s="481"/>
      <c r="J37" s="481"/>
      <c r="K37" s="481"/>
      <c r="L37" s="481"/>
      <c r="M37" s="481"/>
      <c r="N37" s="481"/>
      <c r="O37" s="481"/>
      <c r="P37" s="481"/>
      <c r="R37" s="414"/>
      <c r="S37" s="414"/>
      <c r="T37" s="414"/>
      <c r="U37" s="414"/>
      <c r="V37" s="414"/>
      <c r="W37" s="414"/>
      <c r="X37" s="414"/>
      <c r="Y37" s="414"/>
      <c r="Z37" s="414"/>
      <c r="AA37" s="414"/>
      <c r="AB37" s="414"/>
    </row>
    <row r="38" spans="1:28" ht="15.75" thickBot="1">
      <c r="A38" s="420"/>
      <c r="B38" s="803" t="s">
        <v>265</v>
      </c>
      <c r="C38" s="951">
        <f>D29-D37</f>
        <v>393.1133327722009</v>
      </c>
      <c r="D38" s="952"/>
      <c r="I38" s="480"/>
      <c r="J38" s="480"/>
      <c r="K38" s="480"/>
      <c r="L38" s="480"/>
      <c r="M38" s="480"/>
      <c r="N38" s="480"/>
      <c r="O38" s="480"/>
      <c r="P38" s="480"/>
      <c r="R38" s="414"/>
      <c r="S38" s="414"/>
      <c r="T38" s="414"/>
      <c r="U38" s="414"/>
      <c r="V38" s="414"/>
      <c r="W38" s="414"/>
      <c r="X38" s="414"/>
      <c r="Y38" s="414"/>
      <c r="Z38" s="414"/>
      <c r="AA38" s="414"/>
      <c r="AB38" s="414"/>
    </row>
    <row r="39" spans="1:28" ht="15.75" thickBot="1">
      <c r="A39" s="420"/>
      <c r="B39" s="801" t="s">
        <v>270</v>
      </c>
      <c r="C39" s="679">
        <f>F7/C38</f>
        <v>4.222279017517881</v>
      </c>
      <c r="D39" s="802" t="s">
        <v>18</v>
      </c>
      <c r="I39" s="480"/>
      <c r="J39" s="480"/>
      <c r="K39" s="480"/>
      <c r="L39" s="480"/>
      <c r="M39" s="480"/>
      <c r="N39" s="480"/>
      <c r="O39" s="480"/>
      <c r="P39" s="480"/>
      <c r="R39" s="414"/>
      <c r="S39" s="414"/>
      <c r="T39" s="414"/>
      <c r="U39" s="414"/>
      <c r="V39" s="414"/>
      <c r="W39" s="414"/>
      <c r="X39" s="414"/>
      <c r="Y39" s="414"/>
      <c r="Z39" s="414"/>
      <c r="AA39" s="414"/>
      <c r="AB39" s="414"/>
    </row>
    <row r="40" spans="1:28" ht="14.25">
      <c r="A40" s="433"/>
      <c r="B40" s="433"/>
      <c r="C40" s="482"/>
      <c r="D40" s="416"/>
      <c r="I40" s="480"/>
      <c r="J40" s="480"/>
      <c r="K40" s="480"/>
      <c r="L40" s="480"/>
      <c r="M40" s="480"/>
      <c r="N40" s="480"/>
      <c r="O40" s="480"/>
      <c r="P40" s="480"/>
      <c r="R40" s="414"/>
      <c r="S40" s="414"/>
      <c r="T40" s="414"/>
      <c r="U40" s="414"/>
      <c r="V40" s="414"/>
      <c r="W40" s="414"/>
      <c r="X40" s="414"/>
      <c r="Y40" s="414"/>
      <c r="Z40" s="414"/>
      <c r="AA40" s="414"/>
      <c r="AB40" s="414"/>
    </row>
    <row r="41" spans="1:28" ht="14.25">
      <c r="A41" s="433"/>
      <c r="B41" s="433"/>
      <c r="C41" s="483"/>
      <c r="D41" s="416"/>
      <c r="I41" s="480"/>
      <c r="J41" s="480"/>
      <c r="K41" s="480"/>
      <c r="L41" s="480"/>
      <c r="M41" s="480"/>
      <c r="N41" s="480"/>
      <c r="O41" s="480"/>
      <c r="P41" s="480"/>
      <c r="R41" s="414"/>
      <c r="S41" s="414"/>
      <c r="T41" s="414"/>
      <c r="U41" s="414"/>
      <c r="V41" s="414"/>
      <c r="W41" s="414"/>
      <c r="X41" s="414"/>
      <c r="Y41" s="414"/>
      <c r="Z41" s="414"/>
      <c r="AA41" s="414"/>
      <c r="AB41" s="414"/>
    </row>
    <row r="42" spans="1:28" ht="14.25">
      <c r="A42" s="433"/>
      <c r="B42" s="433"/>
      <c r="C42" s="483"/>
      <c r="D42" s="416"/>
      <c r="I42" s="480"/>
      <c r="J42" s="480"/>
      <c r="K42" s="480"/>
      <c r="L42" s="480"/>
      <c r="M42" s="480"/>
      <c r="N42" s="480"/>
      <c r="O42" s="480"/>
      <c r="P42" s="480"/>
      <c r="R42" s="414"/>
      <c r="S42" s="414"/>
      <c r="T42" s="414"/>
      <c r="U42" s="414"/>
      <c r="V42" s="414"/>
      <c r="W42" s="414"/>
      <c r="X42" s="414"/>
      <c r="Y42" s="414"/>
      <c r="Z42" s="414"/>
      <c r="AA42" s="414"/>
      <c r="AB42" s="414"/>
    </row>
    <row r="43" spans="1:28" ht="15">
      <c r="A43" s="758"/>
      <c r="B43" s="758"/>
      <c r="C43" s="420"/>
      <c r="D43" s="420"/>
      <c r="I43" s="480"/>
      <c r="J43" s="480"/>
      <c r="K43" s="480"/>
      <c r="L43" s="480"/>
      <c r="M43" s="480"/>
      <c r="N43" s="480"/>
      <c r="O43" s="480"/>
      <c r="P43" s="480"/>
      <c r="R43" s="414"/>
      <c r="S43" s="414"/>
      <c r="T43" s="414"/>
      <c r="U43" s="414"/>
      <c r="V43" s="414"/>
      <c r="W43" s="414"/>
      <c r="X43" s="414"/>
      <c r="Y43" s="414"/>
      <c r="Z43" s="414"/>
      <c r="AA43" s="414"/>
      <c r="AB43" s="414"/>
    </row>
    <row r="44" spans="4:28" ht="14.25">
      <c r="D44" s="420"/>
      <c r="E44" s="420"/>
      <c r="F44" s="420"/>
      <c r="G44" s="420"/>
      <c r="H44" s="480"/>
      <c r="I44" s="480"/>
      <c r="J44" s="480"/>
      <c r="K44" s="480"/>
      <c r="L44" s="480"/>
      <c r="M44" s="480"/>
      <c r="N44" s="480"/>
      <c r="O44" s="480"/>
      <c r="P44" s="480"/>
      <c r="R44" s="414"/>
      <c r="S44" s="414"/>
      <c r="T44" s="414"/>
      <c r="U44" s="414"/>
      <c r="V44" s="414"/>
      <c r="W44" s="414"/>
      <c r="X44" s="414"/>
      <c r="Y44" s="414"/>
      <c r="Z44" s="414"/>
      <c r="AA44" s="414"/>
      <c r="AB44" s="414"/>
    </row>
    <row r="45" spans="5:28" ht="14.25">
      <c r="E45" s="420"/>
      <c r="F45" s="420"/>
      <c r="G45" s="420"/>
      <c r="H45" s="420"/>
      <c r="I45" s="480"/>
      <c r="J45" s="480"/>
      <c r="K45" s="480"/>
      <c r="L45" s="480"/>
      <c r="M45" s="480"/>
      <c r="N45" s="480"/>
      <c r="O45" s="480"/>
      <c r="P45" s="480"/>
      <c r="R45" s="414"/>
      <c r="S45" s="414"/>
      <c r="T45" s="414"/>
      <c r="U45" s="414"/>
      <c r="V45" s="414"/>
      <c r="W45" s="414"/>
      <c r="X45" s="414"/>
      <c r="Y45" s="414"/>
      <c r="Z45" s="414"/>
      <c r="AA45" s="414"/>
      <c r="AB45" s="414"/>
    </row>
    <row r="46" spans="5:29" ht="14.25">
      <c r="E46" s="420"/>
      <c r="F46" s="420"/>
      <c r="G46" s="420"/>
      <c r="H46" s="420"/>
      <c r="I46" s="480"/>
      <c r="J46" s="480"/>
      <c r="K46" s="480"/>
      <c r="L46" s="480"/>
      <c r="M46" s="480"/>
      <c r="N46" s="480"/>
      <c r="O46" s="480"/>
      <c r="P46" s="480"/>
      <c r="Q46" s="480"/>
      <c r="S46" s="414"/>
      <c r="T46" s="414"/>
      <c r="U46" s="414"/>
      <c r="V46" s="414"/>
      <c r="W46" s="414"/>
      <c r="X46" s="414"/>
      <c r="Y46" s="414"/>
      <c r="Z46" s="414"/>
      <c r="AA46" s="414"/>
      <c r="AB46" s="414"/>
      <c r="AC46" s="414"/>
    </row>
    <row r="47" spans="5:29" ht="14.25">
      <c r="E47" s="420"/>
      <c r="F47" s="420"/>
      <c r="G47" s="420"/>
      <c r="H47" s="420"/>
      <c r="I47" s="480"/>
      <c r="J47" s="480"/>
      <c r="K47" s="480"/>
      <c r="L47" s="480"/>
      <c r="M47" s="480"/>
      <c r="N47" s="480"/>
      <c r="O47" s="480"/>
      <c r="P47" s="480"/>
      <c r="Q47" s="480"/>
      <c r="S47" s="414"/>
      <c r="T47" s="414"/>
      <c r="U47" s="414"/>
      <c r="V47" s="414"/>
      <c r="W47" s="414"/>
      <c r="X47" s="414"/>
      <c r="Y47" s="414"/>
      <c r="Z47" s="414"/>
      <c r="AA47" s="414"/>
      <c r="AB47" s="414"/>
      <c r="AC47" s="414"/>
    </row>
    <row r="48" spans="5:29" ht="14.25">
      <c r="E48" s="420"/>
      <c r="F48" s="420"/>
      <c r="G48" s="420"/>
      <c r="H48" s="420"/>
      <c r="I48" s="480"/>
      <c r="J48" s="480"/>
      <c r="K48" s="480"/>
      <c r="L48" s="480"/>
      <c r="M48" s="480"/>
      <c r="N48" s="480"/>
      <c r="O48" s="480"/>
      <c r="P48" s="480"/>
      <c r="Q48" s="480"/>
      <c r="S48" s="414"/>
      <c r="T48" s="414"/>
      <c r="U48" s="414"/>
      <c r="V48" s="414"/>
      <c r="W48" s="414"/>
      <c r="X48" s="414"/>
      <c r="Y48" s="414"/>
      <c r="Z48" s="414"/>
      <c r="AA48" s="414"/>
      <c r="AB48" s="414"/>
      <c r="AC48" s="414"/>
    </row>
    <row r="49" spans="5:29" ht="14.25">
      <c r="E49" s="420"/>
      <c r="F49" s="420"/>
      <c r="G49" s="420"/>
      <c r="H49" s="420"/>
      <c r="I49" s="480"/>
      <c r="J49" s="480"/>
      <c r="K49" s="480"/>
      <c r="L49" s="480"/>
      <c r="M49" s="480"/>
      <c r="N49" s="480"/>
      <c r="O49" s="480"/>
      <c r="P49" s="480"/>
      <c r="Q49" s="480"/>
      <c r="S49" s="414"/>
      <c r="T49" s="414"/>
      <c r="U49" s="414"/>
      <c r="V49" s="414"/>
      <c r="W49" s="414"/>
      <c r="X49" s="414"/>
      <c r="Y49" s="414"/>
      <c r="Z49" s="414"/>
      <c r="AA49" s="414"/>
      <c r="AB49" s="414"/>
      <c r="AC49" s="414"/>
    </row>
    <row r="50" spans="5:29" ht="14.25">
      <c r="E50" s="420"/>
      <c r="F50" s="420"/>
      <c r="G50" s="420"/>
      <c r="H50" s="420"/>
      <c r="I50" s="480"/>
      <c r="J50" s="480"/>
      <c r="K50" s="480"/>
      <c r="L50" s="480"/>
      <c r="M50" s="480"/>
      <c r="N50" s="480"/>
      <c r="O50" s="480"/>
      <c r="P50" s="480"/>
      <c r="Q50" s="480"/>
      <c r="S50" s="414"/>
      <c r="T50" s="414"/>
      <c r="U50" s="414"/>
      <c r="V50" s="414"/>
      <c r="W50" s="414"/>
      <c r="X50" s="414"/>
      <c r="Y50" s="414"/>
      <c r="Z50" s="414"/>
      <c r="AA50" s="414"/>
      <c r="AB50" s="414"/>
      <c r="AC50" s="414"/>
    </row>
    <row r="51" spans="5:29" ht="14.25">
      <c r="E51" s="420"/>
      <c r="F51" s="420"/>
      <c r="G51" s="420"/>
      <c r="H51" s="420"/>
      <c r="I51" s="480"/>
      <c r="J51" s="480"/>
      <c r="K51" s="480"/>
      <c r="L51" s="480"/>
      <c r="M51" s="480"/>
      <c r="N51" s="480"/>
      <c r="O51" s="480"/>
      <c r="P51" s="480"/>
      <c r="Q51" s="480"/>
      <c r="S51" s="414"/>
      <c r="T51" s="414"/>
      <c r="U51" s="414"/>
      <c r="V51" s="414"/>
      <c r="W51" s="414"/>
      <c r="X51" s="414"/>
      <c r="Y51" s="414"/>
      <c r="Z51" s="414"/>
      <c r="AA51" s="414"/>
      <c r="AB51" s="414"/>
      <c r="AC51" s="414"/>
    </row>
    <row r="52" spans="5:29" ht="14.25">
      <c r="E52" s="420"/>
      <c r="F52" s="420"/>
      <c r="G52" s="420"/>
      <c r="H52" s="420"/>
      <c r="I52" s="480"/>
      <c r="J52" s="480"/>
      <c r="K52" s="480"/>
      <c r="L52" s="480"/>
      <c r="M52" s="480"/>
      <c r="N52" s="480"/>
      <c r="O52" s="480"/>
      <c r="P52" s="480"/>
      <c r="Q52" s="480"/>
      <c r="S52" s="414"/>
      <c r="T52" s="414"/>
      <c r="U52" s="414"/>
      <c r="V52" s="414"/>
      <c r="W52" s="414"/>
      <c r="X52" s="414"/>
      <c r="Y52" s="414"/>
      <c r="Z52" s="414"/>
      <c r="AA52" s="414"/>
      <c r="AB52" s="414"/>
      <c r="AC52" s="414"/>
    </row>
    <row r="53" spans="5:29" ht="14.25">
      <c r="E53" s="420"/>
      <c r="F53" s="420"/>
      <c r="G53" s="420"/>
      <c r="H53" s="420"/>
      <c r="I53" s="480"/>
      <c r="J53" s="480"/>
      <c r="K53" s="480"/>
      <c r="L53" s="480"/>
      <c r="M53" s="480"/>
      <c r="N53" s="480"/>
      <c r="O53" s="480"/>
      <c r="P53" s="480"/>
      <c r="Q53" s="480"/>
      <c r="S53" s="414"/>
      <c r="T53" s="414"/>
      <c r="U53" s="414"/>
      <c r="V53" s="414"/>
      <c r="W53" s="414"/>
      <c r="X53" s="414"/>
      <c r="Y53" s="414"/>
      <c r="Z53" s="414"/>
      <c r="AA53" s="414"/>
      <c r="AB53" s="414"/>
      <c r="AC53" s="414"/>
    </row>
    <row r="54" spans="5:29" ht="14.25">
      <c r="E54" s="416"/>
      <c r="F54" s="420"/>
      <c r="G54" s="416"/>
      <c r="H54" s="420"/>
      <c r="I54" s="480"/>
      <c r="J54" s="480"/>
      <c r="K54" s="480"/>
      <c r="L54" s="480"/>
      <c r="M54" s="480"/>
      <c r="N54" s="480"/>
      <c r="O54" s="480"/>
      <c r="P54" s="480"/>
      <c r="Q54" s="480"/>
      <c r="S54" s="414"/>
      <c r="T54" s="414"/>
      <c r="U54" s="414"/>
      <c r="V54" s="414"/>
      <c r="W54" s="414"/>
      <c r="X54" s="414"/>
      <c r="Y54" s="414"/>
      <c r="Z54" s="414"/>
      <c r="AA54" s="414"/>
      <c r="AB54" s="414"/>
      <c r="AC54" s="414"/>
    </row>
    <row r="55" spans="5:29" ht="14.25">
      <c r="E55" s="416"/>
      <c r="F55" s="416"/>
      <c r="G55" s="416"/>
      <c r="H55" s="420"/>
      <c r="I55" s="480"/>
      <c r="J55" s="480"/>
      <c r="K55" s="480"/>
      <c r="L55" s="480"/>
      <c r="M55" s="480"/>
      <c r="N55" s="480"/>
      <c r="O55" s="480"/>
      <c r="P55" s="480"/>
      <c r="Q55" s="480"/>
      <c r="S55" s="414"/>
      <c r="T55" s="414"/>
      <c r="U55" s="414"/>
      <c r="V55" s="414"/>
      <c r="W55" s="414"/>
      <c r="X55" s="414"/>
      <c r="Y55" s="414"/>
      <c r="Z55" s="414"/>
      <c r="AA55" s="414"/>
      <c r="AB55" s="414"/>
      <c r="AC55" s="414"/>
    </row>
    <row r="56" spans="5:29" ht="14.25">
      <c r="E56" s="416"/>
      <c r="F56" s="420"/>
      <c r="G56" s="484"/>
      <c r="H56" s="416"/>
      <c r="I56" s="485"/>
      <c r="J56" s="485"/>
      <c r="K56" s="485"/>
      <c r="L56" s="485"/>
      <c r="M56" s="485"/>
      <c r="N56" s="485"/>
      <c r="O56" s="485"/>
      <c r="P56" s="485"/>
      <c r="Q56" s="485"/>
      <c r="S56" s="414"/>
      <c r="T56" s="414"/>
      <c r="U56" s="414"/>
      <c r="V56" s="414"/>
      <c r="W56" s="414"/>
      <c r="X56" s="414"/>
      <c r="Y56" s="414"/>
      <c r="Z56" s="414"/>
      <c r="AA56" s="414"/>
      <c r="AB56" s="414"/>
      <c r="AC56" s="414"/>
    </row>
    <row r="57" spans="5:29" ht="14.25">
      <c r="E57" s="416"/>
      <c r="F57" s="486"/>
      <c r="G57" s="416"/>
      <c r="H57" s="416"/>
      <c r="I57" s="416"/>
      <c r="J57" s="416"/>
      <c r="K57" s="420"/>
      <c r="L57" s="416"/>
      <c r="M57" s="416"/>
      <c r="N57" s="416"/>
      <c r="O57" s="416"/>
      <c r="P57" s="416"/>
      <c r="Q57" s="416"/>
      <c r="S57" s="414"/>
      <c r="T57" s="414"/>
      <c r="U57" s="414"/>
      <c r="V57" s="414"/>
      <c r="W57" s="414"/>
      <c r="X57" s="414"/>
      <c r="Y57" s="414"/>
      <c r="Z57" s="414"/>
      <c r="AA57" s="414"/>
      <c r="AB57" s="414"/>
      <c r="AC57" s="414"/>
    </row>
    <row r="58" spans="5:29" ht="14.25">
      <c r="E58" s="416"/>
      <c r="F58" s="416"/>
      <c r="G58" s="416"/>
      <c r="H58" s="420"/>
      <c r="I58" s="414"/>
      <c r="J58" s="414"/>
      <c r="K58" s="444"/>
      <c r="L58" s="414"/>
      <c r="M58" s="414"/>
      <c r="N58" s="414"/>
      <c r="O58" s="414"/>
      <c r="P58" s="414"/>
      <c r="Q58" s="414"/>
      <c r="S58" s="414"/>
      <c r="T58" s="414"/>
      <c r="U58" s="414"/>
      <c r="V58" s="414"/>
      <c r="W58" s="414"/>
      <c r="X58" s="414"/>
      <c r="Y58" s="414"/>
      <c r="Z58" s="414"/>
      <c r="AA58" s="414"/>
      <c r="AB58" s="414"/>
      <c r="AC58" s="414"/>
    </row>
    <row r="59" spans="7:29" ht="9.75" customHeight="1">
      <c r="G59" s="414"/>
      <c r="H59" s="416"/>
      <c r="I59" s="414"/>
      <c r="J59" s="414"/>
      <c r="K59" s="414"/>
      <c r="L59" s="414"/>
      <c r="M59" s="414"/>
      <c r="N59" s="414"/>
      <c r="O59" s="414"/>
      <c r="P59" s="414"/>
      <c r="Q59" s="414"/>
      <c r="S59" s="414"/>
      <c r="T59" s="414"/>
      <c r="U59" s="414"/>
      <c r="V59" s="414"/>
      <c r="W59" s="414"/>
      <c r="X59" s="414"/>
      <c r="Y59" s="414"/>
      <c r="Z59" s="414"/>
      <c r="AA59" s="414"/>
      <c r="AB59" s="414"/>
      <c r="AC59" s="414"/>
    </row>
    <row r="60" spans="5:29" ht="17.25" customHeight="1">
      <c r="E60" s="414"/>
      <c r="F60" s="414"/>
      <c r="G60" s="414"/>
      <c r="H60" s="416"/>
      <c r="I60" s="414"/>
      <c r="J60" s="414"/>
      <c r="K60" s="414"/>
      <c r="L60" s="414"/>
      <c r="M60" s="414"/>
      <c r="N60" s="414"/>
      <c r="O60" s="414"/>
      <c r="P60" s="414"/>
      <c r="Q60" s="414"/>
      <c r="R60" s="414"/>
      <c r="T60" s="414"/>
      <c r="U60" s="414"/>
      <c r="V60" s="414"/>
      <c r="W60" s="414"/>
      <c r="X60" s="414"/>
      <c r="Y60" s="414"/>
      <c r="Z60" s="414"/>
      <c r="AA60" s="414"/>
      <c r="AB60" s="414"/>
      <c r="AC60" s="414"/>
    </row>
    <row r="61" spans="5:30" ht="14.25">
      <c r="E61" s="414"/>
      <c r="F61" s="414"/>
      <c r="G61" s="414"/>
      <c r="H61" s="414"/>
      <c r="I61" s="414"/>
      <c r="J61" s="414"/>
      <c r="K61" s="414"/>
      <c r="L61" s="414"/>
      <c r="M61" s="414"/>
      <c r="N61" s="414"/>
      <c r="O61" s="414"/>
      <c r="P61" s="414"/>
      <c r="R61" s="414"/>
      <c r="T61" s="414"/>
      <c r="U61" s="414"/>
      <c r="V61" s="414"/>
      <c r="W61" s="414"/>
      <c r="X61" s="414"/>
      <c r="Y61" s="414"/>
      <c r="Z61" s="414"/>
      <c r="AA61" s="414"/>
      <c r="AB61" s="414"/>
      <c r="AC61" s="414"/>
      <c r="AD61" s="414"/>
    </row>
    <row r="62" spans="5:30" ht="14.25">
      <c r="E62" s="414"/>
      <c r="F62" s="414"/>
      <c r="G62" s="414"/>
      <c r="H62" s="414"/>
      <c r="J62" s="414"/>
      <c r="K62" s="414"/>
      <c r="L62" s="414"/>
      <c r="M62" s="414"/>
      <c r="N62" s="414"/>
      <c r="O62" s="414"/>
      <c r="P62" s="414"/>
      <c r="Q62" s="414"/>
      <c r="R62" s="414"/>
      <c r="T62" s="414"/>
      <c r="U62" s="414"/>
      <c r="V62" s="414"/>
      <c r="W62" s="414"/>
      <c r="X62" s="414"/>
      <c r="Y62" s="414"/>
      <c r="Z62" s="414"/>
      <c r="AA62" s="414"/>
      <c r="AB62" s="414"/>
      <c r="AC62" s="414"/>
      <c r="AD62" s="414"/>
    </row>
    <row r="63" spans="5:30" ht="14.25">
      <c r="E63" s="414"/>
      <c r="F63" s="414"/>
      <c r="G63" s="414"/>
      <c r="H63" s="414"/>
      <c r="I63" s="414"/>
      <c r="J63" s="414"/>
      <c r="K63" s="414"/>
      <c r="L63" s="414"/>
      <c r="M63" s="414"/>
      <c r="N63" s="414"/>
      <c r="O63" s="414"/>
      <c r="P63" s="414"/>
      <c r="Q63" s="414"/>
      <c r="R63" s="414"/>
      <c r="T63" s="414"/>
      <c r="U63" s="414"/>
      <c r="V63" s="414"/>
      <c r="W63" s="414"/>
      <c r="X63" s="414"/>
      <c r="Y63" s="414"/>
      <c r="Z63" s="414"/>
      <c r="AA63" s="414"/>
      <c r="AB63" s="414"/>
      <c r="AC63" s="414"/>
      <c r="AD63" s="414"/>
    </row>
    <row r="64" spans="5:30" ht="14.25">
      <c r="E64" s="414"/>
      <c r="F64" s="414"/>
      <c r="G64" s="414"/>
      <c r="H64" s="414"/>
      <c r="I64" s="414"/>
      <c r="J64" s="414"/>
      <c r="K64" s="414"/>
      <c r="L64" s="414"/>
      <c r="M64" s="414"/>
      <c r="N64" s="414"/>
      <c r="O64" s="414"/>
      <c r="P64" s="414"/>
      <c r="Q64" s="414"/>
      <c r="R64" s="414"/>
      <c r="T64" s="414"/>
      <c r="U64" s="414"/>
      <c r="V64" s="414"/>
      <c r="W64" s="414"/>
      <c r="X64" s="414"/>
      <c r="Y64" s="414"/>
      <c r="Z64" s="414"/>
      <c r="AA64" s="414"/>
      <c r="AB64" s="414"/>
      <c r="AC64" s="414"/>
      <c r="AD64" s="414"/>
    </row>
    <row r="65" spans="5:30" ht="14.25">
      <c r="E65" s="414"/>
      <c r="F65" s="414"/>
      <c r="G65" s="414"/>
      <c r="H65" s="414"/>
      <c r="I65" s="414"/>
      <c r="J65" s="414"/>
      <c r="K65" s="414"/>
      <c r="L65" s="414"/>
      <c r="M65" s="414"/>
      <c r="N65" s="414"/>
      <c r="O65" s="414"/>
      <c r="P65" s="414"/>
      <c r="Q65" s="414"/>
      <c r="R65" s="414"/>
      <c r="T65" s="414"/>
      <c r="U65" s="414"/>
      <c r="V65" s="414"/>
      <c r="W65" s="414"/>
      <c r="X65" s="414"/>
      <c r="Y65" s="414"/>
      <c r="Z65" s="414"/>
      <c r="AA65" s="414"/>
      <c r="AB65" s="414"/>
      <c r="AC65" s="414"/>
      <c r="AD65" s="414"/>
    </row>
    <row r="66" spans="5:30" ht="14.25">
      <c r="E66" s="414"/>
      <c r="F66" s="414"/>
      <c r="G66" s="414"/>
      <c r="H66" s="414"/>
      <c r="I66" s="414"/>
      <c r="J66" s="414"/>
      <c r="K66" s="414"/>
      <c r="L66" s="414"/>
      <c r="M66" s="414"/>
      <c r="N66" s="414"/>
      <c r="O66" s="414"/>
      <c r="P66" s="414"/>
      <c r="Q66" s="414"/>
      <c r="R66" s="414"/>
      <c r="T66" s="414"/>
      <c r="U66" s="414"/>
      <c r="V66" s="414"/>
      <c r="W66" s="414"/>
      <c r="X66" s="414"/>
      <c r="Y66" s="414"/>
      <c r="Z66" s="414"/>
      <c r="AA66" s="414"/>
      <c r="AB66" s="414"/>
      <c r="AC66" s="414"/>
      <c r="AD66" s="414"/>
    </row>
    <row r="67" spans="5:30" ht="14.25">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row>
    <row r="68" spans="5:30" ht="14.25">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row>
    <row r="69" spans="5:30" ht="14.25">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row>
    <row r="70" spans="8:30" ht="14.25">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row>
    <row r="71" spans="8:30" ht="14.25">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row>
    <row r="72" spans="9:30" ht="14.25">
      <c r="I72" s="414"/>
      <c r="J72" s="414"/>
      <c r="K72" s="414"/>
      <c r="L72" s="414"/>
      <c r="M72" s="414"/>
      <c r="N72" s="414"/>
      <c r="O72" s="414"/>
      <c r="P72" s="414"/>
      <c r="W72" s="414"/>
      <c r="X72" s="414"/>
      <c r="Y72" s="414"/>
      <c r="Z72" s="414"/>
      <c r="AA72" s="414"/>
      <c r="AB72" s="414"/>
      <c r="AC72" s="414"/>
      <c r="AD72" s="414"/>
    </row>
  </sheetData>
  <sheetProtection sheet="1" objects="1" scenarios="1"/>
  <mergeCells count="28">
    <mergeCell ref="E32:H37"/>
    <mergeCell ref="C38:D38"/>
    <mergeCell ref="E2:G3"/>
    <mergeCell ref="A17:B17"/>
    <mergeCell ref="E5:G5"/>
    <mergeCell ref="A16:B16"/>
    <mergeCell ref="A14:B14"/>
    <mergeCell ref="A13:B13"/>
    <mergeCell ref="A15:B15"/>
    <mergeCell ref="F8:G8"/>
    <mergeCell ref="A6:B6"/>
    <mergeCell ref="A8:B8"/>
    <mergeCell ref="A7:B7"/>
    <mergeCell ref="A1:D1"/>
    <mergeCell ref="A2:D2"/>
    <mergeCell ref="A3:D3"/>
    <mergeCell ref="C4:D4"/>
    <mergeCell ref="A4:B4"/>
    <mergeCell ref="A25:D25"/>
    <mergeCell ref="A5:D5"/>
    <mergeCell ref="A11:B11"/>
    <mergeCell ref="A12:B12"/>
    <mergeCell ref="A20:B20"/>
    <mergeCell ref="A22:B22"/>
    <mergeCell ref="A23:B23"/>
    <mergeCell ref="A21:B21"/>
    <mergeCell ref="A9:B9"/>
    <mergeCell ref="A10:B10"/>
  </mergeCells>
  <conditionalFormatting sqref="F14 G22 H5:I5 L1:M4 G9 A6:A15 B6 B8:B15">
    <cfRule type="cellIs" priority="1" dxfId="0" operator="equal" stopIfTrue="1">
      <formula>0</formula>
    </cfRule>
  </conditionalFormatting>
  <conditionalFormatting sqref="C39">
    <cfRule type="cellIs" priority="2" dxfId="1" operator="between" stopIfTrue="1">
      <formula>0</formula>
      <formula>10</formula>
    </cfRule>
    <cfRule type="cellIs" priority="3" dxfId="2" operator="greaterThan" stopIfTrue="1">
      <formula>10</formula>
    </cfRule>
  </conditionalFormatting>
  <conditionalFormatting sqref="C38:D38">
    <cfRule type="cellIs" priority="4" dxfId="1" operator="greaterThanOrEqual" stopIfTrue="1">
      <formula>0</formula>
    </cfRule>
    <cfRule type="cellIs" priority="5" dxfId="3" operator="lessThan" stopIfTrue="1">
      <formula>0</formula>
    </cfRule>
  </conditionalFormatting>
  <printOptions/>
  <pageMargins left="0.75" right="0.75" top="0.54" bottom="0.53" header="0.5" footer="0.5"/>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sheetPr codeName="Sheet16"/>
  <dimension ref="A37:A37"/>
  <sheetViews>
    <sheetView workbookViewId="0" topLeftCell="A1">
      <selection activeCell="H27" sqref="H27"/>
    </sheetView>
  </sheetViews>
  <sheetFormatPr defaultColWidth="9.140625" defaultRowHeight="12.75"/>
  <cols>
    <col min="1" max="16384" width="9.140625" style="760" customWidth="1"/>
  </cols>
  <sheetData>
    <row r="37" ht="12.75">
      <c r="A37" s="759">
        <v>1</v>
      </c>
    </row>
  </sheetData>
  <sheetProtection sheet="1" objects="1" scenarios="1"/>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14">
    <pageSetUpPr fitToPage="1"/>
  </sheetPr>
  <dimension ref="A37:A37"/>
  <sheetViews>
    <sheetView workbookViewId="0" topLeftCell="A1">
      <selection activeCell="B34" sqref="B34"/>
    </sheetView>
  </sheetViews>
  <sheetFormatPr defaultColWidth="9.140625" defaultRowHeight="12.75"/>
  <cols>
    <col min="1" max="16384" width="9.140625" style="487" customWidth="1"/>
  </cols>
  <sheetData>
    <row r="37" ht="12.75">
      <c r="A37" s="488">
        <v>1</v>
      </c>
    </row>
  </sheetData>
  <sheetProtection sheet="1" objects="1" scenarios="1"/>
  <printOptions/>
  <pageMargins left="0.75" right="0.75" top="1" bottom="1" header="0.5" footer="0.5"/>
  <pageSetup fitToHeight="1" fitToWidth="1"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codeName="Sheet17"/>
  <dimension ref="A1:A1"/>
  <sheetViews>
    <sheetView workbookViewId="0" topLeftCell="A1">
      <selection activeCell="I28" sqref="I28"/>
    </sheetView>
  </sheetViews>
  <sheetFormatPr defaultColWidth="9.140625" defaultRowHeight="12.75"/>
  <cols>
    <col min="1" max="16384" width="9.140625" style="761" customWidth="1"/>
  </cols>
  <sheetData/>
  <sheetProtection sheet="1" objects="1" scenario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Q37"/>
  <sheetViews>
    <sheetView workbookViewId="0" topLeftCell="A1">
      <pane xSplit="2" ySplit="4" topLeftCell="G5" activePane="bottomRight" state="frozen"/>
      <selection pane="topLeft" activeCell="A4" sqref="A4:B4"/>
      <selection pane="topRight" activeCell="A4" sqref="A4:B4"/>
      <selection pane="bottomLeft" activeCell="A4" sqref="A4:B4"/>
      <selection pane="bottomRight" activeCell="H27" sqref="H27"/>
    </sheetView>
  </sheetViews>
  <sheetFormatPr defaultColWidth="9.140625" defaultRowHeight="12.75"/>
  <cols>
    <col min="1" max="1" width="10.00390625" style="67" bestFit="1" customWidth="1"/>
    <col min="2" max="2" width="11.421875" style="68" bestFit="1" customWidth="1"/>
    <col min="3" max="3" width="10.140625" style="69" bestFit="1" customWidth="1"/>
    <col min="4" max="4" width="11.7109375" style="69" bestFit="1" customWidth="1"/>
    <col min="5" max="5" width="12.421875" style="69" bestFit="1" customWidth="1"/>
    <col min="6" max="6" width="13.140625" style="69" customWidth="1"/>
    <col min="7" max="7" width="13.00390625" style="69" customWidth="1"/>
    <col min="8" max="8" width="13.8515625" style="69" bestFit="1" customWidth="1"/>
    <col min="9" max="9" width="11.140625" style="69" bestFit="1" customWidth="1"/>
    <col min="10" max="10" width="12.00390625" style="69" bestFit="1" customWidth="1"/>
    <col min="11" max="12" width="10.421875" style="69" customWidth="1"/>
    <col min="13" max="13" width="10.7109375" style="69" customWidth="1"/>
    <col min="14" max="14" width="13.140625" style="69" customWidth="1"/>
    <col min="15" max="15" width="16.421875" style="69" bestFit="1" customWidth="1"/>
    <col min="16" max="16" width="12.8515625" style="69" customWidth="1"/>
    <col min="17" max="17" width="10.7109375" style="69" bestFit="1" customWidth="1"/>
    <col min="18" max="18" width="14.8515625" style="69" bestFit="1" customWidth="1"/>
    <col min="19" max="19" width="12.00390625" style="69" customWidth="1"/>
    <col min="20" max="16384" width="9.140625" style="69" customWidth="1"/>
  </cols>
  <sheetData>
    <row r="1" spans="3:17" ht="12.75" customHeight="1">
      <c r="C1" s="970" t="s">
        <v>7</v>
      </c>
      <c r="D1" s="971"/>
      <c r="E1" s="971"/>
      <c r="F1" s="972"/>
      <c r="G1" s="988" t="s">
        <v>12</v>
      </c>
      <c r="H1" s="989"/>
      <c r="I1" s="989"/>
      <c r="J1" s="989"/>
      <c r="K1" s="989"/>
      <c r="L1" s="989"/>
      <c r="M1" s="989"/>
      <c r="N1" s="990"/>
      <c r="O1" s="962" t="s">
        <v>236</v>
      </c>
      <c r="P1" s="979"/>
      <c r="Q1" s="980"/>
    </row>
    <row r="2" spans="3:17" ht="12.75" customHeight="1">
      <c r="C2" s="975" t="s">
        <v>4</v>
      </c>
      <c r="D2" s="977" t="s">
        <v>5</v>
      </c>
      <c r="E2" s="977" t="s">
        <v>6</v>
      </c>
      <c r="F2" s="968" t="s">
        <v>1</v>
      </c>
      <c r="G2" s="973" t="s">
        <v>10</v>
      </c>
      <c r="H2" s="974"/>
      <c r="I2" s="974"/>
      <c r="J2" s="974"/>
      <c r="K2" s="974" t="s">
        <v>235</v>
      </c>
      <c r="L2" s="974"/>
      <c r="M2" s="974"/>
      <c r="N2" s="381" t="str">
        <f>'Site Data'!$J$13</f>
        <v>#2</v>
      </c>
      <c r="O2" s="981" t="s">
        <v>4</v>
      </c>
      <c r="P2" s="983" t="s">
        <v>6</v>
      </c>
      <c r="Q2" s="985" t="s">
        <v>6</v>
      </c>
    </row>
    <row r="3" spans="1:17" ht="26.25" thickBot="1">
      <c r="A3" s="70"/>
      <c r="B3" s="71"/>
      <c r="C3" s="976"/>
      <c r="D3" s="978"/>
      <c r="E3" s="978"/>
      <c r="F3" s="969"/>
      <c r="G3" s="165" t="s">
        <v>4</v>
      </c>
      <c r="H3" s="72" t="s">
        <v>6</v>
      </c>
      <c r="I3" s="72" t="s">
        <v>6</v>
      </c>
      <c r="J3" s="72" t="s">
        <v>1</v>
      </c>
      <c r="K3" s="356" t="s">
        <v>4</v>
      </c>
      <c r="L3" s="356" t="s">
        <v>6</v>
      </c>
      <c r="M3" s="356" t="s">
        <v>6</v>
      </c>
      <c r="N3" s="382" t="s">
        <v>1</v>
      </c>
      <c r="O3" s="982"/>
      <c r="P3" s="984"/>
      <c r="Q3" s="986"/>
    </row>
    <row r="4" spans="1:17" ht="13.5" thickBot="1">
      <c r="A4" s="73" t="s">
        <v>14</v>
      </c>
      <c r="B4" s="74" t="s">
        <v>13</v>
      </c>
      <c r="C4" s="75" t="s">
        <v>3</v>
      </c>
      <c r="D4" s="76" t="s">
        <v>0</v>
      </c>
      <c r="E4" s="77" t="s">
        <v>0</v>
      </c>
      <c r="F4" s="161" t="s">
        <v>11</v>
      </c>
      <c r="G4" s="75" t="s">
        <v>234</v>
      </c>
      <c r="H4" s="77" t="s">
        <v>80</v>
      </c>
      <c r="I4" s="77" t="s">
        <v>0</v>
      </c>
      <c r="J4" s="77" t="s">
        <v>11</v>
      </c>
      <c r="K4" s="77" t="s">
        <v>254</v>
      </c>
      <c r="L4" s="161" t="s">
        <v>83</v>
      </c>
      <c r="M4" s="161" t="s">
        <v>0</v>
      </c>
      <c r="N4" s="166" t="s">
        <v>11</v>
      </c>
      <c r="O4" s="75" t="s">
        <v>83</v>
      </c>
      <c r="P4" s="77" t="s">
        <v>80</v>
      </c>
      <c r="Q4" s="166" t="s">
        <v>0</v>
      </c>
    </row>
    <row r="5" spans="1:17" ht="12.75">
      <c r="A5" s="78">
        <f>'Site Data'!B16</f>
        <v>37622</v>
      </c>
      <c r="B5" s="79">
        <v>744</v>
      </c>
      <c r="C5" s="494">
        <f>'Site Data'!C16</f>
        <v>640495</v>
      </c>
      <c r="D5" s="495">
        <f>'Site Data'!D16</f>
        <v>1079</v>
      </c>
      <c r="E5" s="82">
        <f aca="true" t="shared" si="0" ref="E5:E16">C5/B5</f>
        <v>860.880376344086</v>
      </c>
      <c r="F5" s="496">
        <f>'Site Data'!F16</f>
        <v>31682</v>
      </c>
      <c r="G5" s="497">
        <f>'Site Data'!G16</f>
        <v>54340</v>
      </c>
      <c r="H5" s="82">
        <f>(G5*' Conversions'!E23)/B5</f>
        <v>7303763.440860215</v>
      </c>
      <c r="I5" s="82">
        <f>H5/3412.8</f>
        <v>2140.108837570386</v>
      </c>
      <c r="J5" s="498">
        <f>'Site Data'!H16</f>
        <v>41434</v>
      </c>
      <c r="K5" s="499">
        <f>'Site Data'!I16</f>
        <v>0</v>
      </c>
      <c r="L5" s="500">
        <f>IF(N2="#2",' Conversions'!E11*'Energy Consumption &amp; Costs'!K5,'Energy Consumption &amp; Costs'!K5*' Conversions'!E12)</f>
        <v>0</v>
      </c>
      <c r="M5" s="500">
        <f aca="true" t="shared" si="1" ref="M5:M16">L5/3412.8</f>
        <v>0</v>
      </c>
      <c r="N5" s="501">
        <f>'Site Data'!J16</f>
        <v>0</v>
      </c>
      <c r="O5" s="494">
        <f>(G5*' Conversions'!E15*' Conversions'!E23*'Site Data'!N20/100)+(K5*'Site Data'!N20/100)</f>
        <v>3933180952.3809524</v>
      </c>
      <c r="P5" s="80">
        <f aca="true" t="shared" si="2" ref="P5:P16">O5/B5</f>
        <v>5286533.538146442</v>
      </c>
      <c r="Q5" s="167">
        <f aca="true" t="shared" si="3" ref="Q5:Q16">P5/3412.8</f>
        <v>1549.031158622375</v>
      </c>
    </row>
    <row r="6" spans="1:17" ht="12.75">
      <c r="A6" s="83">
        <f>'Site Data'!B17</f>
        <v>37653</v>
      </c>
      <c r="B6" s="84">
        <v>672</v>
      </c>
      <c r="C6" s="502">
        <f>'Site Data'!C17</f>
        <v>580107</v>
      </c>
      <c r="D6" s="503">
        <f>'Site Data'!D17</f>
        <v>1076</v>
      </c>
      <c r="E6" s="379">
        <f t="shared" si="0"/>
        <v>863.2544642857143</v>
      </c>
      <c r="F6" s="504">
        <f>'Site Data'!F17</f>
        <v>29567</v>
      </c>
      <c r="G6" s="502">
        <f>'Site Data'!G17</f>
        <v>45840</v>
      </c>
      <c r="H6" s="82">
        <f>G6*' Conversions'!E23/B6</f>
        <v>6821428.571428572</v>
      </c>
      <c r="I6" s="82">
        <f aca="true" t="shared" si="4" ref="I6:I16">H6/3412.8</f>
        <v>1998.7777108030273</v>
      </c>
      <c r="J6" s="498">
        <f>'Site Data'!H17</f>
        <v>34953</v>
      </c>
      <c r="K6" s="505">
        <f>'Site Data'!I17</f>
        <v>0</v>
      </c>
      <c r="L6" s="506">
        <f>IF(N2="#2",' Conversions'!E11*'Energy Consumption &amp; Costs'!K6,'Energy Consumption &amp; Costs'!K6*' Conversions'!E12)</f>
        <v>0</v>
      </c>
      <c r="M6" s="500">
        <f t="shared" si="1"/>
        <v>0</v>
      </c>
      <c r="N6" s="507">
        <f>'Site Data'!J17</f>
        <v>0</v>
      </c>
      <c r="O6" s="502">
        <f>(G6*' Conversions'!E15*' Conversions'!E23*'Site Data'!N20/100)+(K6*'Site Data'!N20/100)</f>
        <v>3317942857.1428576</v>
      </c>
      <c r="P6" s="80">
        <f t="shared" si="2"/>
        <v>4937414.965986395</v>
      </c>
      <c r="Q6" s="115">
        <f t="shared" si="3"/>
        <v>1446.7343430574294</v>
      </c>
    </row>
    <row r="7" spans="1:17" ht="12.75">
      <c r="A7" s="83">
        <f>'Site Data'!B18</f>
        <v>37681</v>
      </c>
      <c r="B7" s="84">
        <v>744</v>
      </c>
      <c r="C7" s="502">
        <f>'Site Data'!C18</f>
        <v>650700</v>
      </c>
      <c r="D7" s="503">
        <f>'Site Data'!D18</f>
        <v>1199</v>
      </c>
      <c r="E7" s="379">
        <f t="shared" si="0"/>
        <v>874.5967741935484</v>
      </c>
      <c r="F7" s="504">
        <f>'Site Data'!F18</f>
        <v>33223</v>
      </c>
      <c r="G7" s="502">
        <f>'Site Data'!G18</f>
        <v>44290</v>
      </c>
      <c r="H7" s="82">
        <f>G7*' Conversions'!E23/B7</f>
        <v>5952956.989247312</v>
      </c>
      <c r="I7" s="82">
        <f t="shared" si="4"/>
        <v>1744.3029152740598</v>
      </c>
      <c r="J7" s="498">
        <f>'Site Data'!H18</f>
        <v>33768</v>
      </c>
      <c r="K7" s="505">
        <f>'Site Data'!I18</f>
        <v>0</v>
      </c>
      <c r="L7" s="506">
        <f>IF(N2="#2",' Conversions'!E11*'Energy Consumption &amp; Costs'!K7,'Energy Consumption &amp; Costs'!K7*' Conversions'!E12)</f>
        <v>0</v>
      </c>
      <c r="M7" s="500">
        <f t="shared" si="1"/>
        <v>0</v>
      </c>
      <c r="N7" s="507">
        <f>'Site Data'!J18</f>
        <v>0</v>
      </c>
      <c r="O7" s="502">
        <f>(G7*' Conversions'!E15*' Conversions'!E23*'Site Data'!N20/100)+(K7*'Site Data'!N20/100)</f>
        <v>3205752380.952381</v>
      </c>
      <c r="P7" s="80">
        <f t="shared" si="2"/>
        <v>4308806.963645673</v>
      </c>
      <c r="Q7" s="115">
        <f t="shared" si="3"/>
        <v>1262.5430624840815</v>
      </c>
    </row>
    <row r="8" spans="1:17" ht="12.75">
      <c r="A8" s="83">
        <f>'Site Data'!B19</f>
        <v>37712</v>
      </c>
      <c r="B8" s="84">
        <v>720</v>
      </c>
      <c r="C8" s="502">
        <f>'Site Data'!C19</f>
        <v>648328</v>
      </c>
      <c r="D8" s="503">
        <f>'Site Data'!D19</f>
        <v>1155</v>
      </c>
      <c r="E8" s="379">
        <f t="shared" si="0"/>
        <v>900.4555555555555</v>
      </c>
      <c r="F8" s="504">
        <f>'Site Data'!F19</f>
        <v>32718</v>
      </c>
      <c r="G8" s="502">
        <f>'Site Data'!G19</f>
        <v>31540</v>
      </c>
      <c r="H8" s="82">
        <f>G8*' Conversions'!E23/B8</f>
        <v>4380555.555555556</v>
      </c>
      <c r="I8" s="82">
        <f t="shared" si="4"/>
        <v>1283.5664426733344</v>
      </c>
      <c r="J8" s="498">
        <f>'Site Data'!H19</f>
        <v>24045</v>
      </c>
      <c r="K8" s="505">
        <f>'Site Data'!I19</f>
        <v>0</v>
      </c>
      <c r="L8" s="506">
        <f>IF(N2="#2",' Conversions'!E11*'Energy Consumption &amp; Costs'!K8,'Energy Consumption &amp; Costs'!K8*' Conversions'!E12)</f>
        <v>0</v>
      </c>
      <c r="M8" s="500">
        <f t="shared" si="1"/>
        <v>0</v>
      </c>
      <c r="N8" s="507">
        <f>'Site Data'!J19</f>
        <v>0</v>
      </c>
      <c r="O8" s="502">
        <f>(G8*' Conversions'!E15*' Conversions'!E23*'Site Data'!N20/100)+(K8*'Site Data'!N20/100)</f>
        <v>2282895238.095238</v>
      </c>
      <c r="P8" s="80">
        <f t="shared" si="2"/>
        <v>3170687.8306878307</v>
      </c>
      <c r="Q8" s="115">
        <f t="shared" si="3"/>
        <v>929.0576156492706</v>
      </c>
    </row>
    <row r="9" spans="1:17" ht="12.75">
      <c r="A9" s="83">
        <f>'Site Data'!B20</f>
        <v>37377</v>
      </c>
      <c r="B9" s="84">
        <v>744</v>
      </c>
      <c r="C9" s="502">
        <f>'Site Data'!C20</f>
        <v>716199</v>
      </c>
      <c r="D9" s="503">
        <f>'Site Data'!D20</f>
        <v>1311</v>
      </c>
      <c r="E9" s="379">
        <f t="shared" si="0"/>
        <v>962.633064516129</v>
      </c>
      <c r="F9" s="504">
        <f>'Site Data'!F20</f>
        <v>36522</v>
      </c>
      <c r="G9" s="502">
        <f>'Site Data'!G20</f>
        <v>25220</v>
      </c>
      <c r="H9" s="82">
        <f>G9*' Conversions'!E23/B9</f>
        <v>3389784.946236559</v>
      </c>
      <c r="I9" s="82">
        <f t="shared" si="4"/>
        <v>993.2562547575477</v>
      </c>
      <c r="J9" s="498">
        <f>'Site Data'!H20</f>
        <v>11144</v>
      </c>
      <c r="K9" s="505">
        <f>'Site Data'!I20</f>
        <v>0</v>
      </c>
      <c r="L9" s="506">
        <f>IF(N2="#2",' Conversions'!E11*'Energy Consumption &amp; Costs'!K9,'Energy Consumption &amp; Costs'!K9*' Conversions'!E12)</f>
        <v>0</v>
      </c>
      <c r="M9" s="500">
        <f t="shared" si="1"/>
        <v>0</v>
      </c>
      <c r="N9" s="507">
        <f>'Site Data'!J20</f>
        <v>0</v>
      </c>
      <c r="O9" s="502">
        <f>(G9*' Conversions'!E15*' Conversions'!E23*'Site Data'!N20/100)+(K9*'Site Data'!N20/100)</f>
        <v>1825447619.047619</v>
      </c>
      <c r="P9" s="80">
        <f t="shared" si="2"/>
        <v>2453558.627752176</v>
      </c>
      <c r="Q9" s="115">
        <f t="shared" si="3"/>
        <v>718.9283367768917</v>
      </c>
    </row>
    <row r="10" spans="1:17" ht="12.75">
      <c r="A10" s="83">
        <f>'Site Data'!B21</f>
        <v>37408</v>
      </c>
      <c r="B10" s="84">
        <v>720</v>
      </c>
      <c r="C10" s="502">
        <f>'Site Data'!C21</f>
        <v>743382</v>
      </c>
      <c r="D10" s="503">
        <f>'Site Data'!D21</f>
        <v>1385</v>
      </c>
      <c r="E10" s="379">
        <f t="shared" si="0"/>
        <v>1032.475</v>
      </c>
      <c r="F10" s="504">
        <f>'Site Data'!F21</f>
        <v>38165</v>
      </c>
      <c r="G10" s="502">
        <f>'Site Data'!G21</f>
        <v>25950</v>
      </c>
      <c r="H10" s="82">
        <f>G10*' Conversions'!E23/B10</f>
        <v>3604166.6666666665</v>
      </c>
      <c r="I10" s="82">
        <f t="shared" si="4"/>
        <v>1056.0732145647758</v>
      </c>
      <c r="J10" s="498">
        <f>'Site Data'!H21</f>
        <v>11465</v>
      </c>
      <c r="K10" s="505">
        <f>'Site Data'!I21</f>
        <v>0</v>
      </c>
      <c r="L10" s="506">
        <f>IF(N2="#2",' Conversions'!E11*'Energy Consumption &amp; Costs'!K10,'Energy Consumption &amp; Costs'!K10*' Conversions'!E12)</f>
        <v>0</v>
      </c>
      <c r="M10" s="500">
        <f t="shared" si="1"/>
        <v>0</v>
      </c>
      <c r="N10" s="507">
        <f>'Site Data'!J21</f>
        <v>0</v>
      </c>
      <c r="O10" s="502">
        <f>(G10*' Conversions'!E15*' Conversions'!E23*'Site Data'!N20/100)+(K10*'Site Data'!N20/100)</f>
        <v>1878285714.2857144</v>
      </c>
      <c r="P10" s="80">
        <f t="shared" si="2"/>
        <v>2608730.158730159</v>
      </c>
      <c r="Q10" s="115">
        <f t="shared" si="3"/>
        <v>764.3958505421234</v>
      </c>
    </row>
    <row r="11" spans="1:17" ht="12.75">
      <c r="A11" s="83">
        <f>'Site Data'!B22</f>
        <v>37438</v>
      </c>
      <c r="B11" s="84">
        <v>744</v>
      </c>
      <c r="C11" s="502">
        <f>'Site Data'!C22</f>
        <v>794868</v>
      </c>
      <c r="D11" s="503">
        <f>'Site Data'!D22</f>
        <v>1429</v>
      </c>
      <c r="E11" s="379">
        <f t="shared" si="0"/>
        <v>1068.3709677419354</v>
      </c>
      <c r="F11" s="504">
        <f>'Site Data'!F22</f>
        <v>40059</v>
      </c>
      <c r="G11" s="502">
        <f>'Site Data'!G22</f>
        <v>28980</v>
      </c>
      <c r="H11" s="82">
        <f>G11*' Conversions'!E23/B11</f>
        <v>3895161.290322581</v>
      </c>
      <c r="I11" s="82">
        <f t="shared" si="4"/>
        <v>1141.3388684723923</v>
      </c>
      <c r="J11" s="498">
        <f>'Site Data'!H22</f>
        <v>12803</v>
      </c>
      <c r="K11" s="505">
        <f>'Site Data'!I22</f>
        <v>0</v>
      </c>
      <c r="L11" s="506">
        <f>IF(N2="#2",' Conversions'!E11*'Energy Consumption &amp; Costs'!K11,'Energy Consumption &amp; Costs'!K11*' Conversions'!E12)</f>
        <v>0</v>
      </c>
      <c r="M11" s="500">
        <f t="shared" si="1"/>
        <v>0</v>
      </c>
      <c r="N11" s="507">
        <f>'Site Data'!J22</f>
        <v>0</v>
      </c>
      <c r="O11" s="502">
        <f>(G11*' Conversions'!E15*' Conversions'!E23*'Site Data'!N20/100)+(K11*'Site Data'!N20/100)</f>
        <v>2097600000</v>
      </c>
      <c r="P11" s="80">
        <f t="shared" si="2"/>
        <v>2819354.8387096776</v>
      </c>
      <c r="Q11" s="115">
        <f t="shared" si="3"/>
        <v>826.1119428943031</v>
      </c>
    </row>
    <row r="12" spans="1:17" ht="12.75">
      <c r="A12" s="83">
        <f>'Site Data'!B23</f>
        <v>37469</v>
      </c>
      <c r="B12" s="84">
        <v>744</v>
      </c>
      <c r="C12" s="502">
        <f>'Site Data'!C23</f>
        <v>794062</v>
      </c>
      <c r="D12" s="503">
        <f>'Site Data'!D23</f>
        <v>1435</v>
      </c>
      <c r="E12" s="379">
        <f t="shared" si="0"/>
        <v>1067.2876344086021</v>
      </c>
      <c r="F12" s="504">
        <f>'Site Data'!F23</f>
        <v>40516</v>
      </c>
      <c r="G12" s="502">
        <f>'Site Data'!G23</f>
        <v>31020</v>
      </c>
      <c r="H12" s="82">
        <f>G12*' Conversions'!E23/B12</f>
        <v>4169354.8387096776</v>
      </c>
      <c r="I12" s="82">
        <f t="shared" si="4"/>
        <v>1221.6815631474676</v>
      </c>
      <c r="J12" s="498">
        <f>'Site Data'!H23</f>
        <v>13705</v>
      </c>
      <c r="K12" s="505">
        <f>'Site Data'!I23</f>
        <v>0</v>
      </c>
      <c r="L12" s="506">
        <f>IF(N2="#2",' Conversions'!E11*'Energy Consumption &amp; Costs'!K12,'Energy Consumption &amp; Costs'!K12*' Conversions'!E12)</f>
        <v>0</v>
      </c>
      <c r="M12" s="500">
        <f t="shared" si="1"/>
        <v>0</v>
      </c>
      <c r="N12" s="507">
        <f>'Site Data'!J23</f>
        <v>0</v>
      </c>
      <c r="O12" s="502">
        <f>(G12*' Conversions'!E15*' Conversions'!E23*'Site Data'!N20/100)+(K12*'Site Data'!N20/100)</f>
        <v>2245257142.857143</v>
      </c>
      <c r="P12" s="80">
        <f t="shared" si="2"/>
        <v>3017818.740399386</v>
      </c>
      <c r="Q12" s="115">
        <f t="shared" si="3"/>
        <v>884.2647504686432</v>
      </c>
    </row>
    <row r="13" spans="1:17" ht="12.75">
      <c r="A13" s="83">
        <f>'Site Data'!B24</f>
        <v>37500</v>
      </c>
      <c r="B13" s="84">
        <v>720</v>
      </c>
      <c r="C13" s="502">
        <f>'Site Data'!C24</f>
        <v>722532</v>
      </c>
      <c r="D13" s="503">
        <f>'Site Data'!D24</f>
        <v>1329</v>
      </c>
      <c r="E13" s="379">
        <f t="shared" si="0"/>
        <v>1003.5166666666667</v>
      </c>
      <c r="F13" s="504">
        <f>'Site Data'!F24</f>
        <v>36461</v>
      </c>
      <c r="G13" s="502">
        <f>'Site Data'!G24</f>
        <v>23030</v>
      </c>
      <c r="H13" s="82">
        <f>G13*' Conversions'!E23/B13</f>
        <v>3198611.111111111</v>
      </c>
      <c r="I13" s="82">
        <f t="shared" si="4"/>
        <v>937.2395426368703</v>
      </c>
      <c r="J13" s="498">
        <f>'Site Data'!H24</f>
        <v>10176</v>
      </c>
      <c r="K13" s="505">
        <f>'Site Data'!I24</f>
        <v>0</v>
      </c>
      <c r="L13" s="506">
        <f>IF(N2="#2",' Conversions'!E11*'Energy Consumption &amp; Costs'!K13,'Energy Consumption &amp; Costs'!K13*' Conversions'!E12)</f>
        <v>0</v>
      </c>
      <c r="M13" s="500">
        <f t="shared" si="1"/>
        <v>0</v>
      </c>
      <c r="N13" s="507">
        <f>'Site Data'!J24</f>
        <v>0</v>
      </c>
      <c r="O13" s="502">
        <f>(G13*' Conversions'!E15*' Conversions'!E23*'Site Data'!N20/100)+(K13*' Conversions'!E11*'Site Data'!N20/100)</f>
        <v>1666933333.3333335</v>
      </c>
      <c r="P13" s="80">
        <f t="shared" si="2"/>
        <v>2315185.1851851856</v>
      </c>
      <c r="Q13" s="115">
        <f t="shared" si="3"/>
        <v>678.3829070514491</v>
      </c>
    </row>
    <row r="14" spans="1:17" ht="12.75">
      <c r="A14" s="83">
        <f>'Site Data'!B25</f>
        <v>37530</v>
      </c>
      <c r="B14" s="84">
        <v>744</v>
      </c>
      <c r="C14" s="502">
        <f>'Site Data'!C25</f>
        <v>691080</v>
      </c>
      <c r="D14" s="503">
        <f>'Site Data'!D25</f>
        <v>1249</v>
      </c>
      <c r="E14" s="379">
        <f t="shared" si="0"/>
        <v>928.8709677419355</v>
      </c>
      <c r="F14" s="504">
        <f>'Site Data'!F25</f>
        <v>35103</v>
      </c>
      <c r="G14" s="502">
        <f>'Site Data'!G25</f>
        <v>26700</v>
      </c>
      <c r="H14" s="82">
        <f>G14*' Conversions'!E23/B14</f>
        <v>3588709.6774193547</v>
      </c>
      <c r="I14" s="82">
        <f t="shared" si="4"/>
        <v>1051.5440920708377</v>
      </c>
      <c r="J14" s="498">
        <f>'Site Data'!H25</f>
        <v>11797</v>
      </c>
      <c r="K14" s="505">
        <f>'Site Data'!I25</f>
        <v>0</v>
      </c>
      <c r="L14" s="506">
        <f>IF(N2="#2",' Conversions'!E11*'Energy Consumption &amp; Costs'!K14,'Energy Consumption &amp; Costs'!K14*' Conversions'!E12)</f>
        <v>0</v>
      </c>
      <c r="M14" s="500">
        <f t="shared" si="1"/>
        <v>0</v>
      </c>
      <c r="N14" s="507">
        <f>'Site Data'!J25</f>
        <v>0</v>
      </c>
      <c r="O14" s="502">
        <f>(G14*' Conversions'!E15*' Conversions'!E23*'Site Data'!N20/100)+(K14*' Conversions'!E11*'Site Data'!N20/100)</f>
        <v>1932571428.5714288</v>
      </c>
      <c r="P14" s="80">
        <f t="shared" si="2"/>
        <v>2597542.2427035333</v>
      </c>
      <c r="Q14" s="115">
        <f t="shared" si="3"/>
        <v>761.1176285465111</v>
      </c>
    </row>
    <row r="15" spans="1:17" ht="12.75">
      <c r="A15" s="83">
        <f>'Site Data'!B26</f>
        <v>37561</v>
      </c>
      <c r="B15" s="84">
        <v>720</v>
      </c>
      <c r="C15" s="502">
        <f>'Site Data'!C26</f>
        <v>636733</v>
      </c>
      <c r="D15" s="503">
        <f>'Site Data'!D26</f>
        <v>1228</v>
      </c>
      <c r="E15" s="379">
        <f t="shared" si="0"/>
        <v>884.3513888888889</v>
      </c>
      <c r="F15" s="504">
        <f>'Site Data'!F26</f>
        <v>32895</v>
      </c>
      <c r="G15" s="502">
        <f>'Site Data'!G26</f>
        <v>34330</v>
      </c>
      <c r="H15" s="82">
        <f>G15*' Conversions'!E23/B15</f>
        <v>4768055.555555556</v>
      </c>
      <c r="I15" s="82">
        <f t="shared" si="4"/>
        <v>1397.1095744126687</v>
      </c>
      <c r="J15" s="498">
        <f>'Site Data'!H26</f>
        <v>26179</v>
      </c>
      <c r="K15" s="505">
        <f>'Site Data'!I26</f>
        <v>0</v>
      </c>
      <c r="L15" s="506">
        <f>IF(N2="#2",' Conversions'!E11*'Energy Consumption &amp; Costs'!K15,'Energy Consumption &amp; Costs'!K15*' Conversions'!E12)</f>
        <v>0</v>
      </c>
      <c r="M15" s="500">
        <f t="shared" si="1"/>
        <v>0</v>
      </c>
      <c r="N15" s="507">
        <f>'Site Data'!J26</f>
        <v>0</v>
      </c>
      <c r="O15" s="502">
        <f>(G15*' Conversions'!E15*' Conversions'!E23*'Site Data'!N20/100)+(K15*' Conversions'!E11*'Site Data'!N20/100)</f>
        <v>2484838095.2380953</v>
      </c>
      <c r="P15" s="80">
        <f t="shared" si="2"/>
        <v>3451164.0211640215</v>
      </c>
      <c r="Q15" s="115">
        <f t="shared" si="3"/>
        <v>1011.2412157653602</v>
      </c>
    </row>
    <row r="16" spans="1:17" ht="13.5" thickBot="1">
      <c r="A16" s="85">
        <f>'Site Data'!B27</f>
        <v>37591</v>
      </c>
      <c r="B16" s="86">
        <v>744</v>
      </c>
      <c r="C16" s="508">
        <f>'Site Data'!C27</f>
        <v>640442</v>
      </c>
      <c r="D16" s="509">
        <f>'Site Data'!D27</f>
        <v>1087</v>
      </c>
      <c r="E16" s="380">
        <f t="shared" si="0"/>
        <v>860.8091397849462</v>
      </c>
      <c r="F16" s="510">
        <f>'Site Data'!F27</f>
        <v>31425</v>
      </c>
      <c r="G16" s="511">
        <f>'Site Data'!G27</f>
        <v>50040</v>
      </c>
      <c r="H16" s="82">
        <f>G16*' Conversions'!E23/B16</f>
        <v>6725806.451612903</v>
      </c>
      <c r="I16" s="82">
        <f t="shared" si="4"/>
        <v>1970.759039970963</v>
      </c>
      <c r="J16" s="498">
        <f>'Site Data'!H27</f>
        <v>38153</v>
      </c>
      <c r="K16" s="512">
        <f>'Site Data'!I27</f>
        <v>0</v>
      </c>
      <c r="L16" s="513">
        <f>IF(N2="#2",' Conversions'!E11*'Energy Consumption &amp; Costs'!K16,'Energy Consumption &amp; Costs'!K16*' Conversions'!E12)</f>
        <v>0</v>
      </c>
      <c r="M16" s="500">
        <f t="shared" si="1"/>
        <v>0</v>
      </c>
      <c r="N16" s="514">
        <f>'Site Data'!J27</f>
        <v>0</v>
      </c>
      <c r="O16" s="508">
        <f>(G16*' Conversions'!E15*' Conversions'!E23*'Site Data'!N20/100)+(K15*' Conversions'!E11*'Site Data'!N20/100)</f>
        <v>3621942857.1428576</v>
      </c>
      <c r="P16" s="80">
        <f t="shared" si="2"/>
        <v>4868202.764976959</v>
      </c>
      <c r="Q16" s="168">
        <f t="shared" si="3"/>
        <v>1426.454162264697</v>
      </c>
    </row>
    <row r="17" spans="1:17" ht="12.75">
      <c r="A17" s="89" t="s">
        <v>15</v>
      </c>
      <c r="B17" s="90">
        <f>SUM(B5:B16)</f>
        <v>8760</v>
      </c>
      <c r="C17" s="81">
        <f>SUM(C5:C16)</f>
        <v>8258928</v>
      </c>
      <c r="D17" s="91" t="s">
        <v>25</v>
      </c>
      <c r="E17" s="91" t="s">
        <v>25</v>
      </c>
      <c r="F17" s="162">
        <f>SUM(F5:F16)</f>
        <v>418336</v>
      </c>
      <c r="G17" s="172">
        <f>SUM(G5:G16)</f>
        <v>421280</v>
      </c>
      <c r="H17" s="94" t="s">
        <v>25</v>
      </c>
      <c r="I17" s="94" t="s">
        <v>25</v>
      </c>
      <c r="J17" s="92">
        <f>SUM(J5:J16)</f>
        <v>269622</v>
      </c>
      <c r="K17" s="93"/>
      <c r="L17" s="354"/>
      <c r="M17" s="354"/>
      <c r="N17" s="95"/>
      <c r="O17" s="172">
        <f>SUM(O5:O16)</f>
        <v>30492647619.04762</v>
      </c>
      <c r="P17" s="91" t="s">
        <v>25</v>
      </c>
      <c r="Q17" s="169" t="s">
        <v>25</v>
      </c>
    </row>
    <row r="18" spans="1:17" ht="12.75">
      <c r="A18" s="96" t="s">
        <v>24</v>
      </c>
      <c r="B18" s="97">
        <f>B17/12</f>
        <v>730</v>
      </c>
      <c r="C18" s="87">
        <f>C17/12</f>
        <v>688244</v>
      </c>
      <c r="D18" s="87">
        <f aca="true" t="shared" si="5" ref="D18:K18">SUM(D5:D16)/12</f>
        <v>1246.8333333333333</v>
      </c>
      <c r="E18" s="87">
        <f t="shared" si="5"/>
        <v>942.2918333440006</v>
      </c>
      <c r="F18" s="163">
        <f t="shared" si="5"/>
        <v>34861.333333333336</v>
      </c>
      <c r="G18" s="117">
        <f t="shared" si="5"/>
        <v>35106.666666666664</v>
      </c>
      <c r="H18" s="87">
        <f t="shared" si="5"/>
        <v>4816529.591227173</v>
      </c>
      <c r="I18" s="87">
        <f t="shared" si="5"/>
        <v>1411.3131713628609</v>
      </c>
      <c r="J18" s="98">
        <f t="shared" si="5"/>
        <v>22468.5</v>
      </c>
      <c r="K18" s="87">
        <f t="shared" si="5"/>
        <v>0</v>
      </c>
      <c r="L18" s="306"/>
      <c r="M18" s="306"/>
      <c r="N18" s="99">
        <f>SUM(N5:N16)/12</f>
        <v>0</v>
      </c>
      <c r="O18" s="117">
        <f>SUM(O5:O16)/12</f>
        <v>2541053968.2539682</v>
      </c>
      <c r="P18" s="87">
        <f>SUM(P5:P16)/12</f>
        <v>3486249.9898406207</v>
      </c>
      <c r="Q18" s="120">
        <f>SUM(Q5:Q16)/12</f>
        <v>1021.5219145102615</v>
      </c>
    </row>
    <row r="19" spans="1:17" ht="13.5" thickBot="1">
      <c r="A19" s="100" t="s">
        <v>28</v>
      </c>
      <c r="B19" s="101"/>
      <c r="C19" s="88">
        <f aca="true" t="shared" si="6" ref="C19:N19">MAX(C5:C16)</f>
        <v>794868</v>
      </c>
      <c r="D19" s="88">
        <f t="shared" si="6"/>
        <v>1435</v>
      </c>
      <c r="E19" s="88">
        <f t="shared" si="6"/>
        <v>1068.3709677419354</v>
      </c>
      <c r="F19" s="164">
        <f t="shared" si="6"/>
        <v>40516</v>
      </c>
      <c r="G19" s="170">
        <f t="shared" si="6"/>
        <v>54340</v>
      </c>
      <c r="H19" s="88">
        <f t="shared" si="6"/>
        <v>7303763.440860215</v>
      </c>
      <c r="I19" s="88">
        <f t="shared" si="6"/>
        <v>2140.108837570386</v>
      </c>
      <c r="J19" s="102">
        <f t="shared" si="6"/>
        <v>41434</v>
      </c>
      <c r="K19" s="88">
        <f t="shared" si="6"/>
        <v>0</v>
      </c>
      <c r="L19" s="164"/>
      <c r="M19" s="164"/>
      <c r="N19" s="301">
        <f t="shared" si="6"/>
        <v>0</v>
      </c>
      <c r="O19" s="170">
        <f>MAX(O5:O16)</f>
        <v>3933180952.3809524</v>
      </c>
      <c r="P19" s="88">
        <f>MAX(P5:P16)</f>
        <v>5286533.538146442</v>
      </c>
      <c r="Q19" s="168">
        <f>MAX(Q5:Q16)</f>
        <v>1549.031158622375</v>
      </c>
    </row>
    <row r="20" spans="1:14" ht="13.5" thickBot="1">
      <c r="A20" s="69"/>
      <c r="G20" s="193"/>
      <c r="H20" s="193"/>
      <c r="I20" s="108"/>
      <c r="J20" s="108"/>
      <c r="K20" s="173"/>
      <c r="L20" s="174"/>
      <c r="M20" s="300"/>
      <c r="N20" s="315" t="s">
        <v>258</v>
      </c>
    </row>
    <row r="21" spans="1:14" ht="12.75">
      <c r="A21" s="964" t="s">
        <v>161</v>
      </c>
      <c r="B21" s="965"/>
      <c r="C21" s="962" t="s">
        <v>163</v>
      </c>
      <c r="D21" s="963"/>
      <c r="E21" s="962" t="s">
        <v>216</v>
      </c>
      <c r="F21" s="963"/>
      <c r="I21" s="171"/>
      <c r="J21" s="171"/>
      <c r="K21" s="987"/>
      <c r="L21" s="987"/>
      <c r="M21" s="171"/>
      <c r="N21" s="315" t="s">
        <v>259</v>
      </c>
    </row>
    <row r="22" spans="1:13" ht="12.75" customHeight="1" thickBot="1">
      <c r="A22" s="966"/>
      <c r="B22" s="967"/>
      <c r="C22" s="515">
        <f>Gen_Hours</f>
        <v>3200</v>
      </c>
      <c r="D22" s="362" t="s">
        <v>150</v>
      </c>
      <c r="E22" s="515">
        <f>Absopt_Hours</f>
        <v>846</v>
      </c>
      <c r="F22" s="298" t="s">
        <v>150</v>
      </c>
      <c r="I22" s="171"/>
      <c r="J22" s="160"/>
      <c r="K22" s="171"/>
      <c r="L22" s="516"/>
      <c r="M22" s="160"/>
    </row>
    <row r="23" spans="7:13" ht="12.75">
      <c r="G23" s="987"/>
      <c r="H23" s="987"/>
      <c r="I23" s="987"/>
      <c r="J23" s="987"/>
      <c r="K23" s="108"/>
      <c r="L23" s="349"/>
      <c r="M23" s="349"/>
    </row>
    <row r="24" spans="6:13" ht="12.75">
      <c r="F24" s="314"/>
      <c r="M24" s="103"/>
    </row>
    <row r="25" ht="15.75" customHeight="1">
      <c r="N25" s="103"/>
    </row>
    <row r="31" spans="1:3" ht="12.75">
      <c r="A31" s="69"/>
      <c r="C31" s="104"/>
    </row>
    <row r="32" spans="1:3" ht="12.75">
      <c r="A32" s="69"/>
      <c r="C32" s="104"/>
    </row>
    <row r="33" spans="3:5" ht="12.75">
      <c r="C33" s="104"/>
      <c r="D33" s="405"/>
      <c r="E33" s="195"/>
    </row>
    <row r="34" spans="3:5" ht="12.75">
      <c r="C34" s="104"/>
      <c r="D34" s="405"/>
      <c r="E34" s="195"/>
    </row>
    <row r="35" spans="3:5" ht="12.75">
      <c r="C35" s="104"/>
      <c r="D35" s="405"/>
      <c r="E35" s="195"/>
    </row>
    <row r="36" spans="4:5" ht="12.75">
      <c r="D36" s="405"/>
      <c r="E36" s="195"/>
    </row>
    <row r="37" spans="4:5" ht="12.75">
      <c r="D37" s="195"/>
      <c r="E37" s="195"/>
    </row>
  </sheetData>
  <mergeCells count="17">
    <mergeCell ref="G23:J23"/>
    <mergeCell ref="K21:L21"/>
    <mergeCell ref="G1:N1"/>
    <mergeCell ref="K2:M2"/>
    <mergeCell ref="O1:Q1"/>
    <mergeCell ref="O2:O3"/>
    <mergeCell ref="P2:P3"/>
    <mergeCell ref="Q2:Q3"/>
    <mergeCell ref="C1:F1"/>
    <mergeCell ref="G2:J2"/>
    <mergeCell ref="C2:C3"/>
    <mergeCell ref="D2:D3"/>
    <mergeCell ref="E2:E3"/>
    <mergeCell ref="C21:D21"/>
    <mergeCell ref="E21:F21"/>
    <mergeCell ref="A21:B22"/>
    <mergeCell ref="F2:F3"/>
  </mergeCells>
  <conditionalFormatting sqref="K5:N19">
    <cfRule type="cellIs" priority="1" dxfId="0" operator="equal" stopIfTrue="1">
      <formula>0</formula>
    </cfRule>
  </conditionalFormatting>
  <printOptions/>
  <pageMargins left="0.75" right="0.75" top="1" bottom="1" header="0.5" footer="0.5"/>
  <pageSetup fitToWidth="2" fitToHeight="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E. Farrar</dc:creator>
  <cp:keywords/>
  <dc:description/>
  <cp:lastModifiedBy>Scott Chontow</cp:lastModifiedBy>
  <cp:lastPrinted>2002-12-27T18:24:48Z</cp:lastPrinted>
  <dcterms:created xsi:type="dcterms:W3CDTF">2002-05-22T00:44:06Z</dcterms:created>
  <dcterms:modified xsi:type="dcterms:W3CDTF">2004-06-03T14:01:50Z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