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2700" windowHeight="7960" activeTab="0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<sst xmlns="http://schemas.openxmlformats.org/spreadsheetml/2006/main" count="756" uniqueCount="147">
  <si>
    <t>Assume Temp -20</t>
  </si>
  <si>
    <t>FC-72</t>
  </si>
  <si>
    <t>C6F14</t>
  </si>
  <si>
    <t>Stave Bulk dT</t>
  </si>
  <si>
    <t>t, C</t>
  </si>
  <si>
    <t>length m</t>
  </si>
  <si>
    <t>T, K</t>
  </si>
  <si>
    <t>Heat/l W/m</t>
  </si>
  <si>
    <t>logZ</t>
  </si>
  <si>
    <t>area msq</t>
  </si>
  <si>
    <t>Z7</t>
  </si>
  <si>
    <t>hyd D m</t>
  </si>
  <si>
    <t>Vel m/s</t>
  </si>
  <si>
    <r>
      <t>r</t>
    </r>
    <r>
      <rPr>
        <sz val="10"/>
        <color indexed="8"/>
        <rFont val="Arial"/>
        <family val="2"/>
      </rPr>
      <t xml:space="preserve">, kg </t>
    </r>
    <r>
      <rPr>
        <sz val="10"/>
        <color indexed="8"/>
        <rFont val="Arial"/>
        <family val="2"/>
      </rPr>
      <t>m</t>
    </r>
    <r>
      <rPr>
        <vertAlign val="superscript"/>
        <sz val="10"/>
        <color indexed="8"/>
        <rFont val="Arial"/>
        <family val="2"/>
      </rPr>
      <t>-3</t>
    </r>
  </si>
  <si>
    <t>V flo cc/s</t>
  </si>
  <si>
    <r>
      <t>n</t>
    </r>
    <r>
      <rPr>
        <sz val="10"/>
        <color indexed="8"/>
        <rFont val="Arial"/>
        <family val="2"/>
      </rPr>
      <t>, cSt</t>
    </r>
  </si>
  <si>
    <t>Reynolds</t>
  </si>
  <si>
    <r>
      <t>n</t>
    </r>
    <r>
      <rPr>
        <sz val="10"/>
        <color indexed="8"/>
        <rFont val="Arial"/>
        <family val="2"/>
      </rPr>
      <t>, m</t>
    </r>
    <r>
      <rPr>
        <vertAlign val="superscript"/>
        <sz val="10"/>
        <color indexed="8"/>
        <rFont val="Arial"/>
        <family val="2"/>
      </rPr>
      <t xml:space="preserve">2  </t>
    </r>
    <r>
      <rPr>
        <sz val="10"/>
        <color indexed="8"/>
        <rFont val="Arial"/>
        <family val="2"/>
      </rPr>
      <t>s</t>
    </r>
    <r>
      <rPr>
        <vertAlign val="superscript"/>
        <sz val="10"/>
        <color indexed="8"/>
        <rFont val="Arial"/>
        <family val="2"/>
      </rPr>
      <t>-1</t>
    </r>
  </si>
  <si>
    <t>fric lam</t>
  </si>
  <si>
    <r>
      <t>m</t>
    </r>
    <r>
      <rPr>
        <sz val="10"/>
        <color indexed="8"/>
        <rFont val="Arial"/>
        <family val="2"/>
      </rPr>
      <t>, kg</t>
    </r>
    <r>
      <rPr>
        <sz val="10"/>
        <color indexed="8"/>
        <rFont val="Arial"/>
        <family val="2"/>
      </rPr>
      <t xml:space="preserve"> m</t>
    </r>
    <r>
      <rPr>
        <vertAlign val="superscript"/>
        <sz val="10"/>
        <color indexed="8"/>
        <rFont val="Arial"/>
        <family val="2"/>
      </rPr>
      <t xml:space="preserve">-1 </t>
    </r>
    <r>
      <rPr>
        <sz val="10"/>
        <color indexed="8"/>
        <rFont val="Arial"/>
        <family val="2"/>
      </rPr>
      <t xml:space="preserve"> s</t>
    </r>
    <r>
      <rPr>
        <vertAlign val="superscript"/>
        <sz val="10"/>
        <color indexed="8"/>
        <rFont val="Arial"/>
        <family val="2"/>
      </rPr>
      <t>-1</t>
    </r>
  </si>
  <si>
    <t>fric turb</t>
  </si>
  <si>
    <r>
      <t>m</t>
    </r>
    <r>
      <rPr>
        <sz val="10"/>
        <color indexed="8"/>
        <rFont val="Arial"/>
        <family val="2"/>
      </rPr>
      <t>, centipoise</t>
    </r>
  </si>
  <si>
    <r>
      <t>Cp, J kg</t>
    </r>
    <r>
      <rPr>
        <vertAlign val="superscript"/>
        <sz val="10"/>
        <color indexed="8"/>
        <rFont val="Arial"/>
        <family val="2"/>
      </rPr>
      <t xml:space="preserve">-1 </t>
    </r>
    <r>
      <rPr>
        <sz val="10"/>
        <color indexed="8"/>
        <rFont val="Arial"/>
        <family val="2"/>
      </rPr>
      <t xml:space="preserve"> C</t>
    </r>
    <r>
      <rPr>
        <vertAlign val="superscript"/>
        <sz val="10"/>
        <color indexed="8"/>
        <rFont val="Arial"/>
        <family val="2"/>
      </rPr>
      <t>-1</t>
    </r>
  </si>
  <si>
    <t>fric fac</t>
  </si>
  <si>
    <r>
      <t>k, W</t>
    </r>
    <r>
      <rPr>
        <sz val="10"/>
        <color indexed="8"/>
        <rFont val="Arial"/>
        <family val="2"/>
      </rPr>
      <t xml:space="preserve"> m</t>
    </r>
    <r>
      <rPr>
        <vertAlign val="superscript"/>
        <sz val="10"/>
        <color indexed="8"/>
        <rFont val="Arial"/>
        <family val="2"/>
      </rPr>
      <t xml:space="preserve">-1 </t>
    </r>
    <r>
      <rPr>
        <sz val="10"/>
        <color indexed="8"/>
        <rFont val="Arial"/>
        <family val="2"/>
      </rPr>
      <t xml:space="preserve"> C</t>
    </r>
    <r>
      <rPr>
        <vertAlign val="superscript"/>
        <sz val="10"/>
        <color indexed="8"/>
        <rFont val="Arial"/>
        <family val="2"/>
      </rPr>
      <t>-1</t>
    </r>
  </si>
  <si>
    <t>Prandtl</t>
  </si>
  <si>
    <t>dPres Pas</t>
  </si>
  <si>
    <r>
      <t>b</t>
    </r>
    <r>
      <rPr>
        <sz val="10"/>
        <color indexed="8"/>
        <rFont val="Arial"/>
        <family val="2"/>
      </rPr>
      <t>, C</t>
    </r>
    <r>
      <rPr>
        <vertAlign val="superscript"/>
        <sz val="10"/>
        <color indexed="8"/>
        <rFont val="Arial"/>
        <family val="2"/>
      </rPr>
      <t>-1</t>
    </r>
  </si>
  <si>
    <t>dPres Bar</t>
  </si>
  <si>
    <r>
      <t>s</t>
    </r>
    <r>
      <rPr>
        <sz val="10"/>
        <color indexed="8"/>
        <rFont val="Arial"/>
        <family val="2"/>
      </rPr>
      <t>, N</t>
    </r>
    <r>
      <rPr>
        <sz val="10"/>
        <color indexed="8"/>
        <rFont val="Arial"/>
        <family val="2"/>
      </rPr>
      <t xml:space="preserve"> m</t>
    </r>
    <r>
      <rPr>
        <vertAlign val="superscript"/>
        <sz val="10"/>
        <color indexed="8"/>
        <rFont val="Arial"/>
        <family val="2"/>
      </rPr>
      <t>-1</t>
    </r>
    <r>
      <rPr>
        <sz val="10"/>
        <color indexed="8"/>
        <rFont val="Arial"/>
        <family val="2"/>
      </rPr>
      <t xml:space="preserve"> </t>
    </r>
  </si>
  <si>
    <t>csubf/2</t>
  </si>
  <si>
    <t>Nul</t>
  </si>
  <si>
    <t>Temperature = -20.</t>
  </si>
  <si>
    <t>Film dT</t>
  </si>
  <si>
    <t>Quasi Manifold dP Pas</t>
  </si>
  <si>
    <t>Choose QM dP</t>
  </si>
  <si>
    <t>dP pipe 3 to 2 Pas</t>
  </si>
  <si>
    <t>Area pipe1 sqm</t>
  </si>
  <si>
    <t>Area pipe3 sqm</t>
  </si>
  <si>
    <t>Flow cc/s</t>
  </si>
  <si>
    <t>l pipe1 m</t>
  </si>
  <si>
    <t>ID pipe1 m</t>
  </si>
  <si>
    <t>Vpip1 m/s</t>
  </si>
  <si>
    <t>Rn pip1</t>
  </si>
  <si>
    <t>Miter bend dP</t>
  </si>
  <si>
    <t>dP w 3Bn Bar</t>
  </si>
  <si>
    <t>dPres PSI</t>
  </si>
  <si>
    <t>dPres mbar</t>
  </si>
  <si>
    <t>dP pipe 2 to 1 Pas</t>
  </si>
  <si>
    <t>dP pipe 4 to 3 Pas</t>
  </si>
  <si>
    <t>Area pipe2 sqm</t>
  </si>
  <si>
    <t>Area pipe4 sqm</t>
  </si>
  <si>
    <t>dPres + 4MB PSI</t>
  </si>
  <si>
    <t>dPres + 4MB mbar</t>
  </si>
  <si>
    <t>Circ P Bar</t>
  </si>
  <si>
    <t>FC-84</t>
  </si>
  <si>
    <t>C7 perfluorocarbons</t>
  </si>
  <si>
    <t>dPres Psi</t>
  </si>
  <si>
    <t>Circ P Psi</t>
  </si>
  <si>
    <t>FC-87</t>
  </si>
  <si>
    <t>C5F12</t>
  </si>
  <si>
    <t>C3F8</t>
  </si>
  <si>
    <t>PF-5030</t>
  </si>
  <si>
    <t>Vap Press (bar)</t>
  </si>
  <si>
    <t>Enth kJ/mol</t>
  </si>
  <si>
    <t>Enth kJ/kg</t>
  </si>
  <si>
    <t>Heat/stave W</t>
  </si>
  <si>
    <t>Flow g/s</t>
  </si>
  <si>
    <t>PF-5040</t>
  </si>
  <si>
    <t>C4F10</t>
  </si>
  <si>
    <t>from 3M</t>
  </si>
  <si>
    <t>Circ P wo p1 Bar</t>
  </si>
  <si>
    <t>min length (mm)</t>
  </si>
  <si>
    <t>max length (mm)</t>
  </si>
  <si>
    <t>inlet pipe ID (mm)</t>
  </si>
  <si>
    <t>return pipe (ID)</t>
  </si>
  <si>
    <t>n. of 90 elbows</t>
  </si>
  <si>
    <t>Detector-PPB1</t>
  </si>
  <si>
    <t>(4)</t>
  </si>
  <si>
    <t>PPB1-PPB2</t>
  </si>
  <si>
    <t>4-6</t>
  </si>
  <si>
    <t>PPB2-PPB3</t>
  </si>
  <si>
    <t>PPB3-rack</t>
  </si>
  <si>
    <t>Total</t>
  </si>
  <si>
    <t>(4) assumed 3 bends between stave/sector and thermal barrier</t>
  </si>
  <si>
    <t>dP w 5Bn Bar</t>
  </si>
  <si>
    <t>90deg bend dP</t>
  </si>
  <si>
    <t>dPres w2Bn Bar</t>
  </si>
  <si>
    <t>Inlet Quality Factor = 0.3, Outlet Quality Factor = 0.9</t>
  </si>
  <si>
    <t>Two staves or sectors in series on one circuit</t>
  </si>
  <si>
    <t>Qual F In</t>
  </si>
  <si>
    <t>Qual F Out</t>
  </si>
  <si>
    <t>Stave/circuit</t>
  </si>
  <si>
    <t>Boil Temp</t>
  </si>
  <si>
    <t>Inlet Temp</t>
  </si>
  <si>
    <t>Heat factor</t>
  </si>
  <si>
    <t>P at Seg End</t>
  </si>
  <si>
    <t>P at Seg End w 5Bn</t>
  </si>
  <si>
    <t>P after p2 to p1 Bar</t>
  </si>
  <si>
    <t>P at Seg End w 2Bn</t>
  </si>
  <si>
    <t>P after p3 to p2 Bar</t>
  </si>
  <si>
    <t>P after p4 to p3 Bar</t>
  </si>
  <si>
    <t>Del P Exhaust Bar</t>
  </si>
  <si>
    <t>Stv In Tmp</t>
  </si>
  <si>
    <t>Stv Out Tmp</t>
  </si>
  <si>
    <t>f*L/D</t>
  </si>
  <si>
    <t>Vapor exit stave</t>
  </si>
  <si>
    <t>fm C4F10</t>
  </si>
  <si>
    <t>fm R113 =6.</t>
  </si>
  <si>
    <t>Gas return phase, Isothermal Calculation</t>
  </si>
  <si>
    <t>Vapor visc</t>
  </si>
  <si>
    <t>Liquid Properties</t>
  </si>
  <si>
    <t>Liquid Supply Pressure Drop Calculations</t>
  </si>
  <si>
    <t>D. Cragg's at +20 for C3F8</t>
  </si>
  <si>
    <t>Mol. Wt.</t>
  </si>
  <si>
    <t>P Fudge</t>
  </si>
  <si>
    <t>Ave. Temp</t>
  </si>
  <si>
    <t>Recalc Density</t>
  </si>
  <si>
    <t>Recalc Flow</t>
  </si>
  <si>
    <t>l pipe 3 m</t>
  </si>
  <si>
    <t>ID pipe 3 m</t>
  </si>
  <si>
    <t>Vpip 3 m/s</t>
  </si>
  <si>
    <t>Rn pipe 3</t>
  </si>
  <si>
    <t>l pipe 4 m</t>
  </si>
  <si>
    <t>ID pipe 4 m</t>
  </si>
  <si>
    <t>Vpip 4 m/s</t>
  </si>
  <si>
    <t>Rn pipe 4</t>
  </si>
  <si>
    <t>l pipe 2 m</t>
  </si>
  <si>
    <t>ID pipe 2 m</t>
  </si>
  <si>
    <t>Vpipe 2 m/s</t>
  </si>
  <si>
    <t>Rn pipe 2</t>
  </si>
  <si>
    <t>Vpip End</t>
  </si>
  <si>
    <t>Max Mach Nr</t>
  </si>
  <si>
    <t>End Pres bar</t>
  </si>
  <si>
    <t>k=Cp/Cv</t>
  </si>
  <si>
    <t>R=8312/MW</t>
  </si>
  <si>
    <t>Mach Nr at End</t>
  </si>
  <si>
    <t>Stave Quasi Two Phase Flow, Isothermal Calculation</t>
  </si>
  <si>
    <t>P at Seg End w 0Bn</t>
  </si>
  <si>
    <t>Stave segment</t>
  </si>
  <si>
    <t>M Mach wo last</t>
  </si>
  <si>
    <t>P in (bar)</t>
  </si>
  <si>
    <t>Pin-Pout (bar)</t>
  </si>
  <si>
    <t>dP pipe 2 to 3 Pas</t>
  </si>
  <si>
    <t>P after p2 to p3 Bar</t>
  </si>
  <si>
    <t>Vpipe 3 m/s</t>
  </si>
  <si>
    <t>ID Scale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</si>
</sst>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"/>
    <numFmt numFmtId="166" formatCode="0.00000"/>
  </numFmts>
  <fonts count="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Symbol"/>
      <family val="1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2"/>
  <sheetViews>
    <sheetView tabSelected="1" workbookViewId="0" topLeftCell="J1">
      <selection activeCell="P5" sqref="P5"/>
    </sheetView>
  </sheetViews>
  <sheetFormatPr defaultColWidth="11.421875" defaultRowHeight="12.75"/>
  <cols>
    <col min="1" max="1" width="12.7109375" style="0" customWidth="1"/>
    <col min="2" max="16384" width="8.8515625" style="0" customWidth="1"/>
  </cols>
  <sheetData>
    <row r="1" ht="12">
      <c r="K1" t="s">
        <v>0</v>
      </c>
    </row>
    <row r="3" spans="1:15" ht="12">
      <c r="A3" t="s">
        <v>1</v>
      </c>
      <c r="B3" t="s">
        <v>2</v>
      </c>
      <c r="K3" t="s">
        <v>3</v>
      </c>
      <c r="M3">
        <v>3.8</v>
      </c>
      <c r="N3">
        <v>2.2</v>
      </c>
      <c r="O3">
        <v>1.9</v>
      </c>
    </row>
    <row r="4" spans="1:12" ht="12">
      <c r="A4" s="1" t="s">
        <v>4</v>
      </c>
      <c r="B4">
        <v>-40</v>
      </c>
      <c r="C4">
        <v>-30</v>
      </c>
      <c r="D4">
        <v>-20</v>
      </c>
      <c r="E4">
        <v>-10</v>
      </c>
      <c r="F4">
        <v>0</v>
      </c>
      <c r="G4">
        <v>10</v>
      </c>
      <c r="H4">
        <v>20</v>
      </c>
      <c r="I4">
        <v>30</v>
      </c>
      <c r="K4" t="s">
        <v>5</v>
      </c>
      <c r="L4">
        <v>0.8</v>
      </c>
    </row>
    <row r="5" spans="1:21" ht="12">
      <c r="A5" s="1" t="s">
        <v>6</v>
      </c>
      <c r="B5">
        <v>233.13</v>
      </c>
      <c r="C5">
        <v>243.13</v>
      </c>
      <c r="D5">
        <v>253.13</v>
      </c>
      <c r="E5">
        <v>263.13</v>
      </c>
      <c r="F5">
        <v>273.13</v>
      </c>
      <c r="G5">
        <v>283.13</v>
      </c>
      <c r="H5">
        <v>293.13</v>
      </c>
      <c r="I5">
        <v>303.13</v>
      </c>
      <c r="K5" t="s">
        <v>7</v>
      </c>
      <c r="L5">
        <v>178.75</v>
      </c>
      <c r="Q5">
        <v>126.25</v>
      </c>
      <c r="S5">
        <v>126.25</v>
      </c>
      <c r="U5">
        <v>178.75</v>
      </c>
    </row>
    <row r="6" spans="1:21" ht="12">
      <c r="A6" s="2" t="s">
        <v>8</v>
      </c>
      <c r="B6">
        <v>0.27528417743501266</v>
      </c>
      <c r="C6">
        <v>0.22056091514405138</v>
      </c>
      <c r="D6">
        <v>0.1783019349514353</v>
      </c>
      <c r="E6">
        <v>0.14533258458656167</v>
      </c>
      <c r="F6">
        <v>0.11936645282625861</v>
      </c>
      <c r="G6">
        <v>0.09873603035896845</v>
      </c>
      <c r="H6">
        <v>0.082210950943567</v>
      </c>
      <c r="I6">
        <v>0.06887353190973515</v>
      </c>
      <c r="K6" t="s">
        <v>9</v>
      </c>
      <c r="L6">
        <v>1.59E-05</v>
      </c>
      <c r="Q6">
        <v>1.21E-05</v>
      </c>
      <c r="S6">
        <v>6.61E-06</v>
      </c>
      <c r="U6">
        <v>1.59E-05</v>
      </c>
    </row>
    <row r="7" spans="1:21" ht="12">
      <c r="A7" s="2" t="s">
        <v>10</v>
      </c>
      <c r="B7">
        <v>1.1848820449128532</v>
      </c>
      <c r="C7">
        <v>0.9617317397415392</v>
      </c>
      <c r="D7">
        <v>0.8076548701914428</v>
      </c>
      <c r="E7">
        <v>0.6974381155258369</v>
      </c>
      <c r="F7">
        <v>0.6163350725332086</v>
      </c>
      <c r="G7">
        <v>0.5552667648710612</v>
      </c>
      <c r="H7">
        <v>0.508400652044529</v>
      </c>
      <c r="I7">
        <v>0.47185406780480155</v>
      </c>
      <c r="K7" t="s">
        <v>11</v>
      </c>
      <c r="L7">
        <v>0.0045</v>
      </c>
      <c r="Q7">
        <v>0.0035</v>
      </c>
      <c r="S7">
        <v>0.0029</v>
      </c>
      <c r="U7">
        <v>0.0045</v>
      </c>
    </row>
    <row r="8" ht="12">
      <c r="A8" s="2"/>
    </row>
    <row r="9" spans="1:15" ht="12">
      <c r="A9" s="2"/>
      <c r="K9" t="s">
        <v>12</v>
      </c>
      <c r="M9">
        <f>$L$4*$L$5/($D$15*$D$10*$L$6*M3)</f>
        <v>1.3435402188476406</v>
      </c>
      <c r="N9">
        <f>$L$4*$L$5/($D$15*$D$10*$L$6*N3)</f>
        <v>2.3206603780095607</v>
      </c>
      <c r="O9">
        <f>$L$4*$L$5/($D$15*$D$10*$L$6*O3)</f>
        <v>2.6870804376952813</v>
      </c>
    </row>
    <row r="10" spans="1:15" ht="12">
      <c r="A10" s="3" t="s">
        <v>13</v>
      </c>
      <c r="B10">
        <v>1844.4</v>
      </c>
      <c r="C10">
        <v>1818.3</v>
      </c>
      <c r="D10">
        <v>1792.2</v>
      </c>
      <c r="E10">
        <v>1766.1</v>
      </c>
      <c r="F10">
        <v>1740</v>
      </c>
      <c r="G10">
        <v>1713.9</v>
      </c>
      <c r="H10">
        <v>1687.8</v>
      </c>
      <c r="I10">
        <v>1661.7</v>
      </c>
      <c r="K10" t="s">
        <v>14</v>
      </c>
      <c r="M10">
        <f>1000000*$L$6*M9</f>
        <v>21.362289479677486</v>
      </c>
      <c r="N10">
        <f>1000000*$L$6*N9</f>
        <v>36.898500010352016</v>
      </c>
      <c r="O10">
        <f>1000000*$L$6*O9</f>
        <v>42.72457895935497</v>
      </c>
    </row>
    <row r="11" spans="1:15" ht="12">
      <c r="A11" s="3" t="s">
        <v>15</v>
      </c>
      <c r="B11">
        <v>1.1716481081226535</v>
      </c>
      <c r="C11">
        <v>0.9353654877858113</v>
      </c>
      <c r="D11">
        <v>0.7660274433151231</v>
      </c>
      <c r="E11">
        <v>0.6400225628472151</v>
      </c>
      <c r="F11">
        <v>0.5436659620460333</v>
      </c>
      <c r="G11">
        <v>0.4684804715742618</v>
      </c>
      <c r="H11">
        <v>0.408908831376211</v>
      </c>
      <c r="I11">
        <v>0.36113580316513033</v>
      </c>
      <c r="K11" t="s">
        <v>16</v>
      </c>
      <c r="M11">
        <f>M9*$L$7/$D$12</f>
        <v>7892.57752783571</v>
      </c>
      <c r="N11">
        <f>N9*$L$7/$D$12</f>
        <v>13632.633911716222</v>
      </c>
      <c r="O11">
        <f>O9*$L$7/$D$12</f>
        <v>15785.15505567142</v>
      </c>
    </row>
    <row r="12" spans="1:15" ht="12">
      <c r="A12" s="3" t="s">
        <v>17</v>
      </c>
      <c r="B12">
        <v>1.1716481081226535E-06</v>
      </c>
      <c r="C12">
        <v>9.353654877858112E-07</v>
      </c>
      <c r="D12">
        <v>7.66027443315123E-07</v>
      </c>
      <c r="E12">
        <v>6.400225628472151E-07</v>
      </c>
      <c r="F12">
        <v>5.436659620460333E-07</v>
      </c>
      <c r="G12">
        <v>4.684804715742618E-07</v>
      </c>
      <c r="H12">
        <v>4.08908831376211E-07</v>
      </c>
      <c r="I12">
        <v>3.6113580316513033E-07</v>
      </c>
      <c r="K12" t="s">
        <v>18</v>
      </c>
      <c r="M12">
        <f>64/M11</f>
        <v>0.008108884553149264</v>
      </c>
      <c r="N12">
        <f>64/N11</f>
        <v>0.0046946173728758915</v>
      </c>
      <c r="O12">
        <f>64/O11</f>
        <v>0.004054442276574632</v>
      </c>
    </row>
    <row r="13" spans="1:15" ht="12">
      <c r="A13" s="3" t="s">
        <v>19</v>
      </c>
      <c r="B13">
        <v>0.002160987770621422</v>
      </c>
      <c r="C13">
        <v>0.0017007750664409405</v>
      </c>
      <c r="D13">
        <v>0.0013728743839093636</v>
      </c>
      <c r="E13">
        <v>0.0011303438482444664</v>
      </c>
      <c r="F13">
        <v>0.000945978773960098</v>
      </c>
      <c r="G13">
        <v>0.0008029286802311273</v>
      </c>
      <c r="H13">
        <v>0.0006901563255967689</v>
      </c>
      <c r="I13">
        <v>0.0006000993641194971</v>
      </c>
      <c r="K13" t="s">
        <v>20</v>
      </c>
      <c r="M13">
        <f>0.316/(SQRT(SQRT(M11)))</f>
        <v>0.033526048463139516</v>
      </c>
      <c r="N13">
        <f>0.316/(SQRT(SQRT(N11)))</f>
        <v>0.029244361216045272</v>
      </c>
      <c r="O13">
        <f>0.316/(SQRT(SQRT(O11)))</f>
        <v>0.028191933970276327</v>
      </c>
    </row>
    <row r="14" spans="1:9" ht="12">
      <c r="A14" s="3" t="s">
        <v>21</v>
      </c>
      <c r="B14">
        <v>2.160987770621422</v>
      </c>
      <c r="C14">
        <v>1.7007750664409405</v>
      </c>
      <c r="D14">
        <v>1.3728743839093636</v>
      </c>
      <c r="E14">
        <v>1.1303438482444665</v>
      </c>
      <c r="F14">
        <v>0.945978773960098</v>
      </c>
      <c r="G14">
        <v>0.8029286802311274</v>
      </c>
      <c r="H14">
        <v>0.6901563255967689</v>
      </c>
      <c r="I14">
        <v>0.6000993641194972</v>
      </c>
    </row>
    <row r="15" spans="1:15" ht="12">
      <c r="A15" s="1" t="s">
        <v>22</v>
      </c>
      <c r="B15">
        <v>951.84</v>
      </c>
      <c r="C15">
        <v>967.38</v>
      </c>
      <c r="D15">
        <v>982.92</v>
      </c>
      <c r="E15">
        <v>998.46</v>
      </c>
      <c r="F15">
        <v>1014</v>
      </c>
      <c r="G15">
        <v>1029.54</v>
      </c>
      <c r="H15">
        <v>1045.08</v>
      </c>
      <c r="I15">
        <v>1060.62</v>
      </c>
      <c r="K15" t="s">
        <v>23</v>
      </c>
      <c r="M15">
        <f>IF(M11&gt;3000,M13,M12)</f>
        <v>0.033526048463139516</v>
      </c>
      <c r="N15">
        <f>IF(N11&gt;3000,N13,N12)</f>
        <v>0.029244361216045272</v>
      </c>
      <c r="O15">
        <f>IF(O11&gt;3000,O13,O12)</f>
        <v>0.028191933970276327</v>
      </c>
    </row>
    <row r="16" spans="1:9" ht="12">
      <c r="A16" s="1" t="s">
        <v>24</v>
      </c>
      <c r="B16">
        <v>0.0644</v>
      </c>
      <c r="C16">
        <v>0.0633</v>
      </c>
      <c r="D16">
        <v>0.0622</v>
      </c>
      <c r="E16">
        <v>0.061099999999999995</v>
      </c>
      <c r="F16">
        <v>0.06</v>
      </c>
      <c r="G16">
        <v>0.0589</v>
      </c>
      <c r="H16">
        <v>0.0578</v>
      </c>
      <c r="I16">
        <v>0.0567</v>
      </c>
    </row>
    <row r="17" spans="1:15" ht="12">
      <c r="A17" s="1" t="s">
        <v>25</v>
      </c>
      <c r="B17">
        <v>31.939667695470412</v>
      </c>
      <c r="C17">
        <v>25.992034498793636</v>
      </c>
      <c r="D17">
        <v>21.694946775437167</v>
      </c>
      <c r="E17">
        <v>18.47140947165581</v>
      </c>
      <c r="F17">
        <v>15.987041279925657</v>
      </c>
      <c r="G17">
        <v>14.034757104332</v>
      </c>
      <c r="H17">
        <v>12.478695030357633</v>
      </c>
      <c r="I17">
        <v>11.225350750836348</v>
      </c>
      <c r="K17" t="s">
        <v>26</v>
      </c>
      <c r="M17">
        <f>M15*$L$4*$D$10*M9*M9/(2*$L$7)</f>
        <v>9640.901863626423</v>
      </c>
      <c r="N17">
        <f>N15*$L$4*$D$10*N9*N9/(2*$L$7)</f>
        <v>25089.919318979628</v>
      </c>
      <c r="O17">
        <f>O15*$L$4*$D$10*O9*O9/(2*$L$7)</f>
        <v>32427.999267745257</v>
      </c>
    </row>
    <row r="18" spans="1:15" ht="12">
      <c r="A18" s="3" t="s">
        <v>27</v>
      </c>
      <c r="B18">
        <v>0.0014150943396226414</v>
      </c>
      <c r="C18">
        <v>0.0014354066985645933</v>
      </c>
      <c r="D18">
        <v>0.0014563106796116503</v>
      </c>
      <c r="E18">
        <v>0.001477832512315271</v>
      </c>
      <c r="F18">
        <v>0.0015</v>
      </c>
      <c r="G18">
        <v>0.0015228426395939084</v>
      </c>
      <c r="H18">
        <v>0.0015463917525773195</v>
      </c>
      <c r="I18">
        <v>0.0015706806282722511</v>
      </c>
      <c r="K18" t="s">
        <v>28</v>
      </c>
      <c r="M18">
        <f>M17/100000</f>
        <v>0.09640901863626422</v>
      </c>
      <c r="N18">
        <f>N17/100000</f>
        <v>0.25089919318979625</v>
      </c>
      <c r="O18">
        <f>O17/100000</f>
        <v>0.32427999267745256</v>
      </c>
    </row>
    <row r="19" spans="1:9" ht="12">
      <c r="A19" s="3" t="s">
        <v>29</v>
      </c>
      <c r="B19">
        <v>16.328733301775568</v>
      </c>
      <c r="C19">
        <v>15.396510752552715</v>
      </c>
      <c r="D19">
        <v>14.475026314111652</v>
      </c>
      <c r="E19">
        <v>13.56469586932462</v>
      </c>
      <c r="F19">
        <v>12.66597456761872</v>
      </c>
      <c r="G19">
        <v>11.779362969543618</v>
      </c>
      <c r="H19">
        <v>10.905414580611101</v>
      </c>
      <c r="I19">
        <v>10.044745197765682</v>
      </c>
    </row>
    <row r="20" spans="11:15" ht="12">
      <c r="K20" t="s">
        <v>30</v>
      </c>
      <c r="M20">
        <f>0.023*POWER(M11,-0.2)</f>
        <v>0.0038219417586641815</v>
      </c>
      <c r="N20">
        <f>0.023*POWER(N11,-0.2)</f>
        <v>0.0034261934582577244</v>
      </c>
      <c r="O20">
        <f>0.023*POWER(O11,-0.2)</f>
        <v>0.003327193550890083</v>
      </c>
    </row>
    <row r="21" spans="11:25" ht="12">
      <c r="K21" t="s">
        <v>31</v>
      </c>
      <c r="M21">
        <f>(M11-1000)*$D$17*M20/(1+12.7*SQRT(M20)*(POWER($D$17,2/3)-1))</f>
        <v>90.39751939771897</v>
      </c>
      <c r="N21">
        <f>(N11-1000)*$D$17*N20/(1+12.7*SQRT(N20)*(POWER($D$17,2/3)-1))</f>
        <v>155.4858298071221</v>
      </c>
      <c r="O21">
        <f>(O11-1000)*$D$17*O20/(1+12.7*SQRT(O20)*(POWER($D$17,2/3)-1))</f>
        <v>178.89373579218582</v>
      </c>
      <c r="Y21" t="s">
        <v>32</v>
      </c>
    </row>
    <row r="22" spans="11:15" ht="12">
      <c r="K22" t="s">
        <v>33</v>
      </c>
      <c r="M22">
        <f>$L$4*$L$5/(($D$16*M21/$L$7)*0.0056*$L$4)</f>
        <v>25.546043032140048</v>
      </c>
      <c r="N22">
        <f>$L$4*$L$5/(($D$16*N21/$L$7)*0.0056*$L$4)</f>
        <v>14.852150343201659</v>
      </c>
      <c r="O22">
        <f>$L$4*$L$5/(($D$16*O21/$L$7)*0.0056*$L$4)</f>
        <v>12.908774643822463</v>
      </c>
    </row>
    <row r="24" spans="11:15" ht="12">
      <c r="K24" t="s">
        <v>34</v>
      </c>
      <c r="M24">
        <f>0.5*M9*M9*$D$10*((0.5*(1-((2*$L$6)/$L$28)))+((1-((2*$L$6)/$L$28))*(1-((2*$L$6)/$L$28))))</f>
        <v>-75.6991582464008</v>
      </c>
      <c r="N24">
        <f>0.5*N9*N9*$D$10*((0.5*(1-((2*$L$6)/$L$28)))+((1-((2*$L$6)/$L$28))*(1-((2*$L$6)/$L$28))))</f>
        <v>-225.84624898306345</v>
      </c>
      <c r="O24">
        <f>0.5*O9*O9*$D$10*((0.5*(1-((2*$L$6)/$L$28)))+((1-((2*$L$6)/$L$28))*(1-((2*$L$6)/$L$28))))</f>
        <v>-302.7966329856032</v>
      </c>
    </row>
    <row r="25" spans="11:15" ht="12">
      <c r="K25" t="s">
        <v>34</v>
      </c>
      <c r="M25">
        <f>0.5*M31*M31*$D$10*((0.5*(1-($L$28/(2*$L$6))))+((1-($L$28/(2*$L$6)))*(1-($L$28/(2*$L$6)))))</f>
        <v>138.5766818425521</v>
      </c>
      <c r="N25">
        <f>0.5*N31*N31*$D$10*((0.5*(1-($L$28/(2*$L$6))))+((1-($L$28/(2*$L$6)))*(1-($L$28/(2*$L$6)))))</f>
        <v>413.43952186083715</v>
      </c>
      <c r="O25">
        <f>0.5*O31*O31*$D$10*((0.5*(1-($L$28/(2*$L$6))))+((1-($L$28/(2*$L$6)))*(1-($L$28/(2*$L$6)))))</f>
        <v>554.3067273702084</v>
      </c>
    </row>
    <row r="26" spans="11:22" ht="12">
      <c r="K26" t="s">
        <v>35</v>
      </c>
      <c r="M26">
        <f>IF($L$28&gt;2*$L$6,M24,M25)</f>
        <v>138.5766818425521</v>
      </c>
      <c r="N26">
        <f>IF($L$28&gt;2*$L$6,N24,N25)</f>
        <v>413.43952186083715</v>
      </c>
      <c r="O26">
        <f>IF($L$28&gt;2*$L$6,O24,O25)</f>
        <v>554.3067273702084</v>
      </c>
      <c r="R26" t="s">
        <v>36</v>
      </c>
      <c r="T26">
        <f>0.5*M46*M46*$D$10*((0.5*(1-($L$43/$S$28)))+((1-($L$43/$S$28))*(1-($L$43/$S$28))))</f>
        <v>451.0217169013497</v>
      </c>
      <c r="U26">
        <f>0.5*N46*N46*$D$10*((0.5*(1-($L$43/$S$28)))+((1-($L$43/$S$28))*(1-($L$43/$S$28))))</f>
        <v>1345.610246292456</v>
      </c>
      <c r="V26">
        <f>0.5*O46*O46*$D$10*((0.5*(1-($L$43/$S$28)))+((1-($L$43/$S$28))*(1-($L$43/$S$28))))</f>
        <v>1804.0868676053988</v>
      </c>
    </row>
    <row r="28" spans="11:31" ht="12">
      <c r="K28" t="s">
        <v>37</v>
      </c>
      <c r="L28">
        <f>PI()*L30*L30/4</f>
        <v>2.8274333882308137E-05</v>
      </c>
      <c r="R28" t="s">
        <v>38</v>
      </c>
      <c r="S28">
        <f>PI()*S30*S30/4</f>
        <v>0.00013273228961416876</v>
      </c>
      <c r="Y28" t="s">
        <v>39</v>
      </c>
      <c r="AA28">
        <v>10</v>
      </c>
      <c r="AB28">
        <v>15</v>
      </c>
      <c r="AC28">
        <v>20</v>
      </c>
      <c r="AD28">
        <v>25</v>
      </c>
      <c r="AE28">
        <v>30</v>
      </c>
    </row>
    <row r="29" spans="11:26" ht="12">
      <c r="K29" t="s">
        <v>40</v>
      </c>
      <c r="L29">
        <v>1.49</v>
      </c>
      <c r="R29" t="s">
        <v>40</v>
      </c>
      <c r="S29">
        <v>34.2</v>
      </c>
      <c r="Y29" t="s">
        <v>40</v>
      </c>
      <c r="Z29">
        <v>0.8</v>
      </c>
    </row>
    <row r="30" spans="11:26" ht="12">
      <c r="K30" t="s">
        <v>41</v>
      </c>
      <c r="L30">
        <v>0.006</v>
      </c>
      <c r="R30" t="s">
        <v>41</v>
      </c>
      <c r="S30">
        <v>0.013</v>
      </c>
      <c r="Y30" t="s">
        <v>41</v>
      </c>
      <c r="Z30">
        <v>0.0029</v>
      </c>
    </row>
    <row r="31" spans="11:31" ht="12">
      <c r="K31" t="s">
        <v>42</v>
      </c>
      <c r="M31">
        <f>2*0.000001*M10/(PI()*$L$30*$L$30/4)</f>
        <v>1.5110728739780732</v>
      </c>
      <c r="N31">
        <f>2*0.000001*N10/(PI()*$L$30*$L$30/4)</f>
        <v>2.6100349641439444</v>
      </c>
      <c r="O31">
        <f>2*0.000001*O10/(PI()*$L$30*$L$30/4)</f>
        <v>3.0221457479561464</v>
      </c>
      <c r="R31" t="s">
        <v>42</v>
      </c>
      <c r="T31">
        <f>2*0.000001*M10/(PI()*$S$30*$S$30/4)</f>
        <v>0.3218853459361576</v>
      </c>
      <c r="U31">
        <f>2*0.000001*N10/(PI()*$S$30*$S$30/4)</f>
        <v>0.5559837793442721</v>
      </c>
      <c r="V31">
        <f>2*0.000001*O10/(PI()*$S$30*$S$30/4)</f>
        <v>0.6437706918723152</v>
      </c>
      <c r="Y31" t="s">
        <v>42</v>
      </c>
      <c r="AA31">
        <f>0.000001*AA28/(PI()*$Z$30*$Z$30/4)</f>
        <v>1.5139590306006694</v>
      </c>
      <c r="AB31">
        <f>0.000001*AB28/(PI()*$Z$30*$Z$30/4)</f>
        <v>2.270938545901004</v>
      </c>
      <c r="AC31">
        <f>0.000001*AC28/(PI()*$Z$30*$Z$30/4)</f>
        <v>3.0279180612013388</v>
      </c>
      <c r="AD31">
        <f>0.000001*AD28/(PI()*$Z$30*$Z$30/4)</f>
        <v>3.7848975765016735</v>
      </c>
      <c r="AE31">
        <f>0.000001*AE28/(PI()*$Z$30*$Z$30/4)</f>
        <v>4.541877091802008</v>
      </c>
    </row>
    <row r="32" spans="11:31" ht="12">
      <c r="K32" t="s">
        <v>43</v>
      </c>
      <c r="M32">
        <f>M31*$L$30/$D$12</f>
        <v>11835.655919364695</v>
      </c>
      <c r="N32">
        <f>N31*$L$30/$D$12</f>
        <v>20443.405678902654</v>
      </c>
      <c r="O32">
        <f>O31*$L$30/$D$12</f>
        <v>23671.31183872939</v>
      </c>
      <c r="R32" t="s">
        <v>43</v>
      </c>
      <c r="T32">
        <f>T31*$S$30/$D$12</f>
        <v>5462.610424322166</v>
      </c>
      <c r="U32">
        <f>U31*$S$30/$D$12</f>
        <v>9435.418005647378</v>
      </c>
      <c r="V32">
        <f>V31*$S$30/$D$12</f>
        <v>10925.220848644332</v>
      </c>
      <c r="Y32" t="s">
        <v>43</v>
      </c>
      <c r="AA32">
        <f>AA31*$Z$30/$D$12</f>
        <v>5731.4933388565505</v>
      </c>
      <c r="AB32">
        <f>AB31*$Z$30/$D$12</f>
        <v>8597.240008284825</v>
      </c>
      <c r="AC32">
        <f>AC31*$Z$30/$D$12</f>
        <v>11462.986677713101</v>
      </c>
      <c r="AD32">
        <f>AD31*$Z$30/$D$12</f>
        <v>14328.733347141375</v>
      </c>
      <c r="AE32">
        <f>AE31*$Z$30/$D$12</f>
        <v>17194.48001656965</v>
      </c>
    </row>
    <row r="33" spans="11:31" ht="12">
      <c r="K33" t="s">
        <v>18</v>
      </c>
      <c r="M33">
        <f>64/M32</f>
        <v>0.005407389369547957</v>
      </c>
      <c r="N33">
        <f>64/N32</f>
        <v>0.0031305938455277646</v>
      </c>
      <c r="O33">
        <f>64/O32</f>
        <v>0.0027036946847739784</v>
      </c>
      <c r="R33" t="s">
        <v>18</v>
      </c>
      <c r="T33">
        <f>64/T32</f>
        <v>0.011716010300687241</v>
      </c>
      <c r="U33">
        <f>64/U32</f>
        <v>0.006782953331976824</v>
      </c>
      <c r="V33">
        <f>64/V32</f>
        <v>0.005858005150343621</v>
      </c>
      <c r="Y33" t="s">
        <v>18</v>
      </c>
      <c r="AA33">
        <f>64/AA32</f>
        <v>0.011166374314022702</v>
      </c>
      <c r="AB33">
        <f>64/AB32</f>
        <v>0.007444249542681801</v>
      </c>
      <c r="AC33">
        <f>64/AC32</f>
        <v>0.005583187157011351</v>
      </c>
      <c r="AD33">
        <f>64/AD32</f>
        <v>0.004466549725609081</v>
      </c>
      <c r="AE33">
        <f>64/AE32</f>
        <v>0.0037221247713409007</v>
      </c>
    </row>
    <row r="34" spans="11:31" ht="12">
      <c r="K34" t="s">
        <v>20</v>
      </c>
      <c r="M34">
        <f>0.316/(SQRT(SQRT(M32)))</f>
        <v>0.03029625864970324</v>
      </c>
      <c r="N34">
        <f>0.316/(SQRT(SQRT(N32)))</f>
        <v>0.026427055142534062</v>
      </c>
      <c r="O34">
        <f>0.316/(SQRT(SQRT(O32)))</f>
        <v>0.02547601529413479</v>
      </c>
      <c r="R34" t="s">
        <v>20</v>
      </c>
      <c r="T34">
        <f>0.316/(SQRT(SQRT(T32)))</f>
        <v>0.036756743302184966</v>
      </c>
      <c r="U34">
        <f>0.316/(SQRT(SQRT(U32)))</f>
        <v>0.03206245673230435</v>
      </c>
      <c r="V34">
        <f>0.316/(SQRT(SQRT(V32)))</f>
        <v>0.030908613679208323</v>
      </c>
      <c r="Y34" t="s">
        <v>20</v>
      </c>
      <c r="AA34">
        <f>0.316/(SQRT(SQRT(AA32)))</f>
        <v>0.03631785033784185</v>
      </c>
      <c r="AB34">
        <f>0.316/(SQRT(SQRT(AB32)))</f>
        <v>0.03281688233207638</v>
      </c>
      <c r="AC34">
        <f>0.316/(SQRT(SQRT(AC32)))</f>
        <v>0.030539550158812115</v>
      </c>
      <c r="AD34">
        <f>0.316/(SQRT(SQRT(AD32)))</f>
        <v>0.02888252330542817</v>
      </c>
      <c r="AE34">
        <f>0.316/(SQRT(SQRT(AE32)))</f>
        <v>0.02759559871284599</v>
      </c>
    </row>
    <row r="36" spans="11:31" ht="12">
      <c r="K36" t="s">
        <v>23</v>
      </c>
      <c r="M36">
        <f>IF(M32&gt;4000,M34,IF(M32&lt;2000,M33,0.032+(0.0397-0.032)*((M32-2000)/2000)))</f>
        <v>0.03029625864970324</v>
      </c>
      <c r="N36">
        <f>IF(N32&gt;4000,N34,IF(N32&lt;2000,N33,0.032+(0.0397-0.032)*((N32-2000)/2000)))</f>
        <v>0.026427055142534062</v>
      </c>
      <c r="O36">
        <f>IF(O32&gt;4000,O34,IF(O32&lt;2000,O33,0.032+(0.0397-0.032)*((O32-2000)/2000)))</f>
        <v>0.02547601529413479</v>
      </c>
      <c r="R36" t="s">
        <v>23</v>
      </c>
      <c r="T36">
        <f>IF(T32&gt;4000,T34,IF(T32&lt;2000,T33,0.032+(0.0397-0.032)*((T32-2000)/2000)))</f>
        <v>0.036756743302184966</v>
      </c>
      <c r="U36">
        <f>IF(U32&gt;4000,U34,IF(U32&lt;2000,U33,0.032+(0.0397-0.032)*((U32-2000)/2000)))</f>
        <v>0.03206245673230435</v>
      </c>
      <c r="V36">
        <f>IF(V32&gt;4000,V34,IF(V32&lt;2000,V33,0.032+(0.0397-0.032)*((V32-2000)/2000)))</f>
        <v>0.030908613679208323</v>
      </c>
      <c r="Y36" t="s">
        <v>23</v>
      </c>
      <c r="AA36">
        <f>IF(AA32&gt;4000,AA34,IF(AA32&lt;2000,AA33,0.032+(0.0397-0.032)*((AA32-2000)/2000)))</f>
        <v>0.03631785033784185</v>
      </c>
      <c r="AB36">
        <f>IF(AB32&gt;4000,AB34,IF(AB32&lt;2000,AB33,0.032+(0.0397-0.032)*((AB32-2000)/2000)))</f>
        <v>0.03281688233207638</v>
      </c>
      <c r="AC36">
        <f>IF(AC32&gt;4000,AC34,IF(AC32&lt;2000,AC33,0.032+(0.0397-0.032)*((AC32-2000)/2000)))</f>
        <v>0.030539550158812115</v>
      </c>
      <c r="AD36">
        <f>IF(AD32&gt;4000,AD34,IF(AD32&lt;2000,AD33,0.032+(0.0397-0.032)*((AD32-2000)/2000)))</f>
        <v>0.02888252330542817</v>
      </c>
      <c r="AE36">
        <f>IF(AE32&gt;4000,AE34,IF(AE32&lt;2000,AE33,0.032+(0.0397-0.032)*((AE32-2000)/2000)))</f>
        <v>0.02759559871284599</v>
      </c>
    </row>
    <row r="37" spans="11:15" ht="12">
      <c r="K37" t="s">
        <v>44</v>
      </c>
      <c r="M37">
        <f>1.2*M31*M31*$D$10/2</f>
        <v>2455.322491951532</v>
      </c>
      <c r="N37">
        <f>1.2*N31*N31*$D$10/2</f>
        <v>7325.38363301242</v>
      </c>
      <c r="O37">
        <f>1.2*O31*O31*$D$10/2</f>
        <v>9821.289967806128</v>
      </c>
    </row>
    <row r="38" spans="11:31" ht="12">
      <c r="K38" t="s">
        <v>26</v>
      </c>
      <c r="M38">
        <f>M36*$L$29*$D$10*M31*M31/(2*$L$30)</f>
        <v>15393.99403806254</v>
      </c>
      <c r="N38">
        <f>N36*$L$29*$D$10*N31*N31/(2*$L$30)</f>
        <v>40062.026755924344</v>
      </c>
      <c r="O38">
        <f>O36*$L$29*$D$10*O31*O31/(2*$L$30)</f>
        <v>51779.01761217536</v>
      </c>
      <c r="R38" t="s">
        <v>26</v>
      </c>
      <c r="T38">
        <f>T36*$S$29*$D$10*T31*T31/(2*$S$30)</f>
        <v>8977.980701493494</v>
      </c>
      <c r="U38">
        <f>U36*$S$29*$D$10*U31*U31/(2*$S$30)</f>
        <v>23364.703285455664</v>
      </c>
      <c r="V38">
        <f>V36*$S$29*$D$10*V31*V31/(2*$S$30)</f>
        <v>30198.20715241164</v>
      </c>
      <c r="Y38" t="s">
        <v>26</v>
      </c>
      <c r="AA38">
        <f>AA36*$Z$29*$D$10*AA31*AA31/(2*$Z$30)</f>
        <v>20577.700725111354</v>
      </c>
      <c r="AB38">
        <f>AB36*$Z$29*$D$10*AB31*AB31/(2*$Z$30)</f>
        <v>41836.61611101234</v>
      </c>
      <c r="AC38">
        <f>AC36*$Z$29*$D$10*AC31*AC31/(2*$Z$30)</f>
        <v>69214.8590956396</v>
      </c>
      <c r="AD38">
        <f>AD36*$Z$29*$D$10*AD31*AD31/(2*$Z$30)</f>
        <v>102280.26907505983</v>
      </c>
      <c r="AE38">
        <f>AE36*$Z$29*$D$10*AE31*AE31/(2*$Z$30)</f>
        <v>140721.04205638435</v>
      </c>
    </row>
    <row r="39" spans="11:31" ht="12">
      <c r="K39" t="s">
        <v>45</v>
      </c>
      <c r="M39">
        <f>0.00001*(M38+3*M37)</f>
        <v>0.22759961513917137</v>
      </c>
      <c r="N39">
        <f>0.00001*(N38+3*N37)</f>
        <v>0.6203817765496161</v>
      </c>
      <c r="O39">
        <f>0.00001*(O38+3*O37)</f>
        <v>0.8124288751559375</v>
      </c>
      <c r="R39" t="s">
        <v>28</v>
      </c>
      <c r="T39">
        <f>T38/100000</f>
        <v>0.08977980701493495</v>
      </c>
      <c r="U39">
        <f>U38/100000</f>
        <v>0.23364703285455662</v>
      </c>
      <c r="V39">
        <f>V38/100000</f>
        <v>0.3019820715241164</v>
      </c>
      <c r="Y39" t="s">
        <v>46</v>
      </c>
      <c r="AA39">
        <f>AA38/6894.8</f>
        <v>2.984524674408446</v>
      </c>
      <c r="AB39">
        <f>AB38/6894.8</f>
        <v>6.067850570141606</v>
      </c>
      <c r="AC39">
        <f>AC38/6894.8</f>
        <v>10.038704399785287</v>
      </c>
      <c r="AD39">
        <f>AD38/6894.8</f>
        <v>14.834406955250309</v>
      </c>
      <c r="AE39">
        <f>AE38/6894.8</f>
        <v>20.40973517090914</v>
      </c>
    </row>
    <row r="40" spans="25:31" ht="12">
      <c r="Y40" t="s">
        <v>47</v>
      </c>
      <c r="AA40">
        <f>0.01*AA38</f>
        <v>205.77700725111353</v>
      </c>
      <c r="AB40">
        <f>0.01*AB38</f>
        <v>418.3661611101234</v>
      </c>
      <c r="AC40">
        <f>0.01*AC38</f>
        <v>692.148590956396</v>
      </c>
      <c r="AD40">
        <f>0.01*AD38</f>
        <v>1022.8026907505983</v>
      </c>
      <c r="AE40">
        <f>0.01*AE38</f>
        <v>1407.2104205638436</v>
      </c>
    </row>
    <row r="41" spans="11:22" ht="12">
      <c r="K41" t="s">
        <v>48</v>
      </c>
      <c r="M41">
        <f>0.5*M31*M31*$D$10*((0.5*(1-($L$28/$L$43)))+((1-($L$28/$L$43))*(1-($L$28/$L$43))))</f>
        <v>839.2215548662463</v>
      </c>
      <c r="N41">
        <f>0.5*N31*N31*$D$10*((0.5*(1-($L$28/$L$43)))+((1-($L$28/$L$43))*(1-($L$28/$L$43))))</f>
        <v>2503.7932339397917</v>
      </c>
      <c r="O41">
        <f>0.5*O31*O31*$D$10*((0.5*(1-($L$28/$L$43)))+((1-($L$28/$L$43))*(1-($L$28/$L$43))))</f>
        <v>3356.886219464985</v>
      </c>
      <c r="R41" t="s">
        <v>49</v>
      </c>
      <c r="T41">
        <f>0.5*T31*T31*$D$10*((0.5*(1-($S$28/$S$43)))+((1-($S$28/$S$43))*(1-($S$28/$S$43))))</f>
        <v>57.77343047137736</v>
      </c>
      <c r="U41">
        <f>0.5*U31*U31*$D$10*((0.5*(1-($S$28/$S$43)))+((1-($S$28/$S$43))*(1-($S$28/$S$43))))</f>
        <v>172.36535867906795</v>
      </c>
      <c r="V41">
        <f>0.5*V31*V31*$D$10*((0.5*(1-($S$28/$S$43)))+((1-($S$28/$S$43))*(1-($S$28/$S$43))))</f>
        <v>231.09372188550944</v>
      </c>
    </row>
    <row r="43" spans="11:19" ht="12">
      <c r="K43" t="s">
        <v>50</v>
      </c>
      <c r="L43">
        <f>PI()*L45*L45/4</f>
        <v>5.026548245743669E-05</v>
      </c>
      <c r="R43" t="s">
        <v>51</v>
      </c>
      <c r="S43">
        <f>PI()*S45*S45/4</f>
        <v>0.00031415926535897936</v>
      </c>
    </row>
    <row r="44" spans="11:31" ht="12">
      <c r="K44" t="s">
        <v>40</v>
      </c>
      <c r="L44">
        <v>9.41</v>
      </c>
      <c r="R44" t="s">
        <v>40</v>
      </c>
      <c r="S44">
        <v>100</v>
      </c>
      <c r="Y44" t="s">
        <v>44</v>
      </c>
      <c r="AA44">
        <f>1.2*AA31*AA31*$D$10/2</f>
        <v>2464.7108053354455</v>
      </c>
      <c r="AB44">
        <f>1.2*AB31*AB31*$D$10/2</f>
        <v>5545.599312004752</v>
      </c>
      <c r="AC44">
        <f>1.2*AC31*AC31*$D$10/2</f>
        <v>9858.843221341782</v>
      </c>
      <c r="AD44">
        <f>1.2*AD31*AD31*$D$10/2</f>
        <v>15404.442533346533</v>
      </c>
      <c r="AE44">
        <f>1.2*AE31*AE31*$D$10/2</f>
        <v>22182.39724801901</v>
      </c>
    </row>
    <row r="45" spans="11:19" ht="12">
      <c r="K45" t="s">
        <v>41</v>
      </c>
      <c r="L45">
        <v>0.008</v>
      </c>
      <c r="R45" t="s">
        <v>41</v>
      </c>
      <c r="S45">
        <v>0.02</v>
      </c>
    </row>
    <row r="46" spans="11:31" ht="12">
      <c r="K46" t="s">
        <v>42</v>
      </c>
      <c r="M46">
        <f>2*0.000001*M10/(PI()*$L$45*$L$45/4)</f>
        <v>0.8499784916126661</v>
      </c>
      <c r="N46">
        <f>2*0.000001*N10/(PI()*$L$45*$L$45/4)</f>
        <v>1.4681446673309686</v>
      </c>
      <c r="O46">
        <f>2*0.000001*O10/(PI()*$L$45*$L$45/4)</f>
        <v>1.6999569832253323</v>
      </c>
      <c r="R46" t="s">
        <v>42</v>
      </c>
      <c r="T46">
        <f>2*0.000001*M10/(PI()*$S$45*$S$45/4)</f>
        <v>0.13599655865802657</v>
      </c>
      <c r="U46">
        <f>2*0.000001*N10/(PI()*$S$45*$S$45/4)</f>
        <v>0.23490314677295496</v>
      </c>
      <c r="V46">
        <f>2*0.000001*O10/(PI()*$S$45*$S$45/4)</f>
        <v>0.27199311731605313</v>
      </c>
      <c r="Y46" t="s">
        <v>52</v>
      </c>
      <c r="AA46">
        <f>(AA38+4*AA44)/6894.8</f>
        <v>4.4144201349499825</v>
      </c>
      <c r="AB46">
        <f>(AB38+4*AB44)/6894.8</f>
        <v>9.28511535636006</v>
      </c>
      <c r="AC46">
        <f>(AC38+4*AC44)/6894.8</f>
        <v>15.758286241951428</v>
      </c>
      <c r="AD46">
        <f>(AD38+4*AD44)/6894.8</f>
        <v>23.771253583634905</v>
      </c>
      <c r="AE46">
        <f>(AE38+4*AE44)/6894.8</f>
        <v>33.27879431578296</v>
      </c>
    </row>
    <row r="47" spans="11:31" ht="12">
      <c r="K47" t="s">
        <v>43</v>
      </c>
      <c r="M47">
        <f>M46*$L$45/$D$12</f>
        <v>8876.741939523521</v>
      </c>
      <c r="N47">
        <f>N46*$L$45/$D$12</f>
        <v>15332.55425917699</v>
      </c>
      <c r="O47">
        <f>O46*$L$45/$D$12</f>
        <v>17753.483879047042</v>
      </c>
      <c r="R47" t="s">
        <v>43</v>
      </c>
      <c r="T47">
        <f>T46*$S$45/$D$12</f>
        <v>3550.6967758094083</v>
      </c>
      <c r="U47">
        <f>U46*$S$45/$D$12</f>
        <v>6133.021703670795</v>
      </c>
      <c r="V47">
        <f>V46*$S$45/$D$12</f>
        <v>7101.393551618817</v>
      </c>
      <c r="Y47" t="s">
        <v>53</v>
      </c>
      <c r="AA47">
        <f>(AA38+4*AA44)/100</f>
        <v>304.3654394645314</v>
      </c>
      <c r="AB47">
        <f>(AB38+4*AB44)/100</f>
        <v>640.1901335903135</v>
      </c>
      <c r="AC47">
        <f>(AC38+4*AC44)/100</f>
        <v>1086.502319810067</v>
      </c>
      <c r="AD47">
        <f>(AD38+4*AD44)/100</f>
        <v>1638.9803920844597</v>
      </c>
      <c r="AE47">
        <f>(AE38+4*AE44)/100</f>
        <v>2294.5063104846035</v>
      </c>
    </row>
    <row r="48" spans="11:22" ht="12">
      <c r="K48" t="s">
        <v>18</v>
      </c>
      <c r="M48">
        <f>64/M47</f>
        <v>0.007209852492730609</v>
      </c>
      <c r="N48">
        <f>64/N47</f>
        <v>0.004174125127370353</v>
      </c>
      <c r="O48">
        <f>64/O47</f>
        <v>0.0036049262463653045</v>
      </c>
      <c r="R48" t="s">
        <v>18</v>
      </c>
      <c r="T48">
        <f>64/T47</f>
        <v>0.018024631231826523</v>
      </c>
      <c r="U48">
        <f>64/U47</f>
        <v>0.010435312818425883</v>
      </c>
      <c r="V48">
        <f>64/V47</f>
        <v>0.009012315615913261</v>
      </c>
    </row>
    <row r="49" spans="11:22" ht="12">
      <c r="K49" t="s">
        <v>20</v>
      </c>
      <c r="M49">
        <f>0.316/(SQRT(SQRT(M47)))</f>
        <v>0.03255544859172</v>
      </c>
      <c r="N49">
        <f>0.316/(SQRT(SQRT(N47)))</f>
        <v>0.02839771884280981</v>
      </c>
      <c r="O49">
        <f>0.316/(SQRT(SQRT(O47)))</f>
        <v>0.027375760017753936</v>
      </c>
      <c r="R49" t="s">
        <v>20</v>
      </c>
      <c r="T49">
        <f>0.316/(SQRT(SQRT(T47)))</f>
        <v>0.040936309377552965</v>
      </c>
      <c r="U49">
        <f>0.316/(SQRT(SQRT(U47)))</f>
        <v>0.03570824099968606</v>
      </c>
      <c r="V49">
        <f>0.316/(SQRT(SQRT(V47)))</f>
        <v>0.03442319580930131</v>
      </c>
    </row>
    <row r="51" spans="11:22" ht="12">
      <c r="K51" t="s">
        <v>23</v>
      </c>
      <c r="M51">
        <f>IF(M47&gt;4000,M49,IF(M47&lt;2000,M48,0.032+(0.0397-0.032)*((M47-2000)/2000)))</f>
        <v>0.03255544859172</v>
      </c>
      <c r="N51">
        <f>IF(N47&gt;4000,N49,IF(N47&lt;2000,N48,0.032+(0.0397-0.032)*((N47-2000)/2000)))</f>
        <v>0.02839771884280981</v>
      </c>
      <c r="O51">
        <f>IF(O47&gt;4000,O49,IF(O47&lt;2000,O48,0.032+(0.0397-0.032)*((O47-2000)/2000)))</f>
        <v>0.027375760017753936</v>
      </c>
      <c r="R51" t="s">
        <v>23</v>
      </c>
      <c r="T51">
        <f>IF(T47&gt;4000,T49,IF(T47&lt;2000,T48,0.032+(0.0397-0.032)*((T47-2000)/2000)))</f>
        <v>0.03797018258686622</v>
      </c>
      <c r="U51">
        <f>IF(U47&gt;4000,U49,IF(U47&lt;2000,U48,0.032+(0.0397-0.032)*((U47-2000)/2000)))</f>
        <v>0.03570824099968606</v>
      </c>
      <c r="V51">
        <f>IF(V47&gt;4000,V49,IF(V47&lt;2000,V48,0.032+(0.0397-0.032)*((V47-2000)/2000)))</f>
        <v>0.03442319580930131</v>
      </c>
    </row>
    <row r="52" spans="11:15" ht="12">
      <c r="K52" t="s">
        <v>44</v>
      </c>
      <c r="M52">
        <f>1.2*M46*M46*$D$10/2</f>
        <v>776.8793822190393</v>
      </c>
      <c r="N52">
        <f>1.2*N46*N46*$D$10/2</f>
        <v>2317.7971651328353</v>
      </c>
      <c r="O52">
        <f>1.2*O46*O46*$D$10/2</f>
        <v>3107.517528876157</v>
      </c>
    </row>
    <row r="53" spans="11:22" ht="12">
      <c r="K53" t="s">
        <v>26</v>
      </c>
      <c r="M53">
        <f>M51*$L$44*$D$10*M46*M46/(2*$L$45)</f>
        <v>24791.092749167685</v>
      </c>
      <c r="N53">
        <f>N51*$L$44*$D$10*N46*N46/(2*$L$45)</f>
        <v>64517.46171721641</v>
      </c>
      <c r="O53">
        <f>O51*$L$44*$D$10*O46*O46/(2*$L$45)</f>
        <v>83386.96409198984</v>
      </c>
      <c r="R53" t="s">
        <v>26</v>
      </c>
      <c r="T53">
        <f>T51*$S$44*$D$10*T46*T46/(2*$S$45)</f>
        <v>3146.4802123550653</v>
      </c>
      <c r="U53">
        <f>U51*$S$44*$D$10*U46*U46/(2*$S$45)</f>
        <v>8828.209041168257</v>
      </c>
      <c r="V53">
        <f>V51*$S$44*$D$10*V46*V46/(2*$S$45)</f>
        <v>11410.206333582939</v>
      </c>
    </row>
    <row r="54" spans="11:22" ht="12">
      <c r="K54" t="s">
        <v>45</v>
      </c>
      <c r="M54">
        <f>0.00001*(M53+3*M52)</f>
        <v>0.271217308958248</v>
      </c>
      <c r="N54">
        <f>0.00001*(N53+3*N52)</f>
        <v>0.7147085321261492</v>
      </c>
      <c r="O54">
        <f>0.00001*(O53+3*O52)</f>
        <v>0.9270951667861832</v>
      </c>
      <c r="R54" t="s">
        <v>28</v>
      </c>
      <c r="T54">
        <f>T53/100000</f>
        <v>0.031464802123550656</v>
      </c>
      <c r="U54">
        <f>U53/100000</f>
        <v>0.08828209041168257</v>
      </c>
      <c r="V54">
        <f>V53/100000</f>
        <v>0.1141020633358294</v>
      </c>
    </row>
    <row r="56" spans="11:15" ht="12">
      <c r="K56" t="s">
        <v>54</v>
      </c>
      <c r="M56">
        <f>2*M18+2*M39+2*M54+2*T39+2*T54+0.00001*(+M26+M41+T26+T41)</f>
        <v>1.4478070375851537</v>
      </c>
      <c r="N56">
        <f>2*N18+2*N39+2*N54+2*U39+2*U54+0.00001*(+N26+N41+U26+U41)</f>
        <v>3.860189333871323</v>
      </c>
      <c r="O56">
        <f>2*O18+2*O39+2*O54+2*V39+2*V54+0.00001*(+O26+O41+V26+V41)</f>
        <v>5.0192400743222985</v>
      </c>
    </row>
    <row r="58" spans="1:15" ht="12">
      <c r="A58" t="s">
        <v>55</v>
      </c>
      <c r="B58" t="s">
        <v>56</v>
      </c>
      <c r="K58" t="s">
        <v>3</v>
      </c>
      <c r="M58">
        <v>1</v>
      </c>
      <c r="N58">
        <v>1.5</v>
      </c>
      <c r="O58">
        <v>2</v>
      </c>
    </row>
    <row r="59" spans="1:12" ht="12">
      <c r="A59" s="1" t="s">
        <v>4</v>
      </c>
      <c r="B59">
        <v>-40</v>
      </c>
      <c r="C59">
        <v>-30</v>
      </c>
      <c r="D59">
        <v>-20</v>
      </c>
      <c r="E59">
        <v>-10</v>
      </c>
      <c r="F59">
        <v>0</v>
      </c>
      <c r="G59">
        <v>10</v>
      </c>
      <c r="H59">
        <v>20</v>
      </c>
      <c r="I59">
        <v>30</v>
      </c>
      <c r="K59" t="s">
        <v>5</v>
      </c>
      <c r="L59">
        <v>0.8</v>
      </c>
    </row>
    <row r="60" spans="1:12" ht="12">
      <c r="A60" s="1" t="s">
        <v>6</v>
      </c>
      <c r="B60">
        <v>233.13</v>
      </c>
      <c r="C60">
        <v>243.13</v>
      </c>
      <c r="D60">
        <v>253.13</v>
      </c>
      <c r="E60">
        <v>263.13</v>
      </c>
      <c r="F60">
        <v>273.13</v>
      </c>
      <c r="G60">
        <v>283.13</v>
      </c>
      <c r="H60">
        <v>293.13</v>
      </c>
      <c r="I60">
        <v>303.13</v>
      </c>
      <c r="K60" t="s">
        <v>7</v>
      </c>
      <c r="L60">
        <v>126.25</v>
      </c>
    </row>
    <row r="61" spans="1:12" ht="12">
      <c r="A61" s="2" t="s">
        <v>8</v>
      </c>
      <c r="B61">
        <v>0.4474488866092564</v>
      </c>
      <c r="C61">
        <v>0.3544112206452346</v>
      </c>
      <c r="D61">
        <v>0.28336915783454664</v>
      </c>
      <c r="E61">
        <v>0.2285401211009619</v>
      </c>
      <c r="F61">
        <v>0.18580447387605858</v>
      </c>
      <c r="G61">
        <v>0.15218894896031562</v>
      </c>
      <c r="H61">
        <v>0.12552169828745918</v>
      </c>
      <c r="I61">
        <v>0.10419846803286034</v>
      </c>
      <c r="K61" t="s">
        <v>9</v>
      </c>
      <c r="L61">
        <v>1.21E-05</v>
      </c>
    </row>
    <row r="62" spans="1:12" ht="12">
      <c r="A62" s="2" t="s">
        <v>10</v>
      </c>
      <c r="B62">
        <v>2.101875841279038</v>
      </c>
      <c r="C62">
        <v>1.5615761765448302</v>
      </c>
      <c r="D62">
        <v>1.220300335688006</v>
      </c>
      <c r="E62">
        <v>0.9925445982906513</v>
      </c>
      <c r="F62">
        <v>0.8339262298938455</v>
      </c>
      <c r="G62">
        <v>0.7196750468722726</v>
      </c>
      <c r="H62">
        <v>0.6351242935805792</v>
      </c>
      <c r="I62">
        <v>0.5711548769698673</v>
      </c>
      <c r="K62" t="s">
        <v>11</v>
      </c>
      <c r="L62">
        <v>0.0035</v>
      </c>
    </row>
    <row r="63" ht="12">
      <c r="A63" s="2"/>
    </row>
    <row r="64" spans="1:15" ht="12">
      <c r="A64" s="2"/>
      <c r="K64" t="s">
        <v>12</v>
      </c>
      <c r="M64">
        <f>$L$59*$L$60/($D$70*$D$65*$L$61*M58)</f>
        <v>4.61179179885025</v>
      </c>
      <c r="N64">
        <f>$L$59*$L$60/($D$70*$D$65*$L$61*N58)</f>
        <v>3.0745278659001665</v>
      </c>
      <c r="O64">
        <f>$L$59*$L$60/($D$70*$D$65*$L$61*O58)</f>
        <v>2.305895899425125</v>
      </c>
    </row>
    <row r="65" spans="1:15" ht="12">
      <c r="A65" s="3" t="s">
        <v>13</v>
      </c>
      <c r="B65">
        <v>1892.8</v>
      </c>
      <c r="C65">
        <v>1867.1</v>
      </c>
      <c r="D65">
        <v>1841.4</v>
      </c>
      <c r="E65">
        <v>1815.7</v>
      </c>
      <c r="F65">
        <v>1790</v>
      </c>
      <c r="G65">
        <v>1764.3</v>
      </c>
      <c r="H65">
        <v>1738.6</v>
      </c>
      <c r="I65">
        <v>1712.9</v>
      </c>
      <c r="K65" t="s">
        <v>14</v>
      </c>
      <c r="M65">
        <f>1000000*$L$61*M64</f>
        <v>55.802680766088024</v>
      </c>
      <c r="N65">
        <f>1000000*$L$61*N64</f>
        <v>37.20178717739201</v>
      </c>
      <c r="O65">
        <f>1000000*$L$61*O64</f>
        <v>27.901340383044012</v>
      </c>
    </row>
    <row r="66" spans="1:15" ht="12">
      <c r="A66" s="3" t="s">
        <v>15</v>
      </c>
      <c r="B66">
        <v>2.101518224086848</v>
      </c>
      <c r="C66">
        <v>1.5579436856096163</v>
      </c>
      <c r="D66">
        <v>1.2084880809681706</v>
      </c>
      <c r="E66">
        <v>0.9685166098263748</v>
      </c>
      <c r="F66">
        <v>0.7953888373515873</v>
      </c>
      <c r="G66">
        <v>0.665855759689048</v>
      </c>
      <c r="H66">
        <v>0.5663144641365796</v>
      </c>
      <c r="I66">
        <v>0.4882892443419372</v>
      </c>
      <c r="K66" t="s">
        <v>16</v>
      </c>
      <c r="M66">
        <f>M64*$L$62/$D$67</f>
        <v>13356.58294870763</v>
      </c>
      <c r="N66">
        <f>N64*$L$62/$D$67</f>
        <v>8904.388632471753</v>
      </c>
      <c r="O66">
        <f>O64*$L$62/$D$67</f>
        <v>6678.291474353815</v>
      </c>
    </row>
    <row r="67" spans="1:15" ht="12">
      <c r="A67" s="3" t="s">
        <v>17</v>
      </c>
      <c r="B67">
        <v>2.101518224086848E-06</v>
      </c>
      <c r="C67">
        <v>1.5579436856096163E-06</v>
      </c>
      <c r="D67">
        <v>1.2084880809681706E-06</v>
      </c>
      <c r="E67">
        <v>9.685166098263748E-07</v>
      </c>
      <c r="F67">
        <v>7.953888373515873E-07</v>
      </c>
      <c r="G67">
        <v>6.658557596890479E-07</v>
      </c>
      <c r="H67">
        <v>5.663144641365795E-07</v>
      </c>
      <c r="I67">
        <v>4.882892443419371E-07</v>
      </c>
      <c r="K67" t="s">
        <v>18</v>
      </c>
      <c r="M67">
        <f>64/M66</f>
        <v>0.004791644707765063</v>
      </c>
      <c r="N67">
        <f>64/N66</f>
        <v>0.007187467061647595</v>
      </c>
      <c r="O67">
        <f>64/O66</f>
        <v>0.009583289415530126</v>
      </c>
    </row>
    <row r="68" spans="1:15" ht="12">
      <c r="A68" s="3" t="s">
        <v>19</v>
      </c>
      <c r="B68">
        <v>0.003977753694551586</v>
      </c>
      <c r="C68">
        <v>0.0029088366554017144</v>
      </c>
      <c r="D68">
        <v>0.0022253099522947894</v>
      </c>
      <c r="E68">
        <v>0.0017585356084617487</v>
      </c>
      <c r="F68">
        <v>0.0014237460188593412</v>
      </c>
      <c r="G68">
        <v>0.0011747693168193873</v>
      </c>
      <c r="H68">
        <v>0.0009845943273478572</v>
      </c>
      <c r="I68">
        <v>0.0008363906466333042</v>
      </c>
      <c r="K68" t="s">
        <v>20</v>
      </c>
      <c r="M68">
        <f>0.316/(SQRT(SQRT(M66)))</f>
        <v>0.02939430804886309</v>
      </c>
      <c r="N68">
        <f>0.316/(SQRT(SQRT(N66)))</f>
        <v>0.03253014925977842</v>
      </c>
      <c r="O68">
        <f>0.316/(SQRT(SQRT(O66)))</f>
        <v>0.03495592027228974</v>
      </c>
    </row>
    <row r="69" spans="1:9" ht="12">
      <c r="A69" s="3" t="s">
        <v>21</v>
      </c>
      <c r="B69">
        <v>3.977753694551586</v>
      </c>
      <c r="C69">
        <v>2.908836655401714</v>
      </c>
      <c r="D69">
        <v>2.2253099522947895</v>
      </c>
      <c r="E69">
        <v>1.7585356084617487</v>
      </c>
      <c r="F69">
        <v>1.4237460188593412</v>
      </c>
      <c r="G69">
        <v>1.1747693168193873</v>
      </c>
      <c r="H69">
        <v>0.9845943273478572</v>
      </c>
      <c r="I69">
        <v>0.8363906466333042</v>
      </c>
    </row>
    <row r="70" spans="1:15" ht="12">
      <c r="A70" s="1" t="s">
        <v>22</v>
      </c>
      <c r="B70">
        <v>951.84</v>
      </c>
      <c r="C70">
        <v>967.38</v>
      </c>
      <c r="D70">
        <v>982.92</v>
      </c>
      <c r="E70">
        <v>998.46</v>
      </c>
      <c r="F70">
        <v>1014</v>
      </c>
      <c r="G70">
        <v>1029.54</v>
      </c>
      <c r="H70">
        <v>1045.08</v>
      </c>
      <c r="I70">
        <v>1060.62</v>
      </c>
      <c r="K70" t="s">
        <v>23</v>
      </c>
      <c r="M70">
        <f>IF(M66&gt;3000,M68,M67)</f>
        <v>0.02939430804886309</v>
      </c>
      <c r="N70">
        <f>IF(N66&gt;3000,N68,N67)</f>
        <v>0.03253014925977842</v>
      </c>
      <c r="O70">
        <f>IF(O66&gt;3000,O68,O67)</f>
        <v>0.03495592027228974</v>
      </c>
    </row>
    <row r="71" spans="1:9" ht="12">
      <c r="A71" s="1" t="s">
        <v>24</v>
      </c>
      <c r="B71">
        <v>0.0678</v>
      </c>
      <c r="C71">
        <v>0.0666</v>
      </c>
      <c r="D71">
        <v>0.0654</v>
      </c>
      <c r="E71">
        <v>0.06420000000000001</v>
      </c>
      <c r="F71">
        <v>0.063</v>
      </c>
      <c r="G71">
        <v>0.0618</v>
      </c>
      <c r="H71">
        <v>0.0606</v>
      </c>
      <c r="I71">
        <v>0.0594</v>
      </c>
    </row>
    <row r="72" spans="1:15" ht="12">
      <c r="A72" s="1" t="s">
        <v>25</v>
      </c>
      <c r="B72">
        <v>55.84343770828882</v>
      </c>
      <c r="C72">
        <v>42.25150756310075</v>
      </c>
      <c r="D72">
        <v>33.444979484856184</v>
      </c>
      <c r="E72">
        <v>27.349337439637345</v>
      </c>
      <c r="F72">
        <v>22.91553116068844</v>
      </c>
      <c r="G72">
        <v>19.57074437602317</v>
      </c>
      <c r="H72">
        <v>16.979865340341558</v>
      </c>
      <c r="I72">
        <v>14.934219657107995</v>
      </c>
      <c r="K72" t="s">
        <v>26</v>
      </c>
      <c r="M72">
        <f>M70*$L$59*$D$65*M64*M64/(2*$L$62)</f>
        <v>131565.70957387934</v>
      </c>
      <c r="N72">
        <f>N70*$L$59*$D$65*N64*N64/(2*$L$62)</f>
        <v>64711.72979464699</v>
      </c>
      <c r="O72">
        <f>O70*$L$59*$D$65*O64*O64/(2*$L$62)</f>
        <v>39114.71947890973</v>
      </c>
    </row>
    <row r="73" spans="1:15" ht="12">
      <c r="A73" s="3" t="s">
        <v>27</v>
      </c>
      <c r="B73">
        <v>0.0013577768385460692</v>
      </c>
      <c r="C73">
        <v>0.0013764661774945102</v>
      </c>
      <c r="D73">
        <v>0.0013956772021288149</v>
      </c>
      <c r="E73">
        <v>0.0014154320647684088</v>
      </c>
      <c r="F73">
        <v>0.001435754189944134</v>
      </c>
      <c r="G73">
        <v>0.0014566683670577565</v>
      </c>
      <c r="H73">
        <v>0.0014782008512596342</v>
      </c>
      <c r="I73">
        <v>0.001500379473407671</v>
      </c>
      <c r="K73" t="s">
        <v>57</v>
      </c>
      <c r="M73">
        <f>M72/6895</f>
        <v>19.081321185479236</v>
      </c>
      <c r="N73">
        <f>N72/6895</f>
        <v>9.38531251553981</v>
      </c>
      <c r="O73">
        <f>O72/6895</f>
        <v>5.6729107293560155</v>
      </c>
    </row>
    <row r="74" spans="1:9" ht="12">
      <c r="A74" s="3" t="s">
        <v>29</v>
      </c>
      <c r="B74">
        <v>18.291833917478378</v>
      </c>
      <c r="C74">
        <v>17.31740630601308</v>
      </c>
      <c r="D74">
        <v>16.355327890028924</v>
      </c>
      <c r="E74">
        <v>15.405988854536933</v>
      </c>
      <c r="F74">
        <v>14.469810623075393</v>
      </c>
      <c r="G74">
        <v>13.54725002338315</v>
      </c>
      <c r="H74">
        <v>12.63880425382916</v>
      </c>
      <c r="I74">
        <v>11.745016856892097</v>
      </c>
    </row>
    <row r="75" spans="11:15" ht="12">
      <c r="K75" t="s">
        <v>30</v>
      </c>
      <c r="M75">
        <f>0.023*POWER(M66,-0.2)</f>
        <v>0.00344024017243432</v>
      </c>
      <c r="N75">
        <f>0.023*POWER(N66,-0.2)</f>
        <v>0.003730843353145323</v>
      </c>
      <c r="O75">
        <f>0.023*POWER(O66,-0.2)</f>
        <v>0.003951798226870019</v>
      </c>
    </row>
    <row r="76" spans="11:15" ht="12">
      <c r="K76" t="s">
        <v>31</v>
      </c>
      <c r="M76">
        <f>(M66-1000)*$D$72*M75/(1+12.7*SQRT(M75)*(POWER($D$72,2/3)-1))</f>
        <v>177.99301294611</v>
      </c>
      <c r="N76">
        <f>(N66-1000)*$D$72*N75/(1+12.7*SQRT(N75)*(POWER($D$72,2/3)-1))</f>
        <v>119.1647582446562</v>
      </c>
      <c r="O76">
        <f>(O66-1000)*$D$72*O75/(1+12.7*SQRT(O75)*(POWER($D$72,2/3)-1))</f>
        <v>88.40598651715005</v>
      </c>
    </row>
    <row r="77" spans="11:15" ht="12">
      <c r="K77" t="s">
        <v>33</v>
      </c>
      <c r="M77">
        <f>$L$59*$L$60/(($D$71*M76/$L$62)*0.0056*$L$59)</f>
        <v>6.778454750148818</v>
      </c>
      <c r="N77">
        <f>$L$59*$L$60/(($D$71*N76/$L$62)*0.0056*$L$59)</f>
        <v>10.124785229042029</v>
      </c>
      <c r="O77">
        <f>$L$59*$L$60/(($D$71*O76/$L$62)*0.0056*$L$59)</f>
        <v>13.647464743395</v>
      </c>
    </row>
    <row r="79" spans="11:12" ht="12">
      <c r="K79" t="s">
        <v>40</v>
      </c>
      <c r="L79">
        <v>6.9</v>
      </c>
    </row>
    <row r="80" spans="11:12" ht="12">
      <c r="K80" t="s">
        <v>41</v>
      </c>
      <c r="L80">
        <v>0.006</v>
      </c>
    </row>
    <row r="81" spans="11:15" ht="12">
      <c r="K81" t="s">
        <v>42</v>
      </c>
      <c r="M81">
        <f>2*0.000001*M65/(PI()*$L$80*$L$80/4)</f>
        <v>3.947232214089752</v>
      </c>
      <c r="N81">
        <f>2*0.000001*N65/(PI()*$L$80*$L$80/4)</f>
        <v>2.6314881427265013</v>
      </c>
      <c r="O81">
        <f>2*0.000001*O65/(PI()*$L$80*$L$80/4)</f>
        <v>1.973616107044876</v>
      </c>
    </row>
    <row r="82" spans="11:15" ht="12">
      <c r="K82" t="s">
        <v>43</v>
      </c>
      <c r="M82">
        <f>M81*$L$80/$D$67</f>
        <v>19597.539816499266</v>
      </c>
      <c r="N82">
        <f>N81*$L$80/$D$67</f>
        <v>13065.026544332844</v>
      </c>
      <c r="O82">
        <f>O81*$L$80/$D$67</f>
        <v>9798.769908249633</v>
      </c>
    </row>
    <row r="83" spans="11:15" ht="12">
      <c r="K83" t="s">
        <v>18</v>
      </c>
      <c r="M83">
        <f>64/M82</f>
        <v>0.0032657160337093987</v>
      </c>
      <c r="N83">
        <f>64/N82</f>
        <v>0.004898574050564098</v>
      </c>
      <c r="O83">
        <f>64/O82</f>
        <v>0.006531432067418797</v>
      </c>
    </row>
    <row r="84" spans="11:15" ht="12">
      <c r="K84" t="s">
        <v>20</v>
      </c>
      <c r="M84">
        <f>0.316/(SQRT(SQRT(M82)))</f>
        <v>0.026707712573997757</v>
      </c>
      <c r="N84">
        <f>0.316/(SQRT(SQRT(N82)))</f>
        <v>0.029556942622196252</v>
      </c>
      <c r="O84">
        <f>0.316/(SQRT(SQRT(O82)))</f>
        <v>0.031761001818445773</v>
      </c>
    </row>
    <row r="86" spans="11:15" ht="12">
      <c r="K86" t="s">
        <v>23</v>
      </c>
      <c r="M86">
        <f>IF(M82&gt;3000,M84,M83)</f>
        <v>0.026707712573997757</v>
      </c>
      <c r="N86">
        <f>IF(N82&gt;3000,N84,N83)</f>
        <v>0.029556942622196252</v>
      </c>
      <c r="O86">
        <f>IF(O82&gt;3000,O84,O83)</f>
        <v>0.031761001818445773</v>
      </c>
    </row>
    <row r="88" spans="11:15" ht="12">
      <c r="K88" t="s">
        <v>26</v>
      </c>
      <c r="M88">
        <f>M86*$L$79*$D$65*M81*M81/(2*$L$80)</f>
        <v>440593.4436930768</v>
      </c>
      <c r="N88">
        <f>N86*$L$79*$D$65*N81*N81/(2*$L$80)</f>
        <v>216709.68803272437</v>
      </c>
      <c r="O88">
        <f>O86*$L$79*$D$65*O81*O81/(2*$L$80)</f>
        <v>130989.21451583941</v>
      </c>
    </row>
    <row r="89" spans="11:15" ht="12">
      <c r="K89" t="s">
        <v>57</v>
      </c>
      <c r="M89">
        <f>M88/6895</f>
        <v>63.900426931555735</v>
      </c>
      <c r="N89">
        <f>N88/6895</f>
        <v>31.429976509459664</v>
      </c>
      <c r="O89">
        <f>O88/6895</f>
        <v>18.997710589679393</v>
      </c>
    </row>
    <row r="91" spans="11:12" ht="12">
      <c r="K91" t="s">
        <v>40</v>
      </c>
      <c r="L91">
        <v>25</v>
      </c>
    </row>
    <row r="92" spans="11:12" ht="12">
      <c r="K92" t="s">
        <v>41</v>
      </c>
      <c r="L92">
        <v>0.013</v>
      </c>
    </row>
    <row r="93" spans="11:15" ht="12">
      <c r="K93" t="s">
        <v>42</v>
      </c>
      <c r="M93">
        <f>2*0.000001*M65/(PI()*$L$92*$L$92/4)</f>
        <v>0.8408305308120181</v>
      </c>
      <c r="N93">
        <f>2*0.000001*N65/(PI()*$L$92*$L$92/4)</f>
        <v>0.5605536872080121</v>
      </c>
      <c r="O93">
        <f>2*0.000001*O65/(PI()*$L$92*$L$92/4)</f>
        <v>0.42041526540600904</v>
      </c>
    </row>
    <row r="94" spans="11:15" ht="12">
      <c r="K94" t="s">
        <v>43</v>
      </c>
      <c r="M94">
        <f>M93*$L$92/$D$67</f>
        <v>9045.018376845814</v>
      </c>
      <c r="N94">
        <f>N93*$L$92/$D$67</f>
        <v>6030.0122512305425</v>
      </c>
      <c r="O94">
        <f>O93*$L$92/$D$67</f>
        <v>4522.509188422907</v>
      </c>
    </row>
    <row r="95" spans="11:15" ht="12">
      <c r="K95" t="s">
        <v>18</v>
      </c>
      <c r="M95">
        <f>64/M94</f>
        <v>0.007075718073037031</v>
      </c>
      <c r="N95">
        <f>64/N94</f>
        <v>0.010613577109555548</v>
      </c>
      <c r="O95">
        <f>64/O94</f>
        <v>0.014151436146074062</v>
      </c>
    </row>
    <row r="96" spans="11:15" ht="12">
      <c r="K96" t="s">
        <v>20</v>
      </c>
      <c r="M96">
        <f>0.316/(SQRT(SQRT(M94)))</f>
        <v>0.03240296257771054</v>
      </c>
      <c r="N96">
        <f>0.316/(SQRT(SQRT(N94)))</f>
        <v>0.03585977282947839</v>
      </c>
      <c r="O96">
        <f>0.316/(SQRT(SQRT(O94)))</f>
        <v>0.03853383364458029</v>
      </c>
    </row>
    <row r="98" spans="11:15" ht="12">
      <c r="K98" t="s">
        <v>23</v>
      </c>
      <c r="M98">
        <f>IF(M94&gt;3000,M96,M95)</f>
        <v>0.03240296257771054</v>
      </c>
      <c r="N98">
        <f>IF(N94&gt;3000,N96,N95)</f>
        <v>0.03585977282947839</v>
      </c>
      <c r="O98">
        <f>IF(O94&gt;3000,O96,O95)</f>
        <v>0.03853383364458029</v>
      </c>
    </row>
    <row r="100" spans="11:15" ht="12">
      <c r="K100" t="s">
        <v>26</v>
      </c>
      <c r="M100">
        <f>M98*$L$91*$D$65*M93*M93/(2*$L$92)</f>
        <v>40561.72946353488</v>
      </c>
      <c r="N100">
        <f>N98*$L$91*$D$65*N93*N93/(2*$L$92)</f>
        <v>19950.636724031065</v>
      </c>
      <c r="O100">
        <f>O98*$L$91*$D$65*O93*O93/(2*$L$92)</f>
        <v>12059.074318712796</v>
      </c>
    </row>
    <row r="101" spans="11:15" ht="12">
      <c r="K101" t="s">
        <v>57</v>
      </c>
      <c r="M101">
        <f>M100/6895</f>
        <v>5.882774396451759</v>
      </c>
      <c r="N101">
        <f>N100/6895</f>
        <v>2.8934933609907274</v>
      </c>
      <c r="O101">
        <f>O100/6895</f>
        <v>1.7489592920540675</v>
      </c>
    </row>
    <row r="103" spans="11:15" ht="12">
      <c r="K103" t="s">
        <v>58</v>
      </c>
      <c r="M103">
        <f>M73+2*M89+2*M101</f>
        <v>158.64772384149424</v>
      </c>
      <c r="N103">
        <f>N73+2*N89+2*N101</f>
        <v>78.03225225644059</v>
      </c>
      <c r="O103">
        <f>O73+2*O89+2*O101</f>
        <v>47.16625049282294</v>
      </c>
    </row>
    <row r="105" spans="1:15" ht="12">
      <c r="A105" s="4" t="s">
        <v>59</v>
      </c>
      <c r="B105" s="4" t="s">
        <v>60</v>
      </c>
      <c r="K105" t="s">
        <v>3</v>
      </c>
      <c r="M105">
        <v>1</v>
      </c>
      <c r="N105">
        <v>1.5</v>
      </c>
      <c r="O105">
        <v>2</v>
      </c>
    </row>
    <row r="106" spans="1:12" ht="12">
      <c r="A106" s="1" t="s">
        <v>4</v>
      </c>
      <c r="B106">
        <v>-40</v>
      </c>
      <c r="C106">
        <v>-30</v>
      </c>
      <c r="D106">
        <v>-20</v>
      </c>
      <c r="E106">
        <v>-10</v>
      </c>
      <c r="F106">
        <v>0</v>
      </c>
      <c r="G106">
        <v>10</v>
      </c>
      <c r="H106">
        <v>20</v>
      </c>
      <c r="I106">
        <v>30</v>
      </c>
      <c r="K106" t="s">
        <v>5</v>
      </c>
      <c r="L106">
        <v>0.8</v>
      </c>
    </row>
    <row r="107" spans="1:12" ht="12">
      <c r="A107" s="1" t="s">
        <v>6</v>
      </c>
      <c r="B107">
        <v>233.13</v>
      </c>
      <c r="C107">
        <v>243.13</v>
      </c>
      <c r="D107">
        <v>253.13</v>
      </c>
      <c r="E107">
        <v>263.13</v>
      </c>
      <c r="F107">
        <v>273.13</v>
      </c>
      <c r="G107">
        <v>283.13</v>
      </c>
      <c r="H107">
        <v>293.13</v>
      </c>
      <c r="I107">
        <v>303.13</v>
      </c>
      <c r="K107" t="s">
        <v>7</v>
      </c>
      <c r="L107">
        <v>126.25</v>
      </c>
    </row>
    <row r="108" spans="1:12" ht="12">
      <c r="A108" s="2" t="s">
        <v>8</v>
      </c>
      <c r="B108">
        <v>0.1753418737376263</v>
      </c>
      <c r="C108">
        <v>0.13870719756538039</v>
      </c>
      <c r="D108">
        <v>0.11076833701067793</v>
      </c>
      <c r="E108">
        <v>0.08923135950519744</v>
      </c>
      <c r="F108">
        <v>0.07246397851521144</v>
      </c>
      <c r="G108">
        <v>0.05928948305628161</v>
      </c>
      <c r="H108">
        <v>0.04884929013624524</v>
      </c>
      <c r="I108">
        <v>0.04050988000561418</v>
      </c>
      <c r="K108" t="s">
        <v>9</v>
      </c>
      <c r="L108">
        <v>1.21E-05</v>
      </c>
    </row>
    <row r="109" spans="1:12" ht="12">
      <c r="A109" s="2" t="s">
        <v>10</v>
      </c>
      <c r="B109">
        <v>0.7974139465961685</v>
      </c>
      <c r="C109">
        <v>0.6762812637321598</v>
      </c>
      <c r="D109">
        <v>0.5905306902616223</v>
      </c>
      <c r="E109">
        <v>0.5280932928607665</v>
      </c>
      <c r="F109">
        <v>0.4815823050499508</v>
      </c>
      <c r="G109">
        <v>0.4462767483632397</v>
      </c>
      <c r="H109">
        <v>0.41904948097024786</v>
      </c>
      <c r="I109">
        <v>0.39776626368215195</v>
      </c>
      <c r="K109" t="s">
        <v>11</v>
      </c>
      <c r="L109">
        <v>0.0035</v>
      </c>
    </row>
    <row r="110" ht="12">
      <c r="A110" s="2"/>
    </row>
    <row r="111" spans="1:15" ht="12">
      <c r="A111" s="2"/>
      <c r="K111" t="s">
        <v>12</v>
      </c>
      <c r="M111">
        <f>$L$106*$L$107/($D$117*$D$112*$L$108*M105)</f>
        <v>4.825087169547074</v>
      </c>
      <c r="N111">
        <f>$L$106*$L$107/($D$117*$D$112*$L$108*N105)</f>
        <v>3.2167247796980494</v>
      </c>
      <c r="O111">
        <f>$L$106*$L$107/($D$117*$D$112*$L$108*O105)</f>
        <v>2.412543584773537</v>
      </c>
    </row>
    <row r="112" spans="1:15" ht="12">
      <c r="A112" s="3" t="s">
        <v>13</v>
      </c>
      <c r="B112">
        <v>1810</v>
      </c>
      <c r="C112">
        <v>1785</v>
      </c>
      <c r="D112">
        <v>1760</v>
      </c>
      <c r="E112">
        <v>1735</v>
      </c>
      <c r="F112">
        <v>1710</v>
      </c>
      <c r="G112">
        <v>1685</v>
      </c>
      <c r="H112">
        <v>1660</v>
      </c>
      <c r="I112">
        <v>1635</v>
      </c>
      <c r="K112" t="s">
        <v>14</v>
      </c>
      <c r="M112">
        <f>1000000*$L$108*M111</f>
        <v>58.3835547515196</v>
      </c>
      <c r="N112">
        <f>1000000*$L$108*N111</f>
        <v>38.9223698343464</v>
      </c>
      <c r="O112">
        <f>1000000*$L$108*O111</f>
        <v>29.1917773757598</v>
      </c>
    </row>
    <row r="113" spans="1:15" ht="12">
      <c r="A113" s="3" t="s">
        <v>15</v>
      </c>
      <c r="B113">
        <v>0.7545186045258074</v>
      </c>
      <c r="C113">
        <v>0.615224444955862</v>
      </c>
      <c r="D113">
        <v>0.5122040508398511</v>
      </c>
      <c r="E113">
        <v>0.43415755839404896</v>
      </c>
      <c r="F113">
        <v>0.3739746308448947</v>
      </c>
      <c r="G113">
        <v>0.32692664259525844</v>
      </c>
      <c r="H113">
        <v>0.2897356381159125</v>
      </c>
      <c r="I113">
        <v>0.2600584321781272</v>
      </c>
      <c r="K113" t="s">
        <v>16</v>
      </c>
      <c r="M113">
        <f>M111*$L$109/$D$114</f>
        <v>32970.85422445245</v>
      </c>
      <c r="N113">
        <f>N111*$L$109/$D$114</f>
        <v>21980.569482968298</v>
      </c>
      <c r="O113">
        <f>O111*$L$109/$D$114</f>
        <v>16485.427112226225</v>
      </c>
    </row>
    <row r="114" spans="1:15" ht="12">
      <c r="A114" s="3" t="s">
        <v>17</v>
      </c>
      <c r="B114">
        <v>7.545186045258074E-07</v>
      </c>
      <c r="C114">
        <v>6.15224444955862E-07</v>
      </c>
      <c r="D114">
        <v>5.122040508398511E-07</v>
      </c>
      <c r="E114">
        <v>4.3415755839404894E-07</v>
      </c>
      <c r="F114">
        <v>3.739746308448947E-07</v>
      </c>
      <c r="G114">
        <v>3.269266425952584E-07</v>
      </c>
      <c r="H114">
        <v>2.897356381159125E-07</v>
      </c>
      <c r="I114">
        <v>2.6005843217812715E-07</v>
      </c>
      <c r="K114" t="s">
        <v>18</v>
      </c>
      <c r="M114">
        <f>64/M113</f>
        <v>0.001941108336602791</v>
      </c>
      <c r="N114">
        <f>64/N113</f>
        <v>0.002911662504904187</v>
      </c>
      <c r="O114">
        <f>64/O113</f>
        <v>0.003882216673205582</v>
      </c>
    </row>
    <row r="115" spans="1:15" ht="12">
      <c r="A115" s="3" t="s">
        <v>19</v>
      </c>
      <c r="B115">
        <v>0.0013656786741917115</v>
      </c>
      <c r="C115">
        <v>0.0010981756342462136</v>
      </c>
      <c r="D115">
        <v>0.0009014791294781379</v>
      </c>
      <c r="E115">
        <v>0.0007532633638136749</v>
      </c>
      <c r="F115">
        <v>0.0006394966187447699</v>
      </c>
      <c r="G115">
        <v>0.0005508713927730104</v>
      </c>
      <c r="H115">
        <v>0.0004809611592724147</v>
      </c>
      <c r="I115">
        <v>0.0004251955366112379</v>
      </c>
      <c r="K115" t="s">
        <v>20</v>
      </c>
      <c r="M115">
        <f>0.316/(SQRT(SQRT(M113)))</f>
        <v>0.02345063098880788</v>
      </c>
      <c r="N115">
        <f>0.316/(SQRT(SQRT(N113)))</f>
        <v>0.025952389320877758</v>
      </c>
      <c r="O115">
        <f>0.316/(SQRT(SQRT(O113)))</f>
        <v>0.02788765722319363</v>
      </c>
    </row>
    <row r="116" spans="1:9" ht="12">
      <c r="A116" s="3" t="s">
        <v>21</v>
      </c>
      <c r="B116">
        <v>1.3656786741917115</v>
      </c>
      <c r="C116">
        <v>1.0981756342462135</v>
      </c>
      <c r="D116">
        <v>0.9014791294781379</v>
      </c>
      <c r="E116">
        <v>0.753263363813675</v>
      </c>
      <c r="F116">
        <v>0.6394966187447698</v>
      </c>
      <c r="G116">
        <v>0.5508713927730103</v>
      </c>
      <c r="H116">
        <v>0.48096115927241473</v>
      </c>
      <c r="I116">
        <v>0.4251955366112379</v>
      </c>
    </row>
    <row r="117" spans="1:15" ht="12">
      <c r="A117" s="1" t="s">
        <v>22</v>
      </c>
      <c r="B117">
        <v>951.84</v>
      </c>
      <c r="C117">
        <v>967.38</v>
      </c>
      <c r="D117">
        <v>982.92</v>
      </c>
      <c r="E117">
        <v>998.46</v>
      </c>
      <c r="F117">
        <v>1014</v>
      </c>
      <c r="G117">
        <v>1029.54</v>
      </c>
      <c r="H117">
        <v>1045.08</v>
      </c>
      <c r="I117">
        <v>1060.62</v>
      </c>
      <c r="K117" t="s">
        <v>23</v>
      </c>
      <c r="M117">
        <f>IF(M113&gt;3000,M115,M114)</f>
        <v>0.02345063098880788</v>
      </c>
      <c r="N117">
        <f>IF(N113&gt;3000,N115,N114)</f>
        <v>0.025952389320877758</v>
      </c>
      <c r="O117">
        <f>IF(O113&gt;3000,O115,O114)</f>
        <v>0.02788765722319363</v>
      </c>
    </row>
    <row r="118" spans="1:9" ht="12">
      <c r="A118" s="1" t="s">
        <v>24</v>
      </c>
      <c r="B118">
        <v>0.06537</v>
      </c>
      <c r="C118">
        <v>0.06389</v>
      </c>
      <c r="D118">
        <v>0.06241</v>
      </c>
      <c r="E118">
        <v>0.060930000000000005</v>
      </c>
      <c r="F118">
        <v>0.05945</v>
      </c>
      <c r="G118">
        <v>0.05797</v>
      </c>
      <c r="H118">
        <v>0.056490000000000005</v>
      </c>
      <c r="I118">
        <v>0.05501</v>
      </c>
    </row>
    <row r="119" spans="1:15" ht="12">
      <c r="A119" s="1" t="s">
        <v>25</v>
      </c>
      <c r="B119">
        <v>19.885384568496846</v>
      </c>
      <c r="C119">
        <v>16.627847003554578</v>
      </c>
      <c r="D119">
        <v>14.197754621801815</v>
      </c>
      <c r="E119">
        <v>12.343727855463678</v>
      </c>
      <c r="F119">
        <v>10.907478072450742</v>
      </c>
      <c r="G119">
        <v>9.783407516224342</v>
      </c>
      <c r="H119">
        <v>8.897909157946806</v>
      </c>
      <c r="I119">
        <v>8.19798018615908</v>
      </c>
      <c r="K119" t="s">
        <v>26</v>
      </c>
      <c r="M119">
        <f>M117*$L$106*$D$112*M111*M111/(2*$L$109)</f>
        <v>109816.97460046038</v>
      </c>
      <c r="N119">
        <f>N117*$L$106*$D$112*N111*N111/(2*$L$109)</f>
        <v>54014.42678511953</v>
      </c>
      <c r="O119">
        <f>O117*$L$106*$D$112*O111*O111/(2*$L$109)</f>
        <v>32648.78188573515</v>
      </c>
    </row>
    <row r="120" spans="1:15" ht="12">
      <c r="A120" s="3" t="s">
        <v>27</v>
      </c>
      <c r="B120">
        <v>0.0013812154696132596</v>
      </c>
      <c r="C120">
        <v>0.0014005602240896359</v>
      </c>
      <c r="D120">
        <v>0.0014204545454545455</v>
      </c>
      <c r="E120">
        <v>0.001440922190201729</v>
      </c>
      <c r="F120">
        <v>0.0014619883040935672</v>
      </c>
      <c r="G120">
        <v>0.001483679525222552</v>
      </c>
      <c r="H120">
        <v>0.0015060240963855422</v>
      </c>
      <c r="I120">
        <v>0.0015290519877675841</v>
      </c>
      <c r="K120" t="s">
        <v>57</v>
      </c>
      <c r="M120">
        <f>M119/6895</f>
        <v>15.927044902169744</v>
      </c>
      <c r="N120">
        <f>N119/6895</f>
        <v>7.833854501105081</v>
      </c>
      <c r="O120">
        <f>O119/6895</f>
        <v>4.735138779657019</v>
      </c>
    </row>
    <row r="121" spans="1:9" ht="12">
      <c r="A121" s="3" t="s">
        <v>29</v>
      </c>
      <c r="B121">
        <v>16.276928661484064</v>
      </c>
      <c r="C121">
        <v>15.158407948674657</v>
      </c>
      <c r="D121">
        <v>14.058734340551267</v>
      </c>
      <c r="E121">
        <v>12.97868457537393</v>
      </c>
      <c r="F121">
        <v>11.919118236742042</v>
      </c>
      <c r="G121">
        <v>10.880992748653213</v>
      </c>
      <c r="H121">
        <v>9.865382362276469</v>
      </c>
      <c r="I121">
        <v>8.873502590813496</v>
      </c>
    </row>
    <row r="122" spans="11:15" ht="12">
      <c r="K122" t="s">
        <v>30</v>
      </c>
      <c r="M122">
        <f>0.023*POWER(M113,-0.2)</f>
        <v>0.0028714535556786398</v>
      </c>
      <c r="N122">
        <f>0.023*POWER(N113,-0.2)</f>
        <v>0.003114010323438745</v>
      </c>
      <c r="O122">
        <f>0.023*POWER(O113,-0.2)</f>
        <v>0.0032984339758584413</v>
      </c>
    </row>
    <row r="123" spans="11:15" ht="12">
      <c r="K123" t="s">
        <v>31</v>
      </c>
      <c r="M123">
        <f>(M113-1000)*$D$119*M122/(1+12.7*SQRT(M122)*(POWER($D$119,2/3)-1))</f>
        <v>302.4314286769433</v>
      </c>
      <c r="N123">
        <f>(N113-1000)*$D$119*N122/(1+12.7*SQRT(N122)*(POWER($D$119,2/3)-1))</f>
        <v>208.60361874076966</v>
      </c>
      <c r="O123">
        <f>(O113-1000)*$D$119*O122/(1+12.7*SQRT(O122)*(POWER($D$119,2/3)-1))</f>
        <v>159.47777943184545</v>
      </c>
    </row>
    <row r="124" spans="11:15" ht="12">
      <c r="K124" t="s">
        <v>33</v>
      </c>
      <c r="M124">
        <f>$L$106*$L$107/(($D$118*M123/$L$109)*0.0056*$L$106)</f>
        <v>4.180519951998065</v>
      </c>
      <c r="N124">
        <f>$L$106*$L$107/(($D$118*N123/$L$109)*0.0056*$L$106)</f>
        <v>6.060875785987222</v>
      </c>
      <c r="O124">
        <f>$L$106*$L$107/(($D$118*O123/$L$109)*0.0056*$L$106)</f>
        <v>7.927879521520189</v>
      </c>
    </row>
    <row r="126" spans="11:12" ht="12">
      <c r="K126" t="s">
        <v>40</v>
      </c>
      <c r="L126">
        <v>6.9</v>
      </c>
    </row>
    <row r="127" spans="11:12" ht="12">
      <c r="K127" t="s">
        <v>41</v>
      </c>
      <c r="L127">
        <v>0.006</v>
      </c>
    </row>
    <row r="128" spans="11:15" ht="12">
      <c r="K128" t="s">
        <v>42</v>
      </c>
      <c r="M128">
        <f>2*0.000001*M112/(PI()*$L$127*$L$127/4)</f>
        <v>4.129791703991403</v>
      </c>
      <c r="N128">
        <f>2*0.000001*N112/(PI()*$L$127*$L$127/4)</f>
        <v>2.753194469327602</v>
      </c>
      <c r="O128">
        <f>2*0.000001*O112/(PI()*$L$127*$L$127/4)</f>
        <v>2.0648958519957015</v>
      </c>
    </row>
    <row r="129" spans="11:15" ht="12">
      <c r="K129" t="s">
        <v>43</v>
      </c>
      <c r="M129">
        <f>M128*$L$127/$D$114</f>
        <v>48376.71662947448</v>
      </c>
      <c r="N129">
        <f>N128*$L$127/$D$114</f>
        <v>32251.14441964966</v>
      </c>
      <c r="O129">
        <f>O128*$L$127/$D$114</f>
        <v>24188.35831473724</v>
      </c>
    </row>
    <row r="130" spans="11:15" ht="12">
      <c r="K130" t="s">
        <v>18</v>
      </c>
      <c r="M130">
        <f>64/M129</f>
        <v>0.0013229504699582427</v>
      </c>
      <c r="N130">
        <f>64/N129</f>
        <v>0.001984425704937364</v>
      </c>
      <c r="O130">
        <f>64/O129</f>
        <v>0.0026459009399164854</v>
      </c>
    </row>
    <row r="131" spans="11:15" ht="12">
      <c r="K131" t="s">
        <v>20</v>
      </c>
      <c r="M131">
        <f>0.316/(SQRT(SQRT(M129)))</f>
        <v>0.021307278643430766</v>
      </c>
      <c r="N131">
        <f>0.316/(SQRT(SQRT(N129)))</f>
        <v>0.023580380032701628</v>
      </c>
      <c r="O131">
        <f>0.316/(SQRT(SQRT(O129)))</f>
        <v>0.025338767364113397</v>
      </c>
    </row>
    <row r="133" spans="11:15" ht="12">
      <c r="K133" t="s">
        <v>23</v>
      </c>
      <c r="M133">
        <f>IF(M129&gt;3000,M131,M130)</f>
        <v>0.021307278643430766</v>
      </c>
      <c r="N133">
        <f>IF(N129&gt;3000,N131,N130)</f>
        <v>0.023580380032701628</v>
      </c>
      <c r="O133">
        <f>IF(O129&gt;3000,O131,O130)</f>
        <v>0.025338767364113397</v>
      </c>
    </row>
    <row r="135" spans="11:15" ht="12">
      <c r="K135" t="s">
        <v>26</v>
      </c>
      <c r="M135">
        <f>M133*$L$126*$D$112*M128*M128/(2*$L$127)</f>
        <v>367760.2558590854</v>
      </c>
      <c r="N135">
        <f>N133*$L$126*$D$112*N128*N128/(2*$L$127)</f>
        <v>180886.0559749396</v>
      </c>
      <c r="O135">
        <f>O133*$L$126*$D$112*O128*O128/(2*$L$127)</f>
        <v>109335.7782207114</v>
      </c>
    </row>
    <row r="136" spans="11:15" ht="12">
      <c r="K136" t="s">
        <v>57</v>
      </c>
      <c r="M136">
        <f>M135/6895</f>
        <v>53.33723797811246</v>
      </c>
      <c r="N136">
        <f>N135/6895</f>
        <v>26.234380852057956</v>
      </c>
      <c r="O136">
        <f>O135/6895</f>
        <v>15.857255724541176</v>
      </c>
    </row>
    <row r="138" spans="11:12" ht="12">
      <c r="K138" t="s">
        <v>40</v>
      </c>
      <c r="L138">
        <v>25</v>
      </c>
    </row>
    <row r="139" spans="11:12" ht="12">
      <c r="K139" t="s">
        <v>41</v>
      </c>
      <c r="L139">
        <v>0.013</v>
      </c>
    </row>
    <row r="140" spans="11:15" ht="12">
      <c r="K140" t="s">
        <v>42</v>
      </c>
      <c r="M140">
        <f>2*0.000001*M112/(PI()*$L$139*$L$139/4)</f>
        <v>0.8797189428620741</v>
      </c>
      <c r="N140">
        <f>2*0.000001*N112/(PI()*$L$139*$L$139/4)</f>
        <v>0.5864792952413826</v>
      </c>
      <c r="O140">
        <f>2*0.000001*O112/(PI()*$L$139*$L$139/4)</f>
        <v>0.43985947143103704</v>
      </c>
    </row>
    <row r="141" spans="11:15" ht="12">
      <c r="K141" t="s">
        <v>43</v>
      </c>
      <c r="M141">
        <f>M140*$L$139/$D$114</f>
        <v>22327.715367449764</v>
      </c>
      <c r="N141">
        <f>N140*$L$139/$D$114</f>
        <v>14885.14357829984</v>
      </c>
      <c r="O141">
        <f>O140*$L$139/$D$114</f>
        <v>11163.857683724882</v>
      </c>
    </row>
    <row r="142" spans="11:15" ht="12">
      <c r="K142" t="s">
        <v>18</v>
      </c>
      <c r="M142">
        <f>64/M141</f>
        <v>0.0028663926849095255</v>
      </c>
      <c r="N142">
        <f>64/N141</f>
        <v>0.004299589027364289</v>
      </c>
      <c r="O142">
        <f>64/O141</f>
        <v>0.005732785369819051</v>
      </c>
    </row>
    <row r="143" spans="11:15" ht="12">
      <c r="K143" t="s">
        <v>20</v>
      </c>
      <c r="M143">
        <f>0.316/(SQRT(SQRT(M141)))</f>
        <v>0.025850920426188802</v>
      </c>
      <c r="N143">
        <f>0.316/(SQRT(SQRT(N141)))</f>
        <v>0.028608746243274884</v>
      </c>
      <c r="O143">
        <f>0.316/(SQRT(SQRT(O141)))</f>
        <v>0.0307420985001929</v>
      </c>
    </row>
    <row r="145" spans="11:15" ht="12">
      <c r="K145" t="s">
        <v>23</v>
      </c>
      <c r="M145">
        <f>IF(M141&gt;3000,M143,M142)</f>
        <v>0.025850920426188802</v>
      </c>
      <c r="N145">
        <f>IF(N141&gt;3000,N143,N142)</f>
        <v>0.028608746243274884</v>
      </c>
      <c r="O145">
        <f>IF(O141&gt;3000,O143,O142)</f>
        <v>0.0307420985001929</v>
      </c>
    </row>
    <row r="147" spans="11:15" ht="12">
      <c r="K147" t="s">
        <v>26</v>
      </c>
      <c r="M147">
        <f>M145*$L$138*$D$112*M140*M140/(2*$L$139)</f>
        <v>33856.59096640568</v>
      </c>
      <c r="N147">
        <f>N145*$L$138*$D$112*N140*N140/(2*$L$139)</f>
        <v>16652.65648231573</v>
      </c>
      <c r="O147">
        <f>O145*$L$138*$D$112*O140*O140/(2*$L$139)</f>
        <v>10065.62471674662</v>
      </c>
    </row>
    <row r="148" spans="11:15" ht="12">
      <c r="K148" t="s">
        <v>57</v>
      </c>
      <c r="M148">
        <f>M147/6895</f>
        <v>4.910310509993573</v>
      </c>
      <c r="N148">
        <f>N147/6895</f>
        <v>2.4151786051219335</v>
      </c>
      <c r="O148">
        <f>O147/6895</f>
        <v>1.4598440488392488</v>
      </c>
    </row>
    <row r="150" spans="11:15" ht="12">
      <c r="K150" t="s">
        <v>58</v>
      </c>
      <c r="M150">
        <f>M120+2*M136+2*M148</f>
        <v>132.4221418783818</v>
      </c>
      <c r="N150">
        <f>N120+2*N136+2*N148</f>
        <v>65.13297341546486</v>
      </c>
      <c r="O150">
        <f>O120+2*O136+2*O148</f>
        <v>39.36933832641787</v>
      </c>
    </row>
    <row r="152" spans="11:12" ht="12">
      <c r="K152" t="s">
        <v>40</v>
      </c>
      <c r="L152">
        <v>100</v>
      </c>
    </row>
    <row r="153" spans="11:12" ht="12">
      <c r="K153" t="s">
        <v>41</v>
      </c>
      <c r="L153">
        <v>0.02</v>
      </c>
    </row>
    <row r="154" spans="11:15" ht="12">
      <c r="K154" t="s">
        <v>42</v>
      </c>
      <c r="M154">
        <f>2*0.000001*M112/(PI()*$L$153*$L$153/4)</f>
        <v>0.37168125335922625</v>
      </c>
      <c r="N154">
        <f>2*0.000001*N112/(PI()*$L$153*$L$153/4)</f>
        <v>0.24778750223948412</v>
      </c>
      <c r="O154">
        <f>2*0.000001*O112/(PI()*$L$153*$L$153/4)</f>
        <v>0.18584062667961312</v>
      </c>
    </row>
    <row r="155" spans="11:15" ht="12">
      <c r="K155" t="s">
        <v>43</v>
      </c>
      <c r="M155">
        <f>M154*$L$139/$D$114</f>
        <v>9433.459742747522</v>
      </c>
      <c r="N155">
        <f>N154*$L$139/$D$114</f>
        <v>6288.973161831682</v>
      </c>
      <c r="O155">
        <f>O154*$L$139/$D$114</f>
        <v>4716.729871373761</v>
      </c>
    </row>
    <row r="156" spans="11:15" ht="12">
      <c r="K156" t="s">
        <v>18</v>
      </c>
      <c r="M156">
        <f>64/M155</f>
        <v>0.006784361384401246</v>
      </c>
      <c r="N156">
        <f>64/N155</f>
        <v>0.010176542076601867</v>
      </c>
      <c r="O156">
        <f>64/O155</f>
        <v>0.013568722768802492</v>
      </c>
    </row>
    <row r="157" spans="11:15" ht="12">
      <c r="K157" t="s">
        <v>20</v>
      </c>
      <c r="M157">
        <f>0.316/(SQRT(SQRT(M155)))</f>
        <v>0.03206412053949076</v>
      </c>
      <c r="N157">
        <f>0.316/(SQRT(SQRT(N155)))</f>
        <v>0.03548478247214615</v>
      </c>
      <c r="O157">
        <f>0.316/(SQRT(SQRT(O155)))</f>
        <v>0.038130880281867306</v>
      </c>
    </row>
    <row r="159" spans="11:15" ht="12">
      <c r="K159" t="s">
        <v>23</v>
      </c>
      <c r="M159">
        <f>IF(M155&gt;3000,M157,M156)</f>
        <v>0.03206412053949076</v>
      </c>
      <c r="N159">
        <f>IF(N155&gt;3000,N157,N156)</f>
        <v>0.03548478247214615</v>
      </c>
      <c r="O159">
        <f>IF(O155&gt;3000,O157,O156)</f>
        <v>0.038130880281867306</v>
      </c>
    </row>
    <row r="161" spans="11:15" ht="12">
      <c r="K161" t="s">
        <v>26</v>
      </c>
      <c r="M161">
        <f>M159*$L$138*$D$112*M154*M154/(2*$L$139)</f>
        <v>7496.179457264798</v>
      </c>
      <c r="N161">
        <f>N159*$L$138*$D$112*N154*N154/(2*$L$139)</f>
        <v>3687.0605654150745</v>
      </c>
      <c r="O161">
        <f>O159*$L$138*$D$112*O154*O154/(2*$L$139)</f>
        <v>2228.627486479134</v>
      </c>
    </row>
    <row r="162" spans="11:15" ht="12">
      <c r="K162" t="s">
        <v>57</v>
      </c>
      <c r="M162">
        <f>M161/6895</f>
        <v>1.087190639197215</v>
      </c>
      <c r="N162">
        <f>N161/6895</f>
        <v>0.5347440994075525</v>
      </c>
      <c r="O162">
        <f>O161/6895</f>
        <v>0.32322371087442114</v>
      </c>
    </row>
  </sheetData>
  <printOptions/>
  <pageMargins left="0.75" right="0.75" top="1" bottom="1" header="0.5" footer="0.5"/>
  <pageSetup fitToHeight="3" orientation="landscape" paperSize="9" scale="55"/>
  <rowBreaks count="2" manualBreakCount="2">
    <brk id="56" max="65535" man="1"/>
    <brk id="10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F1">
      <selection activeCell="I6" sqref="I6"/>
    </sheetView>
  </sheetViews>
  <sheetFormatPr defaultColWidth="11.421875" defaultRowHeight="12.75"/>
  <cols>
    <col min="1" max="16384" width="8.8515625" style="0" customWidth="1"/>
  </cols>
  <sheetData>
    <row r="1" spans="1:24" ht="33">
      <c r="A1" t="s">
        <v>112</v>
      </c>
      <c r="Q1" s="6"/>
      <c r="R1" s="7"/>
      <c r="S1" s="7" t="s">
        <v>72</v>
      </c>
      <c r="T1" s="7" t="s">
        <v>73</v>
      </c>
      <c r="U1" s="7" t="s">
        <v>74</v>
      </c>
      <c r="V1" s="7" t="s">
        <v>75</v>
      </c>
      <c r="W1" s="7" t="s">
        <v>76</v>
      </c>
      <c r="X1" s="7"/>
    </row>
    <row r="2" spans="18:24" ht="12">
      <c r="R2" s="8" t="s">
        <v>77</v>
      </c>
      <c r="S2" s="8">
        <v>990</v>
      </c>
      <c r="T2" s="8">
        <v>1490</v>
      </c>
      <c r="U2" s="8">
        <v>1</v>
      </c>
      <c r="V2" s="8">
        <v>7</v>
      </c>
      <c r="W2" s="8">
        <v>5</v>
      </c>
      <c r="X2" s="8" t="s">
        <v>78</v>
      </c>
    </row>
    <row r="3" spans="1:23" ht="12">
      <c r="A3" t="s">
        <v>62</v>
      </c>
      <c r="B3" t="s">
        <v>61</v>
      </c>
      <c r="D3" t="s">
        <v>94</v>
      </c>
      <c r="E3" t="s">
        <v>93</v>
      </c>
      <c r="K3" t="s">
        <v>95</v>
      </c>
      <c r="M3">
        <v>1</v>
      </c>
      <c r="N3">
        <v>1.2</v>
      </c>
      <c r="O3">
        <v>0.91</v>
      </c>
      <c r="R3" s="8" t="s">
        <v>79</v>
      </c>
      <c r="S3" s="8">
        <v>6260</v>
      </c>
      <c r="T3" s="8">
        <v>9410</v>
      </c>
      <c r="U3" s="8">
        <v>2</v>
      </c>
      <c r="V3" s="8">
        <v>9</v>
      </c>
      <c r="W3" s="8" t="s">
        <v>80</v>
      </c>
    </row>
    <row r="4" spans="1:23" ht="12">
      <c r="A4" s="1" t="s">
        <v>4</v>
      </c>
      <c r="D4">
        <v>20</v>
      </c>
      <c r="E4">
        <v>-20</v>
      </c>
      <c r="H4" t="s">
        <v>5</v>
      </c>
      <c r="I4">
        <v>0.8</v>
      </c>
      <c r="K4" t="s">
        <v>92</v>
      </c>
      <c r="L4">
        <v>2</v>
      </c>
      <c r="R4" s="8" t="s">
        <v>81</v>
      </c>
      <c r="S4" s="8">
        <v>10200</v>
      </c>
      <c r="T4" s="8">
        <v>10200</v>
      </c>
      <c r="U4" s="8">
        <v>3</v>
      </c>
      <c r="V4" s="8">
        <v>13</v>
      </c>
      <c r="W4" s="8">
        <v>2</v>
      </c>
    </row>
    <row r="5" spans="1:23" ht="12">
      <c r="A5" s="1" t="s">
        <v>6</v>
      </c>
      <c r="K5" t="s">
        <v>66</v>
      </c>
      <c r="L5">
        <v>107.9</v>
      </c>
      <c r="R5" s="8" t="s">
        <v>82</v>
      </c>
      <c r="S5" s="8">
        <v>6000</v>
      </c>
      <c r="T5" s="8">
        <v>24000</v>
      </c>
      <c r="U5" s="8">
        <v>4</v>
      </c>
      <c r="V5" s="8">
        <v>13</v>
      </c>
      <c r="W5" s="8">
        <v>2</v>
      </c>
    </row>
    <row r="6" spans="1:20" ht="12">
      <c r="A6" s="2" t="s">
        <v>8</v>
      </c>
      <c r="H6" t="s">
        <v>9</v>
      </c>
      <c r="K6" t="s">
        <v>90</v>
      </c>
      <c r="L6">
        <v>0.3</v>
      </c>
      <c r="R6" s="8" t="s">
        <v>83</v>
      </c>
      <c r="S6" s="8">
        <v>23450</v>
      </c>
      <c r="T6" s="8">
        <v>45100</v>
      </c>
    </row>
    <row r="7" spans="1:12" ht="12">
      <c r="A7" s="2" t="s">
        <v>10</v>
      </c>
      <c r="H7" t="s">
        <v>11</v>
      </c>
      <c r="I7">
        <v>0.0029</v>
      </c>
      <c r="K7" t="s">
        <v>91</v>
      </c>
      <c r="L7">
        <v>0.9</v>
      </c>
    </row>
    <row r="8" ht="12">
      <c r="A8" s="2"/>
    </row>
    <row r="9" spans="1:17" ht="12">
      <c r="A9" s="2"/>
      <c r="K9" t="s">
        <v>67</v>
      </c>
      <c r="M9">
        <f>M3*$L$4*$L$5/($E$22*($L$7-$L$6))</f>
        <v>3.7944631500187054</v>
      </c>
      <c r="N9">
        <f>N3*$L$4*$L$5/($E$22*($L$7-$L$6))</f>
        <v>4.553355780022446</v>
      </c>
      <c r="O9">
        <f>O3*$L$4*$L$5/($E$22*($L$7-$L$6))</f>
        <v>3.4529614665170216</v>
      </c>
      <c r="Q9" t="s">
        <v>84</v>
      </c>
    </row>
    <row r="10" spans="1:17" ht="12">
      <c r="A10" s="3" t="s">
        <v>13</v>
      </c>
      <c r="D10">
        <v>1319.9</v>
      </c>
      <c r="E10">
        <v>1504.6</v>
      </c>
      <c r="K10" t="s">
        <v>39</v>
      </c>
      <c r="M10">
        <f>1000*M9/$D$10</f>
        <v>2.8748110841872148</v>
      </c>
      <c r="N10">
        <f>1000*N9/$D$10</f>
        <v>3.449773301024657</v>
      </c>
      <c r="O10">
        <f>1000*O9/$D$10</f>
        <v>2.6160780866103654</v>
      </c>
      <c r="Q10" t="s">
        <v>88</v>
      </c>
    </row>
    <row r="11" spans="1:17" ht="12">
      <c r="A11" s="3" t="s">
        <v>15</v>
      </c>
      <c r="D11">
        <v>0.23</v>
      </c>
      <c r="E11">
        <v>0.38</v>
      </c>
      <c r="F11" t="s">
        <v>113</v>
      </c>
      <c r="G11">
        <v>0.11</v>
      </c>
      <c r="Q11" t="s">
        <v>89</v>
      </c>
    </row>
    <row r="12" spans="1:11" ht="12">
      <c r="A12" s="3" t="s">
        <v>17</v>
      </c>
      <c r="D12">
        <f>D11*0.000001</f>
        <v>2.3E-07</v>
      </c>
      <c r="E12">
        <f>E11*0.000001</f>
        <v>3.7999999999999996E-07</v>
      </c>
      <c r="K12" t="s">
        <v>12</v>
      </c>
    </row>
    <row r="13" spans="1:11" ht="12">
      <c r="A13" s="3" t="s">
        <v>19</v>
      </c>
      <c r="K13" t="s">
        <v>16</v>
      </c>
    </row>
    <row r="14" spans="1:11" ht="12">
      <c r="A14" s="3" t="s">
        <v>21</v>
      </c>
      <c r="K14" t="s">
        <v>18</v>
      </c>
    </row>
    <row r="15" spans="1:11" ht="12">
      <c r="A15" s="1" t="s">
        <v>22</v>
      </c>
      <c r="K15" t="s">
        <v>20</v>
      </c>
    </row>
    <row r="16" spans="1:15" ht="12">
      <c r="A16" s="1" t="s">
        <v>24</v>
      </c>
      <c r="K16" t="s">
        <v>23</v>
      </c>
      <c r="M16">
        <f>IF(M11&gt;3000,M13,M12)</f>
        <v>0</v>
      </c>
      <c r="N16">
        <f>IF(N11&gt;3000,N13,N12)</f>
        <v>0</v>
      </c>
      <c r="O16">
        <f>IF(O11&gt;3000,O13,O12)</f>
        <v>0</v>
      </c>
    </row>
    <row r="17" spans="1:11" ht="12">
      <c r="A17" s="1" t="s">
        <v>25</v>
      </c>
      <c r="K17" t="s">
        <v>26</v>
      </c>
    </row>
    <row r="18" spans="1:11" ht="12">
      <c r="A18" s="3" t="s">
        <v>27</v>
      </c>
      <c r="K18" t="s">
        <v>28</v>
      </c>
    </row>
    <row r="19" ht="12">
      <c r="A19" s="3" t="s">
        <v>29</v>
      </c>
    </row>
    <row r="20" spans="1:11" ht="12">
      <c r="A20" t="s">
        <v>63</v>
      </c>
      <c r="D20">
        <v>7.605</v>
      </c>
      <c r="E20">
        <v>2.036</v>
      </c>
      <c r="K20" t="s">
        <v>30</v>
      </c>
    </row>
    <row r="21" spans="1:11" ht="12">
      <c r="A21" t="s">
        <v>64</v>
      </c>
      <c r="D21">
        <v>14.38</v>
      </c>
      <c r="E21">
        <v>17.82</v>
      </c>
      <c r="K21" t="s">
        <v>31</v>
      </c>
    </row>
    <row r="22" spans="1:11" ht="12">
      <c r="A22" t="s">
        <v>65</v>
      </c>
      <c r="D22">
        <f>D21/0.188</f>
        <v>76.48936170212767</v>
      </c>
      <c r="E22">
        <f>E21/0.188</f>
        <v>94.7872340425532</v>
      </c>
      <c r="K22" t="s">
        <v>33</v>
      </c>
    </row>
    <row r="24" ht="12">
      <c r="K24" t="s">
        <v>34</v>
      </c>
    </row>
    <row r="25" spans="1:11" ht="12">
      <c r="A25" t="s">
        <v>62</v>
      </c>
      <c r="B25" t="s">
        <v>61</v>
      </c>
      <c r="K25" t="s">
        <v>34</v>
      </c>
    </row>
    <row r="26" spans="1:22" ht="12">
      <c r="A26" s="1" t="s">
        <v>4</v>
      </c>
      <c r="B26">
        <v>-40</v>
      </c>
      <c r="C26">
        <v>-30</v>
      </c>
      <c r="D26">
        <v>-20</v>
      </c>
      <c r="E26">
        <v>-10</v>
      </c>
      <c r="F26">
        <v>0</v>
      </c>
      <c r="G26">
        <v>10</v>
      </c>
      <c r="H26">
        <v>20</v>
      </c>
      <c r="I26">
        <v>30</v>
      </c>
      <c r="K26" t="s">
        <v>35</v>
      </c>
      <c r="R26" t="s">
        <v>36</v>
      </c>
      <c r="T26">
        <f>0.5*M46*M46*$D$10*((0.5*(1-($L$43/$S$28)))+((1-($L$43/$S$28))*(1-($L$43/$S$28))))</f>
        <v>324.06975431918613</v>
      </c>
      <c r="U26">
        <f>0.5*N46*N46*$D$10*((0.5*(1-($L$43/$S$28)))+((1-($L$43/$S$28))*(1-($L$43/$S$28))))</f>
        <v>466.660446219628</v>
      </c>
      <c r="V26">
        <f>0.5*O46*O46*$D$10*((0.5*(1-($L$43/$S$28)))+((1-($L$43/$S$28))*(1-($L$43/$S$28))))</f>
        <v>268.3621635517181</v>
      </c>
    </row>
    <row r="27" ht="12">
      <c r="A27" s="1" t="s">
        <v>6</v>
      </c>
    </row>
    <row r="28" spans="1:19" ht="12">
      <c r="A28" s="2" t="s">
        <v>8</v>
      </c>
      <c r="K28" t="s">
        <v>37</v>
      </c>
      <c r="L28">
        <f>PI()*L30*L30/4</f>
        <v>7.853981633974483E-07</v>
      </c>
      <c r="R28" t="s">
        <v>38</v>
      </c>
      <c r="S28">
        <f>PI()*S30*S30/4</f>
        <v>7.068583470577034E-06</v>
      </c>
    </row>
    <row r="29" spans="1:19" ht="12">
      <c r="A29" s="2" t="s">
        <v>10</v>
      </c>
      <c r="K29" t="s">
        <v>40</v>
      </c>
      <c r="L29">
        <v>0.99</v>
      </c>
      <c r="R29" t="s">
        <v>40</v>
      </c>
      <c r="S29">
        <v>10.2</v>
      </c>
    </row>
    <row r="30" spans="1:19" ht="12">
      <c r="A30" s="2"/>
      <c r="K30" t="s">
        <v>41</v>
      </c>
      <c r="L30">
        <v>0.001</v>
      </c>
      <c r="R30" t="s">
        <v>41</v>
      </c>
      <c r="S30">
        <v>0.003</v>
      </c>
    </row>
    <row r="31" spans="1:22" ht="12">
      <c r="A31" s="2"/>
      <c r="K31" t="s">
        <v>42</v>
      </c>
      <c r="M31">
        <f>0.000001*M10/(PI()*$L$30*$L$30/4)</f>
        <v>3.6603231560301284</v>
      </c>
      <c r="N31">
        <f>0.000001*N10/(PI()*$L$30*$L$30/4)</f>
        <v>4.392387787236154</v>
      </c>
      <c r="O31">
        <f>0.000001*O10/(PI()*$L$30*$L$30/4)</f>
        <v>3.330894071987417</v>
      </c>
      <c r="R31" t="s">
        <v>42</v>
      </c>
      <c r="T31">
        <f>0.000001*M10/(PI()*$S$30*$S$30/4)</f>
        <v>0.40670257289223655</v>
      </c>
      <c r="U31">
        <f>0.000001*N10/(PI()*$S$30*$S$30/4)</f>
        <v>0.4880430874706838</v>
      </c>
      <c r="V31">
        <f>0.000001*O10/(PI()*$S$30*$S$30/4)</f>
        <v>0.3700993413319352</v>
      </c>
    </row>
    <row r="32" spans="1:22" ht="12">
      <c r="A32" s="3" t="s">
        <v>13</v>
      </c>
      <c r="C32">
        <v>1546.4</v>
      </c>
      <c r="D32">
        <v>1504.6</v>
      </c>
      <c r="E32">
        <v>1461.7</v>
      </c>
      <c r="F32">
        <v>1417</v>
      </c>
      <c r="G32">
        <v>1370.1</v>
      </c>
      <c r="H32">
        <v>1319.9</v>
      </c>
      <c r="I32">
        <v>1265.1</v>
      </c>
      <c r="K32" t="s">
        <v>43</v>
      </c>
      <c r="M32">
        <f>M31*$L$30/$D$12</f>
        <v>15914.44850447882</v>
      </c>
      <c r="N32">
        <f>N31*$L$30/$D$12</f>
        <v>19097.338205374585</v>
      </c>
      <c r="O32">
        <f>O31*$L$30/$D$12</f>
        <v>14482.148139075727</v>
      </c>
      <c r="R32" t="s">
        <v>43</v>
      </c>
      <c r="T32">
        <f>T31*$S$30/$D$12</f>
        <v>5304.8161681596075</v>
      </c>
      <c r="U32">
        <f>U31*$S$30/$D$12</f>
        <v>6365.7794017915285</v>
      </c>
      <c r="V32">
        <f>V31*$S$30/$D$12</f>
        <v>4827.382713025243</v>
      </c>
    </row>
    <row r="33" spans="1:22" ht="12">
      <c r="A33" s="3" t="s">
        <v>15</v>
      </c>
      <c r="C33">
        <v>0.42</v>
      </c>
      <c r="D33">
        <v>0.38</v>
      </c>
      <c r="E33">
        <v>0.33</v>
      </c>
      <c r="F33">
        <v>0.29</v>
      </c>
      <c r="G33">
        <v>0.26</v>
      </c>
      <c r="H33">
        <v>0.23</v>
      </c>
      <c r="K33" t="s">
        <v>18</v>
      </c>
      <c r="M33">
        <f>64/M32</f>
        <v>0.00402150284893557</v>
      </c>
      <c r="N33">
        <f>64/N32</f>
        <v>0.0033512523741129753</v>
      </c>
      <c r="O33">
        <f>64/O32</f>
        <v>0.004419233899929198</v>
      </c>
      <c r="R33" t="s">
        <v>18</v>
      </c>
      <c r="T33">
        <f>64/T32</f>
        <v>0.012064508546806709</v>
      </c>
      <c r="U33">
        <f>64/U32</f>
        <v>0.010053757122338925</v>
      </c>
      <c r="V33">
        <f>64/V32</f>
        <v>0.013257701699787591</v>
      </c>
    </row>
    <row r="34" spans="1:22" ht="12">
      <c r="A34" s="3" t="s">
        <v>17</v>
      </c>
      <c r="C34">
        <f aca="true" t="shared" si="0" ref="C34:H34">C33*0.000001</f>
        <v>4.1999999999999995E-07</v>
      </c>
      <c r="D34">
        <f t="shared" si="0"/>
        <v>3.7999999999999996E-07</v>
      </c>
      <c r="E34">
        <f t="shared" si="0"/>
        <v>3.3E-07</v>
      </c>
      <c r="F34">
        <f t="shared" si="0"/>
        <v>2.9E-07</v>
      </c>
      <c r="G34">
        <f t="shared" si="0"/>
        <v>2.6E-07</v>
      </c>
      <c r="H34">
        <f t="shared" si="0"/>
        <v>2.3E-07</v>
      </c>
      <c r="K34" t="s">
        <v>20</v>
      </c>
      <c r="M34">
        <f>0.316/(SQRT(SQRT(M32)))</f>
        <v>0.028134498893755085</v>
      </c>
      <c r="N34">
        <f>0.316/(SQRT(SQRT(N32)))</f>
        <v>0.026880904180320027</v>
      </c>
      <c r="O34">
        <f>0.316/(SQRT(SQRT(O32)))</f>
        <v>0.02880572671990843</v>
      </c>
      <c r="R34" t="s">
        <v>20</v>
      </c>
      <c r="T34">
        <f>0.316/(SQRT(SQRT(T32)))</f>
        <v>0.037027082861511705</v>
      </c>
      <c r="U34">
        <f>0.316/(SQRT(SQRT(U32)))</f>
        <v>0.0353772594363852</v>
      </c>
      <c r="V34">
        <f>0.316/(SQRT(SQRT(V32)))</f>
        <v>0.03791046836028272</v>
      </c>
    </row>
    <row r="35" ht="12">
      <c r="A35" s="3" t="s">
        <v>19</v>
      </c>
    </row>
    <row r="36" spans="1:22" ht="12">
      <c r="A36" s="3" t="s">
        <v>21</v>
      </c>
      <c r="K36" t="s">
        <v>23</v>
      </c>
      <c r="M36">
        <f>IF(M32&gt;4000,M34,IF(M32&lt;2000,M33,0.032+(0.0397-0.032)*((M32-2000)/2000)))</f>
        <v>0.028134498893755085</v>
      </c>
      <c r="N36">
        <f>IF(N32&gt;4000,N34,IF(N32&lt;2000,N33,0.032+(0.0397-0.032)*((N32-2000)/2000)))</f>
        <v>0.026880904180320027</v>
      </c>
      <c r="O36">
        <f>IF(O32&gt;4000,O34,IF(O32&lt;2000,O33,0.032+(0.0397-0.032)*((O32-2000)/2000)))</f>
        <v>0.02880572671990843</v>
      </c>
      <c r="R36" t="s">
        <v>23</v>
      </c>
      <c r="T36">
        <f>IF(T32&gt;4000,T34,IF(T32&lt;2000,T33,0.032+(0.0397-0.032)*((T32-2000)/2000)))</f>
        <v>0.037027082861511705</v>
      </c>
      <c r="U36">
        <f>IF(U32&gt;4000,U34,IF(U32&lt;2000,U33,0.032+(0.0397-0.032)*((U32-2000)/2000)))</f>
        <v>0.0353772594363852</v>
      </c>
      <c r="V36">
        <f>IF(V32&gt;4000,V34,IF(V32&lt;2000,V33,0.032+(0.0397-0.032)*((V32-2000)/2000)))</f>
        <v>0.03791046836028272</v>
      </c>
    </row>
    <row r="37" spans="1:22" ht="12">
      <c r="A37" s="1" t="s">
        <v>22</v>
      </c>
      <c r="K37" t="s">
        <v>44</v>
      </c>
      <c r="M37">
        <f>1.2*M31*M31*$D$10/2</f>
        <v>10610.38488246733</v>
      </c>
      <c r="N37">
        <f>1.2*N31*N31*$D$10/2</f>
        <v>15278.954230752957</v>
      </c>
      <c r="O37">
        <f>1.2*O31*O31*$D$10/2</f>
        <v>8786.459721171199</v>
      </c>
      <c r="R37" t="s">
        <v>86</v>
      </c>
      <c r="T37">
        <f>1*T31*T31*$D$10/2</f>
        <v>109.16033829698904</v>
      </c>
      <c r="U37">
        <f>1*U31*U31*$D$10/2</f>
        <v>157.19088714766417</v>
      </c>
      <c r="V37">
        <f>1*V31*V31*$D$10/2</f>
        <v>90.39567614373661</v>
      </c>
    </row>
    <row r="38" spans="1:22" ht="12">
      <c r="A38" s="1" t="s">
        <v>24</v>
      </c>
      <c r="K38" t="s">
        <v>26</v>
      </c>
      <c r="M38">
        <f>M36*$L$29*$D$10*M31*M31/(2*$L$30)</f>
        <v>246277.23593392654</v>
      </c>
      <c r="N38">
        <f>N36*$L$29*$D$10*N31*N31/(2*$L$30)</f>
        <v>338837.4863382015</v>
      </c>
      <c r="O38">
        <f>O36*$L$29*$D$10*O31*O31/(2*$L$30)</f>
        <v>208807.79498992083</v>
      </c>
      <c r="R38" t="s">
        <v>26</v>
      </c>
      <c r="T38">
        <f>T36*$S$29*$D$10*T31*T31/(2*$S$30)</f>
        <v>13742.422230465092</v>
      </c>
      <c r="U38">
        <f>U36*$S$29*$D$10*U31*U31/(2*$S$30)</f>
        <v>18907.341505238775</v>
      </c>
      <c r="V38">
        <f>V36*$S$29*$D$10*V31*V31/(2*$S$30)</f>
        <v>11651.604229201868</v>
      </c>
    </row>
    <row r="39" spans="1:22" ht="12">
      <c r="A39" s="1" t="s">
        <v>25</v>
      </c>
      <c r="K39" t="s">
        <v>85</v>
      </c>
      <c r="M39">
        <f>0.00001*(M38+5*M37)</f>
        <v>2.9932916034626325</v>
      </c>
      <c r="N39">
        <f>0.00001*(N38+5*N37)</f>
        <v>4.152322574919664</v>
      </c>
      <c r="O39">
        <f>0.00001*(O38+5*O37)</f>
        <v>2.5274009359577683</v>
      </c>
      <c r="R39" t="s">
        <v>87</v>
      </c>
      <c r="T39">
        <f>0.00001*(T38+2*T37)</f>
        <v>0.1396074290705907</v>
      </c>
      <c r="U39">
        <f>0.00001*(U38+2*U37)</f>
        <v>0.19221723279534106</v>
      </c>
      <c r="V39">
        <f>0.00001*(V38+2*V37)</f>
        <v>0.11832395581489343</v>
      </c>
    </row>
    <row r="40" ht="12">
      <c r="A40" s="3" t="s">
        <v>27</v>
      </c>
    </row>
    <row r="41" spans="1:22" ht="12">
      <c r="A41" s="3" t="s">
        <v>29</v>
      </c>
      <c r="K41" t="s">
        <v>48</v>
      </c>
      <c r="M41">
        <f>0.5*M31*M31*$D$10*((0.5*(1-($L$28/$L$43)))+((1-($L$28/$L$43))*(1-($L$28/$L$43))))</f>
        <v>8289.363189427602</v>
      </c>
      <c r="N41">
        <f>0.5*N31*N31*$D$10*((0.5*(1-($L$28/$L$43)))+((1-($L$28/$L$43))*(1-($L$28/$L$43))))</f>
        <v>11936.682992775746</v>
      </c>
      <c r="O41">
        <f>0.5*O31*O31*$D$10*((0.5*(1-($L$28/$L$43)))+((1-($L$28/$L$43))*(1-($L$28/$L$43))))</f>
        <v>6864.4216571649995</v>
      </c>
      <c r="R41" t="s">
        <v>49</v>
      </c>
      <c r="T41">
        <f>0.5*T31*T31*$D$10*((0.5*(1-($S$28/$S$43)))+((1-($S$28/$S$43))*(1-($S$28/$S$43))))</f>
        <v>44.77279500462441</v>
      </c>
      <c r="U41">
        <f>0.5*U31*U31*$D$10*((0.5*(1-($S$28/$S$43)))+((1-($S$28/$S$43))*(1-($S$28/$S$43))))</f>
        <v>64.47282480665913</v>
      </c>
      <c r="V41">
        <f>0.5*V31*V31*$D$10*((0.5*(1-($S$28/$S$43)))+((1-($S$28/$S$43))*(1-($S$28/$S$43))))</f>
        <v>37.076351543329466</v>
      </c>
    </row>
    <row r="42" spans="1:9" ht="12">
      <c r="A42" t="s">
        <v>63</v>
      </c>
      <c r="C42">
        <v>1.355</v>
      </c>
      <c r="D42">
        <v>2.036</v>
      </c>
      <c r="E42">
        <v>2.953</v>
      </c>
      <c r="F42">
        <v>4.152</v>
      </c>
      <c r="G42">
        <v>5.684</v>
      </c>
      <c r="H42">
        <v>7.605</v>
      </c>
      <c r="I42">
        <v>9.975</v>
      </c>
    </row>
    <row r="43" spans="1:19" ht="12">
      <c r="A43" t="s">
        <v>64</v>
      </c>
      <c r="C43">
        <v>18.53</v>
      </c>
      <c r="D43">
        <v>17.82</v>
      </c>
      <c r="E43">
        <v>17.07</v>
      </c>
      <c r="F43">
        <v>16.26</v>
      </c>
      <c r="G43">
        <v>15.37</v>
      </c>
      <c r="H43">
        <v>14.38</v>
      </c>
      <c r="I43">
        <v>13.27</v>
      </c>
      <c r="K43" t="s">
        <v>50</v>
      </c>
      <c r="L43">
        <f>PI()*L45*L45/4</f>
        <v>3.1415926535897933E-06</v>
      </c>
      <c r="R43" t="s">
        <v>51</v>
      </c>
      <c r="S43">
        <f>PI()*S45*S45/4</f>
        <v>1.2566370614359173E-05</v>
      </c>
    </row>
    <row r="44" spans="1:19" ht="12">
      <c r="A44" t="s">
        <v>65</v>
      </c>
      <c r="C44">
        <f aca="true" t="shared" si="1" ref="C44:I44">C43/0.188</f>
        <v>98.56382978723404</v>
      </c>
      <c r="D44">
        <f t="shared" si="1"/>
        <v>94.7872340425532</v>
      </c>
      <c r="E44">
        <f t="shared" si="1"/>
        <v>90.79787234042553</v>
      </c>
      <c r="F44">
        <f t="shared" si="1"/>
        <v>86.48936170212767</v>
      </c>
      <c r="G44">
        <f t="shared" si="1"/>
        <v>81.75531914893617</v>
      </c>
      <c r="H44">
        <f t="shared" si="1"/>
        <v>76.48936170212767</v>
      </c>
      <c r="I44">
        <f t="shared" si="1"/>
        <v>70.58510638297872</v>
      </c>
      <c r="K44" t="s">
        <v>40</v>
      </c>
      <c r="L44">
        <v>6.26</v>
      </c>
      <c r="R44" t="s">
        <v>40</v>
      </c>
      <c r="S44">
        <v>6</v>
      </c>
    </row>
    <row r="45" spans="11:19" ht="12">
      <c r="K45" t="s">
        <v>41</v>
      </c>
      <c r="L45">
        <v>0.002</v>
      </c>
      <c r="R45" t="s">
        <v>41</v>
      </c>
      <c r="S45">
        <v>0.004</v>
      </c>
    </row>
    <row r="46" spans="11:22" ht="12">
      <c r="K46" t="s">
        <v>42</v>
      </c>
      <c r="M46">
        <f>0.000001*M10/(PI()*$L$45*$L$45/4)</f>
        <v>0.9150807890075321</v>
      </c>
      <c r="N46">
        <f>0.000001*N10/(PI()*$L$45*$L$45/4)</f>
        <v>1.0980969468090385</v>
      </c>
      <c r="O46">
        <f>0.000001*O10/(PI()*$L$45*$L$45/4)</f>
        <v>0.8327235179968543</v>
      </c>
      <c r="R46" t="s">
        <v>42</v>
      </c>
      <c r="T46">
        <f>0.000001*M10/(PI()*$S$45*$S$45/4)</f>
        <v>0.22877019725188302</v>
      </c>
      <c r="U46">
        <f>0.000001*N10/(PI()*$S$45*$S$45/4)</f>
        <v>0.2745242367022596</v>
      </c>
      <c r="V46">
        <f>0.000001*O10/(PI()*$S$45*$S$45/4)</f>
        <v>0.20818087949921357</v>
      </c>
    </row>
    <row r="47" spans="11:22" ht="12">
      <c r="K47" t="s">
        <v>43</v>
      </c>
      <c r="M47">
        <f>M46*$L$45/$D$12</f>
        <v>7957.22425223941</v>
      </c>
      <c r="N47">
        <f>N46*$L$45/$D$12</f>
        <v>9548.669102687292</v>
      </c>
      <c r="O47">
        <f>O46*$L$45/$D$12</f>
        <v>7241.074069537864</v>
      </c>
      <c r="R47" t="s">
        <v>43</v>
      </c>
      <c r="T47">
        <f>T46*$S$45/$D$12</f>
        <v>3978.612126119705</v>
      </c>
      <c r="U47">
        <f>U46*$S$45/$D$12</f>
        <v>4774.334551343646</v>
      </c>
      <c r="V47">
        <f>V46*$S$45/$D$12</f>
        <v>3620.537034768932</v>
      </c>
    </row>
    <row r="48" spans="11:22" ht="12">
      <c r="K48" t="s">
        <v>18</v>
      </c>
      <c r="M48">
        <f>64/M47</f>
        <v>0.00804300569787114</v>
      </c>
      <c r="N48">
        <f>64/N47</f>
        <v>0.006702504748225951</v>
      </c>
      <c r="O48">
        <f>64/O47</f>
        <v>0.008838467799858396</v>
      </c>
      <c r="R48" t="s">
        <v>18</v>
      </c>
      <c r="T48">
        <f>64/T47</f>
        <v>0.01608601139574228</v>
      </c>
      <c r="U48">
        <f>64/U47</f>
        <v>0.013405009496451901</v>
      </c>
      <c r="V48">
        <f>64/V47</f>
        <v>0.01767693559971679</v>
      </c>
    </row>
    <row r="49" spans="1:22" ht="12">
      <c r="A49" t="s">
        <v>68</v>
      </c>
      <c r="B49" t="s">
        <v>69</v>
      </c>
      <c r="K49" t="s">
        <v>20</v>
      </c>
      <c r="M49">
        <f>0.316/(SQRT(SQRT(M47)))</f>
        <v>0.03345774626148973</v>
      </c>
      <c r="N49">
        <f>0.316/(SQRT(SQRT(N47)))</f>
        <v>0.031966962508942966</v>
      </c>
      <c r="O49">
        <f>0.316/(SQRT(SQRT(O47)))</f>
        <v>0.0342559751681391</v>
      </c>
      <c r="R49" t="s">
        <v>20</v>
      </c>
      <c r="T49">
        <f>0.316/(SQRT(SQRT(T47)))</f>
        <v>0.03978818990611928</v>
      </c>
      <c r="U49">
        <f>0.316/(SQRT(SQRT(U47)))</f>
        <v>0.03801533926066021</v>
      </c>
      <c r="V49">
        <f>0.316/(SQRT(SQRT(V47)))</f>
        <v>0.04073744940130755</v>
      </c>
    </row>
    <row r="50" spans="1:9" ht="12">
      <c r="A50" s="1" t="s">
        <v>4</v>
      </c>
      <c r="B50">
        <v>-40</v>
      </c>
      <c r="C50">
        <v>-30</v>
      </c>
      <c r="D50">
        <v>-20</v>
      </c>
      <c r="E50">
        <v>-10</v>
      </c>
      <c r="F50">
        <v>0</v>
      </c>
      <c r="G50">
        <v>10</v>
      </c>
      <c r="H50">
        <v>20</v>
      </c>
      <c r="I50">
        <v>30</v>
      </c>
    </row>
    <row r="51" spans="1:22" ht="12">
      <c r="A51" s="1" t="s">
        <v>6</v>
      </c>
      <c r="K51" t="s">
        <v>23</v>
      </c>
      <c r="M51">
        <f>IF(M47&gt;4000,M49,IF(M47&lt;2000,M48,0.032+(0.0397-0.032)*((M47-2000)/2000)))</f>
        <v>0.03345774626148973</v>
      </c>
      <c r="N51">
        <f>IF(N47&gt;4000,N49,IF(N47&lt;2000,N48,0.032+(0.0397-0.032)*((N47-2000)/2000)))</f>
        <v>0.031966962508942966</v>
      </c>
      <c r="O51">
        <f>IF(O47&gt;4000,O49,IF(O47&lt;2000,O48,0.032+(0.0397-0.032)*((O47-2000)/2000)))</f>
        <v>0.0342559751681391</v>
      </c>
      <c r="R51" t="s">
        <v>23</v>
      </c>
      <c r="T51">
        <f>IF(T47&gt;4000,T49,IF(T47&lt;2000,T48,0.032+(0.0397-0.032)*((T47-2000)/2000)))</f>
        <v>0.039617656685560866</v>
      </c>
      <c r="U51">
        <f>IF(U47&gt;4000,U49,IF(U47&lt;2000,U48,0.032+(0.0397-0.032)*((U47-2000)/2000)))</f>
        <v>0.03801533926066021</v>
      </c>
      <c r="V51">
        <f>IF(V47&gt;4000,V49,IF(V47&lt;2000,V48,0.032+(0.0397-0.032)*((V47-2000)/2000)))</f>
        <v>0.038239067583860385</v>
      </c>
    </row>
    <row r="52" spans="1:22" ht="12">
      <c r="A52" s="2" t="s">
        <v>8</v>
      </c>
      <c r="K52" t="s">
        <v>86</v>
      </c>
      <c r="M52">
        <f>1*M46*M46*$D$10/2</f>
        <v>552.6242126285068</v>
      </c>
      <c r="N52">
        <f>1*N46*N46*$D$10/2</f>
        <v>795.7788661850498</v>
      </c>
      <c r="O52">
        <f>1*O46*O46*$D$10/2</f>
        <v>457.6281104776666</v>
      </c>
      <c r="R52" t="s">
        <v>86</v>
      </c>
      <c r="T52">
        <f>1*T46*T46*$D$10/2</f>
        <v>34.53901328928168</v>
      </c>
      <c r="U52">
        <f>1*U46*U46*$D$10/2</f>
        <v>49.73617913656561</v>
      </c>
      <c r="V52">
        <f>1*V46*V46*$D$10/2</f>
        <v>28.601756904854163</v>
      </c>
    </row>
    <row r="53" spans="1:22" ht="12">
      <c r="A53" s="2" t="s">
        <v>10</v>
      </c>
      <c r="K53" t="s">
        <v>26</v>
      </c>
      <c r="M53">
        <f>M51*$L$44*$D$10*M46*M46/(2*$L$45)</f>
        <v>57872.3249411708</v>
      </c>
      <c r="N53">
        <f>N51*$L$44*$D$10*N46*N46/(2*$L$45)</f>
        <v>79622.92185573693</v>
      </c>
      <c r="O53">
        <f>O51*$L$44*$D$10*O46*O46/(2*$L$45)</f>
        <v>49067.4362008356</v>
      </c>
      <c r="R53" t="s">
        <v>26</v>
      </c>
      <c r="T53">
        <f>T51*$S$44*$D$10*T46*T46/(2*$S$45)</f>
        <v>2052.5321561291785</v>
      </c>
      <c r="U53">
        <f>U51*$S$44*$D$10*U46*U46/(2*$S$45)</f>
        <v>2836.1065851082676</v>
      </c>
      <c r="V53">
        <f>V51*$S$44*$D$10*V46*V46/(2*$S$45)</f>
        <v>1640.5567729527954</v>
      </c>
    </row>
    <row r="54" spans="1:22" ht="12">
      <c r="A54" s="2"/>
      <c r="K54" t="s">
        <v>85</v>
      </c>
      <c r="M54">
        <f>0.00001*(M53+5*M52)</f>
        <v>0.6063544600431334</v>
      </c>
      <c r="N54">
        <f>0.00001*(N53+5*N52)</f>
        <v>0.8360181618666219</v>
      </c>
      <c r="O54">
        <f>0.00001*(O53+5*O52)</f>
        <v>0.5135557675322393</v>
      </c>
      <c r="R54" t="s">
        <v>87</v>
      </c>
      <c r="T54">
        <f>0.00001*(T53+2*T52)</f>
        <v>0.02121610182707742</v>
      </c>
      <c r="U54">
        <f>0.00001*(U53+2*U52)</f>
        <v>0.029355789433813992</v>
      </c>
      <c r="V54">
        <f>0.00001*(V53+2*V52)</f>
        <v>0.01697760286762504</v>
      </c>
    </row>
    <row r="55" ht="12">
      <c r="A55" s="2"/>
    </row>
    <row r="56" spans="1:15" ht="12">
      <c r="A56" s="3" t="s">
        <v>13</v>
      </c>
      <c r="C56">
        <v>1720</v>
      </c>
      <c r="D56">
        <v>1681.2</v>
      </c>
      <c r="E56">
        <v>1641.9</v>
      </c>
      <c r="F56">
        <v>1602.49</v>
      </c>
      <c r="G56">
        <v>1562.67</v>
      </c>
      <c r="H56">
        <v>1522.07</v>
      </c>
      <c r="I56">
        <v>1480.23</v>
      </c>
      <c r="K56" t="s">
        <v>54</v>
      </c>
      <c r="M56">
        <f>M39+M54+T39+T54+0.00001*(M41+T26+T41)</f>
        <v>3.8470516517909483</v>
      </c>
      <c r="N56">
        <f>N39+N54+U39+U54+0.00001*(N41+U26+U41)</f>
        <v>5.334591921653461</v>
      </c>
      <c r="O56">
        <f>O39+O54+V39+V54+0.00001*(O41+V26+V41)</f>
        <v>3.247956863895127</v>
      </c>
    </row>
    <row r="57" spans="1:15" ht="12">
      <c r="A57" s="3" t="s">
        <v>15</v>
      </c>
      <c r="C57">
        <v>0.5</v>
      </c>
      <c r="D57">
        <v>0.425</v>
      </c>
      <c r="E57">
        <v>0.37</v>
      </c>
      <c r="F57">
        <v>0.33</v>
      </c>
      <c r="G57">
        <v>0.29</v>
      </c>
      <c r="H57">
        <v>0.26</v>
      </c>
      <c r="K57" t="s">
        <v>71</v>
      </c>
      <c r="M57">
        <f>M56-M39</f>
        <v>0.8537600483283159</v>
      </c>
      <c r="N57">
        <f>N56-N39</f>
        <v>1.182269346733797</v>
      </c>
      <c r="O57">
        <f>O56-O39</f>
        <v>0.7205559279373586</v>
      </c>
    </row>
    <row r="58" spans="1:8" ht="12">
      <c r="A58" s="3" t="s">
        <v>17</v>
      </c>
      <c r="C58">
        <f aca="true" t="shared" si="2" ref="C58:H58">C57*0.000001</f>
        <v>5E-07</v>
      </c>
      <c r="D58">
        <f t="shared" si="2"/>
        <v>4.2499999999999995E-07</v>
      </c>
      <c r="E58">
        <f t="shared" si="2"/>
        <v>3.7E-07</v>
      </c>
      <c r="F58">
        <f t="shared" si="2"/>
        <v>3.3E-07</v>
      </c>
      <c r="G58">
        <f t="shared" si="2"/>
        <v>2.9E-07</v>
      </c>
      <c r="H58">
        <f t="shared" si="2"/>
        <v>2.6E-07</v>
      </c>
    </row>
    <row r="59" spans="1:6" ht="12">
      <c r="A59" s="3" t="s">
        <v>19</v>
      </c>
      <c r="F59" s="5">
        <f>F60*1000</f>
        <v>465.3</v>
      </c>
    </row>
    <row r="60" spans="1:9" ht="12">
      <c r="A60" s="3" t="s">
        <v>21</v>
      </c>
      <c r="F60" s="5">
        <v>0.4653</v>
      </c>
      <c r="I60" t="s">
        <v>70</v>
      </c>
    </row>
    <row r="61" ht="12">
      <c r="A61" s="1" t="s">
        <v>22</v>
      </c>
    </row>
    <row r="62" ht="12">
      <c r="A62" s="1" t="s">
        <v>24</v>
      </c>
    </row>
    <row r="63" ht="12">
      <c r="A63" s="1" t="s">
        <v>25</v>
      </c>
    </row>
    <row r="64" ht="12">
      <c r="A64" s="3" t="s">
        <v>27</v>
      </c>
    </row>
    <row r="65" ht="12">
      <c r="A65" s="3" t="s">
        <v>29</v>
      </c>
    </row>
    <row r="66" spans="1:9" ht="12">
      <c r="A66" t="s">
        <v>63</v>
      </c>
      <c r="C66">
        <v>0.28</v>
      </c>
      <c r="D66">
        <v>0.4637</v>
      </c>
      <c r="E66">
        <v>0.7284</v>
      </c>
      <c r="F66">
        <v>1.0999</v>
      </c>
      <c r="G66">
        <v>1.6045</v>
      </c>
      <c r="H66">
        <v>2.271</v>
      </c>
      <c r="I66">
        <v>3.1306</v>
      </c>
    </row>
    <row r="67" spans="1:9" ht="12">
      <c r="A67" t="s">
        <v>64</v>
      </c>
      <c r="C67">
        <v>25.18</v>
      </c>
      <c r="D67">
        <v>24.31</v>
      </c>
      <c r="E67">
        <v>23.58</v>
      </c>
      <c r="F67">
        <v>22.81</v>
      </c>
      <c r="G67">
        <v>21.99</v>
      </c>
      <c r="H67">
        <v>21.12</v>
      </c>
      <c r="I67">
        <v>20.21</v>
      </c>
    </row>
    <row r="68" spans="1:9" ht="12">
      <c r="A68" t="s">
        <v>65</v>
      </c>
      <c r="C68">
        <f>C67/0.238</f>
        <v>105.7983193277311</v>
      </c>
      <c r="D68">
        <f aca="true" t="shared" si="3" ref="D68:I68">D67/0.238</f>
        <v>102.14285714285714</v>
      </c>
      <c r="E68">
        <f t="shared" si="3"/>
        <v>99.07563025210084</v>
      </c>
      <c r="F68">
        <f t="shared" si="3"/>
        <v>95.84033613445378</v>
      </c>
      <c r="G68">
        <f t="shared" si="3"/>
        <v>92.39495798319328</v>
      </c>
      <c r="H68">
        <f t="shared" si="3"/>
        <v>88.73949579831934</v>
      </c>
      <c r="I68">
        <f t="shared" si="3"/>
        <v>84.91596638655463</v>
      </c>
    </row>
  </sheetData>
  <printOptions/>
  <pageMargins left="0.75" right="0.75" top="1" bottom="1" header="0.5" footer="0.5"/>
  <pageSetup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7"/>
  <sheetViews>
    <sheetView workbookViewId="0" topLeftCell="C2">
      <selection activeCell="D20" sqref="D20"/>
    </sheetView>
  </sheetViews>
  <sheetFormatPr defaultColWidth="11.421875" defaultRowHeight="12.75"/>
  <sheetData>
    <row r="1" spans="1:24" ht="21.75">
      <c r="A1" t="s">
        <v>137</v>
      </c>
      <c r="Q1" s="6"/>
      <c r="R1" s="7"/>
      <c r="S1" s="7" t="s">
        <v>72</v>
      </c>
      <c r="T1" s="7" t="s">
        <v>73</v>
      </c>
      <c r="U1" s="7" t="s">
        <v>74</v>
      </c>
      <c r="V1" s="7" t="s">
        <v>75</v>
      </c>
      <c r="W1" s="7" t="s">
        <v>76</v>
      </c>
      <c r="X1" s="7"/>
    </row>
    <row r="2" spans="18:24" ht="12">
      <c r="R2" s="8" t="s">
        <v>77</v>
      </c>
      <c r="S2" s="8">
        <v>990</v>
      </c>
      <c r="T2" s="8">
        <v>1490</v>
      </c>
      <c r="U2" s="8">
        <v>1</v>
      </c>
      <c r="V2" s="8">
        <v>7</v>
      </c>
      <c r="W2" s="8">
        <v>5</v>
      </c>
      <c r="X2" s="8" t="s">
        <v>78</v>
      </c>
    </row>
    <row r="3" spans="1:23" ht="12">
      <c r="A3" t="s">
        <v>68</v>
      </c>
      <c r="B3" t="s">
        <v>69</v>
      </c>
      <c r="D3" t="s">
        <v>103</v>
      </c>
      <c r="E3" t="s">
        <v>104</v>
      </c>
      <c r="R3" s="8" t="s">
        <v>79</v>
      </c>
      <c r="S3" s="8">
        <v>6260</v>
      </c>
      <c r="T3" s="8">
        <v>9410</v>
      </c>
      <c r="U3" s="8">
        <v>2</v>
      </c>
      <c r="V3" s="8">
        <v>9</v>
      </c>
      <c r="W3" s="8" t="s">
        <v>80</v>
      </c>
    </row>
    <row r="4" spans="1:23" ht="12">
      <c r="A4" s="1" t="s">
        <v>4</v>
      </c>
      <c r="D4">
        <v>-20</v>
      </c>
      <c r="E4">
        <v>-20</v>
      </c>
      <c r="H4" t="s">
        <v>5</v>
      </c>
      <c r="I4">
        <v>0.8</v>
      </c>
      <c r="K4" t="s">
        <v>92</v>
      </c>
      <c r="L4">
        <v>2</v>
      </c>
      <c r="R4" s="8" t="s">
        <v>81</v>
      </c>
      <c r="S4" s="8">
        <v>10200</v>
      </c>
      <c r="T4" s="8">
        <v>10200</v>
      </c>
      <c r="U4" s="8">
        <v>3</v>
      </c>
      <c r="V4" s="8">
        <v>13</v>
      </c>
      <c r="W4" s="8">
        <v>2</v>
      </c>
    </row>
    <row r="5" spans="1:23" ht="12">
      <c r="A5" s="1" t="s">
        <v>6</v>
      </c>
      <c r="K5" t="s">
        <v>66</v>
      </c>
      <c r="L5">
        <v>107.9</v>
      </c>
      <c r="R5" s="8" t="s">
        <v>82</v>
      </c>
      <c r="S5" s="8">
        <v>6000</v>
      </c>
      <c r="T5" s="8">
        <v>24000</v>
      </c>
      <c r="U5" s="8">
        <v>4</v>
      </c>
      <c r="V5" s="8">
        <v>13</v>
      </c>
      <c r="W5" s="8">
        <v>2</v>
      </c>
    </row>
    <row r="6" spans="1:20" ht="12">
      <c r="A6" s="2" t="s">
        <v>8</v>
      </c>
      <c r="H6" t="s">
        <v>9</v>
      </c>
      <c r="I6">
        <v>6.61E-06</v>
      </c>
      <c r="K6" t="s">
        <v>90</v>
      </c>
      <c r="L6">
        <v>0.65</v>
      </c>
      <c r="R6" s="8" t="s">
        <v>83</v>
      </c>
      <c r="S6" s="8">
        <v>23450</v>
      </c>
      <c r="T6" s="8">
        <v>45100</v>
      </c>
    </row>
    <row r="7" spans="1:12" ht="12">
      <c r="A7" s="2" t="s">
        <v>10</v>
      </c>
      <c r="C7" t="s">
        <v>134</v>
      </c>
      <c r="D7">
        <v>1.21</v>
      </c>
      <c r="H7" t="s">
        <v>11</v>
      </c>
      <c r="I7">
        <v>0.0029</v>
      </c>
      <c r="K7" t="s">
        <v>91</v>
      </c>
      <c r="L7">
        <v>0.9</v>
      </c>
    </row>
    <row r="8" spans="1:4" ht="12">
      <c r="A8" s="2" t="s">
        <v>114</v>
      </c>
      <c r="D8">
        <v>238</v>
      </c>
    </row>
    <row r="9" spans="1:18" ht="12">
      <c r="A9" s="2"/>
      <c r="C9" t="s">
        <v>135</v>
      </c>
      <c r="D9">
        <f>8312/D8</f>
        <v>34.924369747899156</v>
      </c>
      <c r="H9">
        <f>H3*$L$4*$L$5/($D$22*($L$7-$L$6))</f>
        <v>0</v>
      </c>
      <c r="I9">
        <f>I3*$L$4*$L$5/($D$22*($L$7-$L$6))</f>
        <v>0</v>
      </c>
      <c r="J9">
        <f>J3*$L$4*$L$5/($D$22*($L$7-$L$6))</f>
        <v>0</v>
      </c>
      <c r="K9" t="s">
        <v>67</v>
      </c>
      <c r="M9">
        <v>1.86</v>
      </c>
      <c r="N9">
        <f>1.5*M9</f>
        <v>2.79</v>
      </c>
      <c r="O9">
        <f>2*M9</f>
        <v>3.72</v>
      </c>
      <c r="R9" t="s">
        <v>84</v>
      </c>
    </row>
    <row r="10" spans="1:18" ht="12">
      <c r="A10" s="3" t="s">
        <v>13</v>
      </c>
      <c r="B10" t="s">
        <v>106</v>
      </c>
      <c r="D10">
        <f>(0.001*D8/0.0224)*$D$20*(273.15/(273.15+$E$4))</f>
        <v>6.878653960102706</v>
      </c>
      <c r="K10" t="s">
        <v>39</v>
      </c>
      <c r="M10">
        <f>1000*M9/$D$10</f>
        <v>270.4017400480236</v>
      </c>
      <c r="N10">
        <f>1000*N9/$D$10</f>
        <v>405.6026100720354</v>
      </c>
      <c r="O10">
        <f>1000*O9/$D$10</f>
        <v>540.8034800960472</v>
      </c>
      <c r="R10" t="s">
        <v>88</v>
      </c>
    </row>
    <row r="11" spans="1:18" ht="12">
      <c r="A11" s="3" t="s">
        <v>15</v>
      </c>
      <c r="D11">
        <f>1000000*D12</f>
        <v>1.3083955163614047</v>
      </c>
      <c r="R11" t="s">
        <v>89</v>
      </c>
    </row>
    <row r="12" spans="1:4" ht="12">
      <c r="A12" s="3" t="s">
        <v>17</v>
      </c>
      <c r="D12">
        <f>D13*0.000001/D10</f>
        <v>1.3083955163614047E-06</v>
      </c>
    </row>
    <row r="13" spans="1:5" ht="12">
      <c r="A13" s="3" t="s">
        <v>19</v>
      </c>
      <c r="B13" t="s">
        <v>110</v>
      </c>
      <c r="C13" t="s">
        <v>107</v>
      </c>
      <c r="D13">
        <v>9</v>
      </c>
      <c r="E13" t="s">
        <v>108</v>
      </c>
    </row>
    <row r="14" ht="12">
      <c r="A14" s="3" t="s">
        <v>21</v>
      </c>
    </row>
    <row r="15" ht="12">
      <c r="A15" s="1" t="s">
        <v>22</v>
      </c>
    </row>
    <row r="16" ht="12">
      <c r="A16" s="1" t="s">
        <v>24</v>
      </c>
    </row>
    <row r="17" ht="12">
      <c r="A17" s="1" t="s">
        <v>25</v>
      </c>
    </row>
    <row r="18" spans="1:12" ht="12">
      <c r="A18" s="3" t="s">
        <v>27</v>
      </c>
      <c r="K18" t="s">
        <v>141</v>
      </c>
      <c r="L18">
        <f>D20</f>
        <v>0.6</v>
      </c>
    </row>
    <row r="19" spans="1:15" ht="12">
      <c r="A19" s="3" t="s">
        <v>29</v>
      </c>
      <c r="C19" t="s">
        <v>115</v>
      </c>
      <c r="D19">
        <v>0.6</v>
      </c>
      <c r="L19" t="s">
        <v>142</v>
      </c>
      <c r="M19">
        <f>$D$20-T127</f>
        <v>0.0067479378818918745</v>
      </c>
      <c r="N19">
        <f>$D$20-U127</f>
        <v>0.014317331436621838</v>
      </c>
      <c r="O19">
        <f>$D$20-V127</f>
        <v>0.024523250891654413</v>
      </c>
    </row>
    <row r="20" spans="1:15" ht="12">
      <c r="A20" t="s">
        <v>63</v>
      </c>
      <c r="D20">
        <f>IF(D19&gt;0.001,D19,0.5*($D$66+$D$66))</f>
        <v>0.6</v>
      </c>
      <c r="E20" t="s">
        <v>102</v>
      </c>
      <c r="G20">
        <f>$D$20-T127</f>
        <v>0.0067479378818918745</v>
      </c>
      <c r="H20">
        <f>$D$20-U127</f>
        <v>0.014317331436621838</v>
      </c>
      <c r="I20">
        <f>$D$20-V127</f>
        <v>0.024523250891654413</v>
      </c>
      <c r="L20" t="s">
        <v>133</v>
      </c>
      <c r="M20">
        <f>T127</f>
        <v>0.5932520621181081</v>
      </c>
      <c r="N20">
        <f>U127</f>
        <v>0.5856826685633781</v>
      </c>
      <c r="O20">
        <f>V127</f>
        <v>0.5754767491083456</v>
      </c>
    </row>
    <row r="21" spans="1:15" ht="12">
      <c r="A21" t="s">
        <v>64</v>
      </c>
      <c r="D21">
        <f>0.5*(D67+D67)</f>
        <v>24.31</v>
      </c>
      <c r="L21" t="s">
        <v>132</v>
      </c>
      <c r="M21">
        <f>MAX(M41,M61,M75,M89,M103,T61,T75,T89,T103,T124)</f>
        <v>0.09325635846792077</v>
      </c>
      <c r="N21">
        <f>MAX(N41,N61,N75,N89,N103,U61,U75,U89,U103,U124)</f>
        <v>0.14169241281057138</v>
      </c>
      <c r="O21">
        <f>MAX(O41,O61,O75,O89,O103,V61,V75,V89,V103,V124)</f>
        <v>0.19227371758264894</v>
      </c>
    </row>
    <row r="22" spans="1:15" ht="12">
      <c r="A22" t="s">
        <v>65</v>
      </c>
      <c r="D22">
        <f>D21/(0.001*D8)</f>
        <v>102.14285714285712</v>
      </c>
      <c r="L22" t="s">
        <v>140</v>
      </c>
      <c r="M22">
        <f>MAX(M41,M61,M75,M89,M103,T61,T75,T89,T103)</f>
        <v>0.09321786363108076</v>
      </c>
      <c r="N22">
        <f>MAX(N41,N61,N75,N89,N103,U61,U75,U89,U103)</f>
        <v>0.14157086473396216</v>
      </c>
      <c r="O22">
        <f>MAX(O41,O61,O75,O89,O103,V61,V75,V89,V103)</f>
        <v>0.19199253004753764</v>
      </c>
    </row>
    <row r="25" spans="1:3" ht="12">
      <c r="A25" t="s">
        <v>62</v>
      </c>
      <c r="B25" t="s">
        <v>61</v>
      </c>
      <c r="C25" t="s">
        <v>111</v>
      </c>
    </row>
    <row r="26" spans="1:9" ht="12">
      <c r="A26" s="1" t="s">
        <v>4</v>
      </c>
      <c r="B26">
        <v>-40</v>
      </c>
      <c r="C26">
        <v>-30</v>
      </c>
      <c r="D26">
        <v>-20</v>
      </c>
      <c r="E26">
        <v>-10</v>
      </c>
      <c r="F26">
        <v>0</v>
      </c>
      <c r="G26">
        <v>10</v>
      </c>
      <c r="H26">
        <v>20</v>
      </c>
      <c r="I26">
        <v>30</v>
      </c>
    </row>
    <row r="27" ht="12">
      <c r="A27" s="1" t="s">
        <v>6</v>
      </c>
    </row>
    <row r="28" spans="1:12" ht="12">
      <c r="A28" s="2" t="s">
        <v>8</v>
      </c>
      <c r="K28" t="s">
        <v>37</v>
      </c>
      <c r="L28">
        <f>PI()*L30*L30/4</f>
        <v>2.5517586328783095E-05</v>
      </c>
    </row>
    <row r="29" spans="1:12" ht="12">
      <c r="A29" s="2" t="s">
        <v>10</v>
      </c>
      <c r="K29" t="s">
        <v>40</v>
      </c>
      <c r="L29">
        <v>0.02</v>
      </c>
    </row>
    <row r="30" spans="1:12" ht="12">
      <c r="A30" s="2"/>
      <c r="K30" t="s">
        <v>41</v>
      </c>
      <c r="L30">
        <v>0.0057</v>
      </c>
    </row>
    <row r="31" spans="1:12" ht="12">
      <c r="A31" s="2"/>
      <c r="K31" t="s">
        <v>116</v>
      </c>
      <c r="L31">
        <v>-20</v>
      </c>
    </row>
    <row r="32" spans="1:15" ht="12">
      <c r="A32" s="3" t="s">
        <v>13</v>
      </c>
      <c r="C32">
        <v>1546.4</v>
      </c>
      <c r="D32">
        <v>1504.6</v>
      </c>
      <c r="E32">
        <v>1461.7</v>
      </c>
      <c r="F32">
        <v>1417</v>
      </c>
      <c r="G32">
        <v>1370.1</v>
      </c>
      <c r="H32">
        <v>1319.9</v>
      </c>
      <c r="I32">
        <v>1265.1</v>
      </c>
      <c r="K32" t="s">
        <v>117</v>
      </c>
      <c r="M32">
        <f>$D$10*(273.15+$E$4)/(273.15+$L$31)</f>
        <v>6.878653960102706</v>
      </c>
      <c r="N32">
        <f>$D$10*(273.15+$E$4)/(273.15+$L$31)</f>
        <v>6.878653960102706</v>
      </c>
      <c r="O32">
        <f>$D$10*(273.15+$E$4)/(273.15+$L$31)</f>
        <v>6.878653960102706</v>
      </c>
    </row>
    <row r="33" spans="1:15" ht="12">
      <c r="A33" s="3" t="s">
        <v>15</v>
      </c>
      <c r="C33">
        <v>0.42</v>
      </c>
      <c r="D33">
        <v>0.38</v>
      </c>
      <c r="E33">
        <v>0.33</v>
      </c>
      <c r="F33">
        <v>0.29</v>
      </c>
      <c r="G33">
        <v>0.26</v>
      </c>
      <c r="H33">
        <v>0.23</v>
      </c>
      <c r="K33" t="s">
        <v>118</v>
      </c>
      <c r="M33">
        <f>$L$6*M10</f>
        <v>175.76113103121534</v>
      </c>
      <c r="N33">
        <f>$L$6*N10</f>
        <v>263.641696546823</v>
      </c>
      <c r="O33">
        <f>$L$6*O10</f>
        <v>351.5222620624307</v>
      </c>
    </row>
    <row r="34" spans="1:15" ht="12">
      <c r="A34" s="3" t="s">
        <v>17</v>
      </c>
      <c r="C34">
        <f aca="true" t="shared" si="0" ref="C34:H34">C33*0.000001</f>
        <v>4.1999999999999995E-07</v>
      </c>
      <c r="D34">
        <f t="shared" si="0"/>
        <v>3.7999999999999996E-07</v>
      </c>
      <c r="E34">
        <f t="shared" si="0"/>
        <v>3.3E-07</v>
      </c>
      <c r="F34">
        <f t="shared" si="0"/>
        <v>2.9E-07</v>
      </c>
      <c r="G34">
        <f t="shared" si="0"/>
        <v>2.6E-07</v>
      </c>
      <c r="H34">
        <f t="shared" si="0"/>
        <v>2.3E-07</v>
      </c>
      <c r="K34" t="s">
        <v>42</v>
      </c>
      <c r="M34">
        <f>0.000001*M33/(PI()*$L$30*$L$30/4)</f>
        <v>6.887843104226589</v>
      </c>
      <c r="N34">
        <f>0.000001*N33/(PI()*$L$30*$L$30/4)</f>
        <v>10.331764656339884</v>
      </c>
      <c r="O34">
        <f>0.000001*O33/(PI()*$L$30*$L$30/4)</f>
        <v>13.775686208453179</v>
      </c>
    </row>
    <row r="35" spans="1:15" ht="12">
      <c r="A35" s="3" t="s">
        <v>19</v>
      </c>
      <c r="C35">
        <f aca="true" t="shared" si="1" ref="C35:H35">1000000*C34*C32</f>
        <v>649.4879999999999</v>
      </c>
      <c r="D35">
        <f t="shared" si="1"/>
        <v>571.7479999999999</v>
      </c>
      <c r="E35">
        <f t="shared" si="1"/>
        <v>482.36100000000005</v>
      </c>
      <c r="F35">
        <f t="shared" si="1"/>
        <v>410.92999999999995</v>
      </c>
      <c r="G35">
        <f t="shared" si="1"/>
        <v>356.226</v>
      </c>
      <c r="H35">
        <f t="shared" si="1"/>
        <v>303.577</v>
      </c>
      <c r="K35" t="s">
        <v>43</v>
      </c>
      <c r="M35">
        <f>M34*$L$30/($D$13*0.000001/M32)</f>
        <v>30006.756522121083</v>
      </c>
      <c r="N35">
        <f>N34*$L$30/($D$13*0.000001/N32)</f>
        <v>45010.134783181624</v>
      </c>
      <c r="O35">
        <f>O34*$L$30/($D$13*0.000001/O32)</f>
        <v>60013.513044242165</v>
      </c>
    </row>
    <row r="36" spans="1:15" ht="12">
      <c r="A36" s="3" t="s">
        <v>21</v>
      </c>
      <c r="K36" t="s">
        <v>18</v>
      </c>
      <c r="M36">
        <f>64/M35</f>
        <v>0.0021328529777225</v>
      </c>
      <c r="N36">
        <f>64/N35</f>
        <v>0.0014219019851483333</v>
      </c>
      <c r="O36">
        <f>64/O35</f>
        <v>0.00106642648886125</v>
      </c>
    </row>
    <row r="37" spans="1:15" ht="12">
      <c r="A37" s="1" t="s">
        <v>22</v>
      </c>
      <c r="K37" t="s">
        <v>20</v>
      </c>
      <c r="M37">
        <f>0.316/(SQRT(SQRT(M35)))</f>
        <v>0.024009455943911767</v>
      </c>
      <c r="N37">
        <f>0.316/(SQRT(SQRT(N35)))</f>
        <v>0.02169499249650097</v>
      </c>
      <c r="O37">
        <f>0.316/(SQRT(SQRT(O35)))</f>
        <v>0.020189465435427392</v>
      </c>
    </row>
    <row r="38" ht="12">
      <c r="A38" s="1" t="s">
        <v>24</v>
      </c>
    </row>
    <row r="39" spans="1:15" ht="12">
      <c r="A39" s="1" t="s">
        <v>25</v>
      </c>
      <c r="K39" t="s">
        <v>23</v>
      </c>
      <c r="M39">
        <f>IF(M35&gt;4000,M37,IF(M35&lt;2000,M36,0.032+(0.0397-0.032)*((M35-2000)/2000)))</f>
        <v>0.024009455943911767</v>
      </c>
      <c r="N39">
        <f>IF(N35&gt;4000,N37,IF(N35&lt;2000,N36,0.032+(0.0397-0.032)*((N35-2000)/2000)))</f>
        <v>0.02169499249650097</v>
      </c>
      <c r="O39">
        <f>IF(O35&gt;4000,O37,IF(O35&lt;2000,O36,0.032+(0.0397-0.032)*((O35-2000)/2000)))</f>
        <v>0.020189465435427392</v>
      </c>
    </row>
    <row r="40" spans="1:15" ht="12">
      <c r="A40" s="3" t="s">
        <v>27</v>
      </c>
      <c r="K40" t="s">
        <v>105</v>
      </c>
      <c r="M40">
        <f>M39*$L$29/$L$30</f>
        <v>0.08424370506635707</v>
      </c>
      <c r="N40">
        <f>N39*$L$29/$L$30</f>
        <v>0.07612278068947709</v>
      </c>
      <c r="O40">
        <f>O39*$L$29/$L$30</f>
        <v>0.07084022959799086</v>
      </c>
    </row>
    <row r="41" spans="1:15" ht="12">
      <c r="A41" s="3" t="s">
        <v>29</v>
      </c>
      <c r="K41" t="s">
        <v>136</v>
      </c>
      <c r="M41">
        <f>M34*($D$20/M44)/SQRT($D$7*$D$9*(273.15+$L$31))</f>
        <v>0.06660960006121501</v>
      </c>
      <c r="N41">
        <f>N34*($D$20/N44)/SQRT($D$7*$D$9*(273.15+$L$31))</f>
        <v>0.099938067562035</v>
      </c>
      <c r="O41">
        <f>O34*($D$20/O44)/SQRT($D$7*$D$9*(273.15+$L$31))</f>
        <v>0.13329142993155862</v>
      </c>
    </row>
    <row r="42" spans="1:15" ht="12">
      <c r="A42" t="s">
        <v>63</v>
      </c>
      <c r="C42">
        <v>1.355</v>
      </c>
      <c r="D42">
        <v>2.036</v>
      </c>
      <c r="E42">
        <v>2.953</v>
      </c>
      <c r="F42">
        <v>4.152</v>
      </c>
      <c r="G42">
        <v>5.684</v>
      </c>
      <c r="H42">
        <v>7.605</v>
      </c>
      <c r="I42">
        <v>9.975</v>
      </c>
      <c r="K42" t="s">
        <v>44</v>
      </c>
      <c r="M42">
        <f>1.2*M34*M34*M32*(0.00001*M43/$D$20)/2</f>
        <v>195.75897597549132</v>
      </c>
      <c r="N42">
        <f>1.2*N34*N34*N32*(0.00001*N43/$D$20)/2</f>
        <v>440.3533861492697</v>
      </c>
      <c r="O42">
        <f>1.2*O34*O34*O32*(0.00001*O43/$D$20)/2</f>
        <v>782.6115815437407</v>
      </c>
    </row>
    <row r="43" spans="1:15" ht="12">
      <c r="A43" t="s">
        <v>64</v>
      </c>
      <c r="C43">
        <v>18.53</v>
      </c>
      <c r="D43">
        <v>17.82</v>
      </c>
      <c r="E43">
        <v>17.07</v>
      </c>
      <c r="F43">
        <v>16.26</v>
      </c>
      <c r="G43">
        <v>15.37</v>
      </c>
      <c r="H43">
        <v>14.38</v>
      </c>
      <c r="I43">
        <v>13.27</v>
      </c>
      <c r="K43" t="s">
        <v>96</v>
      </c>
      <c r="M43">
        <f>SQRT((10000000000*$D$20*$D$20)-(100000*$D$20*M39*$L$29*M32*M34*M34/($L$30)))</f>
        <v>59986.25239091183</v>
      </c>
      <c r="N43">
        <f>SQRT((10000000000*$D$20*$D$20)-(100000*$D$20*N39*$L$29*N32*N34*N34/($L$30)))</f>
        <v>59972.04636435704</v>
      </c>
      <c r="O43">
        <f>SQRT((10000000000*$D$20*$D$20)-(100000*$D$20*O39*$L$29*O32*O34*O34/($L$30)))</f>
        <v>59953.74620831058</v>
      </c>
    </row>
    <row r="44" spans="1:15" ht="12">
      <c r="A44" t="s">
        <v>65</v>
      </c>
      <c r="C44">
        <f aca="true" t="shared" si="2" ref="C44:I44">C43/0.188</f>
        <v>98.56382978723404</v>
      </c>
      <c r="D44">
        <f t="shared" si="2"/>
        <v>94.7872340425532</v>
      </c>
      <c r="E44">
        <f t="shared" si="2"/>
        <v>90.79787234042553</v>
      </c>
      <c r="F44">
        <f t="shared" si="2"/>
        <v>86.48936170212767</v>
      </c>
      <c r="G44">
        <f t="shared" si="2"/>
        <v>81.75531914893617</v>
      </c>
      <c r="H44">
        <f t="shared" si="2"/>
        <v>76.48936170212767</v>
      </c>
      <c r="I44">
        <f t="shared" si="2"/>
        <v>70.58510638297872</v>
      </c>
      <c r="K44" t="s">
        <v>138</v>
      </c>
      <c r="M44">
        <f>0.00001*(M43-0*M42)</f>
        <v>0.5998625239091183</v>
      </c>
      <c r="N44">
        <f>0.00001*(N43-0*N42)</f>
        <v>0.5997204636435705</v>
      </c>
      <c r="O44">
        <f>0.00001*(O43-0*O42)</f>
        <v>0.5995374620831059</v>
      </c>
    </row>
    <row r="46" spans="11:15" ht="12">
      <c r="K46" t="s">
        <v>48</v>
      </c>
      <c r="M46">
        <f>0.5*M34*M34*M32*((0.5*(1-($L$28/$L$48)))+((1-($L$28/$L$48))*(1-($L$28/$L$48))))</f>
        <v>0</v>
      </c>
      <c r="N46">
        <f>0.5*N34*N34*N32*((0.5*(1-($L$28/$L$48)))+((1-($L$28/$L$48))*(1-($L$28/$L$48))))</f>
        <v>0</v>
      </c>
      <c r="O46">
        <f>0.5*O34*O34*O32*((0.5*(1-($L$28/$L$48)))+((1-($L$28/$L$48))*(1-($L$28/$L$48))))</f>
        <v>0</v>
      </c>
    </row>
    <row r="47" spans="11:15" ht="12">
      <c r="K47" t="s">
        <v>98</v>
      </c>
      <c r="M47">
        <f>M44-0.00001*M46</f>
        <v>0.5998625239091183</v>
      </c>
      <c r="N47">
        <f>N44-0.00001*N46</f>
        <v>0.5997204636435705</v>
      </c>
      <c r="O47">
        <f>O44-0.00001*O46</f>
        <v>0.5995374620831059</v>
      </c>
    </row>
    <row r="48" spans="11:12" ht="12">
      <c r="K48" t="s">
        <v>50</v>
      </c>
      <c r="L48">
        <f>PI()*L50*L50/4</f>
        <v>2.5517586328783095E-05</v>
      </c>
    </row>
    <row r="49" spans="1:12" ht="12">
      <c r="A49" t="s">
        <v>68</v>
      </c>
      <c r="B49" t="s">
        <v>69</v>
      </c>
      <c r="C49" t="s">
        <v>111</v>
      </c>
      <c r="K49" t="s">
        <v>127</v>
      </c>
      <c r="L49">
        <v>0.05</v>
      </c>
    </row>
    <row r="50" spans="1:12" ht="12">
      <c r="A50" s="1" t="s">
        <v>4</v>
      </c>
      <c r="B50">
        <v>-40</v>
      </c>
      <c r="C50">
        <v>-30</v>
      </c>
      <c r="D50">
        <v>-20</v>
      </c>
      <c r="E50">
        <v>-10</v>
      </c>
      <c r="F50">
        <v>0</v>
      </c>
      <c r="G50">
        <v>10</v>
      </c>
      <c r="H50">
        <v>20</v>
      </c>
      <c r="I50">
        <v>30</v>
      </c>
      <c r="K50" t="s">
        <v>128</v>
      </c>
      <c r="L50">
        <f>L30</f>
        <v>0.0057</v>
      </c>
    </row>
    <row r="51" spans="1:12" ht="12">
      <c r="A51" s="1" t="s">
        <v>6</v>
      </c>
      <c r="K51" t="s">
        <v>116</v>
      </c>
      <c r="L51">
        <v>-20</v>
      </c>
    </row>
    <row r="52" ht="12">
      <c r="A52" s="2" t="s">
        <v>8</v>
      </c>
    </row>
    <row r="53" spans="1:19" ht="12">
      <c r="A53" s="2" t="s">
        <v>10</v>
      </c>
      <c r="K53" t="s">
        <v>139</v>
      </c>
      <c r="L53">
        <v>1</v>
      </c>
      <c r="R53" t="s">
        <v>139</v>
      </c>
      <c r="S53">
        <v>5</v>
      </c>
    </row>
    <row r="54" spans="1:22" ht="12">
      <c r="A54" s="2"/>
      <c r="K54" t="s">
        <v>129</v>
      </c>
      <c r="M54">
        <f>0.000001*(M10*($L$6+$L$53*0.125*($L$7-$L$6)))*($D$20/M47)*((273.15+$L$51)/(273.15+$E$4))/(PI()*$L$50*$L$50/4)</f>
        <v>7.220643850464758</v>
      </c>
      <c r="N54">
        <f>0.000001*(N10*($L$6+$L$53*0.125*($L$7-$L$6)))*($D$20/N47)*((273.15+$L$51)/(273.15+$E$4))/(PI()*$L$50*$L$50/4)</f>
        <v>10.833531387457134</v>
      </c>
      <c r="O54">
        <f>0.000001*(O10*($L$6+$L$53*0.125*($L$7-$L$6)))*($D$20/O47)*((273.15+$L$51)/(273.15+$E$4))/(PI()*$L$50*$L$50/4)</f>
        <v>14.449117589213271</v>
      </c>
      <c r="R54" t="s">
        <v>129</v>
      </c>
      <c r="T54">
        <f>0.000001*(M10*($L$6+$S$53*0.125*($L$7-$L$6)))*($D$20/M106)*((273.15+$L$51)/(273.15+$E$4))/(PI()*$L$50*$L$50/4)</f>
        <v>8.581327018306833</v>
      </c>
      <c r="U54">
        <f>0.000001*(N10*($L$6+$S$53*0.125*($L$7-$L$6)))*($D$20/N106)*((273.15+$L$51)/(273.15+$E$4))/(PI()*$L$50*$L$50/4)</f>
        <v>12.935069928356032</v>
      </c>
      <c r="V54">
        <f>0.000001*(O10*($L$6+$S$53*0.125*($L$7-$L$6)))*($D$20/O106)*((273.15+$L$51)/(273.15+$E$4))/(PI()*$L$50*$L$50/4)</f>
        <v>17.360071144049652</v>
      </c>
    </row>
    <row r="55" spans="1:22" ht="12">
      <c r="A55" s="2"/>
      <c r="K55" t="s">
        <v>130</v>
      </c>
      <c r="M55">
        <f>M54*$L$50/$D$12</f>
        <v>31456.596597110747</v>
      </c>
      <c r="N55">
        <f>N54*$L$50/$D$12</f>
        <v>47196.07193414501</v>
      </c>
      <c r="O55">
        <f>O54*$L$50/$D$12</f>
        <v>62947.303952519964</v>
      </c>
      <c r="R55" t="s">
        <v>130</v>
      </c>
      <c r="T55">
        <f>T54*$L$50/$D$12</f>
        <v>37384.386749028</v>
      </c>
      <c r="U55">
        <f>U54*$L$50/$D$12</f>
        <v>56351.38432503137</v>
      </c>
      <c r="V55">
        <f>V54*$L$50/$D$12</f>
        <v>75628.81734436516</v>
      </c>
    </row>
    <row r="56" spans="1:22" ht="12">
      <c r="A56" s="3" t="s">
        <v>13</v>
      </c>
      <c r="C56">
        <v>1720</v>
      </c>
      <c r="D56">
        <v>1681.2</v>
      </c>
      <c r="E56">
        <v>1641.9</v>
      </c>
      <c r="F56">
        <v>1602.49</v>
      </c>
      <c r="G56">
        <v>1562.67</v>
      </c>
      <c r="H56">
        <v>1522.07</v>
      </c>
      <c r="I56">
        <v>1480.23</v>
      </c>
      <c r="K56" t="s">
        <v>18</v>
      </c>
      <c r="M56">
        <f>64/M55</f>
        <v>0.0020345494084976225</v>
      </c>
      <c r="N56">
        <f>64/N55</f>
        <v>0.00135604505581105</v>
      </c>
      <c r="O56">
        <f>64/O55</f>
        <v>0.001016723449319991</v>
      </c>
      <c r="R56" t="s">
        <v>18</v>
      </c>
      <c r="T56">
        <f>64/T55</f>
        <v>0.0017119446262326078</v>
      </c>
      <c r="U56">
        <f>64/U55</f>
        <v>0.0011357307503015697</v>
      </c>
      <c r="V56">
        <f>64/V55</f>
        <v>0.0008462382759284073</v>
      </c>
    </row>
    <row r="57" spans="1:22" ht="12">
      <c r="A57" s="3" t="s">
        <v>15</v>
      </c>
      <c r="C57">
        <v>0.5</v>
      </c>
      <c r="D57">
        <v>0.425</v>
      </c>
      <c r="E57">
        <v>0.37</v>
      </c>
      <c r="F57">
        <v>0.33</v>
      </c>
      <c r="G57">
        <v>0.29</v>
      </c>
      <c r="H57">
        <v>0.26</v>
      </c>
      <c r="K57" t="s">
        <v>20</v>
      </c>
      <c r="M57">
        <f>0.316/(SQRT(SQRT(M55)))</f>
        <v>0.023727891586512517</v>
      </c>
      <c r="N57">
        <f>0.316/(SQRT(SQRT(N55)))</f>
        <v>0.0214393008699417</v>
      </c>
      <c r="O57">
        <f>0.316/(SQRT(SQRT(O55)))</f>
        <v>0.019949995365835298</v>
      </c>
      <c r="R57" t="s">
        <v>20</v>
      </c>
      <c r="T57">
        <f>0.316/(SQRT(SQRT(T55)))</f>
        <v>0.022725555999252564</v>
      </c>
      <c r="U57">
        <f>0.316/(SQRT(SQRT(U55)))</f>
        <v>0.020509776853928605</v>
      </c>
      <c r="V57">
        <f>0.316/(SQRT(SQRT(V55)))</f>
        <v>0.01905527651723011</v>
      </c>
    </row>
    <row r="58" spans="1:8" ht="12">
      <c r="A58" s="3" t="s">
        <v>17</v>
      </c>
      <c r="C58">
        <f aca="true" t="shared" si="3" ref="C58:H58">C57*0.000001</f>
        <v>5E-07</v>
      </c>
      <c r="D58">
        <f t="shared" si="3"/>
        <v>4.2499999999999995E-07</v>
      </c>
      <c r="E58">
        <f t="shared" si="3"/>
        <v>3.7E-07</v>
      </c>
      <c r="F58">
        <f t="shared" si="3"/>
        <v>3.3E-07</v>
      </c>
      <c r="G58">
        <f t="shared" si="3"/>
        <v>2.9E-07</v>
      </c>
      <c r="H58">
        <f t="shared" si="3"/>
        <v>2.6E-07</v>
      </c>
    </row>
    <row r="59" spans="1:22" ht="12">
      <c r="A59" s="3" t="s">
        <v>19</v>
      </c>
      <c r="F59" s="5">
        <f>F60/1000</f>
        <v>0.0004653</v>
      </c>
      <c r="K59" t="s">
        <v>23</v>
      </c>
      <c r="M59">
        <f>IF(M55&gt;4000,M57,IF(M55&lt;2000,M56,0.032+(0.0397-0.032)*((M55-2000)/2000)))</f>
        <v>0.023727891586512517</v>
      </c>
      <c r="N59">
        <f>IF(N55&gt;4000,N57,IF(N55&lt;2000,N56,0.032+(0.0397-0.032)*((N55-2000)/2000)))</f>
        <v>0.0214393008699417</v>
      </c>
      <c r="O59">
        <f>IF(O55&gt;4000,O57,IF(O55&lt;2000,O56,0.032+(0.0397-0.032)*((O55-2000)/2000)))</f>
        <v>0.019949995365835298</v>
      </c>
      <c r="R59" t="s">
        <v>23</v>
      </c>
      <c r="T59">
        <f>IF(T55&gt;4000,T57,IF(T55&lt;2000,T56,0.032+(0.0397-0.032)*((T55-2000)/2000)))</f>
        <v>0.022725555999252564</v>
      </c>
      <c r="U59">
        <f>IF(U55&gt;4000,U57,IF(U55&lt;2000,U56,0.032+(0.0397-0.032)*((U55-2000)/2000)))</f>
        <v>0.020509776853928605</v>
      </c>
      <c r="V59">
        <f>IF(V55&gt;4000,V57,IF(V55&lt;2000,V56,0.032+(0.0397-0.032)*((V55-2000)/2000)))</f>
        <v>0.01905527651723011</v>
      </c>
    </row>
    <row r="60" spans="1:22" ht="12">
      <c r="A60" s="3" t="s">
        <v>21</v>
      </c>
      <c r="F60" s="5">
        <v>0.4653</v>
      </c>
      <c r="I60" t="s">
        <v>70</v>
      </c>
      <c r="K60" t="s">
        <v>105</v>
      </c>
      <c r="M60">
        <f>M59*$L$49/$L$50</f>
        <v>0.20813939988168875</v>
      </c>
      <c r="N60">
        <f>N59*$L$49/$L$50</f>
        <v>0.18806404271878685</v>
      </c>
      <c r="O60">
        <f>O59*$L$49/$L$50</f>
        <v>0.1749999593494324</v>
      </c>
      <c r="R60" t="s">
        <v>105</v>
      </c>
      <c r="T60">
        <f>T59*$L$49/$L$50</f>
        <v>0.1993469824495839</v>
      </c>
      <c r="U60">
        <f>U59*$L$49/$L$50</f>
        <v>0.1799103232800755</v>
      </c>
      <c r="V60">
        <f>V59*$L$49/$L$50</f>
        <v>0.16715154839675533</v>
      </c>
    </row>
    <row r="61" spans="1:22" ht="12">
      <c r="A61" s="1" t="s">
        <v>22</v>
      </c>
      <c r="K61" t="s">
        <v>136</v>
      </c>
      <c r="M61">
        <f>M54*(M47/M64)/SQRT($D$7*$D$9*(273.15+$L$51))</f>
        <v>0.06985545209432115</v>
      </c>
      <c r="N61">
        <f>N54*(N47/N64)/SQRT($D$7*$D$9*(273.15+$L$51))</f>
        <v>0.10487555766974264</v>
      </c>
      <c r="O61">
        <f>O54*(O47/O64)/SQRT($D$7*$D$9*(273.15+$L$51))</f>
        <v>0.13999316976015538</v>
      </c>
      <c r="R61" t="s">
        <v>136</v>
      </c>
      <c r="T61">
        <f>T54*(M106/T64)/SQRT($D$7*$D$9*(273.15+$L$51))</f>
        <v>0.08310766254634717</v>
      </c>
      <c r="U61">
        <f>U54*(N106/U64)/SQRT($D$7*$D$9*(273.15+$L$51))</f>
        <v>0.12551839278310256</v>
      </c>
      <c r="V61">
        <f>V54*(O106/V64)/SQRT($D$7*$D$9*(273.15+$L$51))</f>
        <v>0.16891428185678042</v>
      </c>
    </row>
    <row r="62" spans="1:22" ht="12">
      <c r="A62" s="1" t="s">
        <v>24</v>
      </c>
      <c r="K62" t="s">
        <v>86</v>
      </c>
      <c r="M62">
        <f>1*M54*M54*$D$10*(0.00001*M63/$D$20)/2</f>
        <v>179.16594832147587</v>
      </c>
      <c r="N62">
        <f>1*N54*N54*$D$10*(0.00001*N63/$D$20)/2</f>
        <v>402.95912896830606</v>
      </c>
      <c r="O62">
        <f>1*O54*O54*$D$10*(0.00001*O63/$D$20)/2</f>
        <v>715.9945735729225</v>
      </c>
      <c r="R62" t="s">
        <v>86</v>
      </c>
      <c r="T62">
        <f>1*T54*T54*$D$10*(0.00001*T63/$D$20)/2</f>
        <v>251.9427007053421</v>
      </c>
      <c r="U62">
        <f>1*U54*U54*$D$10*(0.00001*U63/$D$20)/2</f>
        <v>569.1443786246183</v>
      </c>
      <c r="V62">
        <f>1*V54*V54*$D$10*(0.00001*V63/$D$20)/2</f>
        <v>1017.2715057975942</v>
      </c>
    </row>
    <row r="63" spans="1:22" ht="12">
      <c r="A63" s="1" t="s">
        <v>25</v>
      </c>
      <c r="K63" t="s">
        <v>96</v>
      </c>
      <c r="M63">
        <f>SQRT((10000000000*M47*M47)-(100000*M47*M59*$L$49*$D$10*(M47/$D$20)*M54*M54/($L$50)))</f>
        <v>59948.92606582897</v>
      </c>
      <c r="N63">
        <f>SQRT((10000000000*N47*N47)-(100000*N47*N59*$L$49*$D$10*(N47/$D$20)*N54*N54/($L$50)))</f>
        <v>59896.12011530282</v>
      </c>
      <c r="O63">
        <f>SQRT((10000000000*O47*O47)-(100000*O47*O59*$L$49*$D$10*(O47/$D$20)*O54*O54/($L$50)))</f>
        <v>59828.05218386346</v>
      </c>
      <c r="R63" t="s">
        <v>96</v>
      </c>
      <c r="T63">
        <f>SQRT((10000000000*M106*M106)-(100000*M106*T59*$L$49*$D$10*(M106/$D$20)*T54*T54/($L$50)))</f>
        <v>59685.75053825633</v>
      </c>
      <c r="U63">
        <f>SQRT((10000000000*N106*N106)-(100000*N106*U59*$L$49*$D$10*(N106/$D$20)*U54*U54/($L$50)))</f>
        <v>59342.067433554315</v>
      </c>
      <c r="V63">
        <f>SQRT((10000000000*O106*O106)-(100000*O106*V59*$L$49*$D$10*(O106/$D$20)*V54*V54/($L$50)))</f>
        <v>58885.946820896366</v>
      </c>
    </row>
    <row r="64" spans="1:22" ht="12">
      <c r="A64" s="3" t="s">
        <v>27</v>
      </c>
      <c r="K64" t="s">
        <v>138</v>
      </c>
      <c r="M64">
        <f>0.00001*(M63-0*M62)</f>
        <v>0.5994892606582898</v>
      </c>
      <c r="N64">
        <f>0.00001*(N63-0*N62)</f>
        <v>0.5989612011530283</v>
      </c>
      <c r="O64">
        <f>0.00001*(O63-0*O62)</f>
        <v>0.5982805218386347</v>
      </c>
      <c r="R64" t="s">
        <v>138</v>
      </c>
      <c r="T64">
        <f>0.00001*(T63-0.2*T62)</f>
        <v>0.5963536199811527</v>
      </c>
      <c r="U64">
        <f>0.00001*(U63-0.2*U62)</f>
        <v>0.5922823855782939</v>
      </c>
      <c r="V64">
        <f>0.00001*(V63-0.2*V62)</f>
        <v>0.5868249251973685</v>
      </c>
    </row>
    <row r="65" ht="12">
      <c r="A65" s="3" t="s">
        <v>29</v>
      </c>
    </row>
    <row r="66" spans="1:9" ht="12">
      <c r="A66" t="s">
        <v>63</v>
      </c>
      <c r="C66">
        <v>0.28</v>
      </c>
      <c r="D66">
        <v>0.4637</v>
      </c>
      <c r="E66">
        <v>0.7284</v>
      </c>
      <c r="F66">
        <v>1.0999</v>
      </c>
      <c r="G66">
        <v>1.6045</v>
      </c>
      <c r="H66">
        <v>2.271</v>
      </c>
      <c r="I66">
        <v>3.1306</v>
      </c>
    </row>
    <row r="67" spans="1:19" ht="12">
      <c r="A67" t="s">
        <v>64</v>
      </c>
      <c r="C67">
        <v>25.18</v>
      </c>
      <c r="D67">
        <v>24.31</v>
      </c>
      <c r="E67">
        <v>23.58</v>
      </c>
      <c r="F67">
        <v>22.81</v>
      </c>
      <c r="G67">
        <v>21.99</v>
      </c>
      <c r="H67">
        <v>21.12</v>
      </c>
      <c r="I67">
        <v>20.21</v>
      </c>
      <c r="K67" t="s">
        <v>139</v>
      </c>
      <c r="L67">
        <v>2</v>
      </c>
      <c r="R67" t="s">
        <v>139</v>
      </c>
      <c r="S67">
        <v>6</v>
      </c>
    </row>
    <row r="68" spans="1:22" ht="12">
      <c r="A68" t="s">
        <v>65</v>
      </c>
      <c r="C68">
        <f>C67/0.238</f>
        <v>105.7983193277311</v>
      </c>
      <c r="D68">
        <f aca="true" t="shared" si="4" ref="D68:I68">D67/0.238</f>
        <v>102.14285714285714</v>
      </c>
      <c r="E68">
        <f t="shared" si="4"/>
        <v>99.07563025210084</v>
      </c>
      <c r="F68">
        <f t="shared" si="4"/>
        <v>95.84033613445378</v>
      </c>
      <c r="G68">
        <f t="shared" si="4"/>
        <v>92.39495798319328</v>
      </c>
      <c r="H68">
        <f t="shared" si="4"/>
        <v>88.73949579831934</v>
      </c>
      <c r="I68">
        <f t="shared" si="4"/>
        <v>84.91596638655463</v>
      </c>
      <c r="K68" t="s">
        <v>129</v>
      </c>
      <c r="M68">
        <f>0.000001*(M10*($L$6+$L$67*0.125*($L$7-$L$6)))*($D$20/M64)*((273.15+$L$51)/(273.15+$E$4))/(PI()*$L$50*$L$50/4)</f>
        <v>7.55656810476792</v>
      </c>
      <c r="N68">
        <f>0.000001*(N10*($L$6+$L$67*0.125*($L$7-$L$6)))*($D$20/N64)*((273.15+$L$51)/(273.15+$E$4))/(PI()*$L$50*$L$50/4)</f>
        <v>11.344845252549034</v>
      </c>
      <c r="O68">
        <f>0.000001*(O10*($L$6+$L$67*0.125*($L$7-$L$6)))*($D$20/O64)*((273.15+$L$51)/(273.15+$E$4))/(PI()*$L$50*$L$50/4)</f>
        <v>15.143670104182885</v>
      </c>
      <c r="R68" t="s">
        <v>129</v>
      </c>
      <c r="T68">
        <f>0.000001*(M10*($L$6+$S$67*0.125*($L$7-$L$6)))*($D$20/T64)*((273.15+$L$51)/(273.15+$E$4))/(PI()*$L$50*$L$50/4)</f>
        <v>8.928985043840905</v>
      </c>
      <c r="U68">
        <f>0.000001*(N10*($L$6+$S$67*0.125*($L$7-$L$6)))*($D$20/U64)*((273.15+$L$51)/(273.15+$E$4))/(PI()*$L$50*$L$50/4)</f>
        <v>13.485541736446434</v>
      </c>
      <c r="V68">
        <f>0.000001*(O10*($L$6+$S$67*0.125*($L$7-$L$6)))*($D$20/V64)*((273.15+$L$51)/(273.15+$E$4))/(PI()*$L$50*$L$50/4)</f>
        <v>18.147942682772644</v>
      </c>
    </row>
    <row r="69" spans="11:22" ht="12">
      <c r="K69" t="s">
        <v>130</v>
      </c>
      <c r="M69">
        <f>M68*$L$50/$D$12</f>
        <v>32920.044175143514</v>
      </c>
      <c r="N69">
        <f>N68*$L$50/$D$12</f>
        <v>49423.60099135923</v>
      </c>
      <c r="O69">
        <f>O68*$L$50/$D$12</f>
        <v>65973.10867733015</v>
      </c>
      <c r="R69" t="s">
        <v>130</v>
      </c>
      <c r="T69">
        <f>T68*$L$50/$D$12</f>
        <v>38898.952276625576</v>
      </c>
      <c r="U69">
        <f>U68*$L$50/$D$12</f>
        <v>58749.50421070713</v>
      </c>
      <c r="V69">
        <f>V68*$L$50/$D$12</f>
        <v>79061.16460829494</v>
      </c>
    </row>
    <row r="70" spans="11:22" ht="12">
      <c r="K70" t="s">
        <v>18</v>
      </c>
      <c r="M70">
        <f>64/M69</f>
        <v>0.0019441043170994163</v>
      </c>
      <c r="N70">
        <f>64/N69</f>
        <v>0.0012949279031932372</v>
      </c>
      <c r="O70">
        <f>64/O69</f>
        <v>0.0009700922282292247</v>
      </c>
      <c r="R70" t="s">
        <v>18</v>
      </c>
      <c r="T70">
        <f>64/T69</f>
        <v>0.0016452885297493648</v>
      </c>
      <c r="U70">
        <f>64/U69</f>
        <v>0.0010893708952923549</v>
      </c>
      <c r="V70">
        <f>64/V69</f>
        <v>0.000809499838727208</v>
      </c>
    </row>
    <row r="71" spans="11:22" ht="12">
      <c r="K71" t="s">
        <v>20</v>
      </c>
      <c r="M71">
        <f>0.316/(SQRT(SQRT(M69)))</f>
        <v>0.023459674405391127</v>
      </c>
      <c r="N71">
        <f>0.316/(SQRT(SQRT(N69)))</f>
        <v>0.021193539148830074</v>
      </c>
      <c r="O71">
        <f>0.316/(SQRT(SQRT(O69)))</f>
        <v>0.01971720471041669</v>
      </c>
      <c r="R71" t="s">
        <v>20</v>
      </c>
      <c r="T71">
        <f>0.316/(SQRT(SQRT(T69)))</f>
        <v>0.022501040772962146</v>
      </c>
      <c r="U71">
        <f>0.316/(SQRT(SQRT(U69)))</f>
        <v>0.020297195328315504</v>
      </c>
      <c r="V71">
        <f>0.316/(SQRT(SQRT(V69)))</f>
        <v>0.018845006030588408</v>
      </c>
    </row>
    <row r="73" spans="11:22" ht="12">
      <c r="K73" t="s">
        <v>23</v>
      </c>
      <c r="M73">
        <f>IF(M69&gt;4000,M71,IF(M69&lt;2000,M70,0.032+(0.0397-0.032)*((M69-2000)/2000)))</f>
        <v>0.023459674405391127</v>
      </c>
      <c r="N73">
        <f>IF(N69&gt;4000,N71,IF(N69&lt;2000,N70,0.032+(0.0397-0.032)*((N69-2000)/2000)))</f>
        <v>0.021193539148830074</v>
      </c>
      <c r="O73">
        <f>IF(O69&gt;4000,O71,IF(O69&lt;2000,O70,0.032+(0.0397-0.032)*((O69-2000)/2000)))</f>
        <v>0.01971720471041669</v>
      </c>
      <c r="R73" t="s">
        <v>23</v>
      </c>
      <c r="T73">
        <f>IF(T69&gt;4000,T71,IF(T69&lt;2000,T70,0.032+(0.0397-0.032)*((T69-2000)/2000)))</f>
        <v>0.022501040772962146</v>
      </c>
      <c r="U73">
        <f>IF(U69&gt;4000,U71,IF(U69&lt;2000,U70,0.032+(0.0397-0.032)*((U69-2000)/2000)))</f>
        <v>0.020297195328315504</v>
      </c>
      <c r="V73">
        <f>IF(V69&gt;4000,V71,IF(V69&lt;2000,V70,0.032+(0.0397-0.032)*((V69-2000)/2000)))</f>
        <v>0.018845006030588408</v>
      </c>
    </row>
    <row r="74" spans="11:22" ht="12">
      <c r="K74" t="s">
        <v>105</v>
      </c>
      <c r="M74">
        <f>M73*$L$49/$L$50</f>
        <v>0.20578661759115024</v>
      </c>
      <c r="N74">
        <f>N73*$L$49/$L$50</f>
        <v>0.18590823814763224</v>
      </c>
      <c r="O74">
        <f>O73*$L$49/$L$50</f>
        <v>0.17295793605628673</v>
      </c>
      <c r="R74" t="s">
        <v>105</v>
      </c>
      <c r="T74">
        <f>T73*$L$49/$L$50</f>
        <v>0.19737755064001883</v>
      </c>
      <c r="U74">
        <f>U73*$L$49/$L$50</f>
        <v>0.17804557305539914</v>
      </c>
      <c r="V74">
        <f>V73*$L$49/$L$50</f>
        <v>0.16530707044375795</v>
      </c>
    </row>
    <row r="75" spans="11:22" ht="12">
      <c r="K75" t="s">
        <v>136</v>
      </c>
      <c r="M75">
        <f>M68*(M64/M78)/SQRT($D$7*$D$9*(273.15+$L$51))</f>
        <v>0.0731569833405862</v>
      </c>
      <c r="N75">
        <f>N68*(N64/N78)/SQRT($D$7*$D$9*(273.15+$L$51))</f>
        <v>0.1099994237679256</v>
      </c>
      <c r="O75">
        <f>O68*(O64/O78)/SQRT($D$7*$D$9*(273.15+$L$51))</f>
        <v>0.14713575288105993</v>
      </c>
      <c r="R75" t="s">
        <v>136</v>
      </c>
      <c r="T75">
        <f>T68*(T64/T78)/SQRT($D$7*$D$9*(273.15+$L$51))</f>
        <v>0.08648591710522358</v>
      </c>
      <c r="U75">
        <f>U68*(U64/U78)/SQRT($D$7*$D$9*(273.15+$L$51))</f>
        <v>0.13089903485800017</v>
      </c>
      <c r="V75">
        <f>V68*(V64/V78)/SQRT($D$7*$D$9*(273.15+$L$51))</f>
        <v>0.17667860679690756</v>
      </c>
    </row>
    <row r="76" spans="11:22" ht="12">
      <c r="K76" t="s">
        <v>86</v>
      </c>
      <c r="M76">
        <f>1*M68*M68*$D$10*(0.00001*M77/$D$20)/2</f>
        <v>196.09209954376752</v>
      </c>
      <c r="N76">
        <f>1*N68*N68*$D$10*(0.00001*N77/$D$20)/2</f>
        <v>441.2874496009339</v>
      </c>
      <c r="O76">
        <f>1*O68*O68*$D$10*(0.00001*O77/$D$20)/2</f>
        <v>784.6928071595275</v>
      </c>
      <c r="R76" t="s">
        <v>86</v>
      </c>
      <c r="T76">
        <f>1*T68*T68*$D$10*(0.00001*T77/$D$20)/2</f>
        <v>272.2940576733338</v>
      </c>
      <c r="U76">
        <f>1*U68*U68*$D$10*(0.00001*U77/$D$20)/2</f>
        <v>616.2830950873036</v>
      </c>
      <c r="V76">
        <f>1*V68*V68*$D$10*(0.00001*V77/$D$20)/2</f>
        <v>1104.3988980307092</v>
      </c>
    </row>
    <row r="77" spans="11:22" ht="12">
      <c r="K77" t="s">
        <v>96</v>
      </c>
      <c r="M77">
        <f>SQRT((10000000000*M64*M64)-(100000*M64*M73*$L$49*$D$10*(M64/$D$20)*M68*M68/($L$50)))</f>
        <v>59908.532118570016</v>
      </c>
      <c r="N77">
        <f>SQRT((10000000000*N64*N64)-(100000*N64*N73*$L$49*$D$10*(N64/$D$20)*N68*N68/($L$50)))</f>
        <v>59813.911972972135</v>
      </c>
      <c r="O77">
        <f>SQRT((10000000000*O64*O64)-(100000*O64*O73*$L$49*$D$10*(O64/$D$20)*O68*O68/($L$50)))</f>
        <v>59691.86870727941</v>
      </c>
      <c r="R77" t="s">
        <v>96</v>
      </c>
      <c r="T77">
        <f>SQRT((10000000000*T64*T64)-(100000*T64*T73*$L$49*$D$10*(T64/$D$20)*T68*T68/($L$50)))</f>
        <v>59581.54443488238</v>
      </c>
      <c r="U77">
        <f>SQRT((10000000000*U64*U64)-(100000*U64*U73*$L$49*$D$10*(U64/$D$20)*U68*U68/($L$50)))</f>
        <v>59118.20564581409</v>
      </c>
      <c r="V77">
        <f>SQRT((10000000000*V64*V64)-(100000*V64*V73*$L$49*$D$10*(V64/$D$20)*V68*V68/($L$50)))</f>
        <v>58499.06847569796</v>
      </c>
    </row>
    <row r="78" spans="11:22" ht="12">
      <c r="K78" t="s">
        <v>138</v>
      </c>
      <c r="M78">
        <f>0.00001*(M77-0.2*M76)</f>
        <v>0.5986931369866126</v>
      </c>
      <c r="N78">
        <f>0.00001*(N77-0.2*N76)</f>
        <v>0.5972565448305195</v>
      </c>
      <c r="O78">
        <f>0.00001*(O77-0.2*O76)</f>
        <v>0.5953493014584751</v>
      </c>
      <c r="R78" t="s">
        <v>138</v>
      </c>
      <c r="T78">
        <f>0.00001*(T77-0.2*T76)</f>
        <v>0.5952708562334772</v>
      </c>
      <c r="U78">
        <f>0.00001*(U77-0.2*U76)</f>
        <v>0.5899494902679663</v>
      </c>
      <c r="V78">
        <f>0.00001*(V77-0.2*V76)</f>
        <v>0.5827818869609183</v>
      </c>
    </row>
    <row r="81" spans="11:19" ht="12">
      <c r="K81" t="s">
        <v>139</v>
      </c>
      <c r="L81">
        <v>3</v>
      </c>
      <c r="R81" t="s">
        <v>139</v>
      </c>
      <c r="S81">
        <v>7</v>
      </c>
    </row>
    <row r="82" spans="11:22" ht="12">
      <c r="K82" t="s">
        <v>129</v>
      </c>
      <c r="M82">
        <f>0.000001*(M10*($L$6+$L$81*0.125*($L$7-$L$6)))*($D$20/M78)*((273.15+$L$51)/(273.15+$E$4))/(PI()*$L$50*$L$50/4)</f>
        <v>7.8984857449598</v>
      </c>
      <c r="N82">
        <f>0.000001*(N10*($L$6+$L$81*0.125*($L$7-$L$6)))*($D$20/N78)*((273.15+$L$51)/(273.15+$E$4))/(PI()*$L$50*$L$50/4)</f>
        <v>11.876226177067387</v>
      </c>
      <c r="O82">
        <f>0.000001*(O10*($L$6+$L$81*0.125*($L$7-$L$6)))*($D$20/O78)*((273.15+$L$51)/(273.15+$E$4))/(PI()*$L$50*$L$50/4)</f>
        <v>15.88569667087734</v>
      </c>
      <c r="R82" t="s">
        <v>129</v>
      </c>
      <c r="T82">
        <f>0.000001*(M10*($L$6+$S$81*0.125*($L$7-$L$6)))*($D$20/T78)*((273.15+$L$51)/(273.15+$E$4))/(PI()*$L$50*$L$50/4)</f>
        <v>9.279003461473593</v>
      </c>
      <c r="U82">
        <f>0.000001*(N10*($L$6+$S$81*0.125*($L$7-$L$6)))*($D$20/U78)*((273.15+$L$51)/(273.15+$E$4))/(PI()*$L$50*$L$50/4)</f>
        <v>14.04405061778059</v>
      </c>
      <c r="V82">
        <f>0.000001*(O10*($L$6+$S$81*0.125*($L$7-$L$6)))*($D$20/V78)*((273.15+$L$51)/(273.15+$E$4))/(PI()*$L$50*$L$50/4)</f>
        <v>18.955703528497597</v>
      </c>
    </row>
    <row r="83" spans="11:22" ht="12">
      <c r="K83" t="s">
        <v>130</v>
      </c>
      <c r="M83">
        <f>M82*$L$50/$D$12</f>
        <v>34409.60182397558</v>
      </c>
      <c r="N83">
        <f>N82*$L$50/$D$12</f>
        <v>51738.551808508004</v>
      </c>
      <c r="O83">
        <f>O82*$L$50/$D$12</f>
        <v>69205.73319894317</v>
      </c>
      <c r="R83" t="s">
        <v>130</v>
      </c>
      <c r="T83">
        <f>T82*$L$50/$D$12</f>
        <v>40423.80080717896</v>
      </c>
      <c r="U83">
        <f>U82*$L$50/$D$12</f>
        <v>61182.63745199022</v>
      </c>
      <c r="V83">
        <f>V82*$L$50/$D$12</f>
        <v>82580.15925712745</v>
      </c>
    </row>
    <row r="84" spans="11:22" ht="12">
      <c r="K84" t="s">
        <v>18</v>
      </c>
      <c r="M84">
        <f>64/M83</f>
        <v>0.0018599459629726584</v>
      </c>
      <c r="N84">
        <f>64/N83</f>
        <v>0.0012369886238191093</v>
      </c>
      <c r="O84">
        <f>64/O83</f>
        <v>0.0009247788736811958</v>
      </c>
      <c r="R84" t="s">
        <v>18</v>
      </c>
      <c r="T84">
        <f>64/T83</f>
        <v>0.0015832256918462276</v>
      </c>
      <c r="U84">
        <f>64/U83</f>
        <v>0.0010460483997640762</v>
      </c>
      <c r="V84">
        <f>64/V83</f>
        <v>0.0007750045601235165</v>
      </c>
    </row>
    <row r="85" spans="11:22" ht="12">
      <c r="K85" t="s">
        <v>20</v>
      </c>
      <c r="M85">
        <f>0.316/(SQRT(SQRT(M83)))</f>
        <v>0.02320155916462664</v>
      </c>
      <c r="N85">
        <f>0.316/(SQRT(SQRT(N83)))</f>
        <v>0.020952387405867842</v>
      </c>
      <c r="O85">
        <f>0.316/(SQRT(SQRT(O83)))</f>
        <v>0.019482808602982713</v>
      </c>
      <c r="R85" t="s">
        <v>20</v>
      </c>
      <c r="T85">
        <f>0.316/(SQRT(SQRT(T83)))</f>
        <v>0.02228577781234346</v>
      </c>
      <c r="U85">
        <f>0.316/(SQRT(SQRT(U83)))</f>
        <v>0.02009231757822831</v>
      </c>
      <c r="V85">
        <f>0.316/(SQRT(SQRT(V83)))</f>
        <v>0.018640954808872567</v>
      </c>
    </row>
    <row r="87" spans="11:22" ht="12">
      <c r="K87" t="s">
        <v>23</v>
      </c>
      <c r="M87">
        <f>IF(M83&gt;4000,M85,IF(M83&lt;2000,M84,0.032+(0.0397-0.032)*((M83-2000)/2000)))</f>
        <v>0.02320155916462664</v>
      </c>
      <c r="N87">
        <f>IF(N83&gt;4000,N85,IF(N83&lt;2000,N84,0.032+(0.0397-0.032)*((N83-2000)/2000)))</f>
        <v>0.020952387405867842</v>
      </c>
      <c r="O87">
        <f>IF(O83&gt;4000,O85,IF(O83&lt;2000,O84,0.032+(0.0397-0.032)*((O83-2000)/2000)))</f>
        <v>0.019482808602982713</v>
      </c>
      <c r="R87" t="s">
        <v>23</v>
      </c>
      <c r="T87">
        <f>IF(T83&gt;4000,T85,IF(T83&lt;2000,T84,0.032+(0.0397-0.032)*((T83-2000)/2000)))</f>
        <v>0.02228577781234346</v>
      </c>
      <c r="U87">
        <f>IF(U83&gt;4000,U85,IF(U83&lt;2000,U84,0.032+(0.0397-0.032)*((U83-2000)/2000)))</f>
        <v>0.02009231757822831</v>
      </c>
      <c r="V87">
        <f>IF(V83&gt;4000,V85,IF(V83&lt;2000,V84,0.032+(0.0397-0.032)*((V83-2000)/2000)))</f>
        <v>0.018640954808872567</v>
      </c>
    </row>
    <row r="88" spans="11:22" ht="12">
      <c r="K88" t="s">
        <v>105</v>
      </c>
      <c r="M88">
        <f>M87*$L$49/$L$50</f>
        <v>0.20352244881251438</v>
      </c>
      <c r="N88">
        <f>N87*$L$49/$L$50</f>
        <v>0.18379287198129687</v>
      </c>
      <c r="O88">
        <f>O87*$L$49/$L$50</f>
        <v>0.17090182985072555</v>
      </c>
      <c r="R88" t="s">
        <v>105</v>
      </c>
      <c r="T88">
        <f>T87*$L$49/$L$50</f>
        <v>0.1954892790556444</v>
      </c>
      <c r="U88">
        <f>U87*$L$49/$L$50</f>
        <v>0.17624839980902027</v>
      </c>
      <c r="V88">
        <f>V87*$L$49/$L$50</f>
        <v>0.1635171474462506</v>
      </c>
    </row>
    <row r="89" spans="11:22" ht="12">
      <c r="K89" t="s">
        <v>136</v>
      </c>
      <c r="M89">
        <f>M82*(M78/M92)/SQRT($D$7*$D$9*(273.15+$L$51))</f>
        <v>0.07647596108064364</v>
      </c>
      <c r="N89">
        <f>N82*(N78/N92)/SQRT($D$7*$D$9*(273.15+$L$51))</f>
        <v>0.11518121287328408</v>
      </c>
      <c r="O89">
        <f>O82*(O78/O92)/SQRT($D$7*$D$9*(273.15+$L$51))</f>
        <v>0.1544169352510557</v>
      </c>
      <c r="R89" t="s">
        <v>136</v>
      </c>
      <c r="T89">
        <f>T82*(T78/T92)/SQRT($D$7*$D$9*(273.15+$L$51))</f>
        <v>0.08988841381422495</v>
      </c>
      <c r="U89">
        <f>U82*(U78/U92)/SQRT($D$7*$D$9*(273.15+$L$51))</f>
        <v>0.13636305070315152</v>
      </c>
      <c r="V89">
        <f>V82*(V78/V92)/SQRT($D$7*$D$9*(273.15+$L$51))</f>
        <v>0.18465212804683157</v>
      </c>
    </row>
    <row r="90" spans="11:22" ht="12">
      <c r="K90" t="s">
        <v>86</v>
      </c>
      <c r="M90">
        <f>1*M82*M82*$D$10*(0.00001*M91/$D$20)/2</f>
        <v>213.9428890057823</v>
      </c>
      <c r="N90">
        <f>1*N82*N82*$D$10*(0.00001*N91/$D$20)/2</f>
        <v>482.16285215575346</v>
      </c>
      <c r="O90">
        <f>1*O82*O82*$D$10*(0.00001*O91/$D$20)/2</f>
        <v>859.0734067152886</v>
      </c>
      <c r="R90" t="s">
        <v>86</v>
      </c>
      <c r="T90">
        <f>1*T82*T82*$D$10*(0.00001*T91/$D$20)/2</f>
        <v>293.5080978594529</v>
      </c>
      <c r="U90">
        <f>1*U82*U82*$D$10*(0.00001*U91/$D$20)/2</f>
        <v>665.6634175561662</v>
      </c>
      <c r="V90">
        <f>1*V82*V82*$D$10*(0.00001*V91/$D$20)/2</f>
        <v>1196.300948774191</v>
      </c>
    </row>
    <row r="91" spans="11:22" ht="12">
      <c r="K91" t="s">
        <v>96</v>
      </c>
      <c r="M91">
        <f>SQRT((10000000000*M78*M78)-(100000*M78*M87*$L$49*$D$10*(M78/$D$20)*M82*M82/($L$50)))</f>
        <v>59825.723924137696</v>
      </c>
      <c r="N91">
        <f>SQRT((10000000000*N78*N78)-(100000*N78*N87*$L$49*$D$10*(N78/$D$20)*N82*N82/($L$50)))</f>
        <v>59636.8383724982</v>
      </c>
      <c r="O91">
        <f>SQRT((10000000000*O78*O78)-(100000*O78*O87*$L$49*$D$10*(O78/$D$20)*O82*O82/($L$50)))</f>
        <v>59387.566236052284</v>
      </c>
      <c r="R91" t="s">
        <v>96</v>
      </c>
      <c r="T91">
        <f>SQRT((10000000000*T78*T78)-(100000*T78*T87*$L$49*$D$10*(T78/$D$20)*T82*T82/($L$50)))</f>
        <v>59469.624764141314</v>
      </c>
      <c r="U91">
        <f>SQRT((10000000000*U78*U78)-(100000*U78*U87*$L$49*$D$10*(U78/$D$20)*U82*U82/($L$50)))</f>
        <v>58877.275072158474</v>
      </c>
      <c r="V91">
        <f>SQRT((10000000000*V78*V78)-(100000*V78*V87*$L$49*$D$10*(V78/$D$20)*V82*V82/($L$50)))</f>
        <v>58081.579162106435</v>
      </c>
    </row>
    <row r="92" spans="11:22" ht="12">
      <c r="K92" t="s">
        <v>138</v>
      </c>
      <c r="M92">
        <f>0.00001*(M91-0.2*M90)</f>
        <v>0.5978293534633654</v>
      </c>
      <c r="N92">
        <f>0.00001*(N91-0.2*N90)</f>
        <v>0.5954040580206705</v>
      </c>
      <c r="O92">
        <f>0.00001*(O91-0.2*O90)</f>
        <v>0.5921575155470923</v>
      </c>
      <c r="R92" t="s">
        <v>138</v>
      </c>
      <c r="T92">
        <f>0.00001*(T91-0.2*T90)</f>
        <v>0.5941092314456943</v>
      </c>
      <c r="U92">
        <f>0.00001*(U91-0.2*U90)</f>
        <v>0.5874414238864725</v>
      </c>
      <c r="V92">
        <f>0.00001*(V91-0.2*V90)</f>
        <v>0.578423189723516</v>
      </c>
    </row>
    <row r="95" spans="11:19" ht="12">
      <c r="K95" t="s">
        <v>139</v>
      </c>
      <c r="L95">
        <v>4</v>
      </c>
      <c r="R95" t="s">
        <v>139</v>
      </c>
      <c r="S95">
        <v>8</v>
      </c>
    </row>
    <row r="96" spans="11:22" ht="12">
      <c r="K96" t="s">
        <v>129</v>
      </c>
      <c r="M96">
        <f>0.000001*(M10*($L$6+$L$95*0.125*($L$7-$L$6)))*($D$20/M92)*((273.15+$L$51)/(273.15+$E$4))/(PI()*$L$50*$L$50/4)</f>
        <v>8.242246656844134</v>
      </c>
      <c r="N96">
        <f>0.000001*(N10*($L$6+$L$95*0.125*($L$7-$L$6)))*($D$20/N92)*((273.15+$L$51)/(273.15+$E$4))/(PI()*$L$50*$L$50/4)</f>
        <v>12.413730449689801</v>
      </c>
      <c r="O96">
        <f>0.000001*(O10*($L$6+$L$95*0.125*($L$7-$L$6)))*($D$20/O92)*((273.15+$L$51)/(273.15+$E$4))/(PI()*$L$50*$L$50/4)</f>
        <v>16.642386056332505</v>
      </c>
      <c r="R96" t="s">
        <v>129</v>
      </c>
      <c r="T96">
        <f>0.000001*(M10*($L$6+$S$95*0.125*($L$7-$L$6)))*($D$20/T92)*((273.15+$L$51)/(273.15+$E$4))/(PI()*$L$50*$L$50/4)</f>
        <v>9.631575835698026</v>
      </c>
      <c r="U96">
        <f>0.000001*(N10*($L$6+$S$95*0.125*($L$7-$L$6)))*($D$20/U92)*((273.15+$L$51)/(273.15+$E$4))/(PI()*$L$50*$L$50/4)</f>
        <v>14.61134987595802</v>
      </c>
      <c r="V96">
        <f>0.000001*(O10*($L$6+$S$95*0.125*($L$7-$L$6)))*($D$20/V92)*((273.15+$L$51)/(273.15+$E$4))/(PI()*$L$50*$L$50/4)</f>
        <v>19.78554186284498</v>
      </c>
    </row>
    <row r="97" spans="11:22" ht="12">
      <c r="K97" t="s">
        <v>130</v>
      </c>
      <c r="M97">
        <f>M96*$L$50/$D$12</f>
        <v>35907.18965062132</v>
      </c>
      <c r="N97">
        <f>N96*$L$50/$D$12</f>
        <v>54080.17887435731</v>
      </c>
      <c r="O97">
        <f>O96*$L$50/$D$12</f>
        <v>72502.23600956809</v>
      </c>
      <c r="R97" t="s">
        <v>130</v>
      </c>
      <c r="T97">
        <f>T96*$L$50/$D$12</f>
        <v>41959.77560069404</v>
      </c>
      <c r="U97">
        <f>U96*$L$50/$D$12</f>
        <v>63654.06580157971</v>
      </c>
      <c r="V97">
        <f>V96*$L$50/$D$12</f>
        <v>86195.33406216977</v>
      </c>
    </row>
    <row r="98" spans="11:22" ht="12">
      <c r="K98" t="s">
        <v>18</v>
      </c>
      <c r="M98">
        <f>64/M97</f>
        <v>0.0017823728513070242</v>
      </c>
      <c r="N98">
        <f>64/N97</f>
        <v>0.0011834280383703811</v>
      </c>
      <c r="O98">
        <f>64/O97</f>
        <v>0.0008827313959193472</v>
      </c>
      <c r="R98" t="s">
        <v>18</v>
      </c>
      <c r="T98">
        <f>64/T97</f>
        <v>0.001525270311477581</v>
      </c>
      <c r="U98">
        <f>64/U97</f>
        <v>0.0010054345970530558</v>
      </c>
      <c r="V98">
        <f>64/V97</f>
        <v>0.0007424995876672277</v>
      </c>
    </row>
    <row r="99" spans="11:22" ht="12">
      <c r="K99" t="s">
        <v>20</v>
      </c>
      <c r="M99">
        <f>0.316/(SQRT(SQRT(M97)))</f>
        <v>0.02295576280903489</v>
      </c>
      <c r="N99">
        <f>0.316/(SQRT(SQRT(N97)))</f>
        <v>0.02072180358087501</v>
      </c>
      <c r="O99">
        <f>0.316/(SQRT(SQRT(O97)))</f>
        <v>0.019257470109924263</v>
      </c>
      <c r="R99" t="s">
        <v>20</v>
      </c>
      <c r="T99">
        <f>0.316/(SQRT(SQRT(T97)))</f>
        <v>0.02207896918697083</v>
      </c>
      <c r="U99">
        <f>0.316/(SQRT(SQRT(U97)))</f>
        <v>0.019894386245767604</v>
      </c>
      <c r="V99">
        <f>0.316/(SQRT(SQRT(V97)))</f>
        <v>0.018442345052597373</v>
      </c>
    </row>
    <row r="101" spans="11:22" ht="12">
      <c r="K101" t="s">
        <v>23</v>
      </c>
      <c r="M101">
        <f>IF(M97&gt;4000,M99,IF(M97&lt;2000,M98,0.032+(0.0397-0.032)*((M97-2000)/2000)))</f>
        <v>0.02295576280903489</v>
      </c>
      <c r="N101">
        <f>IF(N97&gt;4000,N99,IF(N97&lt;2000,N98,0.032+(0.0397-0.032)*((N97-2000)/2000)))</f>
        <v>0.02072180358087501</v>
      </c>
      <c r="O101">
        <f>IF(O97&gt;4000,O99,IF(O97&lt;2000,O98,0.032+(0.0397-0.032)*((O97-2000)/2000)))</f>
        <v>0.019257470109924263</v>
      </c>
      <c r="R101" t="s">
        <v>23</v>
      </c>
      <c r="T101">
        <f>IF(T97&gt;4000,T99,IF(T97&lt;2000,T98,0.032+(0.0397-0.032)*((T97-2000)/2000)))</f>
        <v>0.02207896918697083</v>
      </c>
      <c r="U101">
        <f>IF(U97&gt;4000,U99,IF(U97&lt;2000,U98,0.032+(0.0397-0.032)*((U97-2000)/2000)))</f>
        <v>0.019894386245767604</v>
      </c>
      <c r="V101">
        <f>IF(V97&gt;4000,V99,IF(V97&lt;2000,V98,0.032+(0.0397-0.032)*((V97-2000)/2000)))</f>
        <v>0.018442345052597373</v>
      </c>
    </row>
    <row r="102" spans="11:22" ht="12">
      <c r="K102" t="s">
        <v>105</v>
      </c>
      <c r="M102">
        <f>M101*$L$49/$L$50</f>
        <v>0.2013663404301306</v>
      </c>
      <c r="N102">
        <f>N101*$L$49/$L$50</f>
        <v>0.18177020684978082</v>
      </c>
      <c r="O102">
        <f>O101*$L$49/$L$50</f>
        <v>0.1689251764028444</v>
      </c>
      <c r="R102" t="s">
        <v>105</v>
      </c>
      <c r="T102">
        <f>T101*$L$49/$L$50</f>
        <v>0.19367516830676168</v>
      </c>
      <c r="U102">
        <f>U101*$L$49/$L$50</f>
        <v>0.17451216005059303</v>
      </c>
      <c r="V102">
        <f>V101*$L$49/$L$50</f>
        <v>0.16177495660173136</v>
      </c>
    </row>
    <row r="103" spans="11:22" ht="12">
      <c r="K103" t="s">
        <v>136</v>
      </c>
      <c r="M103">
        <f>M96*(M92/M106)/SQRT($D$7*$D$9*(273.15+$L$51))</f>
        <v>0.07975179883524064</v>
      </c>
      <c r="N103">
        <f>N96*(N92/N106)/SQRT($D$7*$D$9*(273.15+$L$51))</f>
        <v>0.12021393575204448</v>
      </c>
      <c r="O103">
        <f>O96*(O92/O106)/SQRT($D$7*$D$9*(273.15+$L$51))</f>
        <v>0.16133832199753256</v>
      </c>
      <c r="R103" t="s">
        <v>136</v>
      </c>
      <c r="T103">
        <f>T96*(T92/T106)/SQRT($D$7*$D$9*(273.15+$L$51))</f>
        <v>0.09321786363108076</v>
      </c>
      <c r="U103">
        <f>U96*(U92/U106)/SQRT($D$7*$D$9*(273.15+$L$51))</f>
        <v>0.14157086473396216</v>
      </c>
      <c r="V103">
        <f>V96*(V92/V106)/SQRT($D$7*$D$9*(273.15+$L$51))</f>
        <v>0.19199253004753764</v>
      </c>
    </row>
    <row r="104" spans="11:22" ht="12">
      <c r="K104" t="s">
        <v>86</v>
      </c>
      <c r="M104">
        <f>1*M96*M96*$D$10*(0.00001*M105/$D$20)/2</f>
        <v>232.62149641459604</v>
      </c>
      <c r="N104">
        <f>1*N96*N96*$D$10*(0.00001*N105/$D$20)/2</f>
        <v>525.0977815915389</v>
      </c>
      <c r="O104">
        <f>1*O96*O96*$D$10*(0.00001*O105/$D$20)/2</f>
        <v>937.6111491259784</v>
      </c>
      <c r="R104" t="s">
        <v>86</v>
      </c>
      <c r="T104">
        <f>1*T96*T96*$D$10*(0.00001*T105/$D$20)/2</f>
        <v>315.59889715266723</v>
      </c>
      <c r="U104">
        <f>1*U96*U96*$D$10*(0.00001*U105/$D$20)/2</f>
        <v>717.361360356936</v>
      </c>
      <c r="V104">
        <f>1*V96*V96*$D$10*(0.00001*V105/$D$20)/2</f>
        <v>1293.247021576953</v>
      </c>
    </row>
    <row r="105" spans="11:22" ht="12">
      <c r="K105" t="s">
        <v>96</v>
      </c>
      <c r="M105">
        <f>SQRT((10000000000*M92*M92)-(100000*M92*M101*$L$49*$D$10*(M92/$D$20)*M96*M96/($L$50)))</f>
        <v>59736.03803774902</v>
      </c>
      <c r="N105">
        <f>SQRT((10000000000*N92*N92)-(100000*N92*N101*$L$49*$D$10*(N92/$D$20)*N96*N96/($L$50)))</f>
        <v>59444.72817145688</v>
      </c>
      <c r="O105">
        <f>SQRT((10000000000*O92*O92)-(100000*O92*O101*$L$49*$D$10*(O92/$D$20)*O96*O96/($L$50)))</f>
        <v>59056.72539316112</v>
      </c>
      <c r="R105" t="s">
        <v>96</v>
      </c>
      <c r="T105">
        <f>SQRT((10000000000*T92*T92)-(100000*T92*T101*$L$49*$D$10*(T92/$D$20)*T96*T96/($L$50)))</f>
        <v>59349.70488668563</v>
      </c>
      <c r="U105">
        <f>SQRT((10000000000*U92*U92)-(100000*U92*U101*$L$49*$D$10*(U92/$D$20)*U96*U96/($L$50)))</f>
        <v>58618.55163915735</v>
      </c>
      <c r="V105">
        <f>SQRT((10000000000*V92*V92)-(100000*V92*V101*$L$49*$D$10*(V92/$D$20)*V96*V96/($L$50)))</f>
        <v>57631.9578194225</v>
      </c>
    </row>
    <row r="106" spans="11:22" ht="12">
      <c r="K106" t="s">
        <v>138</v>
      </c>
      <c r="M106">
        <f>0.00001*(M105-0*M104)</f>
        <v>0.5973603803774903</v>
      </c>
      <c r="N106">
        <f>0.00001*(N105-0*N104)</f>
        <v>0.5944472817145688</v>
      </c>
      <c r="O106">
        <f>0.00001*(O105-0*O104)</f>
        <v>0.5905672539316112</v>
      </c>
      <c r="R106" t="s">
        <v>138</v>
      </c>
      <c r="T106">
        <f>0.00001*(T105-0*T104)</f>
        <v>0.5934970488668563</v>
      </c>
      <c r="U106">
        <f>0.00001*(U105-0*U104)</f>
        <v>0.5861855163915736</v>
      </c>
      <c r="V106">
        <f>0.00001*(V105-0*V104)</f>
        <v>0.5763195781942251</v>
      </c>
    </row>
    <row r="109" spans="18:22" ht="12">
      <c r="R109" t="s">
        <v>143</v>
      </c>
      <c r="T109">
        <f>0.5*T96*T96*$D$10*(T106/$D$20)*((0.5*(1-($L$28/$L$48)))+((1-($L$28/$L$48))*(1-($L$28/$L$48))))</f>
        <v>0</v>
      </c>
      <c r="U109">
        <f>0.5*U96*U96*$D$10*(U106/$D$20)*((0.5*(1-($L$28/$L$48)))+((1-($L$28/$L$48))*(1-($L$28/$L$48))))</f>
        <v>0</v>
      </c>
      <c r="V109">
        <f>0.5*V96*V96*$D$10*(V106/$D$20)*((0.5*(1-($L$28/$L$48)))+((1-($L$28/$L$48))*(1-($L$28/$L$48))))</f>
        <v>0</v>
      </c>
    </row>
    <row r="110" spans="18:22" ht="12">
      <c r="R110" t="s">
        <v>144</v>
      </c>
      <c r="T110">
        <f>T106-0.00001*T109</f>
        <v>0.5934970488668563</v>
      </c>
      <c r="U110">
        <f>U106-0.00001*U109</f>
        <v>0.5861855163915736</v>
      </c>
      <c r="V110">
        <f>V106-0.00001*V109</f>
        <v>0.5763195781942251</v>
      </c>
    </row>
    <row r="111" spans="18:19" ht="12">
      <c r="R111" t="s">
        <v>38</v>
      </c>
      <c r="S111">
        <f>PI()*S113*S113/4</f>
        <v>2.5517586328783095E-05</v>
      </c>
    </row>
    <row r="112" spans="18:19" ht="12">
      <c r="R112" t="s">
        <v>119</v>
      </c>
      <c r="S112">
        <v>0.02</v>
      </c>
    </row>
    <row r="113" spans="18:19" ht="12">
      <c r="R113" t="s">
        <v>120</v>
      </c>
      <c r="S113">
        <f>L30</f>
        <v>0.0057</v>
      </c>
    </row>
    <row r="114" spans="18:19" ht="12">
      <c r="R114" t="s">
        <v>116</v>
      </c>
      <c r="S114">
        <v>-20</v>
      </c>
    </row>
    <row r="116" spans="18:19" ht="12">
      <c r="R116" t="s">
        <v>139</v>
      </c>
      <c r="S116">
        <v>8</v>
      </c>
    </row>
    <row r="117" spans="18:22" ht="12">
      <c r="R117" t="s">
        <v>145</v>
      </c>
      <c r="T117">
        <f>0.000001*(M10*($L$6+$S$116*0.125*($L$7-$L$6)))*($D$20/T110)*((273.15+$S$114)/(273.15+$E$4))/(PI()*$S$113*$S$113/4)</f>
        <v>9.641510649939528</v>
      </c>
      <c r="U117">
        <f>0.000001*(N10*($L$6+$S$116*0.125*($L$7-$L$6)))*($D$20/U110)*((273.15+$S$114)/(273.15+$E$4))/(PI()*$S$113*$S$113/4)</f>
        <v>14.642654818346852</v>
      </c>
      <c r="V117">
        <f>0.000001*(O10*($L$6+$S$116*0.125*($L$7-$L$6)))*($D$20/V110)*((273.15+$S$114)/(273.15+$E$4))/(PI()*$S$113*$S$113/4)</f>
        <v>19.857760637897456</v>
      </c>
    </row>
    <row r="118" spans="18:22" ht="12">
      <c r="R118" t="s">
        <v>122</v>
      </c>
      <c r="T118">
        <f>T117*$L$50/$D$12</f>
        <v>42003.0564286</v>
      </c>
      <c r="U118">
        <f>U117*$L$50/$D$12</f>
        <v>63790.44518333773</v>
      </c>
      <c r="V118">
        <f>V117*$L$50/$D$12</f>
        <v>86509.95377207514</v>
      </c>
    </row>
    <row r="119" spans="18:22" ht="12">
      <c r="R119" t="s">
        <v>18</v>
      </c>
      <c r="T119">
        <f>64/T118</f>
        <v>0.0015236986410451364</v>
      </c>
      <c r="U119">
        <f>64/U118</f>
        <v>0.0010032850502306417</v>
      </c>
      <c r="V119">
        <f>64/V118</f>
        <v>0.000739799262505892</v>
      </c>
    </row>
    <row r="120" spans="18:22" ht="12">
      <c r="R120" t="s">
        <v>20</v>
      </c>
      <c r="T120">
        <f>0.316/(SQRT(SQRT(T118)))</f>
        <v>0.02207327932997633</v>
      </c>
      <c r="U120">
        <f>0.316/(SQRT(SQRT(U118)))</f>
        <v>0.019883744518672915</v>
      </c>
      <c r="V120">
        <f>0.316/(SQRT(SQRT(V118)))</f>
        <v>0.01842555433937367</v>
      </c>
    </row>
    <row r="122" spans="18:22" ht="12">
      <c r="R122" t="s">
        <v>23</v>
      </c>
      <c r="T122">
        <f>IF(T118&gt;4000,T120,IF(T118&lt;2000,T119,0.032+(0.0397-0.032)*((T118-2000)/2000)))</f>
        <v>0.02207327932997633</v>
      </c>
      <c r="U122">
        <f>IF(U118&gt;4000,U120,IF(U118&lt;2000,U119,0.032+(0.0397-0.032)*((U118-2000)/2000)))</f>
        <v>0.019883744518672915</v>
      </c>
      <c r="V122">
        <f>IF(V118&gt;4000,V120,IF(V118&lt;2000,V119,0.032+(0.0397-0.032)*((V118-2000)/2000)))</f>
        <v>0.01842555433937367</v>
      </c>
    </row>
    <row r="123" spans="18:22" ht="12">
      <c r="R123" t="s">
        <v>105</v>
      </c>
      <c r="T123">
        <f>T122*$S$112/$S$113</f>
        <v>0.07745010291219764</v>
      </c>
      <c r="U123">
        <f>U122*$S$112/$S$113</f>
        <v>0.06976752462692251</v>
      </c>
      <c r="V123">
        <f>V122*$S$112/$S$113</f>
        <v>0.06465106785745146</v>
      </c>
    </row>
    <row r="124" spans="18:22" ht="12">
      <c r="R124" t="s">
        <v>136</v>
      </c>
      <c r="T124">
        <f>T117*(T110/T127)/SQRT($D$7*$D$9*(273.15+$S$114))</f>
        <v>0.09325635846792077</v>
      </c>
      <c r="U124">
        <f>U117*(U110/U127)/SQRT($D$7*$D$9*(273.15+$S$114))</f>
        <v>0.14169241281057138</v>
      </c>
      <c r="V124">
        <f>V117*(V110/V127)/SQRT($D$7*$D$9*(273.15+$S$114))</f>
        <v>0.19227371758264894</v>
      </c>
    </row>
    <row r="125" spans="18:22" ht="12">
      <c r="R125" t="s">
        <v>86</v>
      </c>
      <c r="T125">
        <f>1*T117*T117*$D$10*(0.00001*T126/$D$20)/2</f>
        <v>316.1197598046908</v>
      </c>
      <c r="U125">
        <f>1*U117*U117*$D$10*(0.00001*U126/$D$20)/2</f>
        <v>719.8205448362633</v>
      </c>
      <c r="V125">
        <f>1*V117*V117*$D$10*(0.00001*V126/$D$20)/2</f>
        <v>1300.8000373973857</v>
      </c>
    </row>
    <row r="126" spans="18:22" ht="12">
      <c r="R126" t="s">
        <v>96</v>
      </c>
      <c r="T126">
        <f>SQRT((10000000000*T110*T110)-(100000*T110*T122*$S$112*$D$10*(T110/$D$20)*T117*T117/($S$113)))</f>
        <v>59325.2062118108</v>
      </c>
      <c r="U126">
        <f>SQRT((10000000000*U110*U110)-(100000*U110*U122*$S$112*$D$10*(U110/$D$20)*U117*U117/($S$113)))</f>
        <v>58568.26685633781</v>
      </c>
      <c r="V126">
        <f>SQRT((10000000000*V110*V110)-(100000*V110*V122*$S$112*$D$10*(V110/$D$20)*V117*V117/($S$113)))</f>
        <v>57547.67491083455</v>
      </c>
    </row>
    <row r="127" spans="18:22" ht="12">
      <c r="R127" t="s">
        <v>138</v>
      </c>
      <c r="T127">
        <f>0.00001*(T126-0*T125)</f>
        <v>0.5932520621181081</v>
      </c>
      <c r="U127">
        <f>0.00001*(U126-0*U125)</f>
        <v>0.5856826685633781</v>
      </c>
      <c r="V127">
        <f>0.00001*(V126-0*V125)</f>
        <v>0.5754767491083456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D15">
      <selection activeCell="O44" sqref="O44"/>
    </sheetView>
  </sheetViews>
  <sheetFormatPr defaultColWidth="11.421875" defaultRowHeight="12.75"/>
  <cols>
    <col min="1" max="16384" width="8.8515625" style="0" customWidth="1"/>
  </cols>
  <sheetData>
    <row r="1" spans="1:24" ht="33">
      <c r="A1" t="s">
        <v>109</v>
      </c>
      <c r="Q1" s="6"/>
      <c r="R1" s="7"/>
      <c r="S1" s="7" t="s">
        <v>72</v>
      </c>
      <c r="T1" s="7" t="s">
        <v>73</v>
      </c>
      <c r="U1" s="7" t="s">
        <v>74</v>
      </c>
      <c r="V1" s="7" t="s">
        <v>75</v>
      </c>
      <c r="W1" s="7" t="s">
        <v>76</v>
      </c>
      <c r="X1" s="7"/>
    </row>
    <row r="2" spans="18:24" ht="12">
      <c r="R2" s="8" t="s">
        <v>77</v>
      </c>
      <c r="S2" s="8">
        <v>990</v>
      </c>
      <c r="T2" s="8">
        <v>1490</v>
      </c>
      <c r="U2" s="8">
        <v>1</v>
      </c>
      <c r="V2" s="8">
        <v>7</v>
      </c>
      <c r="W2" s="8">
        <v>5</v>
      </c>
      <c r="X2" s="8" t="s">
        <v>78</v>
      </c>
    </row>
    <row r="3" spans="1:23" ht="12">
      <c r="A3" t="s">
        <v>68</v>
      </c>
      <c r="B3" t="s">
        <v>69</v>
      </c>
      <c r="D3" t="s">
        <v>103</v>
      </c>
      <c r="E3" t="s">
        <v>104</v>
      </c>
      <c r="K3" t="s">
        <v>95</v>
      </c>
      <c r="M3">
        <v>1</v>
      </c>
      <c r="N3">
        <v>1.2</v>
      </c>
      <c r="O3">
        <v>0.46</v>
      </c>
      <c r="P3">
        <v>1.87</v>
      </c>
      <c r="R3" s="8" t="s">
        <v>79</v>
      </c>
      <c r="S3" s="8">
        <v>6260</v>
      </c>
      <c r="T3" s="8">
        <v>9410</v>
      </c>
      <c r="U3" s="8">
        <v>2</v>
      </c>
      <c r="V3" s="8">
        <v>9</v>
      </c>
      <c r="W3" s="8" t="s">
        <v>80</v>
      </c>
    </row>
    <row r="4" spans="1:23" ht="12">
      <c r="A4" s="1" t="s">
        <v>4</v>
      </c>
      <c r="D4">
        <v>-15</v>
      </c>
      <c r="E4">
        <v>-20</v>
      </c>
      <c r="H4" t="s">
        <v>5</v>
      </c>
      <c r="I4">
        <v>0.8</v>
      </c>
      <c r="K4" t="s">
        <v>92</v>
      </c>
      <c r="L4">
        <v>2</v>
      </c>
      <c r="R4" s="8" t="s">
        <v>81</v>
      </c>
      <c r="S4" s="8">
        <v>10200</v>
      </c>
      <c r="T4" s="8">
        <v>10200</v>
      </c>
      <c r="U4" s="8">
        <v>3</v>
      </c>
      <c r="V4" s="8">
        <v>13</v>
      </c>
      <c r="W4" s="8">
        <v>2</v>
      </c>
    </row>
    <row r="5" spans="1:23" ht="12">
      <c r="A5" s="1" t="s">
        <v>6</v>
      </c>
      <c r="K5" t="s">
        <v>66</v>
      </c>
      <c r="L5">
        <v>107.9</v>
      </c>
      <c r="R5" s="8" t="s">
        <v>82</v>
      </c>
      <c r="S5" s="8">
        <v>6000</v>
      </c>
      <c r="T5" s="8">
        <v>24000</v>
      </c>
      <c r="U5" s="8">
        <v>4</v>
      </c>
      <c r="V5" s="8">
        <v>13</v>
      </c>
      <c r="W5" s="8">
        <v>2</v>
      </c>
    </row>
    <row r="6" spans="1:20" ht="12">
      <c r="A6" s="2" t="s">
        <v>8</v>
      </c>
      <c r="H6" t="s">
        <v>9</v>
      </c>
      <c r="I6">
        <v>6.61E-06</v>
      </c>
      <c r="K6" t="s">
        <v>90</v>
      </c>
      <c r="L6">
        <v>0.3</v>
      </c>
      <c r="R6" s="8" t="s">
        <v>83</v>
      </c>
      <c r="S6" s="8">
        <v>23450</v>
      </c>
      <c r="T6" s="8">
        <v>45100</v>
      </c>
    </row>
    <row r="7" spans="1:12" ht="12">
      <c r="A7" s="2" t="s">
        <v>10</v>
      </c>
      <c r="C7" t="s">
        <v>134</v>
      </c>
      <c r="D7">
        <v>1.21</v>
      </c>
      <c r="H7" t="s">
        <v>11</v>
      </c>
      <c r="I7">
        <v>0.0029</v>
      </c>
      <c r="K7" t="s">
        <v>91</v>
      </c>
      <c r="L7">
        <v>0.9</v>
      </c>
    </row>
    <row r="8" spans="1:4" ht="12">
      <c r="A8" s="2" t="s">
        <v>114</v>
      </c>
      <c r="D8">
        <v>238</v>
      </c>
    </row>
    <row r="9" spans="1:17" ht="12">
      <c r="A9" s="2"/>
      <c r="C9" t="s">
        <v>135</v>
      </c>
      <c r="D9">
        <f>8312/D8</f>
        <v>34.924369747899156</v>
      </c>
      <c r="H9">
        <f>H3*$L$4*$L$5/($D$22*($L$7-$L$6))</f>
        <v>0</v>
      </c>
      <c r="I9">
        <f>I3*$L$4*$L$5/($D$22*($L$7-$L$6))</f>
        <v>0</v>
      </c>
      <c r="J9">
        <f>J3*$L$4*$L$5/($D$22*($L$7-$L$6))</f>
        <v>0</v>
      </c>
      <c r="K9" t="s">
        <v>67</v>
      </c>
      <c r="M9">
        <v>1.86</v>
      </c>
      <c r="N9">
        <f>1.5*M9</f>
        <v>2.79</v>
      </c>
      <c r="O9">
        <f>2*M9</f>
        <v>3.72</v>
      </c>
      <c r="Q9" t="s">
        <v>84</v>
      </c>
    </row>
    <row r="10" spans="1:17" ht="12">
      <c r="A10" s="3" t="s">
        <v>13</v>
      </c>
      <c r="B10" t="s">
        <v>106</v>
      </c>
      <c r="D10">
        <f>(0.001*D8/0.0224)*$D$20*(273.15/(273.15+$E$4))</f>
        <v>4.815057772071893</v>
      </c>
      <c r="K10" t="s">
        <v>39</v>
      </c>
      <c r="M10">
        <f>1000*M9/$D$10</f>
        <v>386.28820006860525</v>
      </c>
      <c r="N10">
        <f>1000*N9/$D$10</f>
        <v>579.4323001029079</v>
      </c>
      <c r="O10">
        <f>1000*O9/$D$10</f>
        <v>772.5764001372105</v>
      </c>
      <c r="Q10" t="s">
        <v>88</v>
      </c>
    </row>
    <row r="11" spans="1:17" ht="12">
      <c r="A11" s="3" t="s">
        <v>15</v>
      </c>
      <c r="D11">
        <f>1000000*D12</f>
        <v>2.2845001079326117</v>
      </c>
      <c r="Q11" t="s">
        <v>89</v>
      </c>
    </row>
    <row r="12" spans="1:4" ht="12">
      <c r="A12" s="3" t="s">
        <v>17</v>
      </c>
      <c r="D12">
        <f>D13*0.000001/D10</f>
        <v>2.2845001079326116E-06</v>
      </c>
    </row>
    <row r="13" spans="1:5" ht="12">
      <c r="A13" s="3" t="s">
        <v>19</v>
      </c>
      <c r="B13" t="s">
        <v>110</v>
      </c>
      <c r="C13" t="s">
        <v>107</v>
      </c>
      <c r="D13">
        <v>11</v>
      </c>
      <c r="E13" t="s">
        <v>108</v>
      </c>
    </row>
    <row r="14" ht="12">
      <c r="A14" s="3" t="s">
        <v>21</v>
      </c>
    </row>
    <row r="15" ht="12">
      <c r="A15" s="1" t="s">
        <v>22</v>
      </c>
    </row>
    <row r="16" ht="12">
      <c r="A16" s="1" t="s">
        <v>24</v>
      </c>
    </row>
    <row r="17" ht="12">
      <c r="A17" s="1" t="s">
        <v>25</v>
      </c>
    </row>
    <row r="18" spans="1:12" ht="12">
      <c r="A18" s="3" t="s">
        <v>27</v>
      </c>
      <c r="K18" t="s">
        <v>146</v>
      </c>
      <c r="L18">
        <v>1</v>
      </c>
    </row>
    <row r="19" spans="1:4" ht="12">
      <c r="A19" s="3" t="s">
        <v>29</v>
      </c>
      <c r="C19" t="s">
        <v>115</v>
      </c>
      <c r="D19">
        <v>0.42</v>
      </c>
    </row>
    <row r="20" spans="1:15" ht="12">
      <c r="A20" t="s">
        <v>63</v>
      </c>
      <c r="D20">
        <f>IF(D19&gt;0.001,D19,0.5*($D$66+$D$66))</f>
        <v>0.42</v>
      </c>
      <c r="E20" t="s">
        <v>102</v>
      </c>
      <c r="G20">
        <f>$D$20-T64</f>
        <v>0.09235489531885421</v>
      </c>
      <c r="H20">
        <f>$D$20-U64</f>
        <v>0.21953312346757992</v>
      </c>
      <c r="I20" t="e">
        <f>$D$20-V64</f>
        <v>#NUM!</v>
      </c>
      <c r="L20" t="s">
        <v>133</v>
      </c>
      <c r="M20">
        <f>T64</f>
        <v>0.32764510468114577</v>
      </c>
      <c r="N20">
        <f>U64</f>
        <v>0.20046687653242007</v>
      </c>
      <c r="O20" t="e">
        <f>V64</f>
        <v>#NUM!</v>
      </c>
    </row>
    <row r="21" spans="1:15" ht="12">
      <c r="A21" t="s">
        <v>64</v>
      </c>
      <c r="D21">
        <f>0.5*(D67+D67)</f>
        <v>24.31</v>
      </c>
      <c r="L21" t="s">
        <v>132</v>
      </c>
      <c r="M21">
        <f>T68</f>
        <v>0.11269357037118449</v>
      </c>
      <c r="N21">
        <f>U68</f>
        <v>0.18548090059917458</v>
      </c>
      <c r="O21" t="e">
        <f>V68</f>
        <v>#NUM!</v>
      </c>
    </row>
    <row r="22" spans="1:4" ht="12">
      <c r="A22" t="s">
        <v>65</v>
      </c>
      <c r="D22">
        <f>D21/(0.001*D8)</f>
        <v>102.14285714285712</v>
      </c>
    </row>
    <row r="24" ht="12">
      <c r="K24" t="s">
        <v>34</v>
      </c>
    </row>
    <row r="25" spans="1:11" ht="12">
      <c r="A25" t="s">
        <v>62</v>
      </c>
      <c r="B25" t="s">
        <v>61</v>
      </c>
      <c r="C25" t="s">
        <v>111</v>
      </c>
      <c r="K25" t="s">
        <v>34</v>
      </c>
    </row>
    <row r="26" spans="1:22" ht="12">
      <c r="A26" s="1" t="s">
        <v>4</v>
      </c>
      <c r="B26">
        <v>-40</v>
      </c>
      <c r="C26">
        <v>-30</v>
      </c>
      <c r="D26">
        <v>-20</v>
      </c>
      <c r="E26">
        <v>-10</v>
      </c>
      <c r="F26">
        <v>0</v>
      </c>
      <c r="G26">
        <v>10</v>
      </c>
      <c r="H26">
        <v>20</v>
      </c>
      <c r="I26">
        <v>30</v>
      </c>
      <c r="K26" t="s">
        <v>35</v>
      </c>
      <c r="R26" t="s">
        <v>36</v>
      </c>
      <c r="T26">
        <f>0.5*M54*M54*$D$10*((0.5*(1-($L$48/$S$28)))+((1-($L$48/$S$28))*(1-($L$48/$S$28))))</f>
        <v>76.59551590048845</v>
      </c>
      <c r="U26">
        <f>0.5*N54*N54*$D$10*((0.5*(1-($L$48/$S$28)))+((1-($L$48/$S$28))*(1-($L$48/$S$28))))</f>
        <v>209.06132648988446</v>
      </c>
      <c r="V26">
        <f>0.5*O54*O54*$D$10*((0.5*(1-($L$48/$S$28)))+((1-($L$48/$S$28))*(1-($L$48/$S$28))))</f>
        <v>494.04838933696624</v>
      </c>
    </row>
    <row r="27" spans="1:22" ht="12">
      <c r="A27" s="1" t="s">
        <v>6</v>
      </c>
      <c r="R27" t="s">
        <v>100</v>
      </c>
      <c r="T27">
        <f>M64-0.00001*T26</f>
        <v>0.35136440609749936</v>
      </c>
      <c r="U27">
        <f>N64-0.00001*U26</f>
        <v>0.26540702806490124</v>
      </c>
      <c r="V27">
        <f>O64-0.00001*V26</f>
        <v>0.10000436146909422</v>
      </c>
    </row>
    <row r="28" spans="1:19" ht="12">
      <c r="A28" s="2" t="s">
        <v>8</v>
      </c>
      <c r="K28" t="s">
        <v>37</v>
      </c>
      <c r="L28">
        <f>PI()*L30*L30/4</f>
        <v>3.8484510006474965E-05</v>
      </c>
      <c r="R28" t="s">
        <v>38</v>
      </c>
      <c r="S28">
        <f>PI()*S30*S30/4</f>
        <v>0.00013273228961416876</v>
      </c>
    </row>
    <row r="29" spans="1:19" ht="12">
      <c r="A29" s="2" t="s">
        <v>10</v>
      </c>
      <c r="K29" t="s">
        <v>40</v>
      </c>
      <c r="L29">
        <v>1.49</v>
      </c>
      <c r="R29" t="s">
        <v>119</v>
      </c>
      <c r="S29">
        <v>10.2</v>
      </c>
    </row>
    <row r="30" spans="1:19" ht="12">
      <c r="A30" s="2"/>
      <c r="K30" t="s">
        <v>41</v>
      </c>
      <c r="L30">
        <f>0.007*L18</f>
        <v>0.007</v>
      </c>
      <c r="R30" t="s">
        <v>120</v>
      </c>
      <c r="S30">
        <f>0.013*L18</f>
        <v>0.013</v>
      </c>
    </row>
    <row r="31" spans="1:19" ht="12">
      <c r="A31" s="2"/>
      <c r="K31" t="s">
        <v>116</v>
      </c>
      <c r="L31">
        <v>20</v>
      </c>
      <c r="R31" t="s">
        <v>116</v>
      </c>
      <c r="S31">
        <v>25</v>
      </c>
    </row>
    <row r="32" spans="1:15" ht="12">
      <c r="A32" s="3" t="s">
        <v>13</v>
      </c>
      <c r="C32">
        <v>1546.4</v>
      </c>
      <c r="D32">
        <v>1504.6</v>
      </c>
      <c r="E32">
        <v>1461.7</v>
      </c>
      <c r="F32">
        <v>1417</v>
      </c>
      <c r="G32">
        <v>1370.1</v>
      </c>
      <c r="H32">
        <v>1319.9</v>
      </c>
      <c r="I32">
        <v>1265.1</v>
      </c>
      <c r="K32" t="s">
        <v>117</v>
      </c>
      <c r="M32">
        <f>$D$10*(273.15+$E$4)/(273.15+$L$31)</f>
        <v>4.158048354084938</v>
      </c>
      <c r="N32">
        <f>$D$10*(273.15+$E$4)/(273.15+$L$31)</f>
        <v>4.158048354084938</v>
      </c>
      <c r="O32">
        <f>$D$10*(273.15+$E$4)/(273.15+$L$31)</f>
        <v>4.158048354084938</v>
      </c>
    </row>
    <row r="33" spans="1:15" ht="12">
      <c r="A33" s="3" t="s">
        <v>15</v>
      </c>
      <c r="C33">
        <v>0.42</v>
      </c>
      <c r="D33">
        <v>0.38</v>
      </c>
      <c r="E33">
        <v>0.33</v>
      </c>
      <c r="F33">
        <v>0.29</v>
      </c>
      <c r="G33">
        <v>0.26</v>
      </c>
      <c r="H33">
        <v>0.23</v>
      </c>
      <c r="K33" t="s">
        <v>118</v>
      </c>
      <c r="M33">
        <f>1000*M9/M32</f>
        <v>447.32524530954623</v>
      </c>
      <c r="N33">
        <f>1000*N9/N32</f>
        <v>670.9878679643193</v>
      </c>
      <c r="O33">
        <f>1000*O9/O32</f>
        <v>894.6504906190925</v>
      </c>
    </row>
    <row r="34" spans="1:22" ht="12">
      <c r="A34" s="3" t="s">
        <v>17</v>
      </c>
      <c r="C34">
        <f aca="true" t="shared" si="0" ref="C34:H34">C33*0.000001</f>
        <v>4.1999999999999995E-07</v>
      </c>
      <c r="D34">
        <f t="shared" si="0"/>
        <v>3.7999999999999996E-07</v>
      </c>
      <c r="E34">
        <f t="shared" si="0"/>
        <v>3.3E-07</v>
      </c>
      <c r="F34">
        <f t="shared" si="0"/>
        <v>2.9E-07</v>
      </c>
      <c r="G34">
        <f t="shared" si="0"/>
        <v>2.6E-07</v>
      </c>
      <c r="H34">
        <f t="shared" si="0"/>
        <v>2.3E-07</v>
      </c>
      <c r="K34" t="s">
        <v>42</v>
      </c>
      <c r="M34">
        <f>0.000001*M33/(PI()*$L$30*$L$30/4)</f>
        <v>11.62351411605044</v>
      </c>
      <c r="N34">
        <f>0.000001*N33/(PI()*$L$30*$L$30/4)</f>
        <v>17.435271174075663</v>
      </c>
      <c r="O34">
        <f>0.000001*O33/(PI()*$L$30*$L$30/4)</f>
        <v>23.24702823210088</v>
      </c>
      <c r="R34" t="s">
        <v>121</v>
      </c>
      <c r="T34">
        <f>0.000001*M10*($D$20/T27)*((273.15+$S$31)/(273.15+$E$4))/(PI()*$S$30*$S$30/4)</f>
        <v>4.097163205048867</v>
      </c>
      <c r="U34">
        <f>0.000001*N10*($D$20/U27)*((273.15+$S$31)/(273.15+$E$4))/(PI()*$S$30*$S$30/4)</f>
        <v>8.136167267626899</v>
      </c>
      <c r="V34">
        <f>0.000001*O10*($D$20/V27)*((273.15+$S$31)/(273.15+$E$4))/(PI()*$S$30*$S$30/4)</f>
        <v>28.790690627456712</v>
      </c>
    </row>
    <row r="35" spans="1:22" ht="12">
      <c r="A35" s="3" t="s">
        <v>19</v>
      </c>
      <c r="C35">
        <f aca="true" t="shared" si="1" ref="C35:H35">1000000*C34*C32</f>
        <v>649.4879999999999</v>
      </c>
      <c r="D35">
        <f t="shared" si="1"/>
        <v>571.7479999999999</v>
      </c>
      <c r="E35">
        <f t="shared" si="1"/>
        <v>482.36100000000005</v>
      </c>
      <c r="F35">
        <f t="shared" si="1"/>
        <v>410.92999999999995</v>
      </c>
      <c r="G35">
        <f t="shared" si="1"/>
        <v>356.226</v>
      </c>
      <c r="H35">
        <f t="shared" si="1"/>
        <v>303.577</v>
      </c>
      <c r="K35" t="s">
        <v>43</v>
      </c>
      <c r="M35">
        <f>M34*$L$30/($D$13*0.000001/M32)</f>
        <v>30756.17601568055</v>
      </c>
      <c r="N35">
        <f>N34*$L$30/($D$13*0.000001/N32)</f>
        <v>46134.26402352083</v>
      </c>
      <c r="O35">
        <f>O34*$L$30/($D$13*0.000001/O32)</f>
        <v>61512.3520313611</v>
      </c>
      <c r="R35" t="s">
        <v>122</v>
      </c>
      <c r="T35">
        <f>T34*$S$30/$D$12</f>
        <v>23315.00072190254</v>
      </c>
      <c r="U35">
        <f>U34*$S$30/$D$12</f>
        <v>46299.04551629362</v>
      </c>
      <c r="V35">
        <f>V34*$S$30/$D$12</f>
        <v>163834.0820634261</v>
      </c>
    </row>
    <row r="36" spans="1:22" ht="12">
      <c r="A36" s="3" t="s">
        <v>21</v>
      </c>
      <c r="K36" t="s">
        <v>18</v>
      </c>
      <c r="M36">
        <f>64/M35</f>
        <v>0.002080882875926143</v>
      </c>
      <c r="N36">
        <f>64/N35</f>
        <v>0.0013872552506174283</v>
      </c>
      <c r="O36">
        <f>64/O35</f>
        <v>0.0010404414379630714</v>
      </c>
      <c r="R36" t="s">
        <v>18</v>
      </c>
      <c r="T36">
        <f>64/T35</f>
        <v>0.002745013854530025</v>
      </c>
      <c r="U36">
        <f>64/U35</f>
        <v>0.001382317913605304</v>
      </c>
      <c r="V36">
        <f>64/V35</f>
        <v>0.00039063910996994686</v>
      </c>
    </row>
    <row r="37" spans="1:22" ht="12">
      <c r="A37" s="1" t="s">
        <v>22</v>
      </c>
      <c r="K37" t="s">
        <v>20</v>
      </c>
      <c r="M37">
        <f>0.316/(SQRT(SQRT(M35)))</f>
        <v>0.023861843784510253</v>
      </c>
      <c r="N37">
        <f>0.316/(SQRT(SQRT(N35)))</f>
        <v>0.021561609853508586</v>
      </c>
      <c r="O37">
        <f>0.316/(SQRT(SQRT(O35)))</f>
        <v>0.0200653388997388</v>
      </c>
      <c r="R37" t="s">
        <v>20</v>
      </c>
      <c r="T37">
        <f>0.316/(SQRT(SQRT(T35)))</f>
        <v>0.025572796596345006</v>
      </c>
      <c r="U37">
        <f>0.316/(SQRT(SQRT(U35)))</f>
        <v>0.021542399381451457</v>
      </c>
      <c r="V37">
        <f>0.316/(SQRT(SQRT(V35)))</f>
        <v>0.015706738727778516</v>
      </c>
    </row>
    <row r="38" ht="12">
      <c r="A38" s="1" t="s">
        <v>24</v>
      </c>
    </row>
    <row r="39" spans="1:22" ht="12">
      <c r="A39" s="1" t="s">
        <v>25</v>
      </c>
      <c r="K39" t="s">
        <v>23</v>
      </c>
      <c r="M39">
        <f>IF(M35&gt;4000,M37,IF(M35&lt;2000,M36,0.032+(0.0397-0.032)*((M35-2000)/2000)))</f>
        <v>0.023861843784510253</v>
      </c>
      <c r="N39">
        <f>IF(N35&gt;4000,N37,IF(N35&lt;2000,N36,0.032+(0.0397-0.032)*((N35-2000)/2000)))</f>
        <v>0.021561609853508586</v>
      </c>
      <c r="O39">
        <f>IF(O35&gt;4000,O37,IF(O35&lt;2000,O36,0.032+(0.0397-0.032)*((O35-2000)/2000)))</f>
        <v>0.0200653388997388</v>
      </c>
      <c r="R39" t="s">
        <v>23</v>
      </c>
      <c r="T39">
        <f>IF(T35&gt;4000,T37,IF(T35&lt;2000,T36,0.032+(0.0397-0.032)*((T35-2000)/2000)))</f>
        <v>0.025572796596345006</v>
      </c>
      <c r="U39">
        <f>IF(U35&gt;4000,U37,IF(U35&lt;2000,U36,0.032+(0.0397-0.032)*((U35-2000)/2000)))</f>
        <v>0.021542399381451457</v>
      </c>
      <c r="V39">
        <f>IF(V35&gt;4000,V37,IF(V35&lt;2000,V36,0.032+(0.0397-0.032)*((V35-2000)/2000)))</f>
        <v>0.015706738727778516</v>
      </c>
    </row>
    <row r="40" spans="1:22" ht="12">
      <c r="A40" s="3" t="s">
        <v>27</v>
      </c>
      <c r="K40" t="s">
        <v>105</v>
      </c>
      <c r="M40">
        <f>M39*$L$29/$L$30</f>
        <v>5.079163891274325</v>
      </c>
      <c r="N40">
        <f>N39*$L$29/$L$30</f>
        <v>4.589542668818256</v>
      </c>
      <c r="O40">
        <f>O39*$L$29/$L$30</f>
        <v>4.271050708658687</v>
      </c>
      <c r="R40" t="s">
        <v>105</v>
      </c>
      <c r="T40">
        <f>T39*$S$29/$S$30</f>
        <v>20.064809637132235</v>
      </c>
      <c r="U40">
        <f>U39*$S$29/$S$30</f>
        <v>16.90249797621576</v>
      </c>
      <c r="V40">
        <f>V39*$S$29/$S$30</f>
        <v>12.323748847949297</v>
      </c>
    </row>
    <row r="41" spans="1:22" ht="12">
      <c r="A41" s="3" t="s">
        <v>29</v>
      </c>
      <c r="K41" t="s">
        <v>136</v>
      </c>
      <c r="M41">
        <f>M34*($D$20/M44)/SQRT($D$7*$D$9*(273.15+$L$31))</f>
        <v>0.11269357037118449</v>
      </c>
      <c r="N41">
        <f>N34*($D$20/N44)/SQRT($D$7*$D$9*(273.15+$L$31))</f>
        <v>0.18548090059917458</v>
      </c>
      <c r="O41">
        <f>O34*($D$20/O44)/SQRT($D$7*$D$9*(273.15+$L$31))</f>
        <v>0.28325947051783257</v>
      </c>
      <c r="R41" t="s">
        <v>136</v>
      </c>
      <c r="T41">
        <f>T34*(T27/T44)/SQRT($D$7*$D$9*(273.15+$S$31))</f>
        <v>0.03724151666378217</v>
      </c>
      <c r="U41">
        <f>U34*(U27/U44)/SQRT($D$7*$D$9*(273.15+$S$31))</f>
        <v>0.07775270043352439</v>
      </c>
      <c r="V41" t="e">
        <f>V34*(V27/V44)/SQRT($D$7*$D$9*(273.15+$S$31))</f>
        <v>#NUM!</v>
      </c>
    </row>
    <row r="42" spans="1:22" ht="12">
      <c r="A42" t="s">
        <v>63</v>
      </c>
      <c r="C42">
        <v>1.355</v>
      </c>
      <c r="D42">
        <v>2.036</v>
      </c>
      <c r="E42">
        <v>2.953</v>
      </c>
      <c r="F42">
        <v>4.152</v>
      </c>
      <c r="G42">
        <v>5.684</v>
      </c>
      <c r="H42">
        <v>7.605</v>
      </c>
      <c r="I42">
        <v>9.975</v>
      </c>
      <c r="K42" t="s">
        <v>44</v>
      </c>
      <c r="M42">
        <f>1.2*M34*M34*M32*(0.00001*M43/$D$20)/2</f>
        <v>325.4155322388104</v>
      </c>
      <c r="N42">
        <f>1.2*N34*N34*N32*(0.00001*N43/$D$20)/2</f>
        <v>704.077974874197</v>
      </c>
      <c r="O42">
        <f>1.2*O34*O34*O32*(0.00001*O43/$D$20)/2</f>
        <v>1184.24111231284</v>
      </c>
      <c r="R42" t="s">
        <v>86</v>
      </c>
      <c r="T42">
        <f>0.2*T34*T34*$D$10*(0.00001*T43/$D$20)/2</f>
        <v>6.630178491398356</v>
      </c>
      <c r="U42">
        <f>0.2*U34*U34*$D$10*(0.00001*U43/$D$20)/2</f>
        <v>18.805897215546956</v>
      </c>
      <c r="V42" t="e">
        <f>0.2*V34*V34*$D$10*(0.00001*V43/$D$20)/2</f>
        <v>#NUM!</v>
      </c>
    </row>
    <row r="43" spans="1:22" ht="12">
      <c r="A43" t="s">
        <v>64</v>
      </c>
      <c r="C43">
        <v>18.53</v>
      </c>
      <c r="D43">
        <v>17.82</v>
      </c>
      <c r="E43">
        <v>17.07</v>
      </c>
      <c r="F43">
        <v>16.26</v>
      </c>
      <c r="G43">
        <v>15.37</v>
      </c>
      <c r="H43">
        <v>14.38</v>
      </c>
      <c r="I43">
        <v>13.27</v>
      </c>
      <c r="K43" t="s">
        <v>96</v>
      </c>
      <c r="M43">
        <f>SQRT((10000000000*$D$20*$D$20)-(100000*$D$20*M39*$L$29*M32*M34*M34/($L$30)))</f>
        <v>40548.228761676924</v>
      </c>
      <c r="N43">
        <f>SQRT((10000000000*$D$20*$D$20)-(100000*$D$20*N39*$L$29*N32*N34*N34/($L$30)))</f>
        <v>38991.67128098034</v>
      </c>
      <c r="O43">
        <f>SQRT((10000000000*$D$20*$D$20)-(100000*$D$20*O39*$L$29*O32*O34*O34/($L$30)))</f>
        <v>36890.43298016619</v>
      </c>
      <c r="R43" t="s">
        <v>96</v>
      </c>
      <c r="T43">
        <f>SQRT((10000000000*T27*T27)-(100000*T27*T39*$S$29*$D$10*(T27/$D$20)*T34*T34/($S$30)))</f>
        <v>34451.36872031471</v>
      </c>
      <c r="U43">
        <f>SQRT((10000000000*U27*U27)-(100000*U27*U39*$S$29*$D$10*(U27/$D$20)*U34*U34/($S$30)))</f>
        <v>24780.046063553495</v>
      </c>
      <c r="V43" t="e">
        <f>SQRT((10000000000*V27*V27)-(100000*V27*V39*$S$29*$D$10*(V27/$D$20)*V34*V34/($S$30)))</f>
        <v>#NUM!</v>
      </c>
    </row>
    <row r="44" spans="1:22" ht="12">
      <c r="A44" t="s">
        <v>65</v>
      </c>
      <c r="C44">
        <f aca="true" t="shared" si="2" ref="C44:I44">C43/0.188</f>
        <v>98.56382978723404</v>
      </c>
      <c r="D44">
        <f t="shared" si="2"/>
        <v>94.7872340425532</v>
      </c>
      <c r="E44">
        <f t="shared" si="2"/>
        <v>90.79787234042553</v>
      </c>
      <c r="F44">
        <f t="shared" si="2"/>
        <v>86.48936170212767</v>
      </c>
      <c r="G44">
        <f t="shared" si="2"/>
        <v>81.75531914893617</v>
      </c>
      <c r="H44">
        <f t="shared" si="2"/>
        <v>76.48936170212767</v>
      </c>
      <c r="I44">
        <f t="shared" si="2"/>
        <v>70.58510638297872</v>
      </c>
      <c r="K44" t="s">
        <v>97</v>
      </c>
      <c r="M44">
        <f>0.00001*(M43-5*M42)</f>
        <v>0.38921151100482876</v>
      </c>
      <c r="N44">
        <f>0.00001*(N43-5*N42)</f>
        <v>0.35471281406609356</v>
      </c>
      <c r="O44">
        <f>0.00001*(O43-5*O42)</f>
        <v>0.3096922741860199</v>
      </c>
      <c r="R44" t="s">
        <v>99</v>
      </c>
      <c r="T44">
        <f>0.00001*(T43-2*T42)</f>
        <v>0.34438108363331915</v>
      </c>
      <c r="U44">
        <f>0.00001*(U43-2*U42)</f>
        <v>0.24742434269122404</v>
      </c>
      <c r="V44" t="e">
        <f>0.00001*(V43-2*V42)</f>
        <v>#NUM!</v>
      </c>
    </row>
    <row r="46" spans="11:22" ht="12">
      <c r="K46" t="s">
        <v>48</v>
      </c>
      <c r="M46">
        <f>0.5*M34*M34*M32*((0.5*(1-($L$28/$L$48)))+((1-($L$28/$L$48))*(1-($L$28/$L$48))))</f>
        <v>99.32358385925872</v>
      </c>
      <c r="N46">
        <f>0.5*N34*N34*N32*((0.5*(1-($L$28/$L$48)))+((1-($L$28/$L$48))*(1-($L$28/$L$48))))</f>
        <v>223.47806368333212</v>
      </c>
      <c r="O46">
        <f>0.5*O34*O34*O32*((0.5*(1-($L$28/$L$48)))+((1-($L$28/$L$48))*(1-($L$28/$L$48))))</f>
        <v>397.2943354370349</v>
      </c>
      <c r="R46" t="s">
        <v>49</v>
      </c>
      <c r="T46">
        <f>0.5*T34*T34*$D$10*((0.5*(1-($S$28/$S$48)))+((1-($S$28/$S$48))*(1-($S$28/$S$48))))</f>
        <v>0</v>
      </c>
      <c r="U46">
        <f>0.5*U34*U34*$D$10*((0.5*(1-($S$28/$S$48)))+((1-($S$28/$S$48))*(1-($S$28/$S$48))))</f>
        <v>0</v>
      </c>
      <c r="V46">
        <f>0.5*V34*V34*$D$10*((0.5*(1-($S$28/$S$48)))+((1-($S$28/$S$48))*(1-($S$28/$S$48))))</f>
        <v>0</v>
      </c>
    </row>
    <row r="47" spans="11:22" ht="12">
      <c r="K47" t="s">
        <v>98</v>
      </c>
      <c r="M47">
        <f>M44-0.00001*M46</f>
        <v>0.3882182751662362</v>
      </c>
      <c r="N47">
        <f>N44-0.00001*N46</f>
        <v>0.35247803342926026</v>
      </c>
      <c r="O47">
        <f>O44-0.00001*O46</f>
        <v>0.30571933083164954</v>
      </c>
      <c r="R47" t="s">
        <v>101</v>
      </c>
      <c r="T47">
        <f>T44-0.00001*T46</f>
        <v>0.34438108363331915</v>
      </c>
      <c r="U47">
        <f>U44-0.00001*U46</f>
        <v>0.24742434269122404</v>
      </c>
      <c r="V47" t="e">
        <f>V44-0.00001*V46</f>
        <v>#NUM!</v>
      </c>
    </row>
    <row r="48" spans="11:19" ht="12">
      <c r="K48" t="s">
        <v>50</v>
      </c>
      <c r="L48">
        <f>PI()*L50*L50/4</f>
        <v>6.36172512351933E-05</v>
      </c>
      <c r="R48" t="s">
        <v>51</v>
      </c>
      <c r="S48">
        <f>PI()*S50*S50/4</f>
        <v>0.00013273228961416876</v>
      </c>
    </row>
    <row r="49" spans="1:19" ht="12">
      <c r="A49" t="s">
        <v>68</v>
      </c>
      <c r="B49" t="s">
        <v>69</v>
      </c>
      <c r="C49" t="s">
        <v>111</v>
      </c>
      <c r="K49" t="s">
        <v>127</v>
      </c>
      <c r="L49">
        <v>9.41</v>
      </c>
      <c r="R49" t="s">
        <v>123</v>
      </c>
      <c r="S49">
        <v>24</v>
      </c>
    </row>
    <row r="50" spans="1:19" ht="12">
      <c r="A50" s="1" t="s">
        <v>4</v>
      </c>
      <c r="B50">
        <v>-40</v>
      </c>
      <c r="C50">
        <v>-30</v>
      </c>
      <c r="D50">
        <v>-20</v>
      </c>
      <c r="E50">
        <v>-10</v>
      </c>
      <c r="F50">
        <v>0</v>
      </c>
      <c r="G50">
        <v>10</v>
      </c>
      <c r="H50">
        <v>20</v>
      </c>
      <c r="I50">
        <v>30</v>
      </c>
      <c r="K50" t="s">
        <v>128</v>
      </c>
      <c r="L50">
        <f>0.009*L18</f>
        <v>0.009</v>
      </c>
      <c r="R50" t="s">
        <v>124</v>
      </c>
      <c r="S50">
        <f>0.013*L18</f>
        <v>0.013</v>
      </c>
    </row>
    <row r="51" spans="1:19" ht="12">
      <c r="A51" s="1" t="s">
        <v>6</v>
      </c>
      <c r="K51" t="s">
        <v>116</v>
      </c>
      <c r="L51">
        <v>25</v>
      </c>
      <c r="R51" t="s">
        <v>116</v>
      </c>
      <c r="S51">
        <v>25</v>
      </c>
    </row>
    <row r="52" ht="12">
      <c r="A52" s="2" t="s">
        <v>8</v>
      </c>
    </row>
    <row r="53" ht="12">
      <c r="A53" s="2" t="s">
        <v>10</v>
      </c>
    </row>
    <row r="54" spans="1:22" ht="12">
      <c r="A54" s="2"/>
      <c r="K54" t="s">
        <v>129</v>
      </c>
      <c r="M54">
        <f>0.000001*M10*($D$20/M47)*((273.15+$L$51)/(273.15+$E$4))/(PI()*$L$50*$L$50/4)</f>
        <v>7.736895631147351</v>
      </c>
      <c r="N54">
        <f>0.000001*N10*($D$20/N47)*((273.15+$L$51)/(273.15+$E$4))/(PI()*$L$50*$L$50/4)</f>
        <v>12.78209133137944</v>
      </c>
      <c r="O54">
        <f>0.000001*O10*($D$20/O47)*((273.15+$L$51)/(273.15+$E$4))/(PI()*$L$50*$L$50/4)</f>
        <v>19.64942333803032</v>
      </c>
      <c r="R54" t="s">
        <v>125</v>
      </c>
      <c r="T54">
        <f>0.000001*M10*($D$20/T47)*((273.15+$S$51)/(273.15+$E$4))/(PI()*$S$50*$S$50/4)</f>
        <v>4.180245038543806</v>
      </c>
      <c r="U54">
        <f>0.000001*N10*($D$20/U47)*((273.15+$S$51)/(273.15+$E$4))/(PI()*$S$50*$S$50/4)</f>
        <v>8.727500094987118</v>
      </c>
      <c r="V54" t="e">
        <f>0.000001*O10*($D$20/V47)*((273.15+$S$51)/(273.15+$E$4))/(PI()*$S$50*$S$50/4)</f>
        <v>#NUM!</v>
      </c>
    </row>
    <row r="55" spans="1:22" ht="12">
      <c r="A55" s="2"/>
      <c r="K55" t="s">
        <v>130</v>
      </c>
      <c r="M55">
        <f>M54*$L$50/$D$12</f>
        <v>30480.21772401692</v>
      </c>
      <c r="N55">
        <f>N54*$L$50/$D$12</f>
        <v>50356.23398876564</v>
      </c>
      <c r="O55">
        <f>O54*$L$50/$D$12</f>
        <v>77410.72518587486</v>
      </c>
      <c r="R55" t="s">
        <v>126</v>
      </c>
      <c r="T55">
        <f>T54*$S$50/$D$12</f>
        <v>23787.779791460835</v>
      </c>
      <c r="U55">
        <f>U54*$S$50/$D$12</f>
        <v>49664.038465512436</v>
      </c>
      <c r="V55" t="e">
        <f>V54*$S$50/$D$12</f>
        <v>#NUM!</v>
      </c>
    </row>
    <row r="56" spans="1:22" ht="12">
      <c r="A56" s="3" t="s">
        <v>13</v>
      </c>
      <c r="C56">
        <v>1720</v>
      </c>
      <c r="D56">
        <v>1681.2</v>
      </c>
      <c r="E56">
        <v>1641.9</v>
      </c>
      <c r="F56">
        <v>1602.49</v>
      </c>
      <c r="G56">
        <v>1562.67</v>
      </c>
      <c r="H56">
        <v>1522.07</v>
      </c>
      <c r="I56">
        <v>1480.23</v>
      </c>
      <c r="K56" t="s">
        <v>18</v>
      </c>
      <c r="M56">
        <f>64/M55</f>
        <v>0.0020997225341199298</v>
      </c>
      <c r="N56">
        <f>64/N55</f>
        <v>0.0012709449244015796</v>
      </c>
      <c r="O56">
        <f>64/O55</f>
        <v>0.0008267588224542054</v>
      </c>
      <c r="R56" t="s">
        <v>18</v>
      </c>
      <c r="T56">
        <f>64/T55</f>
        <v>0.0026904570565670976</v>
      </c>
      <c r="U56">
        <f>64/U55</f>
        <v>0.0012886587957288793</v>
      </c>
      <c r="V56" t="e">
        <f>64/V55</f>
        <v>#NUM!</v>
      </c>
    </row>
    <row r="57" spans="1:22" ht="12">
      <c r="A57" s="3" t="s">
        <v>15</v>
      </c>
      <c r="C57">
        <v>0.5</v>
      </c>
      <c r="D57">
        <v>0.425</v>
      </c>
      <c r="E57">
        <v>0.37</v>
      </c>
      <c r="F57">
        <v>0.33</v>
      </c>
      <c r="G57">
        <v>0.29</v>
      </c>
      <c r="H57">
        <v>0.26</v>
      </c>
      <c r="K57" t="s">
        <v>20</v>
      </c>
      <c r="M57">
        <f>0.316/(SQRT(SQRT(M55)))</f>
        <v>0.023915670782511427</v>
      </c>
      <c r="N57">
        <f>0.316/(SQRT(SQRT(N55)))</f>
        <v>0.021094720326855363</v>
      </c>
      <c r="O57">
        <f>0.316/(SQRT(SQRT(O55)))</f>
        <v>0.01894465926868694</v>
      </c>
      <c r="R57" t="s">
        <v>20</v>
      </c>
      <c r="T57">
        <f>0.316/(SQRT(SQRT(T55)))</f>
        <v>0.025444774434433003</v>
      </c>
      <c r="U57">
        <f>0.316/(SQRT(SQRT(U55)))</f>
        <v>0.021167841488257337</v>
      </c>
      <c r="V57" t="e">
        <f>0.316/(SQRT(SQRT(V55)))</f>
        <v>#NUM!</v>
      </c>
    </row>
    <row r="58" spans="1:8" ht="12">
      <c r="A58" s="3" t="s">
        <v>17</v>
      </c>
      <c r="C58">
        <f aca="true" t="shared" si="3" ref="C58:H58">C57*0.000001</f>
        <v>5E-07</v>
      </c>
      <c r="D58">
        <f t="shared" si="3"/>
        <v>4.2499999999999995E-07</v>
      </c>
      <c r="E58">
        <f t="shared" si="3"/>
        <v>3.7E-07</v>
      </c>
      <c r="F58">
        <f t="shared" si="3"/>
        <v>3.3E-07</v>
      </c>
      <c r="G58">
        <f t="shared" si="3"/>
        <v>2.9E-07</v>
      </c>
      <c r="H58">
        <f t="shared" si="3"/>
        <v>2.6E-07</v>
      </c>
    </row>
    <row r="59" spans="1:22" ht="12">
      <c r="A59" s="3" t="s">
        <v>19</v>
      </c>
      <c r="F59" s="5">
        <f>F60/1000</f>
        <v>0.0004653</v>
      </c>
      <c r="K59" t="s">
        <v>23</v>
      </c>
      <c r="M59">
        <f>IF(M55&gt;4000,M57,IF(M55&lt;2000,M56,0.032+(0.0397-0.032)*((M55-2000)/2000)))</f>
        <v>0.023915670782511427</v>
      </c>
      <c r="N59">
        <f>IF(N55&gt;4000,N57,IF(N55&lt;2000,N56,0.032+(0.0397-0.032)*((N55-2000)/2000)))</f>
        <v>0.021094720326855363</v>
      </c>
      <c r="O59">
        <f>IF(O55&gt;4000,O57,IF(O55&lt;2000,O56,0.032+(0.0397-0.032)*((O55-2000)/2000)))</f>
        <v>0.01894465926868694</v>
      </c>
      <c r="R59" t="s">
        <v>23</v>
      </c>
      <c r="T59">
        <f>IF(T55&gt;4000,T57,IF(T55&lt;2000,T56,0.032+(0.0397-0.032)*((T55-2000)/2000)))</f>
        <v>0.025444774434433003</v>
      </c>
      <c r="U59">
        <f>IF(U55&gt;4000,U57,IF(U55&lt;2000,U56,0.032+(0.0397-0.032)*((U55-2000)/2000)))</f>
        <v>0.021167841488257337</v>
      </c>
      <c r="V59" t="e">
        <f>IF(V55&gt;4000,V57,IF(V55&lt;2000,V56,0.032+(0.0397-0.032)*((V55-2000)/2000)))</f>
        <v>#NUM!</v>
      </c>
    </row>
    <row r="60" spans="1:22" ht="12">
      <c r="A60" s="3" t="s">
        <v>21</v>
      </c>
      <c r="F60" s="5">
        <v>0.4653</v>
      </c>
      <c r="I60" t="s">
        <v>70</v>
      </c>
      <c r="K60" t="s">
        <v>105</v>
      </c>
      <c r="M60">
        <f>M59*$L$49/$L$50</f>
        <v>25.005162451492506</v>
      </c>
      <c r="N60">
        <f>N59*$L$49/$L$50</f>
        <v>22.055702030634333</v>
      </c>
      <c r="O60">
        <f>O59*$L$49/$L$50</f>
        <v>19.80769374648268</v>
      </c>
      <c r="R60" t="s">
        <v>105</v>
      </c>
      <c r="T60">
        <f>T59*$S$49/$S$50</f>
        <v>46.97496818664555</v>
      </c>
      <c r="U60">
        <f>U59*$S$49/$S$50</f>
        <v>39.07909197832124</v>
      </c>
      <c r="V60" t="e">
        <f>V59*$S$49/$S$50</f>
        <v>#NUM!</v>
      </c>
    </row>
    <row r="61" spans="1:22" ht="12">
      <c r="A61" s="1" t="s">
        <v>22</v>
      </c>
      <c r="K61" t="s">
        <v>136</v>
      </c>
      <c r="M61">
        <f>M54*(M47/M64)/SQRT($D$7*$D$9*(273.15+$L$51))</f>
        <v>0.07599147268875998</v>
      </c>
      <c r="N61">
        <f>N54*(N47/N64)/SQRT($D$7*$D$9*(273.15+$L$51))</f>
        <v>0.1500512561378937</v>
      </c>
      <c r="O61">
        <f>O54*(O47/O64)/SQRT($D$7*$D$9*(273.15+$L$51))</f>
        <v>0.5099612970581939</v>
      </c>
      <c r="R61" t="s">
        <v>136</v>
      </c>
      <c r="T61">
        <f>T54*(T47/T64)/SQRT($D$7*$D$9*(273.15+$S$51))</f>
        <v>0.03914379821820558</v>
      </c>
      <c r="U61">
        <f>U54*(U47/U64)/SQRT($D$7*$D$9*(273.15+$S$51))</f>
        <v>0.09596553370811468</v>
      </c>
      <c r="V61" t="e">
        <f>V54*(V47/V64)/SQRT($D$7*$D$9*(273.15+$S$51))</f>
        <v>#NUM!</v>
      </c>
    </row>
    <row r="62" spans="1:22" ht="12">
      <c r="A62" s="1" t="s">
        <v>24</v>
      </c>
      <c r="K62" t="s">
        <v>86</v>
      </c>
      <c r="M62">
        <f>0.2*M54*M54*$D$10*(0.00001*M63/$D$20)/2</f>
        <v>24.248334126860257</v>
      </c>
      <c r="N62">
        <f>0.2*N54*N54*$D$10*(0.00001*N63/$D$20)/2</f>
        <v>50.578099485002966</v>
      </c>
      <c r="O62">
        <f>0.2*O54*O54*$D$10*(0.00001*O63/$D$20)/2</f>
        <v>47.5042794241905</v>
      </c>
      <c r="R62" t="s">
        <v>86</v>
      </c>
      <c r="T62">
        <f>0.2*T54*T54*$D$10*(0.00001*T63/$D$20)/2</f>
        <v>6.566491989491585</v>
      </c>
      <c r="U62">
        <f>0.2*U54*U54*$D$10*(0.00001*U63/$D$20)/2</f>
        <v>17.536127997752253</v>
      </c>
      <c r="V62" t="e">
        <f>0.2*V54*V54*$D$10*(0.00001*V63/$D$20)/2</f>
        <v>#NUM!</v>
      </c>
    </row>
    <row r="63" spans="1:22" ht="12">
      <c r="A63" s="1" t="s">
        <v>25</v>
      </c>
      <c r="K63" t="s">
        <v>96</v>
      </c>
      <c r="M63">
        <f>SQRT((10000000000*M47*M47)-(100000*M47*M59*$L$49*$D$10*(M47/$D$20)*M54*M54/($L$50)))</f>
        <v>35334.277796284725</v>
      </c>
      <c r="N63">
        <f>SQRT((10000000000*N47*N47)-(100000*N47*N59*$L$49*$D$10*(N47/$D$20)*N54*N54/($L$50)))</f>
        <v>27002.65463040502</v>
      </c>
      <c r="O63">
        <f>SQRT((10000000000*O47*O47)-(100000*O47*O59*$L$49*$D$10*(O47/$D$20)*O54*O54/($L$50)))</f>
        <v>10732.00593336734</v>
      </c>
      <c r="R63" t="s">
        <v>96</v>
      </c>
      <c r="T63">
        <f>SQRT((10000000000*T47*T47)-(100000*T47*T59*$S$49*$D$10*(T47/$D$20)*T54*T54/($S$50)))</f>
        <v>32777.64345209356</v>
      </c>
      <c r="U63">
        <f>SQRT((10000000000*U47*U47)-(100000*U47*U59*$S$49*$D$10*(U47/$D$20)*U54*U54/($S$50)))</f>
        <v>20081.75990923751</v>
      </c>
      <c r="V63" t="e">
        <f>SQRT((10000000000*V47*V47)-(100000*V47*V59*$S$49*$D$10*(V47/$D$20)*V54*V54/($S$50)))</f>
        <v>#NUM!</v>
      </c>
    </row>
    <row r="64" spans="1:22" ht="12">
      <c r="A64" s="3" t="s">
        <v>27</v>
      </c>
      <c r="K64" t="s">
        <v>97</v>
      </c>
      <c r="M64">
        <f>0.00001*(M63-5*M62)</f>
        <v>0.35213036125650427</v>
      </c>
      <c r="N64">
        <f>0.00001*(N63-5*N62)</f>
        <v>0.2674976413298001</v>
      </c>
      <c r="O64">
        <f>0.00001*(O63-5*O62)</f>
        <v>0.10494484536246389</v>
      </c>
      <c r="R64" t="s">
        <v>99</v>
      </c>
      <c r="T64">
        <f>0.00001*(T63-2*T62)</f>
        <v>0.32764510468114577</v>
      </c>
      <c r="U64">
        <f>0.00001*(U63-2*U62)</f>
        <v>0.20046687653242007</v>
      </c>
      <c r="V64" t="e">
        <f>0.00001*(V63-2*V62)</f>
        <v>#NUM!</v>
      </c>
    </row>
    <row r="65" ht="12">
      <c r="A65" s="3" t="s">
        <v>29</v>
      </c>
    </row>
    <row r="66" spans="1:22" ht="12">
      <c r="A66" t="s">
        <v>63</v>
      </c>
      <c r="C66">
        <v>0.28</v>
      </c>
      <c r="D66">
        <v>0.4637</v>
      </c>
      <c r="E66">
        <v>0.7284</v>
      </c>
      <c r="F66">
        <v>1.0999</v>
      </c>
      <c r="G66">
        <v>1.6045</v>
      </c>
      <c r="H66">
        <v>2.271</v>
      </c>
      <c r="I66">
        <v>3.1306</v>
      </c>
      <c r="K66" t="s">
        <v>102</v>
      </c>
      <c r="M66">
        <f>$D$20-T64</f>
        <v>0.09235489531885421</v>
      </c>
      <c r="N66">
        <f>$D$20-U64</f>
        <v>0.21953312346757992</v>
      </c>
      <c r="O66" t="e">
        <f>$D$20-V64</f>
        <v>#NUM!</v>
      </c>
      <c r="R66" t="s">
        <v>131</v>
      </c>
      <c r="T66">
        <f>0.000001*M10*($D$20/T64)*((273.15+$S$51)/(273.15+$E$4))/(PI()*$S$50*$S$50/4)</f>
        <v>4.393770258302788</v>
      </c>
      <c r="U66">
        <f>0.000001*N10*($D$20/U64)*((273.15+$S$51)/(273.15+$E$4))/(PI()*$S$50*$S$50/4)</f>
        <v>10.771834288496832</v>
      </c>
      <c r="V66" t="e">
        <f>0.000001*O10*($D$20/V64)*((273.15+$S$51)/(273.15+$E$4))/(PI()*$S$50*$S$50/4)</f>
        <v>#NUM!</v>
      </c>
    </row>
    <row r="67" spans="1:22" ht="12">
      <c r="A67" t="s">
        <v>64</v>
      </c>
      <c r="C67">
        <v>25.18</v>
      </c>
      <c r="D67">
        <v>24.31</v>
      </c>
      <c r="E67">
        <v>23.58</v>
      </c>
      <c r="F67">
        <v>22.81</v>
      </c>
      <c r="G67">
        <v>21.99</v>
      </c>
      <c r="H67">
        <v>21.12</v>
      </c>
      <c r="I67">
        <v>20.21</v>
      </c>
      <c r="R67" t="s">
        <v>136</v>
      </c>
      <c r="T67">
        <f>T66/SQRT($D$7*$D$9*(273.15+$S$51))</f>
        <v>0.03914379821820558</v>
      </c>
      <c r="U67">
        <f>U66/SQRT($D$7*$D$9*(273.15+$S$51))</f>
        <v>0.0959655337081147</v>
      </c>
      <c r="V67" t="e">
        <f>V66/SQRT($D$7*$D$9*(273.15+$S$51))</f>
        <v>#NUM!</v>
      </c>
    </row>
    <row r="68" spans="1:22" ht="12">
      <c r="A68" t="s">
        <v>65</v>
      </c>
      <c r="C68">
        <f>C67/0.238</f>
        <v>105.7983193277311</v>
      </c>
      <c r="D68">
        <f aca="true" t="shared" si="4" ref="D68:I68">D67/0.238</f>
        <v>102.14285714285714</v>
      </c>
      <c r="E68">
        <f t="shared" si="4"/>
        <v>99.07563025210084</v>
      </c>
      <c r="F68">
        <f t="shared" si="4"/>
        <v>95.84033613445378</v>
      </c>
      <c r="G68">
        <f t="shared" si="4"/>
        <v>92.39495798319328</v>
      </c>
      <c r="H68">
        <f t="shared" si="4"/>
        <v>88.73949579831934</v>
      </c>
      <c r="I68">
        <f t="shared" si="4"/>
        <v>84.91596638655463</v>
      </c>
      <c r="R68" t="s">
        <v>132</v>
      </c>
      <c r="T68">
        <f>MAX(M41,M61,T41,T61,T67)</f>
        <v>0.11269357037118449</v>
      </c>
      <c r="U68">
        <f>MAX(N41,N61,U41,U61,U67)</f>
        <v>0.18548090059917458</v>
      </c>
      <c r="V68" t="e">
        <f>MAX(O41,O61,V41,V61,V67)</f>
        <v>#NUM!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Cooling calculations with flourinerts</dc:title>
  <dc:subject/>
  <dc:creator>David</dc:creator>
  <cp:keywords/>
  <dc:description/>
  <cp:lastModifiedBy>David Bintinger</cp:lastModifiedBy>
  <cp:lastPrinted>1999-07-21T00:36:31Z</cp:lastPrinted>
  <dcterms:created xsi:type="dcterms:W3CDTF">1999-07-20T00:27:01Z</dcterms:created>
  <cp:category/>
  <cp:version/>
  <cp:contentType/>
  <cp:contentStatus/>
</cp:coreProperties>
</file>