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Data EntryReport" sheetId="1" r:id="rId1"/>
    <sheet name="Data" sheetId="2" r:id="rId2"/>
    <sheet name="Sheet3" sheetId="3" r:id="rId3"/>
  </sheets>
  <definedNames>
    <definedName name="_xlnm.Print_Area" localSheetId="0">'Data EntryReport'!$C$2:$L$42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22" authorId="0">
      <text>
        <r>
          <rPr>
            <sz val="8"/>
            <rFont val="Tahoma"/>
            <family val="0"/>
          </rPr>
          <t>Enter the expected or realistic yield for each crop .</t>
        </r>
      </text>
    </comment>
    <comment ref="F22" authorId="0">
      <text>
        <r>
          <rPr>
            <sz val="8"/>
            <rFont val="Tahoma"/>
            <family val="0"/>
          </rPr>
          <t>Enter the acres for each crop.</t>
        </r>
      </text>
    </comment>
  </commentList>
</comments>
</file>

<file path=xl/sharedStrings.xml><?xml version="1.0" encoding="utf-8"?>
<sst xmlns="http://schemas.openxmlformats.org/spreadsheetml/2006/main" count="126" uniqueCount="112">
  <si>
    <t>Table 6. Daily Manure Production and Characteristics, As Excreted (MWPS 18 Section 1)</t>
  </si>
  <si>
    <t>Animal Type</t>
  </si>
  <si>
    <t>Animal Type/Size</t>
  </si>
  <si>
    <t>lbs/day</t>
  </si>
  <si>
    <t>Ft3/day</t>
  </si>
  <si>
    <t>Gal/day</t>
  </si>
  <si>
    <t>N lbs/day</t>
  </si>
  <si>
    <t>P2O5 lbs/day</t>
  </si>
  <si>
    <t>K2O Lbs/day</t>
  </si>
  <si>
    <t>Dairy Heifer 150 lb</t>
  </si>
  <si>
    <t>Dairy Heifer 250 lb</t>
  </si>
  <si>
    <t>Dairy Heifer 750 lb</t>
  </si>
  <si>
    <t>Density</t>
  </si>
  <si>
    <t>Dairy Dry Cow 1000 lb</t>
  </si>
  <si>
    <t>Dairy Dry Cow 1400 lb</t>
  </si>
  <si>
    <t>Dairy Veal 250 lb</t>
  </si>
  <si>
    <t>Beef High Forage 750 lb</t>
  </si>
  <si>
    <t>Beef Calf 450 lb</t>
  </si>
  <si>
    <t>Beef High Forage 1100 lb</t>
  </si>
  <si>
    <t>Beef High Energy 750 lb</t>
  </si>
  <si>
    <t>Beef High Energy 1100 lb</t>
  </si>
  <si>
    <t>Beef Cow 1000 lb</t>
  </si>
  <si>
    <t>Swine Nursery 25 lb</t>
  </si>
  <si>
    <t>Swine Grow-Finish 150 lb</t>
  </si>
  <si>
    <t>Swine Gestating 275 lb</t>
  </si>
  <si>
    <t>Swine Lactating 375 lb</t>
  </si>
  <si>
    <t>Swine Boar 350 lb</t>
  </si>
  <si>
    <t>Sheep 100 lb</t>
  </si>
  <si>
    <t>Poultry Layer 4 lb</t>
  </si>
  <si>
    <t>Poultry Broiler 2 lb</t>
  </si>
  <si>
    <t>Turkey 20 lb</t>
  </si>
  <si>
    <t>Duck 6 lb</t>
  </si>
  <si>
    <t>Horse 1000 lb</t>
  </si>
  <si>
    <t>Code</t>
  </si>
  <si>
    <t>Storage Type</t>
  </si>
  <si>
    <t>Daily Scrape &amp; Haul</t>
  </si>
  <si>
    <t>Manure Pack</t>
  </si>
  <si>
    <t>Open Lot</t>
  </si>
  <si>
    <t>Underfloor Dry Storage</t>
  </si>
  <si>
    <t>Litter</t>
  </si>
  <si>
    <t>Underfloor Liquid Storage</t>
  </si>
  <si>
    <t xml:space="preserve">Outside PreFab Liquid Storage </t>
  </si>
  <si>
    <t>Earthen Storage</t>
  </si>
  <si>
    <t>Lagoon 2 Stage</t>
  </si>
  <si>
    <t>Lagoon 1 Stage</t>
  </si>
  <si>
    <t>Lagoon 3 Stage</t>
  </si>
  <si>
    <t>Nitrogen Loss by Storage Type (Purdue MMP)</t>
  </si>
  <si>
    <t>Animal Number</t>
  </si>
  <si>
    <t>Days/Year</t>
  </si>
  <si>
    <t>Code S</t>
  </si>
  <si>
    <t>Code A</t>
  </si>
  <si>
    <t>Yield</t>
  </si>
  <si>
    <t>Realistic / Avg.</t>
  </si>
  <si>
    <t>Crop</t>
  </si>
  <si>
    <t>Recomm.</t>
  </si>
  <si>
    <t>Total Rec.</t>
  </si>
  <si>
    <t>P2O5 / Ac</t>
  </si>
  <si>
    <t>Total P2O5</t>
  </si>
  <si>
    <t>K2O / Ac</t>
  </si>
  <si>
    <t>Total K2O</t>
  </si>
  <si>
    <t>Unit</t>
  </si>
  <si>
    <t>Acres</t>
  </si>
  <si>
    <t>N / Ac</t>
  </si>
  <si>
    <t>Lbs of N</t>
  </si>
  <si>
    <t>Removed</t>
  </si>
  <si>
    <t xml:space="preserve">Lbs </t>
  </si>
  <si>
    <t>Lbs</t>
  </si>
  <si>
    <t>Corn (Gr)</t>
  </si>
  <si>
    <t>bu/ac</t>
  </si>
  <si>
    <t>Corn (Sil)</t>
  </si>
  <si>
    <t>ton/ac</t>
  </si>
  <si>
    <t>Tobacco</t>
  </si>
  <si>
    <t>lbs/ac</t>
  </si>
  <si>
    <t>Soybeans</t>
  </si>
  <si>
    <t>Wheat (Gr)</t>
  </si>
  <si>
    <t>Wheat+Str</t>
  </si>
  <si>
    <t>Oats (Gr)</t>
  </si>
  <si>
    <t>Oats + Str</t>
  </si>
  <si>
    <t>Leg. Forage</t>
  </si>
  <si>
    <t>Grass Forg.</t>
  </si>
  <si>
    <t>Totals</t>
  </si>
  <si>
    <t>Avg / Acre Nutrient Needs (N) and Removal P2O5 and K2O</t>
  </si>
  <si>
    <t>Tons/Year</t>
  </si>
  <si>
    <t>Ft3/Year</t>
  </si>
  <si>
    <t>Gal/Year</t>
  </si>
  <si>
    <t>N/Year</t>
  </si>
  <si>
    <t>P2O5/Yr</t>
  </si>
  <si>
    <t>K2O/Yr</t>
  </si>
  <si>
    <t>Average Crop Acres and Average Yield Goals for the Farm</t>
  </si>
  <si>
    <t>% N Remain</t>
  </si>
  <si>
    <t>Sum Amounts</t>
  </si>
  <si>
    <t>Nitrogen</t>
  </si>
  <si>
    <t>P2O5</t>
  </si>
  <si>
    <t>K2O</t>
  </si>
  <si>
    <t>Available From Manure</t>
  </si>
  <si>
    <t>Balance=Avail-Needed</t>
  </si>
  <si>
    <t>Nutrient Balance Summary</t>
  </si>
  <si>
    <t>Needed by Crops</t>
  </si>
  <si>
    <t>Additional Ac. Needed</t>
  </si>
  <si>
    <t>Producer:</t>
  </si>
  <si>
    <t>Estimated Manure Nutrient Production, As Excreted (MWPS 18, Section 1) Actual Values Could Vary + or - 30%: Estimate N after Storage Loss</t>
  </si>
  <si>
    <t>Complete Only Yellow Areas and Drop Down Lists</t>
  </si>
  <si>
    <t>Instructions:</t>
  </si>
  <si>
    <t xml:space="preserve"> </t>
  </si>
  <si>
    <t>Date Printed</t>
  </si>
  <si>
    <t>Dairy Lactating 50 lb/day</t>
  </si>
  <si>
    <t>Dairy Lactating 40 lb/day</t>
  </si>
  <si>
    <t>Dairy Lactating 60 lb/day</t>
  </si>
  <si>
    <t>Dairy Lactating 70 lb/day</t>
  </si>
  <si>
    <t>Dairy Lactating 80 lb/day</t>
  </si>
  <si>
    <t>Dairy Lactating 90 lb/day</t>
  </si>
  <si>
    <t>Dairy Dry Cow 1200 lb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</si>
</sst>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ck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ck">
        <color indexed="32"/>
      </right>
      <top style="thin">
        <color indexed="32"/>
      </top>
      <bottom style="thin">
        <color indexed="32"/>
      </bottom>
    </border>
    <border>
      <left style="thick">
        <color indexed="32"/>
      </left>
      <right style="thin">
        <color indexed="32"/>
      </right>
      <top style="thick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ck">
        <color indexed="32"/>
      </top>
      <bottom style="thin">
        <color indexed="32"/>
      </bottom>
    </border>
    <border>
      <left style="thin">
        <color indexed="32"/>
      </left>
      <right style="thick">
        <color indexed="32"/>
      </right>
      <top style="thick">
        <color indexed="32"/>
      </top>
      <bottom style="thin">
        <color indexed="32"/>
      </bottom>
    </border>
    <border>
      <left style="thick">
        <color indexed="32"/>
      </left>
      <right style="thin">
        <color indexed="32"/>
      </right>
      <top style="thin">
        <color indexed="32"/>
      </top>
      <bottom style="thick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ck">
        <color indexed="32"/>
      </bottom>
    </border>
    <border>
      <left style="thin">
        <color indexed="32"/>
      </left>
      <right style="thick">
        <color indexed="32"/>
      </right>
      <top style="thin">
        <color indexed="32"/>
      </top>
      <bottom style="thick">
        <color indexed="32"/>
      </bottom>
    </border>
    <border>
      <left style="thin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3" fontId="1" fillId="3" borderId="17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5" borderId="23" xfId="0" applyFont="1" applyFill="1" applyBorder="1" applyAlignment="1" applyProtection="1">
      <alignment horizontal="center"/>
      <protection locked="0"/>
    </xf>
    <xf numFmtId="3" fontId="0" fillId="6" borderId="13" xfId="0" applyNumberForma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 horizontal="center"/>
      <protection/>
    </xf>
    <xf numFmtId="0" fontId="0" fillId="3" borderId="27" xfId="0" applyFont="1" applyFill="1" applyBorder="1" applyAlignment="1" applyProtection="1">
      <alignment horizontal="center"/>
      <protection/>
    </xf>
    <xf numFmtId="0" fontId="0" fillId="3" borderId="28" xfId="0" applyFont="1" applyFill="1" applyBorder="1" applyAlignment="1" applyProtection="1">
      <alignment horizontal="center"/>
      <protection/>
    </xf>
    <xf numFmtId="0" fontId="0" fillId="3" borderId="24" xfId="0" applyFont="1" applyFill="1" applyBorder="1" applyAlignment="1" applyProtection="1">
      <alignment horizontal="center"/>
      <protection/>
    </xf>
    <xf numFmtId="0" fontId="0" fillId="3" borderId="23" xfId="0" applyFont="1" applyFill="1" applyBorder="1" applyAlignment="1" applyProtection="1">
      <alignment horizontal="center"/>
      <protection/>
    </xf>
    <xf numFmtId="0" fontId="0" fillId="3" borderId="25" xfId="0" applyFont="1" applyFill="1" applyBorder="1" applyAlignment="1" applyProtection="1">
      <alignment horizontal="center"/>
      <protection/>
    </xf>
    <xf numFmtId="3" fontId="0" fillId="3" borderId="23" xfId="0" applyNumberFormat="1" applyFont="1" applyFill="1" applyBorder="1" applyAlignment="1" applyProtection="1">
      <alignment horizontal="center"/>
      <protection/>
    </xf>
    <xf numFmtId="3" fontId="0" fillId="3" borderId="25" xfId="0" applyNumberFormat="1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 applyProtection="1">
      <alignment/>
      <protection/>
    </xf>
    <xf numFmtId="0" fontId="0" fillId="2" borderId="30" xfId="0" applyFont="1" applyFill="1" applyBorder="1" applyAlignment="1" applyProtection="1">
      <alignment/>
      <protection/>
    </xf>
    <xf numFmtId="3" fontId="0" fillId="2" borderId="30" xfId="0" applyNumberFormat="1" applyFont="1" applyFill="1" applyBorder="1" applyAlignment="1" applyProtection="1">
      <alignment/>
      <protection/>
    </xf>
    <xf numFmtId="3" fontId="0" fillId="2" borderId="30" xfId="0" applyNumberFormat="1" applyFont="1" applyFill="1" applyBorder="1" applyAlignment="1" applyProtection="1">
      <alignment horizontal="center"/>
      <protection/>
    </xf>
    <xf numFmtId="3" fontId="0" fillId="2" borderId="3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15" fontId="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5" borderId="32" xfId="0" applyFill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1"/>
  <sheetViews>
    <sheetView tabSelected="1" workbookViewId="0" topLeftCell="C1">
      <selection activeCell="D2" sqref="D2:E2"/>
    </sheetView>
  </sheetViews>
  <sheetFormatPr defaultColWidth="9.140625" defaultRowHeight="12.75"/>
  <cols>
    <col min="1" max="2" width="3.7109375" style="0" hidden="1" customWidth="1"/>
    <col min="3" max="3" width="20.7109375" style="0" customWidth="1"/>
    <col min="4" max="4" width="15.140625" style="0" bestFit="1" customWidth="1"/>
    <col min="5" max="5" width="12.7109375" style="0" customWidth="1"/>
    <col min="6" max="6" width="27.00390625" style="0" customWidth="1"/>
    <col min="13" max="13" width="11.7109375" style="0" bestFit="1" customWidth="1"/>
  </cols>
  <sheetData>
    <row r="1" spans="3:8" ht="13.5" thickBot="1">
      <c r="C1" s="67"/>
      <c r="E1" s="68" t="s">
        <v>102</v>
      </c>
      <c r="F1" s="69" t="s">
        <v>101</v>
      </c>
      <c r="G1" s="69"/>
      <c r="H1" s="69"/>
    </row>
    <row r="2" spans="3:5" ht="14.25" thickBot="1" thickTop="1">
      <c r="C2" s="35" t="s">
        <v>99</v>
      </c>
      <c r="D2" s="70" t="s">
        <v>103</v>
      </c>
      <c r="E2" s="71"/>
    </row>
    <row r="3" spans="5:6" ht="13.5" thickTop="1">
      <c r="E3" s="14" t="s">
        <v>104</v>
      </c>
      <c r="F3" s="66">
        <f ca="1">TODAY()</f>
        <v>37735</v>
      </c>
    </row>
    <row r="5" ht="16.5" customHeight="1" thickBot="1">
      <c r="C5" s="14" t="s">
        <v>100</v>
      </c>
    </row>
    <row r="6" spans="1:12" ht="16.5" customHeight="1" thickTop="1">
      <c r="A6" s="43" t="s">
        <v>49</v>
      </c>
      <c r="B6" s="44" t="s">
        <v>50</v>
      </c>
      <c r="C6" s="45" t="s">
        <v>1</v>
      </c>
      <c r="D6" s="46" t="s">
        <v>47</v>
      </c>
      <c r="E6" s="46" t="s">
        <v>48</v>
      </c>
      <c r="F6" s="46" t="s">
        <v>34</v>
      </c>
      <c r="G6" s="21" t="s">
        <v>82</v>
      </c>
      <c r="H6" s="21" t="s">
        <v>83</v>
      </c>
      <c r="I6" s="21" t="s">
        <v>84</v>
      </c>
      <c r="J6" s="21" t="s">
        <v>85</v>
      </c>
      <c r="K6" s="21" t="s">
        <v>86</v>
      </c>
      <c r="L6" s="22" t="s">
        <v>87</v>
      </c>
    </row>
    <row r="7" spans="1:12" ht="16.5" customHeight="1">
      <c r="A7" s="62">
        <v>1</v>
      </c>
      <c r="B7" s="62">
        <v>1</v>
      </c>
      <c r="C7" s="47" t="str">
        <f>VLOOKUP($B7,Data!$C$7:$K$37,2,FALSE)</f>
        <v> </v>
      </c>
      <c r="D7" s="37">
        <v>0</v>
      </c>
      <c r="E7" s="37">
        <v>0</v>
      </c>
      <c r="F7" s="48" t="str">
        <f>VLOOKUP($A7,Data!$C$42:$E$53,2,FALSE)</f>
        <v> </v>
      </c>
      <c r="G7" s="19">
        <f>((VLOOKUP($B7,Data!$C$7:$K$37,3,FALSE))*$D7*$E7)/2000</f>
        <v>0</v>
      </c>
      <c r="H7" s="19">
        <f>(VLOOKUP($B7,Data!$C$7:$K$37,4,FALSE))*$D7*$E7</f>
        <v>0</v>
      </c>
      <c r="I7" s="19">
        <f>(VLOOKUP($B7,Data!$C$7:$K$37,5,FALSE))*$D7*$E7</f>
        <v>0</v>
      </c>
      <c r="J7" s="19">
        <f>VLOOKUP($B7,Data!$C$7:$K$37,7,FALSE)*VLOOKUP($A7,Data!$C$42:$E$53,3,FALSE)*$D7*$E7</f>
        <v>0</v>
      </c>
      <c r="K7" s="19">
        <f>VLOOKUP($B7,Data!$C$7:$K$37,8,FALSE)*$D7*$E7</f>
        <v>0</v>
      </c>
      <c r="L7" s="20">
        <f>VLOOKUP($B7,Data!$C$7:$K$37,9,FALSE)*$D7*$E7</f>
        <v>0</v>
      </c>
    </row>
    <row r="8" spans="1:12" ht="16.5" customHeight="1">
      <c r="A8" s="62">
        <v>1</v>
      </c>
      <c r="B8" s="62">
        <v>1</v>
      </c>
      <c r="C8" s="47" t="str">
        <f>VLOOKUP($B8,Data!$C$7:$K$37,2,FALSE)</f>
        <v> </v>
      </c>
      <c r="D8" s="37">
        <v>0</v>
      </c>
      <c r="E8" s="37">
        <v>0</v>
      </c>
      <c r="F8" s="48" t="str">
        <f>VLOOKUP($A8,Data!$C$42:$E$53,2,FALSE)</f>
        <v> </v>
      </c>
      <c r="G8" s="19">
        <f>((VLOOKUP($B8,Data!$C$7:$K$37,3,FALSE))*$D8*$E8)/2000</f>
        <v>0</v>
      </c>
      <c r="H8" s="19">
        <f>(VLOOKUP($B8,Data!$C$7:$K$37,4,FALSE))*$D8*$E8</f>
        <v>0</v>
      </c>
      <c r="I8" s="19">
        <f>(VLOOKUP($B8,Data!$C$7:$K$37,5,FALSE))*$D8*$E8</f>
        <v>0</v>
      </c>
      <c r="J8" s="19">
        <f>VLOOKUP($B8,Data!$C$7:$K$37,7,FALSE)*VLOOKUP($A8,Data!$C$42:$E$53,3,FALSE)*$D8*$E8</f>
        <v>0</v>
      </c>
      <c r="K8" s="19">
        <f>VLOOKUP($B8,Data!$C$7:$K$37,8,FALSE)*$D8*$E8</f>
        <v>0</v>
      </c>
      <c r="L8" s="20">
        <f>VLOOKUP($B8,Data!$C$7:$K$37,9,FALSE)*$D8*$E8</f>
        <v>0</v>
      </c>
    </row>
    <row r="9" spans="1:12" ht="16.5" customHeight="1">
      <c r="A9" s="62">
        <v>1</v>
      </c>
      <c r="B9" s="62">
        <v>1</v>
      </c>
      <c r="C9" s="47" t="str">
        <f>VLOOKUP($B9,Data!$C$7:$K$37,2,FALSE)</f>
        <v> </v>
      </c>
      <c r="D9" s="37">
        <v>0</v>
      </c>
      <c r="E9" s="37">
        <v>0</v>
      </c>
      <c r="F9" s="48" t="str">
        <f>VLOOKUP($A9,Data!$C$42:$E$53,2,FALSE)</f>
        <v> </v>
      </c>
      <c r="G9" s="19">
        <f>((VLOOKUP($B9,Data!$C$7:$K$37,3,FALSE))*$D9*$E9)/2000</f>
        <v>0</v>
      </c>
      <c r="H9" s="19">
        <f>(VLOOKUP($B9,Data!$C$7:$K$37,4,FALSE))*$D9*$E9</f>
        <v>0</v>
      </c>
      <c r="I9" s="19">
        <f>(VLOOKUP($B9,Data!$C$7:$K$37,5,FALSE))*$D9*$E9</f>
        <v>0</v>
      </c>
      <c r="J9" s="19">
        <f>VLOOKUP($B9,Data!$C$7:$K$37,7,FALSE)*VLOOKUP($A9,Data!$C$42:$E$53,3,FALSE)*$D9*$E9</f>
        <v>0</v>
      </c>
      <c r="K9" s="19">
        <f>VLOOKUP($B9,Data!$C$7:$K$37,8,FALSE)*$D9*$E9</f>
        <v>0</v>
      </c>
      <c r="L9" s="20">
        <f>VLOOKUP($B9,Data!$C$7:$K$37,9,FALSE)*$D9*$E9</f>
        <v>0</v>
      </c>
    </row>
    <row r="10" spans="1:12" ht="16.5" customHeight="1">
      <c r="A10" s="62">
        <v>1</v>
      </c>
      <c r="B10" s="62">
        <v>1</v>
      </c>
      <c r="C10" s="47" t="str">
        <f>VLOOKUP($B10,Data!$C$7:$K$37,2,FALSE)</f>
        <v> </v>
      </c>
      <c r="D10" s="37">
        <v>0</v>
      </c>
      <c r="E10" s="37">
        <v>0</v>
      </c>
      <c r="F10" s="48" t="str">
        <f>VLOOKUP($A10,Data!$C$42:$E$53,2,FALSE)</f>
        <v> </v>
      </c>
      <c r="G10" s="19">
        <f>((VLOOKUP($B10,Data!$C$7:$K$37,3,FALSE))*$D10*$E10)/2000</f>
        <v>0</v>
      </c>
      <c r="H10" s="19">
        <f>(VLOOKUP($B10,Data!$C$7:$K$37,4,FALSE))*$D10*$E10</f>
        <v>0</v>
      </c>
      <c r="I10" s="19">
        <f>(VLOOKUP($B10,Data!$C$7:$K$37,5,FALSE))*$D10*$E10</f>
        <v>0</v>
      </c>
      <c r="J10" s="19">
        <f>VLOOKUP($B10,Data!$C$7:$K$37,7,FALSE)*VLOOKUP($A10,Data!$C$42:$E$53,3,FALSE)*$D10*$E10</f>
        <v>0</v>
      </c>
      <c r="K10" s="19">
        <f>VLOOKUP($B10,Data!$C$7:$K$37,8,FALSE)*$D10*$E10</f>
        <v>0</v>
      </c>
      <c r="L10" s="20">
        <f>VLOOKUP($B10,Data!$C$7:$K$37,9,FALSE)*$D10*$E10</f>
        <v>0</v>
      </c>
    </row>
    <row r="11" spans="1:12" ht="16.5" customHeight="1">
      <c r="A11" s="62">
        <v>1</v>
      </c>
      <c r="B11" s="62">
        <v>1</v>
      </c>
      <c r="C11" s="47" t="str">
        <f>VLOOKUP($B11,Data!$C$7:$K$37,2,FALSE)</f>
        <v> </v>
      </c>
      <c r="D11" s="37">
        <v>0</v>
      </c>
      <c r="E11" s="37">
        <v>0</v>
      </c>
      <c r="F11" s="48" t="str">
        <f>VLOOKUP($A11,Data!$C$42:$E$53,2,FALSE)</f>
        <v> </v>
      </c>
      <c r="G11" s="19">
        <f>((VLOOKUP($B11,Data!$C$7:$K$37,3,FALSE))*$D11*$E11)/2000</f>
        <v>0</v>
      </c>
      <c r="H11" s="19">
        <f>(VLOOKUP($B11,Data!$C$7:$K$37,4,FALSE))*$D11*$E11</f>
        <v>0</v>
      </c>
      <c r="I11" s="19">
        <f>(VLOOKUP($B11,Data!$C$7:$K$37,5,FALSE))*$D11*$E11</f>
        <v>0</v>
      </c>
      <c r="J11" s="19">
        <f>VLOOKUP($B11,Data!$C$7:$K$37,7,FALSE)*VLOOKUP($A11,Data!$C$42:$E$53,3,FALSE)*$D11*$E11</f>
        <v>0</v>
      </c>
      <c r="K11" s="19">
        <f>VLOOKUP($B11,Data!$C$7:$K$37,8,FALSE)*$D11*$E11</f>
        <v>0</v>
      </c>
      <c r="L11" s="20">
        <f>VLOOKUP($B11,Data!$C$7:$K$37,9,FALSE)*$D11*$E11</f>
        <v>0</v>
      </c>
    </row>
    <row r="12" spans="1:12" ht="16.5" customHeight="1">
      <c r="A12" s="62">
        <v>1</v>
      </c>
      <c r="B12" s="62">
        <v>1</v>
      </c>
      <c r="C12" s="47" t="str">
        <f>VLOOKUP($B12,Data!$C$7:$K$37,2,FALSE)</f>
        <v> </v>
      </c>
      <c r="D12" s="37">
        <v>0</v>
      </c>
      <c r="E12" s="37">
        <v>0</v>
      </c>
      <c r="F12" s="48" t="str">
        <f>VLOOKUP($A12,Data!$C$42:$E$53,2,FALSE)</f>
        <v> </v>
      </c>
      <c r="G12" s="19">
        <f>((VLOOKUP($B12,Data!$C$7:$K$37,3,FALSE))*$D12*$E12)/2000</f>
        <v>0</v>
      </c>
      <c r="H12" s="19">
        <f>(VLOOKUP($B12,Data!$C$7:$K$37,4,FALSE))*$D12*$E12</f>
        <v>0</v>
      </c>
      <c r="I12" s="19">
        <f>(VLOOKUP($B12,Data!$C$7:$K$37,5,FALSE))*$D12*$E12</f>
        <v>0</v>
      </c>
      <c r="J12" s="19">
        <f>VLOOKUP($B12,Data!$C$7:$K$37,7,FALSE)*VLOOKUP($A12,Data!$C$42:$E$53,3,FALSE)*$D12*$E12</f>
        <v>0</v>
      </c>
      <c r="K12" s="19">
        <f>VLOOKUP($B12,Data!$C$7:$K$37,8,FALSE)*$D12*$E12</f>
        <v>0</v>
      </c>
      <c r="L12" s="20">
        <f>VLOOKUP($B12,Data!$C$7:$K$37,9,FALSE)*$D12*$E12</f>
        <v>0</v>
      </c>
    </row>
    <row r="13" spans="1:12" ht="16.5" customHeight="1">
      <c r="A13" s="62">
        <v>1</v>
      </c>
      <c r="B13" s="62">
        <v>1</v>
      </c>
      <c r="C13" s="47" t="str">
        <f>VLOOKUP($B13,Data!$C$7:$K$37,2,FALSE)</f>
        <v> </v>
      </c>
      <c r="D13" s="37">
        <v>0</v>
      </c>
      <c r="E13" s="37">
        <v>0</v>
      </c>
      <c r="F13" s="48" t="str">
        <f>VLOOKUP($A13,Data!$C$42:$E$53,2,FALSE)</f>
        <v> </v>
      </c>
      <c r="G13" s="19">
        <f>((VLOOKUP($B13,Data!$C$7:$K$37,3,FALSE))*$D13*$E13)/2000</f>
        <v>0</v>
      </c>
      <c r="H13" s="19">
        <f>(VLOOKUP($B13,Data!$C$7:$K$37,4,FALSE))*$D13*$E13</f>
        <v>0</v>
      </c>
      <c r="I13" s="19">
        <f>(VLOOKUP($B13,Data!$C$7:$K$37,5,FALSE))*$D13*$E13</f>
        <v>0</v>
      </c>
      <c r="J13" s="19">
        <f>VLOOKUP($B13,Data!$C$7:$K$37,7,FALSE)*VLOOKUP($A13,Data!$C$42:$E$53,3,FALSE)*$D13*$E13</f>
        <v>0</v>
      </c>
      <c r="K13" s="19">
        <f>VLOOKUP($B13,Data!$C$7:$K$37,8,FALSE)*$D13*$E13</f>
        <v>0</v>
      </c>
      <c r="L13" s="20">
        <f>VLOOKUP($B13,Data!$C$7:$K$37,9,FALSE)*$D13*$E13</f>
        <v>0</v>
      </c>
    </row>
    <row r="14" spans="1:12" ht="16.5" customHeight="1">
      <c r="A14" s="62">
        <v>1</v>
      </c>
      <c r="B14" s="62">
        <v>1</v>
      </c>
      <c r="C14" s="47" t="str">
        <f>VLOOKUP($B14,Data!$C$7:$K$37,2,FALSE)</f>
        <v> </v>
      </c>
      <c r="D14" s="37">
        <v>0</v>
      </c>
      <c r="E14" s="37">
        <v>0</v>
      </c>
      <c r="F14" s="48" t="str">
        <f>VLOOKUP($A14,Data!$C$42:$E$53,2,FALSE)</f>
        <v> </v>
      </c>
      <c r="G14" s="19">
        <f>((VLOOKUP($B14,Data!$C$7:$K$37,3,FALSE))*$D14*$E14)/2000</f>
        <v>0</v>
      </c>
      <c r="H14" s="19">
        <f>(VLOOKUP($B14,Data!$C$7:$K$37,4,FALSE))*$D14*$E14</f>
        <v>0</v>
      </c>
      <c r="I14" s="19">
        <f>(VLOOKUP($B14,Data!$C$7:$K$37,5,FALSE))*$D14*$E14</f>
        <v>0</v>
      </c>
      <c r="J14" s="19">
        <f>VLOOKUP($B14,Data!$C$7:$K$37,7,FALSE)*VLOOKUP($A14,Data!$C$42:$E$53,3,FALSE)*$D14*$E14</f>
        <v>0</v>
      </c>
      <c r="K14" s="19">
        <f>VLOOKUP($B14,Data!$C$7:$K$37,8,FALSE)*$D14*$E14</f>
        <v>0</v>
      </c>
      <c r="L14" s="20">
        <f>VLOOKUP($B14,Data!$C$7:$K$37,9,FALSE)*$D14*$E14</f>
        <v>0</v>
      </c>
    </row>
    <row r="15" spans="1:12" ht="16.5" customHeight="1">
      <c r="A15" s="62">
        <v>1</v>
      </c>
      <c r="B15" s="62">
        <v>1</v>
      </c>
      <c r="C15" s="47" t="str">
        <f>VLOOKUP($B15,Data!$C$7:$K$37,2,FALSE)</f>
        <v> </v>
      </c>
      <c r="D15" s="37">
        <v>0</v>
      </c>
      <c r="E15" s="37">
        <v>0</v>
      </c>
      <c r="F15" s="48" t="str">
        <f>VLOOKUP($A15,Data!$C$42:$E$53,2,FALSE)</f>
        <v> </v>
      </c>
      <c r="G15" s="19">
        <f>((VLOOKUP($B15,Data!$C$7:$K$37,3,FALSE))*$D15*$E15)/2000</f>
        <v>0</v>
      </c>
      <c r="H15" s="19">
        <f>(VLOOKUP($B15,Data!$C$7:$K$37,4,FALSE))*$D15*$E15</f>
        <v>0</v>
      </c>
      <c r="I15" s="19">
        <f>(VLOOKUP($B15,Data!$C$7:$K$37,5,FALSE))*$D15*$E15</f>
        <v>0</v>
      </c>
      <c r="J15" s="19">
        <f>VLOOKUP($B15,Data!$C$7:$K$37,7,FALSE)*VLOOKUP($A15,Data!$C$42:$E$53,3,FALSE)*$D15*$E15</f>
        <v>0</v>
      </c>
      <c r="K15" s="19">
        <f>VLOOKUP($B15,Data!$C$7:$K$37,8,FALSE)*$D15*$E15</f>
        <v>0</v>
      </c>
      <c r="L15" s="20">
        <f>VLOOKUP($B15,Data!$C$7:$K$37,9,FALSE)*$D15*$E15</f>
        <v>0</v>
      </c>
    </row>
    <row r="16" spans="1:12" ht="16.5" customHeight="1">
      <c r="A16" s="62">
        <v>1</v>
      </c>
      <c r="B16" s="62">
        <v>1</v>
      </c>
      <c r="C16" s="47" t="str">
        <f>VLOOKUP($B16,Data!$C$7:$K$37,2,FALSE)</f>
        <v> </v>
      </c>
      <c r="D16" s="37">
        <v>0</v>
      </c>
      <c r="E16" s="37">
        <v>0</v>
      </c>
      <c r="F16" s="48" t="str">
        <f>VLOOKUP($A16,Data!$C$42:$E$53,2,FALSE)</f>
        <v> </v>
      </c>
      <c r="G16" s="19">
        <f>((VLOOKUP($B16,Data!$C$7:$K$37,3,FALSE))*$D16*$E16)/2000</f>
        <v>0</v>
      </c>
      <c r="H16" s="19">
        <f>(VLOOKUP($B16,Data!$C$7:$K$37,4,FALSE))*$D16*$E16</f>
        <v>0</v>
      </c>
      <c r="I16" s="19">
        <f>(VLOOKUP($B16,Data!$C$7:$K$37,5,FALSE))*$D16*$E16</f>
        <v>0</v>
      </c>
      <c r="J16" s="19">
        <f>VLOOKUP($B16,Data!$C$7:$K$37,7,FALSE)*VLOOKUP($A16,Data!$C$42:$E$53,3,FALSE)*$D16*$E16</f>
        <v>0</v>
      </c>
      <c r="K16" s="19">
        <f>VLOOKUP($B16,Data!$C$7:$K$37,8,FALSE)*$D16*$E16</f>
        <v>0</v>
      </c>
      <c r="L16" s="20">
        <f>VLOOKUP($B16,Data!$C$7:$K$37,9,FALSE)*$D16*$E16</f>
        <v>0</v>
      </c>
    </row>
    <row r="17" spans="3:12" ht="13.5" thickBot="1">
      <c r="C17" s="63"/>
      <c r="D17" s="64"/>
      <c r="E17" s="64"/>
      <c r="F17" s="65" t="s">
        <v>90</v>
      </c>
      <c r="G17" s="23">
        <f aca="true" t="shared" si="0" ref="G17:L17">SUM(G7:G16)</f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4">
        <f t="shared" si="0"/>
        <v>0</v>
      </c>
    </row>
    <row r="18" ht="13.5" thickTop="1"/>
    <row r="19" ht="13.5" thickBot="1">
      <c r="C19" s="14" t="s">
        <v>88</v>
      </c>
    </row>
    <row r="20" spans="3:13" ht="13.5" thickTop="1">
      <c r="C20" s="49"/>
      <c r="D20" s="50" t="s">
        <v>51</v>
      </c>
      <c r="E20" s="50" t="s">
        <v>52</v>
      </c>
      <c r="F20" s="50" t="s">
        <v>53</v>
      </c>
      <c r="G20" s="50" t="s">
        <v>54</v>
      </c>
      <c r="H20" s="50" t="s">
        <v>55</v>
      </c>
      <c r="I20" s="50" t="s">
        <v>56</v>
      </c>
      <c r="J20" s="50" t="s">
        <v>57</v>
      </c>
      <c r="K20" s="50" t="s">
        <v>58</v>
      </c>
      <c r="L20" s="51" t="s">
        <v>59</v>
      </c>
      <c r="M20" s="33"/>
    </row>
    <row r="21" spans="3:13" ht="12.75">
      <c r="C21" s="52" t="s">
        <v>53</v>
      </c>
      <c r="D21" s="53" t="s">
        <v>60</v>
      </c>
      <c r="E21" s="53" t="s">
        <v>51</v>
      </c>
      <c r="F21" s="53" t="s">
        <v>61</v>
      </c>
      <c r="G21" s="53" t="s">
        <v>62</v>
      </c>
      <c r="H21" s="53" t="s">
        <v>63</v>
      </c>
      <c r="I21" s="53" t="s">
        <v>64</v>
      </c>
      <c r="J21" s="53" t="s">
        <v>65</v>
      </c>
      <c r="K21" s="53" t="s">
        <v>64</v>
      </c>
      <c r="L21" s="54" t="s">
        <v>66</v>
      </c>
      <c r="M21" s="33"/>
    </row>
    <row r="22" spans="3:13" ht="12.75">
      <c r="C22" s="38" t="s">
        <v>67</v>
      </c>
      <c r="D22" s="39" t="s">
        <v>68</v>
      </c>
      <c r="E22" s="36">
        <v>0</v>
      </c>
      <c r="F22" s="36">
        <v>0</v>
      </c>
      <c r="G22" s="18">
        <f>110+((1.36*(E22-100)))</f>
        <v>-26</v>
      </c>
      <c r="H22" s="40">
        <f aca="true" t="shared" si="1" ref="H22:H31">F22*G22</f>
        <v>0</v>
      </c>
      <c r="I22" s="40">
        <f>E22*0.37</f>
        <v>0</v>
      </c>
      <c r="J22" s="40">
        <f aca="true" t="shared" si="2" ref="J22:J31">F22*I22</f>
        <v>0</v>
      </c>
      <c r="K22" s="40">
        <f>E22*0.27</f>
        <v>0</v>
      </c>
      <c r="L22" s="41">
        <f aca="true" t="shared" si="3" ref="L22:L31">F22*K22</f>
        <v>0</v>
      </c>
      <c r="M22" s="34"/>
    </row>
    <row r="23" spans="3:13" ht="12.75">
      <c r="C23" s="38" t="s">
        <v>69</v>
      </c>
      <c r="D23" s="39" t="s">
        <v>70</v>
      </c>
      <c r="E23" s="36">
        <v>0</v>
      </c>
      <c r="F23" s="36">
        <v>0</v>
      </c>
      <c r="G23" s="40">
        <f>110+((1.36*((E23*6)-100)))</f>
        <v>-26</v>
      </c>
      <c r="H23" s="40">
        <f t="shared" si="1"/>
        <v>0</v>
      </c>
      <c r="I23" s="40">
        <f>E23*3.3</f>
        <v>0</v>
      </c>
      <c r="J23" s="40">
        <f t="shared" si="2"/>
        <v>0</v>
      </c>
      <c r="K23" s="40">
        <f>E23*8</f>
        <v>0</v>
      </c>
      <c r="L23" s="41">
        <f t="shared" si="3"/>
        <v>0</v>
      </c>
      <c r="M23" s="34"/>
    </row>
    <row r="24" spans="3:13" ht="12.75">
      <c r="C24" s="38" t="s">
        <v>71</v>
      </c>
      <c r="D24" s="39" t="s">
        <v>72</v>
      </c>
      <c r="E24" s="36">
        <v>0</v>
      </c>
      <c r="F24" s="36">
        <v>0</v>
      </c>
      <c r="G24" s="40">
        <f>E24*0.1</f>
        <v>0</v>
      </c>
      <c r="H24" s="40">
        <f t="shared" si="1"/>
        <v>0</v>
      </c>
      <c r="I24" s="40">
        <f>E24*0.013</f>
        <v>0</v>
      </c>
      <c r="J24" s="40">
        <f t="shared" si="2"/>
        <v>0</v>
      </c>
      <c r="K24" s="40">
        <f>E24*0.083</f>
        <v>0</v>
      </c>
      <c r="L24" s="41">
        <f t="shared" si="3"/>
        <v>0</v>
      </c>
      <c r="M24" s="34"/>
    </row>
    <row r="25" spans="3:13" ht="12.75">
      <c r="C25" s="38" t="s">
        <v>73</v>
      </c>
      <c r="D25" s="39" t="s">
        <v>68</v>
      </c>
      <c r="E25" s="36">
        <v>0</v>
      </c>
      <c r="F25" s="36">
        <v>0</v>
      </c>
      <c r="G25" s="40">
        <v>150</v>
      </c>
      <c r="H25" s="40">
        <f t="shared" si="1"/>
        <v>0</v>
      </c>
      <c r="I25" s="40">
        <f>E25*0.8</f>
        <v>0</v>
      </c>
      <c r="J25" s="40">
        <f t="shared" si="2"/>
        <v>0</v>
      </c>
      <c r="K25" s="40">
        <f>E25*1.4</f>
        <v>0</v>
      </c>
      <c r="L25" s="41">
        <f t="shared" si="3"/>
        <v>0</v>
      </c>
      <c r="M25" s="34"/>
    </row>
    <row r="26" spans="3:13" ht="12.75">
      <c r="C26" s="38" t="s">
        <v>74</v>
      </c>
      <c r="D26" s="39" t="s">
        <v>68</v>
      </c>
      <c r="E26" s="36">
        <v>0</v>
      </c>
      <c r="F26" s="36">
        <v>0</v>
      </c>
      <c r="G26" s="40">
        <f>40+((1.75*(E26-50)))</f>
        <v>-47.5</v>
      </c>
      <c r="H26" s="40">
        <f t="shared" si="1"/>
        <v>0</v>
      </c>
      <c r="I26" s="40">
        <f>E26*0.63</f>
        <v>0</v>
      </c>
      <c r="J26" s="40">
        <f t="shared" si="2"/>
        <v>0</v>
      </c>
      <c r="K26" s="40">
        <f>E26*0.37</f>
        <v>0</v>
      </c>
      <c r="L26" s="41">
        <f t="shared" si="3"/>
        <v>0</v>
      </c>
      <c r="M26" s="34"/>
    </row>
    <row r="27" spans="3:13" ht="12.75">
      <c r="C27" s="38" t="s">
        <v>75</v>
      </c>
      <c r="D27" s="39" t="s">
        <v>68</v>
      </c>
      <c r="E27" s="36">
        <v>0</v>
      </c>
      <c r="F27" s="36">
        <v>0</v>
      </c>
      <c r="G27" s="40">
        <f>40+((1.75*(E27-50)))</f>
        <v>-47.5</v>
      </c>
      <c r="H27" s="40">
        <f t="shared" si="1"/>
        <v>0</v>
      </c>
      <c r="I27" s="40">
        <f>E27*0.72</f>
        <v>0</v>
      </c>
      <c r="J27" s="40">
        <f t="shared" si="2"/>
        <v>0</v>
      </c>
      <c r="K27" s="40">
        <f>E27*1.28</f>
        <v>0</v>
      </c>
      <c r="L27" s="41">
        <f t="shared" si="3"/>
        <v>0</v>
      </c>
      <c r="M27" s="34"/>
    </row>
    <row r="28" spans="3:13" ht="12.75">
      <c r="C28" s="38" t="s">
        <v>76</v>
      </c>
      <c r="D28" s="39" t="s">
        <v>68</v>
      </c>
      <c r="E28" s="36">
        <v>0</v>
      </c>
      <c r="F28" s="36">
        <v>0</v>
      </c>
      <c r="G28" s="40">
        <f>E28*0.65</f>
        <v>0</v>
      </c>
      <c r="H28" s="40">
        <f t="shared" si="1"/>
        <v>0</v>
      </c>
      <c r="I28" s="40">
        <f>E28*0.25</f>
        <v>0</v>
      </c>
      <c r="J28" s="40">
        <f t="shared" si="2"/>
        <v>0</v>
      </c>
      <c r="K28" s="40">
        <f>E28*0.26</f>
        <v>0</v>
      </c>
      <c r="L28" s="41">
        <f t="shared" si="3"/>
        <v>0</v>
      </c>
      <c r="M28" s="34"/>
    </row>
    <row r="29" spans="3:13" ht="12.75">
      <c r="C29" s="38" t="s">
        <v>77</v>
      </c>
      <c r="D29" s="39" t="s">
        <v>68</v>
      </c>
      <c r="E29" s="36">
        <v>0</v>
      </c>
      <c r="F29" s="36">
        <v>0</v>
      </c>
      <c r="G29" s="40">
        <f>E29*0.65</f>
        <v>0</v>
      </c>
      <c r="H29" s="40">
        <f t="shared" si="1"/>
        <v>0</v>
      </c>
      <c r="I29" s="40">
        <f>E29*0.33</f>
        <v>0</v>
      </c>
      <c r="J29" s="40">
        <f t="shared" si="2"/>
        <v>0</v>
      </c>
      <c r="K29" s="40">
        <f>E29*1.09</f>
        <v>0</v>
      </c>
      <c r="L29" s="41">
        <f t="shared" si="3"/>
        <v>0</v>
      </c>
      <c r="M29" s="34"/>
    </row>
    <row r="30" spans="3:13" ht="12.75">
      <c r="C30" s="38" t="s">
        <v>78</v>
      </c>
      <c r="D30" s="39" t="s">
        <v>70</v>
      </c>
      <c r="E30" s="36">
        <v>0</v>
      </c>
      <c r="F30" s="36">
        <v>0</v>
      </c>
      <c r="G30" s="42">
        <v>150</v>
      </c>
      <c r="H30" s="40">
        <f t="shared" si="1"/>
        <v>0</v>
      </c>
      <c r="I30" s="40">
        <f>E30*13</f>
        <v>0</v>
      </c>
      <c r="J30" s="40">
        <f t="shared" si="2"/>
        <v>0</v>
      </c>
      <c r="K30" s="40">
        <f>E30*50</f>
        <v>0</v>
      </c>
      <c r="L30" s="41">
        <f t="shared" si="3"/>
        <v>0</v>
      </c>
      <c r="M30" s="34"/>
    </row>
    <row r="31" spans="3:13" ht="12.75">
      <c r="C31" s="38" t="s">
        <v>79</v>
      </c>
      <c r="D31" s="39" t="s">
        <v>70</v>
      </c>
      <c r="E31" s="36">
        <v>0</v>
      </c>
      <c r="F31" s="36">
        <v>0</v>
      </c>
      <c r="G31" s="40">
        <f>E31*40</f>
        <v>0</v>
      </c>
      <c r="H31" s="40">
        <f t="shared" si="1"/>
        <v>0</v>
      </c>
      <c r="I31" s="40">
        <f>E31*13</f>
        <v>0</v>
      </c>
      <c r="J31" s="40">
        <f t="shared" si="2"/>
        <v>0</v>
      </c>
      <c r="K31" s="40">
        <f>E31*50</f>
        <v>0</v>
      </c>
      <c r="L31" s="41">
        <f t="shared" si="3"/>
        <v>0</v>
      </c>
      <c r="M31" s="34"/>
    </row>
    <row r="32" spans="3:13" ht="12.75">
      <c r="C32" s="52" t="s">
        <v>80</v>
      </c>
      <c r="D32" s="53"/>
      <c r="E32" s="53"/>
      <c r="F32" s="53">
        <f>SUM(F22:F31)</f>
        <v>0</v>
      </c>
      <c r="G32" s="55"/>
      <c r="H32" s="55">
        <f>SUM(H22:H31)</f>
        <v>0</v>
      </c>
      <c r="I32" s="55"/>
      <c r="J32" s="55">
        <f>SUM(J22:J31)</f>
        <v>0</v>
      </c>
      <c r="K32" s="55"/>
      <c r="L32" s="56">
        <f>SUM(L22:L31)</f>
        <v>0</v>
      </c>
      <c r="M32" s="34"/>
    </row>
    <row r="33" spans="3:13" ht="13.5" thickBot="1">
      <c r="C33" s="57" t="s">
        <v>81</v>
      </c>
      <c r="D33" s="58"/>
      <c r="E33" s="58"/>
      <c r="F33" s="58"/>
      <c r="G33" s="59"/>
      <c r="H33" s="60" t="e">
        <f>H32/F32</f>
        <v>#DIV/0!</v>
      </c>
      <c r="I33" s="60"/>
      <c r="J33" s="60" t="e">
        <f>J32/F32</f>
        <v>#DIV/0!</v>
      </c>
      <c r="K33" s="60"/>
      <c r="L33" s="61" t="e">
        <f>L32/F32</f>
        <v>#DIV/0!</v>
      </c>
      <c r="M33" s="34"/>
    </row>
    <row r="34" ht="13.5" thickTop="1"/>
    <row r="36" ht="18.75" thickBot="1">
      <c r="C36" s="25" t="s">
        <v>96</v>
      </c>
    </row>
    <row r="37" spans="3:6" ht="13.5" thickTop="1">
      <c r="C37" s="26"/>
      <c r="D37" s="27" t="s">
        <v>91</v>
      </c>
      <c r="E37" s="27" t="s">
        <v>92</v>
      </c>
      <c r="F37" s="28" t="s">
        <v>93</v>
      </c>
    </row>
    <row r="38" spans="3:6" ht="12.75">
      <c r="C38" s="29" t="s">
        <v>94</v>
      </c>
      <c r="D38" s="19">
        <f>VLOOKUP(J17,J17,1,FALSE)</f>
        <v>0</v>
      </c>
      <c r="E38" s="19">
        <f>VLOOKUP(K17,K17,1,FALSE)</f>
        <v>0</v>
      </c>
      <c r="F38" s="20">
        <f>VLOOKUP(L17,L17,1,FALSE)</f>
        <v>0</v>
      </c>
    </row>
    <row r="39" spans="3:6" ht="12.75">
      <c r="C39" s="29" t="s">
        <v>97</v>
      </c>
      <c r="D39" s="19">
        <f>VLOOKUP(H32,H32,1,FALSE)</f>
        <v>0</v>
      </c>
      <c r="E39" s="19">
        <f>VLOOKUP(J32,J32,1,FALSE)</f>
        <v>0</v>
      </c>
      <c r="F39" s="20">
        <f>VLOOKUP(L32,L32,1,FALSE)</f>
        <v>0</v>
      </c>
    </row>
    <row r="40" spans="3:6" ht="12.75">
      <c r="C40" s="29" t="s">
        <v>95</v>
      </c>
      <c r="D40" s="19">
        <f>D38-D39</f>
        <v>0</v>
      </c>
      <c r="E40" s="19">
        <f>E38-E39</f>
        <v>0</v>
      </c>
      <c r="F40" s="20">
        <f>F38-F39</f>
        <v>0</v>
      </c>
    </row>
    <row r="41" spans="3:6" ht="13.5" thickBot="1">
      <c r="C41" s="30" t="s">
        <v>98</v>
      </c>
      <c r="D41" s="31" t="e">
        <f>D40/H33</f>
        <v>#DIV/0!</v>
      </c>
      <c r="E41" s="31" t="e">
        <f>E40/J33</f>
        <v>#DIV/0!</v>
      </c>
      <c r="F41" s="32" t="e">
        <f>F40/L33</f>
        <v>#DIV/0!</v>
      </c>
    </row>
    <row r="42" ht="13.5" thickTop="1"/>
  </sheetData>
  <sheetProtection sheet="1" objects="1" scenarios="1"/>
  <mergeCells count="1">
    <mergeCell ref="D2:E2"/>
  </mergeCells>
  <printOptions/>
  <pageMargins left="0.5" right="0.5" top="0.75" bottom="0.75" header="0.5" footer="0.5"/>
  <pageSetup fitToHeight="1" fitToWidth="1" horizontalDpi="600" verticalDpi="600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5:K53"/>
  <sheetViews>
    <sheetView workbookViewId="0" topLeftCell="A1">
      <selection activeCell="E42" sqref="E42"/>
    </sheetView>
  </sheetViews>
  <sheetFormatPr defaultColWidth="9.140625" defaultRowHeight="12.75"/>
  <cols>
    <col min="4" max="4" width="27.00390625" style="0" bestFit="1" customWidth="1"/>
    <col min="5" max="5" width="11.421875" style="0" bestFit="1" customWidth="1"/>
    <col min="10" max="10" width="12.28125" style="0" bestFit="1" customWidth="1"/>
    <col min="11" max="11" width="11.8515625" style="0" bestFit="1" customWidth="1"/>
  </cols>
  <sheetData>
    <row r="5" ht="13.5" thickBot="1">
      <c r="C5" t="s">
        <v>0</v>
      </c>
    </row>
    <row r="6" spans="3:11" ht="13.5" thickTop="1">
      <c r="C6" s="2" t="s">
        <v>33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12</v>
      </c>
      <c r="I6" s="3" t="s">
        <v>6</v>
      </c>
      <c r="J6" s="3" t="s">
        <v>7</v>
      </c>
      <c r="K6" s="4" t="s">
        <v>8</v>
      </c>
    </row>
    <row r="7" spans="3:11" ht="12.75">
      <c r="C7" s="15">
        <v>1</v>
      </c>
      <c r="D7" s="16" t="s">
        <v>103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</row>
    <row r="8" spans="3:11" ht="12.75">
      <c r="C8" s="5">
        <v>2</v>
      </c>
      <c r="D8" s="6" t="s">
        <v>9</v>
      </c>
      <c r="E8" s="7">
        <v>13</v>
      </c>
      <c r="F8" s="7">
        <v>0.2</v>
      </c>
      <c r="G8" s="7">
        <v>1.5</v>
      </c>
      <c r="H8" s="7">
        <v>65</v>
      </c>
      <c r="I8" s="7">
        <v>0.05</v>
      </c>
      <c r="J8" s="7">
        <v>0.01</v>
      </c>
      <c r="K8" s="8">
        <v>0.04</v>
      </c>
    </row>
    <row r="9" spans="3:11" ht="12.75">
      <c r="C9" s="5">
        <v>3</v>
      </c>
      <c r="D9" s="6" t="s">
        <v>10</v>
      </c>
      <c r="E9" s="7">
        <v>21</v>
      </c>
      <c r="F9" s="7">
        <v>0.32</v>
      </c>
      <c r="G9" s="7">
        <v>2.4</v>
      </c>
      <c r="H9" s="7">
        <v>65</v>
      </c>
      <c r="I9" s="7">
        <v>0.08</v>
      </c>
      <c r="J9" s="7">
        <v>0.02</v>
      </c>
      <c r="K9" s="8">
        <v>0.07</v>
      </c>
    </row>
    <row r="10" spans="3:11" ht="12.75">
      <c r="C10" s="15">
        <v>4</v>
      </c>
      <c r="D10" s="6" t="s">
        <v>11</v>
      </c>
      <c r="E10" s="7">
        <v>65</v>
      </c>
      <c r="F10" s="7">
        <v>1</v>
      </c>
      <c r="G10" s="7">
        <v>7.8</v>
      </c>
      <c r="H10" s="7">
        <v>65</v>
      </c>
      <c r="I10" s="7">
        <v>0.23</v>
      </c>
      <c r="J10" s="7">
        <v>0.07</v>
      </c>
      <c r="K10" s="8">
        <v>0.22</v>
      </c>
    </row>
    <row r="11" spans="3:11" ht="12.75">
      <c r="C11" s="5">
        <v>5</v>
      </c>
      <c r="D11" s="6" t="s">
        <v>106</v>
      </c>
      <c r="E11" s="7">
        <v>121.112</v>
      </c>
      <c r="F11" s="7">
        <v>1.953</v>
      </c>
      <c r="G11" s="7">
        <v>14.612</v>
      </c>
      <c r="H11" s="7">
        <v>62</v>
      </c>
      <c r="I11" s="7">
        <v>0.792</v>
      </c>
      <c r="J11" s="7">
        <v>0.235</v>
      </c>
      <c r="K11" s="8">
        <v>0.437</v>
      </c>
    </row>
    <row r="12" spans="3:11" ht="12.75">
      <c r="C12" s="5">
        <v>6</v>
      </c>
      <c r="D12" s="6" t="s">
        <v>105</v>
      </c>
      <c r="E12" s="7">
        <v>127.58</v>
      </c>
      <c r="F12" s="7">
        <v>2.058</v>
      </c>
      <c r="G12" s="7">
        <v>15.392</v>
      </c>
      <c r="H12" s="7">
        <v>62</v>
      </c>
      <c r="I12" s="7">
        <v>0.834</v>
      </c>
      <c r="J12" s="7">
        <v>0.247</v>
      </c>
      <c r="K12" s="8">
        <v>0.461</v>
      </c>
    </row>
    <row r="13" spans="3:11" ht="12.75">
      <c r="C13" s="15">
        <v>7</v>
      </c>
      <c r="D13" s="6" t="s">
        <v>107</v>
      </c>
      <c r="E13" s="7">
        <v>134.048</v>
      </c>
      <c r="F13" s="7">
        <v>2.162</v>
      </c>
      <c r="G13" s="7">
        <v>16.172</v>
      </c>
      <c r="H13" s="7">
        <v>62</v>
      </c>
      <c r="I13" s="7">
        <v>0.876</v>
      </c>
      <c r="J13" s="7">
        <v>0.259</v>
      </c>
      <c r="K13" s="8">
        <v>0.485</v>
      </c>
    </row>
    <row r="14" spans="3:11" ht="12.75">
      <c r="C14" s="5">
        <v>8</v>
      </c>
      <c r="D14" s="6" t="s">
        <v>108</v>
      </c>
      <c r="E14" s="7">
        <v>140.516</v>
      </c>
      <c r="F14" s="7">
        <v>2.266</v>
      </c>
      <c r="G14" s="7">
        <v>16.953</v>
      </c>
      <c r="H14" s="7">
        <v>62</v>
      </c>
      <c r="I14" s="7">
        <v>0.918</v>
      </c>
      <c r="J14" s="7">
        <v>0.271</v>
      </c>
      <c r="K14" s="8">
        <v>0.509</v>
      </c>
    </row>
    <row r="15" spans="3:11" ht="12.75">
      <c r="C15" s="5">
        <v>9</v>
      </c>
      <c r="D15" s="6" t="s">
        <v>109</v>
      </c>
      <c r="E15" s="7">
        <v>146.985</v>
      </c>
      <c r="F15" s="7">
        <v>2.371</v>
      </c>
      <c r="G15" s="7">
        <v>17.733</v>
      </c>
      <c r="H15" s="7">
        <v>62</v>
      </c>
      <c r="I15" s="7">
        <v>0.96</v>
      </c>
      <c r="J15" s="7">
        <v>0.284</v>
      </c>
      <c r="K15" s="8">
        <v>0.533</v>
      </c>
    </row>
    <row r="16" spans="3:11" ht="12.75">
      <c r="C16" s="15">
        <v>10</v>
      </c>
      <c r="D16" s="6" t="s">
        <v>110</v>
      </c>
      <c r="E16" s="7">
        <v>153.453</v>
      </c>
      <c r="F16" s="7">
        <v>2.475</v>
      </c>
      <c r="G16" s="7">
        <v>18.513</v>
      </c>
      <c r="H16" s="7">
        <v>62</v>
      </c>
      <c r="I16" s="7">
        <v>1.002</v>
      </c>
      <c r="J16" s="7">
        <v>0.297</v>
      </c>
      <c r="K16" s="8">
        <v>0.555</v>
      </c>
    </row>
    <row r="17" spans="3:11" ht="12.75">
      <c r="C17" s="5">
        <v>11</v>
      </c>
      <c r="D17" s="6" t="s">
        <v>13</v>
      </c>
      <c r="E17" s="7">
        <v>82</v>
      </c>
      <c r="F17" s="7">
        <v>1.323</v>
      </c>
      <c r="G17" s="7">
        <v>9.893</v>
      </c>
      <c r="H17" s="7">
        <v>62</v>
      </c>
      <c r="I17" s="7">
        <v>0.36</v>
      </c>
      <c r="J17" s="7">
        <v>0.123</v>
      </c>
      <c r="K17" s="8">
        <v>0.28</v>
      </c>
    </row>
    <row r="18" spans="3:11" ht="12.75">
      <c r="C18" s="5">
        <v>12</v>
      </c>
      <c r="D18" s="6" t="s">
        <v>111</v>
      </c>
      <c r="E18" s="7">
        <v>98</v>
      </c>
      <c r="F18" s="7">
        <v>1.581</v>
      </c>
      <c r="G18" s="7">
        <v>11.823</v>
      </c>
      <c r="H18" s="7">
        <v>62</v>
      </c>
      <c r="I18" s="7">
        <v>0.43</v>
      </c>
      <c r="J18" s="7">
        <v>0.149</v>
      </c>
      <c r="K18" s="8">
        <v>0.34</v>
      </c>
    </row>
    <row r="19" spans="3:11" ht="12.75">
      <c r="C19" s="15">
        <v>13</v>
      </c>
      <c r="D19" s="6" t="s">
        <v>14</v>
      </c>
      <c r="E19" s="7">
        <v>115</v>
      </c>
      <c r="F19" s="7">
        <v>1.855</v>
      </c>
      <c r="G19" s="7">
        <v>13.874</v>
      </c>
      <c r="H19" s="7">
        <v>62</v>
      </c>
      <c r="I19" s="7">
        <v>0.5</v>
      </c>
      <c r="J19" s="7">
        <v>0.173</v>
      </c>
      <c r="K19" s="8">
        <v>0.4</v>
      </c>
    </row>
    <row r="20" spans="3:11" ht="12.75">
      <c r="C20" s="5">
        <v>14</v>
      </c>
      <c r="D20" s="6" t="s">
        <v>15</v>
      </c>
      <c r="E20" s="7">
        <v>9</v>
      </c>
      <c r="F20" s="7">
        <v>0.14</v>
      </c>
      <c r="G20" s="7">
        <v>1.1</v>
      </c>
      <c r="H20" s="7">
        <v>62</v>
      </c>
      <c r="I20" s="7">
        <v>0.04</v>
      </c>
      <c r="J20" s="7">
        <v>0.03</v>
      </c>
      <c r="K20" s="8">
        <v>0.06</v>
      </c>
    </row>
    <row r="21" spans="3:11" ht="12.75">
      <c r="C21" s="5">
        <v>15</v>
      </c>
      <c r="D21" s="6" t="s">
        <v>17</v>
      </c>
      <c r="E21" s="7">
        <v>26</v>
      </c>
      <c r="F21" s="7">
        <v>0.42</v>
      </c>
      <c r="G21" s="7">
        <v>3.1</v>
      </c>
      <c r="H21" s="7">
        <v>63</v>
      </c>
      <c r="I21" s="7">
        <v>0.14</v>
      </c>
      <c r="J21" s="7">
        <v>0.1</v>
      </c>
      <c r="K21" s="8">
        <v>0.11</v>
      </c>
    </row>
    <row r="22" spans="3:11" ht="12.75">
      <c r="C22" s="15">
        <v>16</v>
      </c>
      <c r="D22" s="6" t="s">
        <v>16</v>
      </c>
      <c r="E22" s="7">
        <v>62</v>
      </c>
      <c r="F22" s="7">
        <v>1</v>
      </c>
      <c r="G22" s="7">
        <v>7.5</v>
      </c>
      <c r="H22" s="7">
        <v>62</v>
      </c>
      <c r="I22" s="7">
        <v>0.41</v>
      </c>
      <c r="J22" s="7">
        <v>0.14</v>
      </c>
      <c r="K22" s="8">
        <v>0.25</v>
      </c>
    </row>
    <row r="23" spans="3:11" ht="12.75">
      <c r="C23" s="5">
        <v>17</v>
      </c>
      <c r="D23" s="6" t="s">
        <v>18</v>
      </c>
      <c r="E23" s="7">
        <v>92</v>
      </c>
      <c r="F23" s="7">
        <v>1.4</v>
      </c>
      <c r="G23" s="7">
        <v>11</v>
      </c>
      <c r="H23" s="7">
        <v>62</v>
      </c>
      <c r="I23" s="7">
        <v>0.61</v>
      </c>
      <c r="J23" s="7">
        <v>0.21</v>
      </c>
      <c r="K23" s="8">
        <v>0.36</v>
      </c>
    </row>
    <row r="24" spans="3:11" ht="12.75">
      <c r="C24" s="5">
        <v>18</v>
      </c>
      <c r="D24" s="6" t="s">
        <v>19</v>
      </c>
      <c r="E24" s="7">
        <v>54</v>
      </c>
      <c r="F24" s="7">
        <v>0.87</v>
      </c>
      <c r="G24" s="7">
        <v>6.5</v>
      </c>
      <c r="H24" s="7">
        <v>62</v>
      </c>
      <c r="I24" s="7">
        <v>0.38</v>
      </c>
      <c r="J24" s="7">
        <v>0.14</v>
      </c>
      <c r="K24" s="8">
        <v>0.22</v>
      </c>
    </row>
    <row r="25" spans="3:11" ht="12.75">
      <c r="C25" s="15">
        <v>19</v>
      </c>
      <c r="D25" s="6" t="s">
        <v>20</v>
      </c>
      <c r="E25" s="7">
        <v>80</v>
      </c>
      <c r="F25" s="7">
        <v>1.26</v>
      </c>
      <c r="G25" s="7">
        <v>9.5</v>
      </c>
      <c r="H25" s="7">
        <v>62</v>
      </c>
      <c r="I25" s="7">
        <v>0.54</v>
      </c>
      <c r="J25" s="7">
        <v>0.21</v>
      </c>
      <c r="K25" s="8">
        <v>0.32</v>
      </c>
    </row>
    <row r="26" spans="3:11" ht="12.75">
      <c r="C26" s="5">
        <v>20</v>
      </c>
      <c r="D26" s="6" t="s">
        <v>21</v>
      </c>
      <c r="E26" s="7">
        <v>63</v>
      </c>
      <c r="F26" s="7">
        <v>1</v>
      </c>
      <c r="G26" s="7">
        <v>7.5</v>
      </c>
      <c r="H26" s="7">
        <v>63</v>
      </c>
      <c r="I26" s="7">
        <v>0.31</v>
      </c>
      <c r="J26" s="7">
        <v>0.19</v>
      </c>
      <c r="K26" s="8">
        <v>0.26</v>
      </c>
    </row>
    <row r="27" spans="3:11" ht="12.75">
      <c r="C27" s="5">
        <v>21</v>
      </c>
      <c r="D27" s="6" t="s">
        <v>22</v>
      </c>
      <c r="E27" s="7">
        <v>2.7</v>
      </c>
      <c r="F27" s="7">
        <v>0.04</v>
      </c>
      <c r="G27" s="7">
        <v>0.3</v>
      </c>
      <c r="H27" s="7">
        <v>62</v>
      </c>
      <c r="I27" s="7">
        <v>0.02</v>
      </c>
      <c r="J27" s="7">
        <v>0.01</v>
      </c>
      <c r="K27" s="8">
        <v>0.01</v>
      </c>
    </row>
    <row r="28" spans="3:11" ht="12.75">
      <c r="C28" s="15">
        <v>22</v>
      </c>
      <c r="D28" s="6" t="s">
        <v>23</v>
      </c>
      <c r="E28" s="7">
        <v>9.5</v>
      </c>
      <c r="F28" s="7">
        <v>0.15</v>
      </c>
      <c r="G28" s="7">
        <v>1.2</v>
      </c>
      <c r="H28" s="7">
        <v>62</v>
      </c>
      <c r="I28" s="7">
        <v>0.08</v>
      </c>
      <c r="J28" s="7">
        <v>0.05</v>
      </c>
      <c r="K28" s="8">
        <v>0.04</v>
      </c>
    </row>
    <row r="29" spans="3:11" ht="12.75">
      <c r="C29" s="5">
        <v>23</v>
      </c>
      <c r="D29" s="6" t="s">
        <v>24</v>
      </c>
      <c r="E29" s="7">
        <v>7.5</v>
      </c>
      <c r="F29" s="7">
        <v>0.12</v>
      </c>
      <c r="G29" s="7">
        <v>0.9</v>
      </c>
      <c r="H29" s="7">
        <v>62</v>
      </c>
      <c r="I29" s="7">
        <v>0.05</v>
      </c>
      <c r="J29" s="7">
        <v>0.04</v>
      </c>
      <c r="K29" s="8">
        <v>0.04</v>
      </c>
    </row>
    <row r="30" spans="3:11" ht="12.75">
      <c r="C30" s="5">
        <v>24</v>
      </c>
      <c r="D30" s="6" t="s">
        <v>25</v>
      </c>
      <c r="E30" s="7">
        <v>22.5</v>
      </c>
      <c r="F30" s="7">
        <v>0.36</v>
      </c>
      <c r="G30" s="7">
        <v>2.7</v>
      </c>
      <c r="H30" s="7">
        <v>63</v>
      </c>
      <c r="I30" s="7">
        <v>0.18</v>
      </c>
      <c r="J30" s="7">
        <v>0.13</v>
      </c>
      <c r="K30" s="8">
        <v>0.14</v>
      </c>
    </row>
    <row r="31" spans="3:11" ht="12.75">
      <c r="C31" s="15">
        <v>25</v>
      </c>
      <c r="D31" s="6" t="s">
        <v>26</v>
      </c>
      <c r="E31" s="7">
        <v>7.2</v>
      </c>
      <c r="F31" s="7">
        <v>0.12</v>
      </c>
      <c r="G31" s="7">
        <v>0.9</v>
      </c>
      <c r="H31" s="7">
        <v>62</v>
      </c>
      <c r="I31" s="7">
        <v>0.05</v>
      </c>
      <c r="J31" s="7">
        <v>0.04</v>
      </c>
      <c r="K31" s="8">
        <v>0.04</v>
      </c>
    </row>
    <row r="32" spans="3:11" ht="12.75">
      <c r="C32" s="5">
        <v>26</v>
      </c>
      <c r="D32" s="6" t="s">
        <v>27</v>
      </c>
      <c r="E32" s="7">
        <v>4</v>
      </c>
      <c r="F32" s="7">
        <v>0.06</v>
      </c>
      <c r="G32" s="7">
        <v>0.4</v>
      </c>
      <c r="H32" s="7">
        <v>63</v>
      </c>
      <c r="I32" s="7">
        <v>0.04</v>
      </c>
      <c r="J32" s="7">
        <v>0.02</v>
      </c>
      <c r="K32" s="8">
        <v>0.04</v>
      </c>
    </row>
    <row r="33" spans="3:11" ht="12.75">
      <c r="C33" s="5">
        <v>27</v>
      </c>
      <c r="D33" s="6" t="s">
        <v>28</v>
      </c>
      <c r="E33" s="7">
        <v>0.26</v>
      </c>
      <c r="F33" s="7">
        <v>0.004</v>
      </c>
      <c r="G33" s="7">
        <v>0.031</v>
      </c>
      <c r="H33" s="7">
        <v>65</v>
      </c>
      <c r="I33" s="7">
        <v>0.0035</v>
      </c>
      <c r="J33" s="7">
        <v>0.0027</v>
      </c>
      <c r="K33" s="8">
        <v>0.0016</v>
      </c>
    </row>
    <row r="34" spans="3:11" ht="12.75">
      <c r="C34" s="15">
        <v>28</v>
      </c>
      <c r="D34" s="6" t="s">
        <v>29</v>
      </c>
      <c r="E34" s="7">
        <v>0.18</v>
      </c>
      <c r="F34" s="7">
        <v>0.003</v>
      </c>
      <c r="G34" s="7">
        <v>0.021</v>
      </c>
      <c r="H34" s="7">
        <v>63</v>
      </c>
      <c r="I34" s="7">
        <v>0.0023</v>
      </c>
      <c r="J34" s="7">
        <v>0.0014</v>
      </c>
      <c r="K34" s="8">
        <v>0.0011</v>
      </c>
    </row>
    <row r="35" spans="3:11" ht="12.75">
      <c r="C35" s="5">
        <v>29</v>
      </c>
      <c r="D35" s="6" t="s">
        <v>30</v>
      </c>
      <c r="E35" s="7">
        <v>0.9</v>
      </c>
      <c r="F35" s="7">
        <v>0.014</v>
      </c>
      <c r="G35" s="7">
        <v>0.108</v>
      </c>
      <c r="H35" s="7">
        <v>63</v>
      </c>
      <c r="I35" s="7">
        <v>0.0126</v>
      </c>
      <c r="J35" s="7">
        <v>0.0108</v>
      </c>
      <c r="K35" s="9">
        <v>0.0054</v>
      </c>
    </row>
    <row r="36" spans="3:11" ht="12.75">
      <c r="C36" s="5">
        <v>30</v>
      </c>
      <c r="D36" s="6" t="s">
        <v>31</v>
      </c>
      <c r="E36" s="7">
        <v>0.33</v>
      </c>
      <c r="F36" s="7">
        <v>0.005</v>
      </c>
      <c r="G36" s="7">
        <v>0.04</v>
      </c>
      <c r="H36" s="7">
        <v>62</v>
      </c>
      <c r="I36" s="7">
        <v>0.0046</v>
      </c>
      <c r="J36" s="7">
        <v>0.0038</v>
      </c>
      <c r="K36" s="8">
        <v>0.0028</v>
      </c>
    </row>
    <row r="37" spans="3:11" ht="13.5" thickBot="1">
      <c r="C37" s="15">
        <v>31</v>
      </c>
      <c r="D37" s="10" t="s">
        <v>32</v>
      </c>
      <c r="E37" s="11">
        <v>50</v>
      </c>
      <c r="F37" s="11">
        <v>0.8</v>
      </c>
      <c r="G37" s="11">
        <v>5.98</v>
      </c>
      <c r="H37" s="11">
        <v>63</v>
      </c>
      <c r="I37" s="11">
        <v>0.28</v>
      </c>
      <c r="J37" s="11">
        <v>0.11</v>
      </c>
      <c r="K37" s="12">
        <v>0.23</v>
      </c>
    </row>
    <row r="38" spans="5:11" ht="13.5" thickTop="1">
      <c r="E38" s="1"/>
      <c r="F38" s="1"/>
      <c r="G38" s="1"/>
      <c r="H38" s="1"/>
      <c r="I38" s="1"/>
      <c r="J38" s="1"/>
      <c r="K38" s="1"/>
    </row>
    <row r="39" spans="5:11" ht="12.75">
      <c r="E39" s="1"/>
      <c r="F39" s="1"/>
      <c r="G39" s="1"/>
      <c r="H39" s="1"/>
      <c r="I39" s="1"/>
      <c r="J39" s="1"/>
      <c r="K39" s="1"/>
    </row>
    <row r="40" ht="13.5" thickBot="1">
      <c r="C40" s="14" t="s">
        <v>46</v>
      </c>
    </row>
    <row r="41" spans="3:5" ht="13.5" thickTop="1">
      <c r="C41" s="2" t="s">
        <v>33</v>
      </c>
      <c r="D41" s="3" t="s">
        <v>34</v>
      </c>
      <c r="E41" s="4" t="s">
        <v>89</v>
      </c>
    </row>
    <row r="42" spans="3:5" ht="12.75">
      <c r="C42" s="15">
        <v>1</v>
      </c>
      <c r="D42" s="16" t="s">
        <v>103</v>
      </c>
      <c r="E42" s="17">
        <v>0</v>
      </c>
    </row>
    <row r="43" spans="3:5" ht="12.75">
      <c r="C43" s="5">
        <v>2</v>
      </c>
      <c r="D43" s="6" t="s">
        <v>35</v>
      </c>
      <c r="E43" s="9">
        <v>0.75</v>
      </c>
    </row>
    <row r="44" spans="3:5" ht="12.75">
      <c r="C44" s="5">
        <v>3</v>
      </c>
      <c r="D44" s="6" t="s">
        <v>36</v>
      </c>
      <c r="E44" s="9">
        <v>0.7</v>
      </c>
    </row>
    <row r="45" spans="3:5" ht="12.75">
      <c r="C45" s="15">
        <v>4</v>
      </c>
      <c r="D45" s="6" t="s">
        <v>37</v>
      </c>
      <c r="E45" s="9">
        <v>0.5</v>
      </c>
    </row>
    <row r="46" spans="3:5" ht="12.75">
      <c r="C46" s="5">
        <v>5</v>
      </c>
      <c r="D46" s="6" t="s">
        <v>38</v>
      </c>
      <c r="E46" s="9">
        <v>0.75</v>
      </c>
    </row>
    <row r="47" spans="3:5" ht="12.75">
      <c r="C47" s="5">
        <v>6</v>
      </c>
      <c r="D47" s="6" t="s">
        <v>39</v>
      </c>
      <c r="E47" s="9">
        <v>0.75</v>
      </c>
    </row>
    <row r="48" spans="3:5" ht="12.75">
      <c r="C48" s="15">
        <v>7</v>
      </c>
      <c r="D48" s="6" t="s">
        <v>40</v>
      </c>
      <c r="E48" s="9">
        <v>0.8</v>
      </c>
    </row>
    <row r="49" spans="3:5" ht="12.75">
      <c r="C49" s="5">
        <v>8</v>
      </c>
      <c r="D49" s="6" t="s">
        <v>41</v>
      </c>
      <c r="E49" s="9">
        <v>0.8</v>
      </c>
    </row>
    <row r="50" spans="3:5" ht="12.75">
      <c r="C50" s="5">
        <v>9</v>
      </c>
      <c r="D50" s="6" t="s">
        <v>42</v>
      </c>
      <c r="E50" s="9">
        <v>0.7</v>
      </c>
    </row>
    <row r="51" spans="3:5" ht="12.75">
      <c r="C51" s="15">
        <v>10</v>
      </c>
      <c r="D51" s="6" t="s">
        <v>44</v>
      </c>
      <c r="E51" s="9">
        <v>0.25</v>
      </c>
    </row>
    <row r="52" spans="3:5" ht="12.75">
      <c r="C52" s="5">
        <v>11</v>
      </c>
      <c r="D52" s="6" t="s">
        <v>43</v>
      </c>
      <c r="E52" s="9">
        <v>0.2</v>
      </c>
    </row>
    <row r="53" spans="3:5" ht="13.5" thickBot="1">
      <c r="C53" s="15">
        <v>12</v>
      </c>
      <c r="D53" s="10" t="s">
        <v>45</v>
      </c>
      <c r="E53" s="13">
        <v>0.2</v>
      </c>
    </row>
    <row r="54" ht="13.5" thickTop="1"/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10" sqref="E10: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Widman</dc:creator>
  <cp:keywords/>
  <dc:description/>
  <cp:lastModifiedBy>norm.widman</cp:lastModifiedBy>
  <cp:lastPrinted>2003-04-24T11:14:23Z</cp:lastPrinted>
  <dcterms:created xsi:type="dcterms:W3CDTF">2002-02-15T21:17:01Z</dcterms:created>
  <dcterms:modified xsi:type="dcterms:W3CDTF">2003-04-24T17:32:26Z</dcterms:modified>
  <cp:category/>
  <cp:version/>
  <cp:contentType/>
  <cp:contentStatus/>
</cp:coreProperties>
</file>