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195" tabRatio="871" activeTab="0"/>
  </bookViews>
  <sheets>
    <sheet name="Cover Sheet" sheetId="1" r:id="rId1"/>
    <sheet name="Inputs" sheetId="2" r:id="rId2"/>
    <sheet name="Cost Calculator" sheetId="3" r:id="rId3"/>
    <sheet name="Cost Data" sheetId="4" r:id="rId4"/>
    <sheet name="Cost Graph" sheetId="5" r:id="rId5"/>
    <sheet name="Env Benefits" sheetId="6" r:id="rId6"/>
    <sheet name="Quantified Env Benefits" sheetId="7" r:id="rId7"/>
    <sheet name="Env Benefits Graph" sheetId="8" r:id="rId8"/>
    <sheet name="Env Data" sheetId="9" r:id="rId9"/>
    <sheet name="Equivalencies" sheetId="10" r:id="rId10"/>
    <sheet name="Default Cost Data" sheetId="11" r:id="rId11"/>
    <sheet name="Lookup" sheetId="12" state="hidden" r:id="rId12"/>
  </sheets>
  <definedNames>
    <definedName name="_xlnm.Print_Area" localSheetId="2">'Cost Calculator'!$A$1:$E$80</definedName>
    <definedName name="_xlnm.Print_Area" localSheetId="4">'Cost Graph'!$A$1:$L$44</definedName>
    <definedName name="_xlnm.Print_Area" localSheetId="0">'Cover Sheet'!$A$1:$I$27</definedName>
    <definedName name="_xlnm.Print_Area" localSheetId="7">'Env Benefits Graph'!$A$1:$O$63</definedName>
    <definedName name="_xlnm.Print_Area" localSheetId="8">'Env Data'!$A$1:$T$51</definedName>
    <definedName name="_xlnm.Print_Area" localSheetId="9">'Equivalencies'!$A$1:$F$57</definedName>
    <definedName name="_xlnm.Print_Area" localSheetId="1">'Inputs'!$A$1:$B$99</definedName>
    <definedName name="_xlnm.Print_Area" localSheetId="6">'Quantified Env Benefits'!$A$1:$S$196</definedName>
    <definedName name="_xlnm.Print_Titles" localSheetId="3">'Cost Data'!$1:$4</definedName>
    <definedName name="_xlnm.Print_Titles" localSheetId="10">'Default Cost Data'!$1:$6</definedName>
  </definedNames>
  <calcPr fullCalcOnLoad="1"/>
</workbook>
</file>

<file path=xl/comments2.xml><?xml version="1.0" encoding="utf-8"?>
<comments xmlns="http://schemas.openxmlformats.org/spreadsheetml/2006/main">
  <authors>
    <author>Pete</author>
    <author>iec</author>
  </authors>
  <commentList>
    <comment ref="A22" authorId="0">
      <text>
        <r>
          <rPr>
            <sz val="8"/>
            <rFont val="Tahoma"/>
            <family val="2"/>
          </rPr>
          <t>The calculator does not use treated lumber for mulching.</t>
        </r>
      </text>
    </comment>
    <comment ref="A15" authorId="1">
      <text>
        <r>
          <rPr>
            <sz val="8"/>
            <rFont val="Tahoma"/>
            <family val="0"/>
          </rPr>
          <t>Distance to landfill for green waste is applied to all other waste streams.</t>
        </r>
      </text>
    </comment>
  </commentList>
</comments>
</file>

<file path=xl/comments3.xml><?xml version="1.0" encoding="utf-8"?>
<comments xmlns="http://schemas.openxmlformats.org/spreadsheetml/2006/main">
  <authors>
    <author>iec2</author>
  </authors>
  <commentList>
    <comment ref="A18" authorId="0">
      <text>
        <r>
          <rPr>
            <sz val="8"/>
            <rFont val="Tahoma"/>
            <family val="2"/>
          </rPr>
          <t>If you cannot recycle a material, it is assumed to be landfilled at the national average tipping fee.</t>
        </r>
      </text>
    </comment>
    <comment ref="A11" authorId="0">
      <text>
        <r>
          <rPr>
            <sz val="8"/>
            <rFont val="Tahoma"/>
            <family val="2"/>
          </rPr>
          <t>If you do not have a crusher and you will not reuse at least 10,000 tons of concrete and asphalt in the next ten years, the calculator assumes that you are not reusing concrete and asphalt because it will not be cost efficient to purchase a crusher.  Similarly, if it is not cost efficient for to buy a chipper to chip green waste and lumber, the calculator will assume you will not buy a chipper to make mulch on-site.</t>
        </r>
      </text>
    </comment>
    <comment ref="A34" authorId="0">
      <text>
        <r>
          <rPr>
            <sz val="8"/>
            <rFont val="Tahoma"/>
            <family val="2"/>
          </rPr>
          <t>If you do not have a crusher and you will not reuse at least 10,000 tons of concrete and asphalt in the next ten years, the calculator assumes that you are not reusing concrete and asphalt because it will not be cost efficient to purchase a crusher.  Similarly, if it is not cost efficient for to buy a chipper to chip green waste and lumber, the calculator will assume you will not buy a chipper to make mulch on-site.</t>
        </r>
      </text>
    </comment>
    <comment ref="A57" authorId="0">
      <text>
        <r>
          <rPr>
            <sz val="8"/>
            <rFont val="Tahoma"/>
            <family val="2"/>
          </rPr>
          <t>If you cannot recycle a material, it is assumed to be landfilled at the national average tipping fee.</t>
        </r>
      </text>
    </comment>
    <comment ref="A6" authorId="0">
      <text>
        <r>
          <rPr>
            <sz val="8"/>
            <rFont val="Tahoma"/>
            <family val="2"/>
          </rPr>
          <t>The calculator assumes that large branches and lumber will be converted to mulch, while leaves, twigs, and grass will be converted into compost.</t>
        </r>
      </text>
    </comment>
    <comment ref="A29" authorId="0">
      <text>
        <r>
          <rPr>
            <sz val="8"/>
            <rFont val="Tahoma"/>
            <family val="2"/>
          </rPr>
          <t>The calculator assumes that large branches and lumber will be converted to mulch, while leaves, twigs, and grass will be converted into compost.</t>
        </r>
      </text>
    </comment>
  </commentList>
</comments>
</file>

<file path=xl/comments7.xml><?xml version="1.0" encoding="utf-8"?>
<comments xmlns="http://schemas.openxmlformats.org/spreadsheetml/2006/main">
  <authors>
    <author>Pete</author>
    <author>iec</author>
  </authors>
  <commentList>
    <comment ref="A133" authorId="0">
      <text>
        <r>
          <rPr>
            <sz val="8"/>
            <rFont val="Tahoma"/>
            <family val="2"/>
          </rPr>
          <t>From transporatation only.  This calculator does not have data on VOC emissions from concrete production.</t>
        </r>
      </text>
    </comment>
    <comment ref="H133" authorId="0">
      <text>
        <r>
          <rPr>
            <sz val="8"/>
            <rFont val="Tahoma"/>
            <family val="2"/>
          </rPr>
          <t>From transporatation only.  This calculator does not have data on VOC emissions from concrete production.</t>
        </r>
      </text>
    </comment>
    <comment ref="O133" authorId="0">
      <text>
        <r>
          <rPr>
            <sz val="8"/>
            <rFont val="Tahoma"/>
            <family val="2"/>
          </rPr>
          <t>From transporatation only.  This calculator does not have data on VOC emissions from concrete production.</t>
        </r>
      </text>
    </comment>
    <comment ref="A177" authorId="0">
      <text>
        <r>
          <rPr>
            <sz val="8"/>
            <rFont val="Tahoma"/>
            <family val="2"/>
          </rPr>
          <t>From transporatation only.  This calculator does not have data on VOC emissions from asphalt production.</t>
        </r>
      </text>
    </comment>
    <comment ref="H177" authorId="0">
      <text>
        <r>
          <rPr>
            <sz val="8"/>
            <rFont val="Tahoma"/>
            <family val="2"/>
          </rPr>
          <t>From transporatation only.  This calculator does not have data on VOC emissions from asphalt production.</t>
        </r>
      </text>
    </comment>
    <comment ref="O177" authorId="0">
      <text>
        <r>
          <rPr>
            <sz val="8"/>
            <rFont val="Tahoma"/>
            <family val="2"/>
          </rPr>
          <t>From transporatation only.  This calculator does not have data on VOC emissions from asphalt production.</t>
        </r>
      </text>
    </comment>
    <comment ref="A87" authorId="0">
      <text>
        <r>
          <rPr>
            <sz val="8"/>
            <rFont val="Tahoma"/>
            <family val="2"/>
          </rPr>
          <t>CO2 only</t>
        </r>
      </text>
    </comment>
    <comment ref="H87" authorId="0">
      <text>
        <r>
          <rPr>
            <sz val="8"/>
            <rFont val="Tahoma"/>
            <family val="2"/>
          </rPr>
          <t>CO2 only</t>
        </r>
      </text>
    </comment>
    <comment ref="O87" authorId="0">
      <text>
        <r>
          <rPr>
            <sz val="8"/>
            <rFont val="Tahoma"/>
            <family val="2"/>
          </rPr>
          <t>CO2 only</t>
        </r>
      </text>
    </comment>
    <comment ref="A44" authorId="0">
      <text>
        <r>
          <rPr>
            <sz val="10"/>
            <rFont val="Tahoma"/>
            <family val="2"/>
          </rPr>
          <t>Includes CO2 and methane</t>
        </r>
        <r>
          <rPr>
            <sz val="8"/>
            <rFont val="Tahoma"/>
            <family val="2"/>
          </rPr>
          <t xml:space="preserve">
</t>
        </r>
      </text>
    </comment>
    <comment ref="H44" authorId="0">
      <text>
        <r>
          <rPr>
            <sz val="10"/>
            <rFont val="Tahoma"/>
            <family val="2"/>
          </rPr>
          <t>Includes CO2 and methane</t>
        </r>
      </text>
    </comment>
    <comment ref="O44" authorId="0">
      <text>
        <r>
          <rPr>
            <sz val="10"/>
            <rFont val="Tahoma"/>
            <family val="2"/>
          </rPr>
          <t>Includes CO2 and methane</t>
        </r>
      </text>
    </comment>
    <comment ref="A131" authorId="0">
      <text>
        <r>
          <rPr>
            <sz val="8"/>
            <rFont val="Tahoma"/>
            <family val="2"/>
          </rPr>
          <t>CO2 only</t>
        </r>
      </text>
    </comment>
    <comment ref="H131" authorId="0">
      <text>
        <r>
          <rPr>
            <sz val="8"/>
            <rFont val="Tahoma"/>
            <family val="2"/>
          </rPr>
          <t>CO2 only</t>
        </r>
      </text>
    </comment>
    <comment ref="A175" authorId="0">
      <text>
        <r>
          <rPr>
            <sz val="8"/>
            <rFont val="Tahoma"/>
            <family val="2"/>
          </rPr>
          <t>CO2 only</t>
        </r>
      </text>
    </comment>
    <comment ref="H175" authorId="0">
      <text>
        <r>
          <rPr>
            <sz val="8"/>
            <rFont val="Tahoma"/>
            <family val="2"/>
          </rPr>
          <t>CO2 only</t>
        </r>
      </text>
    </comment>
    <comment ref="O175" authorId="0">
      <text>
        <r>
          <rPr>
            <sz val="8"/>
            <rFont val="Tahoma"/>
            <family val="2"/>
          </rPr>
          <t>CO2 only</t>
        </r>
      </text>
    </comment>
    <comment ref="O131" authorId="1">
      <text>
        <r>
          <rPr>
            <b/>
            <sz val="8"/>
            <rFont val="Tahoma"/>
            <family val="0"/>
          </rPr>
          <t>iec:</t>
        </r>
        <r>
          <rPr>
            <sz val="8"/>
            <rFont val="Tahoma"/>
            <family val="0"/>
          </rPr>
          <t xml:space="preserve">
CO2 only
</t>
        </r>
      </text>
    </comment>
  </commentList>
</comments>
</file>

<file path=xl/comments9.xml><?xml version="1.0" encoding="utf-8"?>
<comments xmlns="http://schemas.openxmlformats.org/spreadsheetml/2006/main">
  <authors>
    <author>Pete</author>
    <author>pcourtright</author>
  </authors>
  <commentList>
    <comment ref="A14" authorId="0">
      <text>
        <r>
          <rPr>
            <sz val="8"/>
            <rFont val="Tahoma"/>
            <family val="2"/>
          </rPr>
          <t>Lumber data was converted from cubic meters to mbf (1000 board feet)</t>
        </r>
      </text>
    </comment>
    <comment ref="H9" authorId="0">
      <text>
        <r>
          <rPr>
            <sz val="8"/>
            <rFont val="Tahoma"/>
            <family val="2"/>
          </rPr>
          <t>This numbe is converted from kWh/ton to MJ/ton</t>
        </r>
      </text>
    </comment>
    <comment ref="J11" authorId="0">
      <text>
        <r>
          <rPr>
            <sz val="8"/>
            <rFont val="Tahoma"/>
            <family val="2"/>
          </rPr>
          <t>We are unable to locate a data point for water consumption in lumber production.  Some facilities spray water on the logs while other do not.</t>
        </r>
      </text>
    </comment>
    <comment ref="G6" authorId="0">
      <text>
        <r>
          <rPr>
            <sz val="8"/>
            <rFont val="Tahoma"/>
            <family val="2"/>
          </rPr>
          <t>For asphalt, concrete, and brick, only CO2 is represented in GHG.</t>
        </r>
      </text>
    </comment>
    <comment ref="G11" authorId="0">
      <text>
        <r>
          <rPr>
            <sz val="8"/>
            <rFont val="Tahoma"/>
            <family val="2"/>
          </rPr>
          <t>For lumber, GHG is in the form of total carbon emitted, 98% of which is in the form of CO2.</t>
        </r>
      </text>
    </comment>
    <comment ref="G28" authorId="0">
      <text>
        <r>
          <rPr>
            <sz val="8"/>
            <rFont val="Tahoma"/>
            <family val="2"/>
          </rPr>
          <t>This figure represents the total CO2 emitted only.</t>
        </r>
      </text>
    </comment>
    <comment ref="J9" authorId="0">
      <text>
        <r>
          <rPr>
            <sz val="8"/>
            <rFont val="Tahoma"/>
            <family val="2"/>
          </rPr>
          <t>Converted from kg to gallons.</t>
        </r>
      </text>
    </comment>
    <comment ref="C7" authorId="0">
      <text>
        <r>
          <rPr>
            <sz val="8"/>
            <rFont val="Tahoma"/>
            <family val="2"/>
          </rPr>
          <t>We are unable to locate a data point for VOC emissions in concrete and asphalt production.</t>
        </r>
      </text>
    </comment>
    <comment ref="J23" authorId="0">
      <text>
        <r>
          <rPr>
            <sz val="8"/>
            <rFont val="Tahoma"/>
            <family val="2"/>
          </rPr>
          <t>We are unable to locate a data point for water consumption in lumber production.  Some facilities spray water on the logs while other do not.</t>
        </r>
      </text>
    </comment>
    <comment ref="A24" authorId="0">
      <text>
        <r>
          <rPr>
            <sz val="8"/>
            <rFont val="Tahoma"/>
            <family val="2"/>
          </rPr>
          <t>Lumber data was converted from ounces per metric tons to kg per mbf (1000 board feet)</t>
        </r>
      </text>
    </comment>
    <comment ref="A20" authorId="1">
      <text>
        <r>
          <rPr>
            <sz val="8"/>
            <rFont val="Tahoma"/>
            <family val="2"/>
          </rPr>
          <t>Asphalt data was converted from units per metric ton to units per ton.</t>
        </r>
      </text>
    </comment>
    <comment ref="A21" authorId="1">
      <text>
        <r>
          <rPr>
            <sz val="8"/>
            <rFont val="Tahoma"/>
            <family val="2"/>
          </rPr>
          <t>Concrete data was converted from units per metric ton to units per ton.</t>
        </r>
      </text>
    </comment>
    <comment ref="I18" authorId="1">
      <text>
        <r>
          <rPr>
            <sz val="8"/>
            <rFont val="Tahoma"/>
            <family val="2"/>
          </rPr>
          <t>Hazardous Waste benefits are zeroed out because recycling coefficients were not readily available</t>
        </r>
      </text>
    </comment>
  </commentList>
</comments>
</file>

<file path=xl/sharedStrings.xml><?xml version="1.0" encoding="utf-8"?>
<sst xmlns="http://schemas.openxmlformats.org/spreadsheetml/2006/main" count="1526" uniqueCount="394">
  <si>
    <t>Sources</t>
  </si>
  <si>
    <t>Units</t>
  </si>
  <si>
    <t>Comments</t>
  </si>
  <si>
    <t>Please direct any questions or comments on this cost calculator to: Jean Schwab, U.S. EPA GreenScapes Program Manager, schwab.jean@epa.gov or 703-308-8669.</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</si>
  <si>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</si>
  <si>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</si>
  <si>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</si>
  <si>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Concrete</t>
  </si>
  <si>
    <t>Asphalt</t>
  </si>
  <si>
    <t>Brick</t>
  </si>
  <si>
    <t>Yard Waste</t>
  </si>
  <si>
    <t>$/Ton</t>
  </si>
  <si>
    <t xml:space="preserve">      Concrete</t>
  </si>
  <si>
    <t xml:space="preserve">      Asphalt</t>
  </si>
  <si>
    <t xml:space="preserve">      Brick</t>
  </si>
  <si>
    <t>Disposal Cost</t>
  </si>
  <si>
    <t>New Material Cost</t>
  </si>
  <si>
    <t xml:space="preserve">      Compost</t>
  </si>
  <si>
    <t>3 years</t>
  </si>
  <si>
    <t>6 years</t>
  </si>
  <si>
    <t>10 years</t>
  </si>
  <si>
    <t>1 year</t>
  </si>
  <si>
    <t xml:space="preserve">       Brick</t>
  </si>
  <si>
    <t xml:space="preserve">       Concrete</t>
  </si>
  <si>
    <t xml:space="preserve">       Asphalt</t>
  </si>
  <si>
    <t>Total Cost</t>
  </si>
  <si>
    <t>Cost Estimate</t>
  </si>
  <si>
    <t>$/LF</t>
  </si>
  <si>
    <t>Lumber</t>
  </si>
  <si>
    <t>Conversion Factors</t>
  </si>
  <si>
    <t>From</t>
  </si>
  <si>
    <t>To</t>
  </si>
  <si>
    <t>Tons</t>
  </si>
  <si>
    <t>Factor</t>
  </si>
  <si>
    <t>Source</t>
  </si>
  <si>
    <t>Lumber (2"x 6" Decking Boards)</t>
  </si>
  <si>
    <t>2"x 6" Wood Decking Boards</t>
  </si>
  <si>
    <t xml:space="preserve">      Lumber</t>
  </si>
  <si>
    <t>$/Brick</t>
  </si>
  <si>
    <t xml:space="preserve">       Lumber</t>
  </si>
  <si>
    <t>Yes</t>
  </si>
  <si>
    <t>Cu. Yards</t>
  </si>
  <si>
    <t>$/Cu. Yard</t>
  </si>
  <si>
    <t>Compost</t>
  </si>
  <si>
    <r>
      <t xml:space="preserve">Alexander, Ron, Tyler, Rod, and Goldstein, Nora. "Increasing Dollar Value for Compost Products." </t>
    </r>
    <r>
      <rPr>
        <u val="single"/>
        <sz val="10"/>
        <rFont val="Arial"/>
        <family val="2"/>
      </rPr>
      <t>Biocycle.</t>
    </r>
    <r>
      <rPr>
        <sz val="10"/>
        <rFont val="Arial"/>
        <family val="2"/>
      </rPr>
      <t xml:space="preserve"> Oct. 2004 &lt;</t>
    </r>
    <r>
      <rPr>
        <sz val="10"/>
        <rFont val="Arial"/>
        <family val="0"/>
      </rPr>
      <t>http://www.environmental-expert.com/resulteacharticle4.asp?cid=6042&amp;codi=4162&gt;.</t>
    </r>
  </si>
  <si>
    <t>Bricks</t>
  </si>
  <si>
    <t>Linear Feet</t>
  </si>
  <si>
    <t>On-site Asphalt and Concrete Crushing Costs</t>
  </si>
  <si>
    <t>Capital Cost</t>
  </si>
  <si>
    <t>Labor Cost</t>
  </si>
  <si>
    <t>Yard Waste to Compost</t>
  </si>
  <si>
    <t>Equipment Maintenance Cost</t>
  </si>
  <si>
    <t>No</t>
  </si>
  <si>
    <t>Crushed Surfacing</t>
  </si>
  <si>
    <t>Reuse Costs</t>
  </si>
  <si>
    <t xml:space="preserve">      Initial Cost of Crusher</t>
  </si>
  <si>
    <t xml:space="preserve">      Crushing Labor</t>
  </si>
  <si>
    <t xml:space="preserve">      Crusher Maintenance</t>
  </si>
  <si>
    <t xml:space="preserve">      Crushed Surfacing</t>
  </si>
  <si>
    <t>Do you own a crusher to crush and reuse concrete and asphalt?</t>
  </si>
  <si>
    <t>Crusher</t>
  </si>
  <si>
    <t>Concrete/Asphalt Crushers.  September, 2003. &lt;http://p2library.nfesc.navy.mil/P2_Opportunity_Handbook/7_III_6.html&gt;</t>
  </si>
  <si>
    <t>This website states that ordinary bricks cost between $300-$400 per thousand.  This range was averaged to $350 per thousand or $0.35 per brick.</t>
  </si>
  <si>
    <r>
      <t xml:space="preserve">Liu, Henry; Williams, Burkett and Haynes, Kirk.  </t>
    </r>
    <r>
      <rPr>
        <i/>
        <sz val="10"/>
        <color indexed="8"/>
        <rFont val="Arial"/>
        <family val="2"/>
      </rPr>
      <t>Improving Freezing and Thawing Properties of Fly Ash Bricks. March, 2005.</t>
    </r>
    <r>
      <rPr>
        <sz val="10"/>
        <color indexed="8"/>
        <rFont val="Arial"/>
        <family val="2"/>
      </rPr>
      <t xml:space="preserve"> &lt;http://www.flyash.info/2005/20liu.pdf&gt;.</t>
    </r>
  </si>
  <si>
    <r>
      <t xml:space="preserve">Dayton, Kevin J., State Construction Engineer, WSDOT Headquarters Construction Office.  </t>
    </r>
    <r>
      <rPr>
        <i/>
        <sz val="10"/>
        <color indexed="8"/>
        <rFont val="Arial"/>
        <family val="2"/>
      </rPr>
      <t>Construction Update.</t>
    </r>
    <r>
      <rPr>
        <sz val="10"/>
        <color indexed="8"/>
        <rFont val="Arial"/>
        <family val="2"/>
      </rPr>
      <t xml:space="preserve">  August 8, 2006. p. 1. &lt;http://www.wsdot.wa.gov/biz/Construction/CostIndex/CostIndexPdf/constructionupdatereport.pdf&gt;</t>
    </r>
  </si>
  <si>
    <t>Lumber and Plywood Estimating Price Guide.  Ace Hardware.  January 30, 2006. &lt;http://www.acehardware.net/estimate/&gt;.</t>
  </si>
  <si>
    <t>The seven price estimates divided by their corresponding linear feet are all at or very close to $0.36 per LF.</t>
  </si>
  <si>
    <t>Table 4.  Accessed on November 4, 2006. &lt;http://ntl.bts.gov/DOCS/tables2.html&gt;.</t>
  </si>
  <si>
    <t>Lumber Weight Calculator.  Accessed November 4, 2006.  &lt;http://www.csgnetwork.com/lumberweight.html&gt;.</t>
  </si>
  <si>
    <t>General Permit for Yard Waste Composting Facilities Under the South Dakota Waste Management Program. Board of Minerals and Environment. Department of Environment and Natural Resources.  October 13, 1998.  p. 6. &lt;http://www.state.sd.us/DENR/DES/WasteMgn/SWaste/COMPGEN.pdf&gt;.</t>
  </si>
  <si>
    <r>
      <t xml:space="preserve">Wilson, C.R. and Feucht, J.R. </t>
    </r>
    <r>
      <rPr>
        <i/>
        <sz val="10"/>
        <rFont val="Arial"/>
        <family val="2"/>
      </rPr>
      <t>Composting of Yard Waste.</t>
    </r>
    <r>
      <rPr>
        <sz val="10"/>
        <rFont val="Arial"/>
        <family val="2"/>
      </rPr>
      <t xml:space="preserve"> Colorado State University Coopertive Extension. October, 1997. &lt;http://www.ext.colostate.edu/PUBS/GARDEN/07212.pdf&gt;.</t>
    </r>
  </si>
  <si>
    <t>The EHS Benefits tab provides a summary of the environmental, health and safety benefits of recycling and reusing landscape waste.</t>
  </si>
  <si>
    <r>
      <t>Reduces runoff and nonpoint source pollution</t>
    </r>
    <r>
      <rPr>
        <sz val="10"/>
        <rFont val="Arial"/>
        <family val="2"/>
      </rPr>
      <t xml:space="preserve"> because compost can substitute for pesticides and fertilizers, which can produce polluted runoff.</t>
    </r>
  </si>
  <si>
    <t>Recycling Cost/Disposal Cost</t>
  </si>
  <si>
    <t xml:space="preserve">Maximum Reuse, then Recycle, Landfill Remaining Waste </t>
  </si>
  <si>
    <t>Maximum Reuse, Landfill Remaining Waste</t>
  </si>
  <si>
    <t>Landfill All Waste</t>
  </si>
  <si>
    <t>N/A</t>
  </si>
  <si>
    <t>New Material Costs</t>
  </si>
  <si>
    <t>BrickBuy</t>
  </si>
  <si>
    <t>Recycling and Reusing Hardscapes and Landscape Waste Cost Calculator</t>
  </si>
  <si>
    <t>Concrete &amp; Asphalt</t>
  </si>
  <si>
    <t>Do you plan on purchasing recycled bricks instead of new bricks for construction projects?</t>
  </si>
  <si>
    <t>How many cubic yards of compost will you use per year, on average over the next 10 years?</t>
  </si>
  <si>
    <t>Recycling and Reusing Hardscape and Landscape Waste Cost Data</t>
  </si>
  <si>
    <t>The article states that 50-75% of plant volume is reduced by composting.  This range was averaged to derive a conversion factor.</t>
  </si>
  <si>
    <t>Recycling and Reusing Hardscape and Landscape Waste Environmental, Health and Safety Benefits</t>
  </si>
  <si>
    <r>
      <t>Reduces waste/demand for landfill space</t>
    </r>
    <r>
      <rPr>
        <sz val="10"/>
        <rFont val="Arial"/>
        <family val="2"/>
      </rPr>
      <t xml:space="preserve"> because materials that would otherwise be disposed of are reused or recycled.</t>
    </r>
  </si>
  <si>
    <r>
      <t xml:space="preserve">Reuses waste materials </t>
    </r>
    <r>
      <rPr>
        <sz val="10"/>
        <rFont val="Arial"/>
        <family val="2"/>
      </rPr>
      <t>because hardscape and landscape waste is being reused directly on-site.</t>
    </r>
  </si>
  <si>
    <r>
      <t>Conserves timber</t>
    </r>
    <r>
      <rPr>
        <sz val="10"/>
        <rFont val="Arial"/>
        <family val="2"/>
      </rPr>
      <t xml:space="preserve"> because reused and recycled lumber reduces demand for virgin lumber.</t>
    </r>
  </si>
  <si>
    <r>
      <t>Conserves water</t>
    </r>
    <r>
      <rPr>
        <sz val="10"/>
        <rFont val="Arial"/>
        <family val="2"/>
      </rPr>
      <t xml:space="preserve"> because compost can improve the water retention of the soil, reducing the need for irrigation.</t>
    </r>
  </si>
  <si>
    <t>Recycling and Reusing Hardscape and Landscape Waste</t>
  </si>
  <si>
    <t>Recycling and Reusing Hardscape and Landscape Waste Cost Graph</t>
  </si>
  <si>
    <t>Recycling and Reusing Hardscape and Landscape Waste Cost Calculator</t>
  </si>
  <si>
    <r>
      <t>Conserves fossil fuels</t>
    </r>
    <r>
      <rPr>
        <sz val="10"/>
        <rFont val="Arial"/>
        <family val="2"/>
      </rPr>
      <t xml:space="preserve"> because energy needed to transport both hardscape and landscape wastes, as well as new materials, will be reduced.  Also, compost can reduce the need for chemical fertilizers, the production of which is fossil fuel intensive.</t>
    </r>
  </si>
  <si>
    <t>Based on the values that you enter in the Inputs tab, the Cost Calculator tab estimates the cost of four scenarios for handling hardscape and landscape waste: (1) reusing all waste possible on-site, then recycling all waste possible, and then disposing of the rest; (2) reusing all waste possible and disposing of the rest; (3) recycling as much of the remaining waste as possible and disposing of the rest; and (4) disposing of all materials.  If you are not generating a particular waste during a given time frame, enter "0" in the corresponding cell.  Increasing the use of compost over time may offer additional cost savings in terms of reduced fertilizer and/or pesticide use, but the calculator does not consider these potential savings.</t>
  </si>
  <si>
    <t>Average Annual Cost to Date</t>
  </si>
  <si>
    <r>
      <t>Reduces human exposure to hazardous materials or substances</t>
    </r>
    <r>
      <rPr>
        <sz val="10"/>
        <rFont val="Arial"/>
        <family val="2"/>
      </rPr>
      <t xml:space="preserve"> because compost can reduce the need for pesticides and herbicides and the associated human exposures.</t>
    </r>
  </si>
  <si>
    <r>
      <t>Improves soil quality and retards erosion</t>
    </r>
    <r>
      <rPr>
        <sz val="10"/>
        <rFont val="Arial"/>
        <family val="2"/>
      </rPr>
      <t xml:space="preserve"> because using compost improves soil quality.</t>
    </r>
  </si>
  <si>
    <r>
      <t>Improves groundwater recharge</t>
    </r>
    <r>
      <rPr>
        <sz val="10"/>
        <rFont val="Arial"/>
        <family val="2"/>
      </rPr>
      <t xml:space="preserve"> because compost increases the soil's ability to retain water.</t>
    </r>
  </si>
  <si>
    <t>In addition to the above benefits, the following benefits are associated with maximizing compost use and minimizing use of fertilizers and pesticides:</t>
  </si>
  <si>
    <r>
      <t>Reduces air pollution or improves air quality</t>
    </r>
    <r>
      <rPr>
        <sz val="10"/>
        <rFont val="Arial"/>
        <family val="2"/>
      </rPr>
      <t xml:space="preserve"> because reusing materials on-site results in fewer pollutants emitted from transporting waste materials, and methane emissions from landfills are reduced from both reuse and recycling.</t>
    </r>
  </si>
  <si>
    <t>Green Waste</t>
  </si>
  <si>
    <t>How many cubic yards of green waste are generated annually?</t>
  </si>
  <si>
    <t xml:space="preserve">       Green Waste</t>
  </si>
  <si>
    <t xml:space="preserve">      Green Waste</t>
  </si>
  <si>
    <t>How many cubic yards of mulch will you use per year, on average over the next 10 years?</t>
  </si>
  <si>
    <t xml:space="preserve">      Mulch</t>
  </si>
  <si>
    <t>Mulch</t>
  </si>
  <si>
    <t>This value was given in pounds and converted to tons by dividing by 2000.</t>
  </si>
  <si>
    <t>This value was derived by using a lumber weight calculator.  Pine was chosen to convert linear feet to tons because it is commonly used in decking.  If you are using heavier wood(s), you may want to replace this conversion factor.</t>
  </si>
  <si>
    <r>
      <t>This Cost Calculator is designed to help landscaping companies and landscape managers estimate the cost savings associated with recycling and reusing hardscapes and green waste</t>
    </r>
    <r>
      <rPr>
        <sz val="10"/>
        <rFont val="Arial"/>
        <family val="2"/>
      </rPr>
      <t>.  Green waste includes yard trimmings, leaves, plants, grass and other organic waste.  The specific hardscape materials addressed in this tool include: lumber, brick, and concrete and aspalt.   The Cost Calculator demonstrates that recycling and reusing hardscapes and landscape waste can offer significant savings compared to disposal, depending on a facility's material needs and proximity to recycling facilities.</t>
    </r>
  </si>
  <si>
    <t>Earth Products. Orange County Landfill -- Orange County, NC. Accessed December 29, 2006. &lt;http://www.co.orange.nc.us/recycling/earthproducts.asp&gt;</t>
  </si>
  <si>
    <t>Orange County landfill sells yard waste mulch for $20 per 3 cubic yards.  This price was divided by three to find the price per cubic yard.</t>
  </si>
  <si>
    <t>Green Waste Grinding Costs</t>
  </si>
  <si>
    <t>What percentage of the volume of removed lumber is pressure treated?</t>
  </si>
  <si>
    <t>Labor cost of green waste chipping/shredding</t>
  </si>
  <si>
    <t>One linear foot of 2"x6" contains .0031 cubic yards of wood.</t>
  </si>
  <si>
    <t>Maintenance of Commercial Chipper</t>
  </si>
  <si>
    <t>What percentage of the volume of green waste is wood &gt; 1" diameter?</t>
  </si>
  <si>
    <t>Do you own a large chipper ( 6"+) to chip lumber and large branches?</t>
  </si>
  <si>
    <t>$/Hour</t>
  </si>
  <si>
    <t>Time to shred/chip</t>
  </si>
  <si>
    <t>The Bear Cat 71620 sells for $7,999.</t>
  </si>
  <si>
    <t>Norwalk Power Equipment Company.  Bear Cat Commercial Chippers (Gravity Feed) 6" Capacity - Bear Cat 71620.  Accessed August 27, 2007.  &lt;https://017e702.netsolstores.com/index.asp?PageAction=VIEWPROD&amp;ProdID=1886&gt;.</t>
  </si>
  <si>
    <t>Hours/CY</t>
  </si>
  <si>
    <t>Large Chipper</t>
  </si>
  <si>
    <t xml:space="preserve">      Wood Chipping Labor</t>
  </si>
  <si>
    <t>Mulch Mule Brochure.  Accessed August 28, 2007. &lt;www.mulchmule.com/info/mulchmule2006.pdf &gt;</t>
  </si>
  <si>
    <t>$/Hour Used</t>
  </si>
  <si>
    <t xml:space="preserve">      Initial Cost of Chipper</t>
  </si>
  <si>
    <t xml:space="preserve">      Wood Chipper Maintenance</t>
  </si>
  <si>
    <t>Initial Cost of 6" Commercial Chipper</t>
  </si>
  <si>
    <t>Personal Communication with Customer Service, BearCat.  August 29, 2007</t>
  </si>
  <si>
    <t>Chipper Maintenance</t>
  </si>
  <si>
    <t>Cost</t>
  </si>
  <si>
    <t>Replacement Time (Hours)</t>
  </si>
  <si>
    <t>Blades</t>
  </si>
  <si>
    <t>Bearings</t>
  </si>
  <si>
    <t>Total</t>
  </si>
  <si>
    <t>Cost Per Hour</t>
  </si>
  <si>
    <t>The average price of gasoline in the United States was multiplied by the volume of the chipper's gas tank.</t>
  </si>
  <si>
    <t>Each bearing costs $29 and the chipper contains two bearings.</t>
  </si>
  <si>
    <t>Gasoline</t>
  </si>
  <si>
    <t>See Total Below</t>
  </si>
  <si>
    <t>$248 is the retail price for the blade replacement kit</t>
  </si>
  <si>
    <t>Bear Cat estimated that a 6" chipper can chip 100 feet per minute.  100 feet was multiplied by the amount of cubic yards in 1 foot of 2"x6" lumber.  The inverse of this figure was divided by 60 to convert to hours/CY.</t>
  </si>
  <si>
    <t>This brochure says that the industry average for mulching-related labor is $25/hour.</t>
  </si>
  <si>
    <t>Amount Saved by Mulching</t>
  </si>
  <si>
    <t>$/CY</t>
  </si>
  <si>
    <t>This is the amount saved by mulching on-site rather than buying mulch.</t>
  </si>
  <si>
    <t>Recycling and Reusing Hardscape and Landscape Waste Environmental Benefits</t>
  </si>
  <si>
    <t>Maximum Reuse, then Recycle, Landfill Remaining Waste</t>
  </si>
  <si>
    <t>Quantity Reused (lbs.)</t>
  </si>
  <si>
    <t>Quantity Recycled (lbs.)</t>
  </si>
  <si>
    <t>Quantity Landfilled (lbs.)</t>
  </si>
  <si>
    <t>Water Conserved (ga.)</t>
  </si>
  <si>
    <t>Energy Conserved</t>
  </si>
  <si>
    <t>PM Avoided</t>
  </si>
  <si>
    <t>CO</t>
  </si>
  <si>
    <t>Energy</t>
  </si>
  <si>
    <t>units</t>
  </si>
  <si>
    <t>g/ton</t>
  </si>
  <si>
    <t>MJ/ton</t>
  </si>
  <si>
    <t>VOC</t>
  </si>
  <si>
    <t>PM</t>
  </si>
  <si>
    <t>Recycling and Reusing Hardscape and Landscape Waste Environmental Coefficients</t>
  </si>
  <si>
    <t>GHG</t>
  </si>
  <si>
    <t>no</t>
  </si>
  <si>
    <t>Sources:</t>
  </si>
  <si>
    <t>1. Koroneos, C. and Dompros, A. Environmental Assessment of Brick Production in Greece. March 17, 2006.</t>
  </si>
  <si>
    <t>Lumber (Pacific Northwest)</t>
  </si>
  <si>
    <t>Lumber (Southeast)</t>
  </si>
  <si>
    <t>kg/mbf</t>
  </si>
  <si>
    <t>PM Avoided (grams)</t>
  </si>
  <si>
    <t>yes</t>
  </si>
  <si>
    <t>CO2 Avoided</t>
  </si>
  <si>
    <t>Lumber (average)</t>
  </si>
  <si>
    <t>Energy Conserved (MJ)</t>
  </si>
  <si>
    <t>CO Avoided (grams)</t>
  </si>
  <si>
    <t>How many miles does new asphalt travel to reach your site?</t>
  </si>
  <si>
    <t>How many miles does new concrete travel to reach your site?</t>
  </si>
  <si>
    <t>How many miles does new brick travel to reach your site?</t>
  </si>
  <si>
    <t>How many miles does new lumber travel to reach your site?</t>
  </si>
  <si>
    <t>How many miles does new compost and mulch travel to reach your site?</t>
  </si>
  <si>
    <t>Carbon</t>
  </si>
  <si>
    <t>Green House Gas</t>
  </si>
  <si>
    <t>US EPA - Non-CO2 Gases and Carbon Sequestration - Conversion Units.  http://www.epa.gov/nonco2/units.html. Accessed October 30, 2007.</t>
  </si>
  <si>
    <t>Kilograms</t>
  </si>
  <si>
    <t>Pounds</t>
  </si>
  <si>
    <t>Concrete Mixer</t>
  </si>
  <si>
    <t>Asphalt Tanker</t>
  </si>
  <si>
    <t>Capacity</t>
  </si>
  <si>
    <t>tons</t>
  </si>
  <si>
    <t>Brick Tractor Trailer</t>
  </si>
  <si>
    <t>Lumber Tractor Trailer</t>
  </si>
  <si>
    <t>Dump Truck</t>
  </si>
  <si>
    <t>g/mi</t>
  </si>
  <si>
    <t>Transport of Raw Materials Included?</t>
  </si>
  <si>
    <t>Transport to Disposal Included?</t>
  </si>
  <si>
    <t>Alabama Brick can place 12,000 bricks in their tractor trailers.  This number was converted into tons.</t>
  </si>
  <si>
    <t>Capacity Source</t>
  </si>
  <si>
    <t>8. Concrete Mixing Truck.  Accessed November 7, 2007.  http://www.jgtec.com.cn/english/html-en/gongcheng/hntj.htm</t>
  </si>
  <si>
    <t>HDDV Class</t>
  </si>
  <si>
    <t>8b</t>
  </si>
  <si>
    <t>Class Source</t>
  </si>
  <si>
    <t>A 50 ft tractor trailer can fit two units of 20' 6x2 lumber.  Each unit is 3040 board feet.  The per unit board footage was multiplied by two and converted into tons.</t>
  </si>
  <si>
    <t>Cubic Meters</t>
  </si>
  <si>
    <t>mbf (1000 Board Feet)</t>
  </si>
  <si>
    <t>Milota, M.; West, C.; and Hartley, I. Gate-to-Gate Life-Cycle Inventory of Softwood Lumber Production. Wood and Fiber Science, December 2005, v. 37.</t>
  </si>
  <si>
    <t>cy</t>
  </si>
  <si>
    <t>8a</t>
  </si>
  <si>
    <t>VOC Avoided (grams)</t>
  </si>
  <si>
    <t>Concrete, Asphalt &amp; Brick</t>
  </si>
  <si>
    <t>http://www.buckscontainerservices.com/conversions.htm</t>
  </si>
  <si>
    <t>General</t>
  </si>
  <si>
    <t>Cubic Yards</t>
  </si>
  <si>
    <t>Roughly how many times will you need to order lumber in the next year?</t>
  </si>
  <si>
    <t xml:space="preserve">            In the next three years?</t>
  </si>
  <si>
    <t xml:space="preserve">            In the next six years?</t>
  </si>
  <si>
    <t xml:space="preserve">            In the next ten years?</t>
  </si>
  <si>
    <t>Roughly how many times will you need to order concrete in the next year?</t>
  </si>
  <si>
    <t>Roughly how many times will you need to order asphalt in the next year?</t>
  </si>
  <si>
    <t>Roughly how many times will you remove concrete in the next year?</t>
  </si>
  <si>
    <t>Roughly how many times will you remove asphalt in the next year?</t>
  </si>
  <si>
    <t>Roughly how many times will you remove brick in the next year?</t>
  </si>
  <si>
    <t>Roughly how many times will you remove lumber in the next year?</t>
  </si>
  <si>
    <t>kg C/mbf</t>
  </si>
  <si>
    <t>We use these coefficients to estimate impacts from transportation for delivery and disposal, and which are not included in the coefficients above.</t>
  </si>
  <si>
    <t>9. Tractor Trailor - 148,000 lbs. Denver: The Mile High City. http://www.denvergov.org/EquipmentList/SemiTractorTrailerOperator/SemiTractorTrailerOperator1/tabid/386845/Default.aspx. Accessed November 8, 2007.</t>
  </si>
  <si>
    <t>10. Dump Truck-On Road. U.S. Department of Homeland Security Federal Emergency Management Agency. http://www.nimsonline.com/resource_typing/Dump%20Truck-On%20Road.htm. Accessed November 8, 2007.</t>
  </si>
  <si>
    <t>5. Paul, Stephanie; Puspa-Dewi, Linda; Lueprasert, Kamolwan; and Madon, Heinko Dona. Asphalt Paving Operation. https://engineering.purdue.edu/CEM/People/Personal/Halpin/Sim/Examples/pave.htm. Accessed November 8, 2007.</t>
  </si>
  <si>
    <t>11. International 8300 Asphalt Tanker 1988. http://www.used-trucks-central.org/truckview.php?view=308. Accessed November 8, 2007.</t>
  </si>
  <si>
    <t>KWh</t>
  </si>
  <si>
    <t>MJ</t>
  </si>
  <si>
    <t>VOC Avoided  (grams)</t>
  </si>
  <si>
    <t>MJ/mbf</t>
  </si>
  <si>
    <t>Benefit from Avoided Production</t>
  </si>
  <si>
    <t>Benefit from Avoided Lumber Delivery</t>
  </si>
  <si>
    <t>Benefit from Avoided Brick Delivery</t>
  </si>
  <si>
    <t>Benefit from Avoided Concrete Delivery</t>
  </si>
  <si>
    <t>Benefit from Avoided Asphalt Delivery</t>
  </si>
  <si>
    <t>GHG Avoided (lbs. Of CO2 Equivalent)</t>
  </si>
  <si>
    <t>Transportation Impacts</t>
  </si>
  <si>
    <t>Notes</t>
  </si>
  <si>
    <t>2. Pavement Life-Cycle Assessment Tool for Environmental and Economic Effects (PaLATE). Consortium on Green Design and Manufacturing, University of California Berkeley.</t>
  </si>
  <si>
    <t>The source gives the capacity of a triple axle dump truck as 16-20 cy.  This range was averaged.  We assume that all disposal and off-site recycling of waste is transported by dump truck.</t>
  </si>
  <si>
    <t>The source says concrete mixers typically have a 8-12 cy capacity.  10 cy is the average of this range.  10 cubic yards was multiplied by two becasue 1 cy of concrete equals approximately 2 tons.</t>
  </si>
  <si>
    <t>Emissions were derived from EPA's MOBILE6 Vehicle Emissions Modeling Software.  The model was run for both class 8a and 8b to determine emissions in grams per mile.</t>
  </si>
  <si>
    <t>Material</t>
  </si>
  <si>
    <t>Transport to Distributor Included?</t>
  </si>
  <si>
    <t>Transport to Site (Delivery) Included?</t>
  </si>
  <si>
    <t>3; 12 for GHG</t>
  </si>
  <si>
    <t>6. Alabama Brick.  Personal Communication, November 7, 2007.</t>
  </si>
  <si>
    <t>7. Curtis Lumber.  Personal Communication, November 7, 2007.</t>
  </si>
  <si>
    <t>3. Puettman, Maureen &amp; Wilson, James. Life Cycle Analysis of Wood Products: Cradle-to-Gate LCI of Residential Wood Building Materials. Wood and Fiber Science, December 2005, V. 37. www.corrim.org/reports/2005/swst/18.pdf. Accessed September 25, 2007.</t>
  </si>
  <si>
    <t>4. Concrete in Practice: What, Why &amp; How?, CIP31 - Ordering Ready Mix Concrete. NRMCA. buildersconcrete.com/UserFiles/File/Ordering%20Ready%20Mix%20Concrete.pdf.  Accessed November 8, 2007.</t>
  </si>
  <si>
    <t>12. Milota, M.; West, C.; and Hartley, I. Gate-to-Gate Life-Cycle Inventory of Softwood Lumber Production. Wood and Fiber Science, December 2005, v. 37. www.corrim.org/reports/2005/swst/47.pdf. Accessed November 5, 2007.</t>
  </si>
  <si>
    <t>RCRA Hazardous Waste Avoided (grams)</t>
  </si>
  <si>
    <t>Environmental Benefit</t>
  </si>
  <si>
    <t>Waste Reused (lbs.)</t>
  </si>
  <si>
    <t>Waste Recycled (lbs.)</t>
  </si>
  <si>
    <t>Waste Landfilled (lbs.)</t>
  </si>
  <si>
    <t>Energy Use (MJ)</t>
  </si>
  <si>
    <t>Avoided Air Emissions</t>
  </si>
  <si>
    <t>gal./ton</t>
  </si>
  <si>
    <t>Water</t>
  </si>
  <si>
    <t>Gallons</t>
  </si>
  <si>
    <t>The Environmental Data tab presents data utilized on the environmental impacts associated with the production, use, disposal, and transportation of asphalt, concrete, bricks, and lumber.</t>
  </si>
  <si>
    <t xml:space="preserve">Haz Waste </t>
  </si>
  <si>
    <t>Water Use</t>
  </si>
  <si>
    <t>Total Env Benefit</t>
  </si>
  <si>
    <t>Lifecycle Environmental Impacts</t>
  </si>
  <si>
    <t>Transportation Impacts included in Lifecycle Environmental Impacts</t>
  </si>
  <si>
    <t>Roughly how many times will you need to order brick in the next year?</t>
  </si>
  <si>
    <t>Do you have access to a local green waste recycling facility?</t>
  </si>
  <si>
    <t>Do you have access to a local lumber recycling facility?</t>
  </si>
  <si>
    <t>Do you have access to a local brick recycling facility?</t>
  </si>
  <si>
    <t>Do you have access to a local concrete recycling facility?</t>
  </si>
  <si>
    <t>Do you have access to a local asphalt recycling facility?</t>
  </si>
  <si>
    <t>Recycle All Waste Where Facilities Exist</t>
  </si>
  <si>
    <t>How many miles is it to the nearest landfill?</t>
  </si>
  <si>
    <t>Total Recycled or Reused</t>
  </si>
  <si>
    <t>Recycling and Reusing Hardscape and Landscape Waste Environmental Benefits Graphs</t>
  </si>
  <si>
    <t>Benefit from Avoided Disposal Transportation</t>
  </si>
  <si>
    <t>Recycling and Reusing Hardscape and Landscape Waste Environmental Equivalents</t>
  </si>
  <si>
    <t>Annual Waste Avoided</t>
  </si>
  <si>
    <t>Statistic</t>
  </si>
  <si>
    <t>BTU</t>
  </si>
  <si>
    <t>The Quantified Benefits tab provides estimates of environmental impacts avoided by reusing and recycling waste instead of landfilling waste.  Although many benefits are quantified, including lifecycle benefits of avoided virgin material production, and avoided impacts from transportation, data are not available to develop a general estimate of some key benefits associated with recycling and reusing landscape waste, including reducing runoff and nonpoint source pollution and improving soil health.  To calculate your GHG emissions from alternative green waste management methods, see EPA's WARM model at: http://epa.gov/climatechange/wycd/waste/calculators/Warm_home.html</t>
  </si>
  <si>
    <t>Total Environmental Benefit</t>
  </si>
  <si>
    <t>This value is calculated by subtracting the total cost of producing a CY of mulch from the cost of purchasing a CY of mulch.  The total cost of producing a CY of mulch is equal the product of the time to chip a CY of yard waste and the sum of the hourly labor and maintenance costs.</t>
  </si>
  <si>
    <t xml:space="preserve"> </t>
  </si>
  <si>
    <t>Quantity Reused (lbs.) =</t>
  </si>
  <si>
    <t>Quantity Recycled (lbs.) =</t>
  </si>
  <si>
    <t>Quantity Landfilled (lbs.) =</t>
  </si>
  <si>
    <t>Energy Use (MJ) =</t>
  </si>
  <si>
    <t>GHG Avoided (lbs. Of CO2 Equivalent) =</t>
  </si>
  <si>
    <t>CO Avoided (grams) =</t>
  </si>
  <si>
    <t>VOC Avoided (grams) =</t>
  </si>
  <si>
    <t>PM Avoided (grams) =</t>
  </si>
  <si>
    <t>RCRA Hazardous Waste Avoided (grams) =</t>
  </si>
  <si>
    <t>Water Conserved (ga.) =</t>
  </si>
  <si>
    <t>1.  Wastes: What You Can Do - Basic Facts About Waste.  Environmental Protection Agency. http://www.epa.gov/epaoswer/osw/facts.htm</t>
  </si>
  <si>
    <t>4.  Vehicle Emissions - Transportation Air Quality Selected Facts and Figures.  EPA. January 2006. http://www.fhwa.dot.gov/environment/aqfactbk/page15.htm</t>
  </si>
  <si>
    <t>5.  EPA, Emissions Facts, http://www.epa.gov/otaq/consumer/f00013.htm</t>
  </si>
  <si>
    <t>7.  ICF Consulting, North American Trade and Transportation Corridors:  Environmental Impacts and Mitigation Strategies, Prepared for the North American Commission for Environmental Cooperation, February 2001.</t>
  </si>
  <si>
    <t>8. Clothes Washers. Energy Guide, http://www.energyguide.com/library/EnergyLibraryTopic.asp?bid=austin&amp;prd=10&amp;TID=17246&amp;SubjectID=8374</t>
  </si>
  <si>
    <t>the muncipal solid waste generated by</t>
  </si>
  <si>
    <t>the electricity used to power</t>
  </si>
  <si>
    <t>running an old coal plant for</t>
  </si>
  <si>
    <t>the water used by</t>
  </si>
  <si>
    <t>the CO emissions of driving</t>
  </si>
  <si>
    <t>the VOC emissions of driving</t>
  </si>
  <si>
    <t>the PM emissions of driving</t>
  </si>
  <si>
    <t xml:space="preserve">the amount of mercury contained in </t>
  </si>
  <si>
    <r>
      <t>fever thermometers</t>
    </r>
    <r>
      <rPr>
        <vertAlign val="superscript"/>
        <sz val="10"/>
        <rFont val="Arial"/>
        <family val="2"/>
      </rPr>
      <t>9</t>
    </r>
  </si>
  <si>
    <t>2.  Calculations and References.  US EPA.  http://www.epa.gov/solar/energy-resources/refs.html</t>
  </si>
  <si>
    <r>
      <t xml:space="preserve">passenger vehicles </t>
    </r>
    <r>
      <rPr>
        <vertAlign val="superscript"/>
        <sz val="10"/>
        <rFont val="Arial"/>
        <family val="2"/>
      </rPr>
      <t>2</t>
    </r>
  </si>
  <si>
    <t>3.  USA Quickfacts.  U.S. Census Bureau State and County Quickfacts.  http://quickfacts.census.gov/qfd/states/00000.html</t>
  </si>
  <si>
    <r>
      <t xml:space="preserve">U.S. households per day </t>
    </r>
    <r>
      <rPr>
        <vertAlign val="superscript"/>
        <sz val="10"/>
        <rFont val="Arial"/>
        <family val="2"/>
      </rPr>
      <t>1, 2, 3</t>
    </r>
  </si>
  <si>
    <r>
      <t>miles in the average car</t>
    </r>
    <r>
      <rPr>
        <vertAlign val="superscript"/>
        <sz val="10"/>
        <rFont val="Arial"/>
        <family val="2"/>
      </rPr>
      <t xml:space="preserve"> 4</t>
    </r>
  </si>
  <si>
    <r>
      <t xml:space="preserve">minutes </t>
    </r>
    <r>
      <rPr>
        <vertAlign val="superscript"/>
        <sz val="10"/>
        <rFont val="Arial"/>
        <family val="2"/>
      </rPr>
      <t>6</t>
    </r>
  </si>
  <si>
    <r>
      <t xml:space="preserve">miles in the average U.S. truck </t>
    </r>
    <r>
      <rPr>
        <vertAlign val="superscript"/>
        <sz val="10"/>
        <rFont val="Arial"/>
        <family val="2"/>
      </rPr>
      <t>7</t>
    </r>
  </si>
  <si>
    <r>
      <t xml:space="preserve">loads of laundry </t>
    </r>
    <r>
      <rPr>
        <vertAlign val="superscript"/>
        <sz val="10"/>
        <rFont val="Arial"/>
        <family val="2"/>
      </rPr>
      <t>8</t>
    </r>
  </si>
  <si>
    <t xml:space="preserve">the daily NOx emissions of </t>
  </si>
  <si>
    <t>the daily GHG emissions of</t>
  </si>
  <si>
    <r>
      <t xml:space="preserve">U.S. households per day </t>
    </r>
    <r>
      <rPr>
        <vertAlign val="superscript"/>
        <sz val="10"/>
        <rFont val="Arial"/>
        <family val="2"/>
      </rPr>
      <t>2</t>
    </r>
  </si>
  <si>
    <t>The charts below present the quantity of pollutants avoided on average, for each of the three alternative scenarios and contexual measures.</t>
  </si>
  <si>
    <r>
      <t xml:space="preserve">passenger vehicles </t>
    </r>
    <r>
      <rPr>
        <vertAlign val="superscript"/>
        <sz val="10"/>
        <rFont val="Arial"/>
        <family val="2"/>
      </rPr>
      <t>5</t>
    </r>
  </si>
  <si>
    <t>9.  Mercury Thermometer Fact Sheet. http://www.hendersoncountync.org/health/Documents/Mercury%20Thermometer%20fact%20sheet.pdf</t>
  </si>
  <si>
    <t>6. Lethal Legacy. U.S. PIRG Education Fund, 2003. http://uspirg.org/uspirg.asp?id2=11087</t>
  </si>
  <si>
    <t>Equals this many 2008 Dollars</t>
  </si>
  <si>
    <t>Customer service at Bear Cat provided estimates regarding how often each of these maintenance elements would be needed, as well as how much it would cost to replace all the blades and bearings.  This information was given on August 30, 2007.
The average price of gasoline, $2.75 per gallon, was taken from the Energy Information Administration's U.S. Retail Gas Prices.  Accessed May 23, 2008. &lt;http://www.eia.doe.gov/oil_gas/petroleum/data_publications/wrgp/mogas_home_page.html&gt;</t>
  </si>
  <si>
    <r>
      <t>SO</t>
    </r>
    <r>
      <rPr>
        <vertAlign val="subscript"/>
        <sz val="10"/>
        <rFont val="Arial"/>
        <family val="2"/>
      </rPr>
      <t>2</t>
    </r>
    <r>
      <rPr>
        <sz val="10"/>
        <rFont val="Arial"/>
        <family val="0"/>
      </rPr>
      <t xml:space="preserve"> Avoided (grams) =</t>
    </r>
  </si>
  <si>
    <r>
      <t>NO</t>
    </r>
    <r>
      <rPr>
        <vertAlign val="subscript"/>
        <sz val="10"/>
        <rFont val="Arial"/>
        <family val="2"/>
      </rPr>
      <t>x</t>
    </r>
    <r>
      <rPr>
        <sz val="10"/>
        <rFont val="Arial"/>
        <family val="0"/>
      </rPr>
      <t xml:space="preserve"> Avoided (grams) =</t>
    </r>
  </si>
  <si>
    <r>
      <t>NO</t>
    </r>
    <r>
      <rPr>
        <b/>
        <vertAlign val="subscript"/>
        <sz val="10"/>
        <color indexed="57"/>
        <rFont val="Arial"/>
        <family val="2"/>
      </rPr>
      <t>x</t>
    </r>
  </si>
  <si>
    <r>
      <t>SO</t>
    </r>
    <r>
      <rPr>
        <b/>
        <vertAlign val="subscript"/>
        <sz val="10"/>
        <color indexed="57"/>
        <rFont val="Arial"/>
        <family val="2"/>
      </rPr>
      <t>2</t>
    </r>
  </si>
  <si>
    <r>
      <t>SO</t>
    </r>
    <r>
      <rPr>
        <vertAlign val="subscript"/>
        <sz val="10"/>
        <rFont val="Arial"/>
        <family val="2"/>
      </rPr>
      <t>2</t>
    </r>
    <r>
      <rPr>
        <sz val="10"/>
        <rFont val="Arial"/>
        <family val="0"/>
      </rPr>
      <t xml:space="preserve"> Avoided (grams)</t>
    </r>
  </si>
  <si>
    <r>
      <t>CO</t>
    </r>
    <r>
      <rPr>
        <vertAlign val="subscript"/>
        <sz val="10"/>
        <rFont val="Arial"/>
        <family val="2"/>
      </rPr>
      <t>2</t>
    </r>
  </si>
  <si>
    <r>
      <t>NO</t>
    </r>
    <r>
      <rPr>
        <vertAlign val="subscript"/>
        <sz val="10"/>
        <rFont val="Arial"/>
        <family val="2"/>
      </rPr>
      <t>x</t>
    </r>
    <r>
      <rPr>
        <sz val="10"/>
        <rFont val="Arial"/>
        <family val="0"/>
      </rPr>
      <t xml:space="preserve"> Avoided (grams)</t>
    </r>
  </si>
  <si>
    <t>In which region are you located?</t>
  </si>
  <si>
    <t>Region</t>
  </si>
  <si>
    <t>Northeast</t>
  </si>
  <si>
    <t>Mid-Atlantic</t>
  </si>
  <si>
    <t>South</t>
  </si>
  <si>
    <t>Midwest</t>
  </si>
  <si>
    <t>South-Central</t>
  </si>
  <si>
    <t>West-Central</t>
  </si>
  <si>
    <t>West</t>
  </si>
  <si>
    <t>Disposal Fees</t>
  </si>
  <si>
    <t>Unit</t>
  </si>
  <si>
    <t>Source and Comment</t>
  </si>
  <si>
    <t>States</t>
  </si>
  <si>
    <r>
      <t xml:space="preserve">Repa, Edward, Ph.D (2005)  </t>
    </r>
    <r>
      <rPr>
        <i/>
        <sz val="10"/>
        <rFont val="Arial"/>
        <family val="2"/>
      </rPr>
      <t>NSWMA 2005 Tip Fee Survey</t>
    </r>
    <r>
      <rPr>
        <sz val="10"/>
        <rFont val="Arial"/>
        <family val="2"/>
      </rPr>
      <t>.  &lt;http://wastec.isproductions.net/webmodules/webarticles/articlefiles/478-Tipping%20Fee%20Bulletin%202005.pdf&gt;   
If you know your own disposal cost per ton, change the green cell to the left for your region.</t>
    </r>
  </si>
  <si>
    <t>CT, ME, MA, NH, NY, RI, VT</t>
  </si>
  <si>
    <t>DE, MD, NJ, PA, VA, WV</t>
  </si>
  <si>
    <t>AL, FL, GA, KY, MS, NC, SC, TN</t>
  </si>
  <si>
    <t>IN, IA, MI, MN, MO, OH, WI</t>
  </si>
  <si>
    <t>AZ, AR, LA, NM, OK, TX</t>
  </si>
  <si>
    <t>CO, KS, MT, NE, ND, SD, UT, WY</t>
  </si>
  <si>
    <t>CA, HI, ID, NV, OR, WA</t>
  </si>
  <si>
    <t>How many linear feet of lumber will be removed over the course of the next year?</t>
  </si>
  <si>
    <t xml:space="preserve">            Over the next three years?</t>
  </si>
  <si>
    <t xml:space="preserve">            Over the next six years?</t>
  </si>
  <si>
    <t xml:space="preserve">            Over the next ten years?</t>
  </si>
  <si>
    <t>How many linear feet of lumber will you need over the next year?</t>
  </si>
  <si>
    <t>How many bricks will you need over the next year?</t>
  </si>
  <si>
    <t>How many bricks will be removed over the next year?</t>
  </si>
  <si>
    <t>How many tons of concrete waste will be generated at your site over the next year?</t>
  </si>
  <si>
    <t>How many tons of crushed surfacing will you need over the next year?</t>
  </si>
  <si>
    <t>How many tons of asphalt waste will be generated at your site over the next year?</t>
  </si>
  <si>
    <t>Loss Rate</t>
  </si>
  <si>
    <t>Feet Usable for Reuse</t>
  </si>
  <si>
    <t>Recycling Coefficients</t>
  </si>
  <si>
    <t>13; 14 for GHG</t>
  </si>
  <si>
    <t>Metric Tons</t>
  </si>
  <si>
    <t>kg/ton</t>
  </si>
  <si>
    <t>Ounces</t>
  </si>
  <si>
    <t>Grams</t>
  </si>
  <si>
    <t>MTCE</t>
  </si>
  <si>
    <r>
      <t>MTCO</t>
    </r>
    <r>
      <rPr>
        <vertAlign val="subscript"/>
        <sz val="10"/>
        <rFont val="Arial"/>
        <family val="2"/>
      </rPr>
      <t>2</t>
    </r>
    <r>
      <rPr>
        <sz val="10"/>
        <rFont val="Arial"/>
        <family val="0"/>
      </rPr>
      <t>E</t>
    </r>
  </si>
  <si>
    <t>Difference in Recycling and Landfilling Transportation</t>
  </si>
  <si>
    <t>This value is calculated by subtracting the total cost of producing a CY of mulch from the cost of purchasing a CY of mulch.  The total cost of producing a CY of mulch is equal the product of the time to chip a CY of yard waste and the sum of the hourly l</t>
  </si>
  <si>
    <t>Recycling and Reusing Hardscape and Landscape Waste Default Cost Data</t>
  </si>
  <si>
    <t>Reference this sheet if you want to re-enter default values into the Cost Data Page</t>
  </si>
  <si>
    <t>13. Cochran, K.M. Construction and Demolition Debris Recycling: Methods, Markets, and Policty. University of Florida, 2006.</t>
  </si>
  <si>
    <t>14. WARM Model. Environmental Protection Agency.  Appendix B: Carbon Dioxide Equivalent Emission Factors</t>
  </si>
  <si>
    <t>13; 14 for GHG and energy</t>
  </si>
  <si>
    <t>Macros need to be enabled for the calculator to work properly.  Each time you run the calculator, you should save the file under a different file name to maintain a complete record.  The file name will appear at the top of each printed page.</t>
  </si>
  <si>
    <t>Bricks Usable for Reuse</t>
  </si>
  <si>
    <t>Fuel</t>
  </si>
  <si>
    <t>In the Cost Data tab, EPA provides national averages of costs associated with recycling and disposing landscape waste.  Cost data collected from sources dated before 2006 are adjusted for inflation.  If you prefer, you can substitute your own cost data into the green cells.  EPA encourages users to change the fuel cost data in cell B26 of the Cost Data tab.</t>
  </si>
  <si>
    <t>Customer service at Bear Cat provided estimates regarding how often each of these maintenance elements would be needed, as well as how much it would cost to replace all the blades and bearings.  This information was given on August 30, 2007.
The average price of fuel, $4.11 per gallon, was taken from the Energy Information Administration's U.S. Retail Gas Prices.  Accessed July 18, 2008. &lt;http://www.eia.doe.gov/oil_gas/petroleum/data_publications/wrgp/mogas_home_page.html&gt;.  To update the calculator for changing fuel prices, go to the that website, find the current price of fuel, multiply that value by 6.6, and enter the result into cell B26.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</si>
</sst>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quot;$&quot;#,##0"/>
    <numFmt numFmtId="171" formatCode="0.0"/>
    <numFmt numFmtId="172" formatCode="0.00000"/>
    <numFmt numFmtId="173" formatCode="0.000"/>
    <numFmt numFmtId="174" formatCode="0.0000"/>
    <numFmt numFmtId="175" formatCode="&quot;$&quot;#,##0.000"/>
    <numFmt numFmtId="176" formatCode="&quot;$&quot;#,##0.0000000"/>
    <numFmt numFmtId="177" formatCode="0.E+00"/>
    <numFmt numFmtId="178" formatCode="#,##0.0"/>
    <numFmt numFmtId="179" formatCode="&quot;$&quot;#,##0.0000"/>
  </numFmts>
  <fonts count="34">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b/>
      <sz val="10"/>
      <color indexed="17"/>
      <name val="Arial"/>
      <family val="2"/>
    </font>
    <font>
      <b/>
      <sz val="10"/>
      <color indexed="51"/>
      <name val="Arial"/>
      <family val="2"/>
    </font>
    <font>
      <sz val="10"/>
      <color indexed="17"/>
      <name val="Arial"/>
      <family val="2"/>
    </font>
    <font>
      <sz val="10"/>
      <color indexed="51"/>
      <name val="Arial"/>
      <family val="2"/>
    </font>
    <font>
      <i/>
      <sz val="10"/>
      <color indexed="51"/>
      <name val="Arial"/>
      <family val="2"/>
    </font>
    <font>
      <b/>
      <sz val="10"/>
      <color indexed="57"/>
      <name val="Arial"/>
      <family val="2"/>
    </font>
    <font>
      <u val="single"/>
      <sz val="10"/>
      <name val="Arial"/>
      <family val="2"/>
    </font>
    <font>
      <sz val="8"/>
      <name val="Tahoma"/>
      <family val="2"/>
    </font>
    <font>
      <sz val="10"/>
      <color indexed="8"/>
      <name val="Arial"/>
      <family val="2"/>
    </font>
    <font>
      <sz val="10"/>
      <color indexed="10"/>
      <name val="Arial"/>
      <family val="2"/>
    </font>
    <font>
      <sz val="11"/>
      <name val="Arial"/>
      <family val="2"/>
    </font>
    <font>
      <sz val="17.25"/>
      <name val="Arial"/>
      <family val="0"/>
    </font>
    <font>
      <sz val="18.25"/>
      <name val="Arial"/>
      <family val="0"/>
    </font>
    <font>
      <sz val="10.5"/>
      <name val="Arial"/>
      <family val="2"/>
    </font>
    <font>
      <sz val="15.75"/>
      <name val="Arial"/>
      <family val="0"/>
    </font>
    <font>
      <b/>
      <sz val="12"/>
      <name val="Arial"/>
      <family val="2"/>
    </font>
    <font>
      <i/>
      <sz val="10"/>
      <color indexed="8"/>
      <name val="Arial"/>
      <family val="2"/>
    </font>
    <font>
      <sz val="10"/>
      <name val="Tahoma"/>
      <family val="2"/>
    </font>
    <font>
      <b/>
      <sz val="8"/>
      <name val="Tahoma"/>
      <family val="0"/>
    </font>
    <font>
      <b/>
      <sz val="8"/>
      <name val="Arial"/>
      <family val="2"/>
    </font>
    <font>
      <b/>
      <sz val="9.5"/>
      <name val="Arial"/>
      <family val="2"/>
    </font>
    <font>
      <sz val="12"/>
      <name val="Arial"/>
      <family val="0"/>
    </font>
    <font>
      <sz val="8"/>
      <name val="Arial"/>
      <family val="2"/>
    </font>
    <font>
      <b/>
      <sz val="9"/>
      <name val="Arial"/>
      <family val="2"/>
    </font>
    <font>
      <sz val="11.75"/>
      <name val="Arial"/>
      <family val="0"/>
    </font>
    <font>
      <vertAlign val="superscript"/>
      <sz val="10"/>
      <name val="Arial"/>
      <family val="2"/>
    </font>
    <font>
      <vertAlign val="subscript"/>
      <sz val="10"/>
      <name val="Arial"/>
      <family val="2"/>
    </font>
    <font>
      <b/>
      <vertAlign val="subscript"/>
      <sz val="10"/>
      <color indexed="57"/>
      <name val="Arial"/>
      <family val="2"/>
    </font>
  </fonts>
  <fills count="8">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22"/>
        <bgColor indexed="64"/>
      </patternFill>
    </fill>
  </fills>
  <borders count="50">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style="thin"/>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color indexed="8"/>
      </left>
      <right style="thin"/>
      <top>
        <color indexed="63"/>
      </top>
      <bottom style="thin"/>
    </border>
    <border>
      <left style="medium"/>
      <right style="thin"/>
      <top style="thin">
        <color indexed="8"/>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63"/>
      </left>
      <right style="medium"/>
      <top style="thin"/>
      <bottom style="thin"/>
    </border>
    <border>
      <left style="thin">
        <color indexed="8"/>
      </left>
      <right style="thin"/>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7">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left"/>
      <protection/>
    </xf>
    <xf numFmtId="164" fontId="0" fillId="2" borderId="1" xfId="0" applyNumberFormat="1" applyFill="1" applyBorder="1" applyAlignment="1" applyProtection="1">
      <alignment horizontal="right"/>
      <protection locked="0"/>
    </xf>
    <xf numFmtId="0" fontId="3"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0" fillId="0" borderId="0" xfId="0" applyNumberFormat="1" applyBorder="1" applyAlignment="1" applyProtection="1">
      <alignment horizontal="right"/>
      <protection/>
    </xf>
    <xf numFmtId="0" fontId="0" fillId="0" borderId="0" xfId="0" applyAlignment="1" applyProtection="1">
      <alignment wrapText="1"/>
      <protection/>
    </xf>
    <xf numFmtId="0" fontId="0" fillId="0" borderId="0" xfId="0" applyAlignment="1" applyProtection="1">
      <alignment horizontal="right"/>
      <protection/>
    </xf>
    <xf numFmtId="164" fontId="0" fillId="0" borderId="0" xfId="0" applyNumberFormat="1" applyAlignment="1" applyProtection="1">
      <alignment/>
      <protection/>
    </xf>
    <xf numFmtId="16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0" fontId="8" fillId="3" borderId="0" xfId="0" applyFont="1" applyFill="1" applyAlignment="1" applyProtection="1">
      <alignment horizontal="left"/>
      <protection/>
    </xf>
    <xf numFmtId="0" fontId="0" fillId="4" borderId="1" xfId="0" applyFill="1" applyBorder="1" applyAlignment="1" applyProtection="1">
      <alignment horizontal="center"/>
      <protection/>
    </xf>
    <xf numFmtId="0" fontId="0" fillId="2" borderId="2" xfId="0" applyFill="1" applyBorder="1" applyAlignment="1">
      <alignment horizontal="left" indent="1"/>
    </xf>
    <xf numFmtId="0" fontId="0" fillId="2" borderId="3" xfId="0" applyFill="1" applyBorder="1" applyAlignment="1">
      <alignment horizontal="left" indent="1"/>
    </xf>
    <xf numFmtId="0" fontId="0" fillId="2" borderId="0" xfId="0" applyFill="1" applyBorder="1" applyAlignment="1">
      <alignment horizontal="left" indent="1"/>
    </xf>
    <xf numFmtId="0" fontId="0" fillId="4" borderId="1" xfId="0" applyFill="1" applyBorder="1" applyAlignment="1" applyProtection="1">
      <alignment wrapText="1"/>
      <protection/>
    </xf>
    <xf numFmtId="0" fontId="0" fillId="2" borderId="4" xfId="0" applyFill="1" applyBorder="1" applyAlignment="1">
      <alignment horizontal="left" indent="1"/>
    </xf>
    <xf numFmtId="0" fontId="3" fillId="2" borderId="3" xfId="0" applyFont="1" applyFill="1" applyBorder="1" applyAlignment="1">
      <alignment horizontal="left" wrapText="1" indent="1"/>
    </xf>
    <xf numFmtId="0" fontId="0" fillId="2" borderId="0" xfId="0" applyFill="1" applyBorder="1" applyAlignment="1">
      <alignment horizontal="left" wrapText="1" indent="1"/>
    </xf>
    <xf numFmtId="0" fontId="0" fillId="2" borderId="4" xfId="0" applyFill="1" applyBorder="1" applyAlignment="1">
      <alignment horizontal="left" wrapText="1" indent="1"/>
    </xf>
    <xf numFmtId="0" fontId="5" fillId="2" borderId="3" xfId="0" applyFont="1" applyFill="1" applyBorder="1" applyAlignment="1">
      <alignment horizontal="left" wrapText="1" indent="1"/>
    </xf>
    <xf numFmtId="0" fontId="0" fillId="4" borderId="5" xfId="0" applyFill="1" applyBorder="1" applyAlignment="1" applyProtection="1">
      <alignment horizontal="right"/>
      <protection/>
    </xf>
    <xf numFmtId="0" fontId="0" fillId="4" borderId="1" xfId="0" applyFill="1" applyBorder="1" applyAlignment="1" applyProtection="1">
      <alignment horizontal="right"/>
      <protection/>
    </xf>
    <xf numFmtId="0" fontId="0" fillId="4" borderId="1" xfId="0" applyFill="1" applyBorder="1" applyAlignment="1" applyProtection="1">
      <alignment horizontal="right" wrapText="1"/>
      <protection/>
    </xf>
    <xf numFmtId="0" fontId="0" fillId="4" borderId="1" xfId="0" applyFont="1" applyFill="1" applyBorder="1" applyAlignment="1" applyProtection="1">
      <alignment wrapText="1"/>
      <protection/>
    </xf>
    <xf numFmtId="0" fontId="11" fillId="3" borderId="6" xfId="0" applyFont="1" applyFill="1" applyBorder="1" applyAlignment="1" applyProtection="1">
      <alignment horizontal="left"/>
      <protection/>
    </xf>
    <xf numFmtId="16" fontId="11" fillId="3" borderId="0" xfId="0" applyNumberFormat="1" applyFont="1" applyFill="1" applyAlignment="1" applyProtection="1">
      <alignment horizontal="left"/>
      <protection/>
    </xf>
    <xf numFmtId="2" fontId="11" fillId="3" borderId="0" xfId="0" applyNumberFormat="1" applyFont="1" applyFill="1" applyAlignment="1" applyProtection="1">
      <alignment horizontal="left" wrapText="1"/>
      <protection/>
    </xf>
    <xf numFmtId="0" fontId="11" fillId="3" borderId="0" xfId="0" applyFont="1" applyFill="1" applyAlignment="1" applyProtection="1">
      <alignment horizontal="left" wrapText="1"/>
      <protection/>
    </xf>
    <xf numFmtId="0" fontId="11" fillId="3" borderId="0" xfId="0" applyFont="1" applyFill="1" applyAlignment="1" applyProtection="1">
      <alignment/>
      <protection/>
    </xf>
    <xf numFmtId="0" fontId="11" fillId="3" borderId="0" xfId="0" applyFont="1" applyFill="1" applyBorder="1" applyAlignment="1" applyProtection="1">
      <alignment horizontal="left"/>
      <protection/>
    </xf>
    <xf numFmtId="0" fontId="0" fillId="4" borderId="5" xfId="0" applyFill="1" applyBorder="1" applyAlignment="1" applyProtection="1">
      <alignment horizontal="left"/>
      <protection/>
    </xf>
    <xf numFmtId="170" fontId="0" fillId="4" borderId="7" xfId="0" applyNumberFormat="1" applyFill="1" applyBorder="1" applyAlignment="1" applyProtection="1">
      <alignment horizontal="right"/>
      <protection/>
    </xf>
    <xf numFmtId="170" fontId="0" fillId="4" borderId="8" xfId="0" applyNumberFormat="1" applyFill="1" applyBorder="1" applyAlignment="1" applyProtection="1">
      <alignment horizontal="right"/>
      <protection/>
    </xf>
    <xf numFmtId="0" fontId="3" fillId="4" borderId="5" xfId="0" applyFont="1" applyFill="1" applyBorder="1" applyAlignment="1" applyProtection="1">
      <alignment horizontal="left"/>
      <protection/>
    </xf>
    <xf numFmtId="170" fontId="3" fillId="4" borderId="7" xfId="0" applyNumberFormat="1" applyFont="1" applyFill="1" applyBorder="1" applyAlignment="1" applyProtection="1">
      <alignment horizontal="right"/>
      <protection/>
    </xf>
    <xf numFmtId="0" fontId="7" fillId="0" borderId="0" xfId="0" applyFont="1" applyBorder="1" applyAlignment="1" applyProtection="1">
      <alignment/>
      <protection/>
    </xf>
    <xf numFmtId="0" fontId="11" fillId="3" borderId="0" xfId="0" applyFont="1" applyFill="1" applyBorder="1" applyAlignment="1" applyProtection="1">
      <alignment horizontal="right"/>
      <protection/>
    </xf>
    <xf numFmtId="0" fontId="0" fillId="2" borderId="9" xfId="0" applyFill="1" applyBorder="1" applyAlignment="1">
      <alignment horizontal="left" indent="1"/>
    </xf>
    <xf numFmtId="0" fontId="0" fillId="2" borderId="3" xfId="0" applyFill="1" applyBorder="1" applyAlignment="1">
      <alignment horizontal="left" wrapText="1" indent="1"/>
    </xf>
    <xf numFmtId="0" fontId="9" fillId="0" borderId="0" xfId="0" applyFont="1" applyAlignment="1">
      <alignment/>
    </xf>
    <xf numFmtId="0" fontId="8" fillId="3" borderId="0" xfId="0" applyFont="1" applyFill="1" applyAlignment="1" applyProtection="1">
      <alignment/>
      <protection/>
    </xf>
    <xf numFmtId="0" fontId="0" fillId="5" borderId="8" xfId="0" applyFill="1" applyBorder="1" applyAlignment="1" applyProtection="1">
      <alignment horizontal="center" shrinkToFit="1"/>
      <protection locked="0"/>
    </xf>
    <xf numFmtId="0" fontId="0" fillId="5" borderId="8" xfId="0" applyFont="1" applyFill="1" applyBorder="1" applyAlignment="1" applyProtection="1">
      <alignment horizontal="center" shrinkToFit="1"/>
      <protection locked="0"/>
    </xf>
    <xf numFmtId="0" fontId="0" fillId="4" borderId="5" xfId="0" applyFont="1" applyFill="1" applyBorder="1" applyAlignment="1" applyProtection="1">
      <alignment horizontal="left"/>
      <protection/>
    </xf>
    <xf numFmtId="0" fontId="0" fillId="4" borderId="5" xfId="0" applyFill="1" applyBorder="1" applyAlignment="1" applyProtection="1">
      <alignment horizontal="right" wrapText="1"/>
      <protection/>
    </xf>
    <xf numFmtId="16" fontId="11" fillId="3" borderId="6" xfId="0" applyNumberFormat="1" applyFont="1" applyFill="1" applyBorder="1" applyAlignment="1" applyProtection="1">
      <alignment horizontal="left" wrapText="1"/>
      <protection/>
    </xf>
    <xf numFmtId="164" fontId="0" fillId="5" borderId="10" xfId="0" applyNumberFormat="1" applyFont="1" applyFill="1" applyBorder="1" applyAlignment="1" applyProtection="1">
      <alignment horizontal="center" shrinkToFit="1"/>
      <protection locked="0"/>
    </xf>
    <xf numFmtId="170" fontId="0" fillId="4" borderId="7" xfId="0" applyNumberFormat="1" applyFont="1" applyFill="1" applyBorder="1" applyAlignment="1" applyProtection="1">
      <alignment horizontal="right"/>
      <protection/>
    </xf>
    <xf numFmtId="170" fontId="0" fillId="4" borderId="8" xfId="0" applyNumberFormat="1" applyFont="1" applyFill="1" applyBorder="1" applyAlignment="1" applyProtection="1">
      <alignment horizontal="right"/>
      <protection/>
    </xf>
    <xf numFmtId="0" fontId="3" fillId="0" borderId="0" xfId="0" applyFont="1" applyFill="1" applyBorder="1" applyAlignment="1" applyProtection="1">
      <alignment horizontal="left"/>
      <protection/>
    </xf>
    <xf numFmtId="170" fontId="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164" fontId="0" fillId="0" borderId="0" xfId="0" applyNumberFormat="1" applyFill="1" applyBorder="1" applyAlignment="1" applyProtection="1">
      <alignment horizontal="right"/>
      <protection/>
    </xf>
    <xf numFmtId="0" fontId="11" fillId="4" borderId="7" xfId="0" applyFont="1" applyFill="1" applyBorder="1" applyAlignment="1" applyProtection="1">
      <alignment horizontal="right"/>
      <protection/>
    </xf>
    <xf numFmtId="0" fontId="11" fillId="4" borderId="8" xfId="0" applyFont="1" applyFill="1" applyBorder="1" applyAlignment="1" applyProtection="1">
      <alignment horizontal="right"/>
      <protection/>
    </xf>
    <xf numFmtId="164" fontId="0" fillId="5" borderId="8" xfId="0" applyNumberFormat="1" applyFill="1" applyBorder="1" applyAlignment="1" applyProtection="1">
      <alignment horizontal="center" shrinkToFit="1"/>
      <protection locked="0"/>
    </xf>
    <xf numFmtId="0" fontId="11" fillId="3" borderId="0" xfId="0" applyFont="1" applyFill="1" applyBorder="1" applyAlignment="1" applyProtection="1">
      <alignment horizontal="left" wrapText="1"/>
      <protection/>
    </xf>
    <xf numFmtId="1" fontId="0" fillId="5" borderId="8" xfId="0" applyNumberFormat="1" applyFill="1" applyBorder="1" applyAlignment="1" applyProtection="1">
      <alignment horizontal="center" shrinkToFit="1"/>
      <protection locked="0"/>
    </xf>
    <xf numFmtId="170" fontId="0" fillId="2" borderId="1" xfId="0" applyNumberFormat="1" applyFill="1" applyBorder="1" applyAlignment="1" applyProtection="1">
      <alignment horizontal="right"/>
      <protection locked="0"/>
    </xf>
    <xf numFmtId="0" fontId="3"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 xfId="0" applyBorder="1" applyAlignment="1">
      <alignment/>
    </xf>
    <xf numFmtId="0" fontId="15" fillId="0" borderId="0" xfId="0" applyFont="1" applyBorder="1" applyAlignment="1" applyProtection="1">
      <alignment/>
      <protection/>
    </xf>
    <xf numFmtId="164" fontId="15" fillId="0" borderId="0" xfId="0" applyNumberFormat="1" applyFont="1" applyBorder="1" applyAlignment="1" applyProtection="1">
      <alignment horizontal="right"/>
      <protection/>
    </xf>
    <xf numFmtId="164" fontId="15" fillId="0" borderId="0" xfId="0" applyNumberFormat="1" applyFont="1" applyBorder="1" applyAlignment="1" applyProtection="1">
      <alignment horizontal="right"/>
      <protection/>
    </xf>
    <xf numFmtId="0" fontId="0" fillId="0" borderId="12" xfId="0" applyFill="1" applyBorder="1" applyAlignment="1">
      <alignment/>
    </xf>
    <xf numFmtId="0" fontId="3" fillId="0" borderId="9" xfId="0" applyFont="1" applyBorder="1" applyAlignment="1">
      <alignment/>
    </xf>
    <xf numFmtId="164" fontId="0" fillId="0" borderId="0" xfId="0" applyNumberFormat="1" applyBorder="1" applyAlignment="1" applyProtection="1">
      <alignment/>
      <protection/>
    </xf>
    <xf numFmtId="164" fontId="6" fillId="0" borderId="0" xfId="0" applyNumberFormat="1" applyFont="1" applyFill="1" applyBorder="1" applyAlignment="1" applyProtection="1">
      <alignment horizontal="right"/>
      <protection/>
    </xf>
    <xf numFmtId="164" fontId="8" fillId="0" borderId="0" xfId="0" applyNumberFormat="1" applyFont="1" applyBorder="1" applyAlignment="1" applyProtection="1">
      <alignment horizontal="right"/>
      <protection/>
    </xf>
    <xf numFmtId="164" fontId="8" fillId="0" borderId="0" xfId="0" applyNumberFormat="1" applyFont="1" applyBorder="1" applyAlignment="1" applyProtection="1">
      <alignment/>
      <protection/>
    </xf>
    <xf numFmtId="164" fontId="0" fillId="2" borderId="1" xfId="0" applyNumberFormat="1" applyFont="1" applyFill="1" applyBorder="1" applyAlignment="1" applyProtection="1">
      <alignment horizontal="right"/>
      <protection locked="0"/>
    </xf>
    <xf numFmtId="172" fontId="0" fillId="2" borderId="1" xfId="0" applyNumberFormat="1" applyFont="1" applyFill="1" applyBorder="1" applyAlignment="1" applyProtection="1">
      <alignment wrapText="1"/>
      <protection locked="0"/>
    </xf>
    <xf numFmtId="171" fontId="0" fillId="2" borderId="1" xfId="0" applyNumberFormat="1" applyFont="1" applyFill="1" applyBorder="1" applyAlignment="1" applyProtection="1">
      <alignment wrapText="1"/>
      <protection locked="0"/>
    </xf>
    <xf numFmtId="173" fontId="0" fillId="2" borderId="1" xfId="0" applyNumberFormat="1" applyFont="1" applyFill="1" applyBorder="1" applyAlignment="1" applyProtection="1">
      <alignment wrapText="1"/>
      <protection locked="0"/>
    </xf>
    <xf numFmtId="0" fontId="0" fillId="0" borderId="0" xfId="0" applyAlignment="1" applyProtection="1">
      <alignment/>
      <protection/>
    </xf>
    <xf numFmtId="0" fontId="0" fillId="4" borderId="14" xfId="0" applyFill="1" applyBorder="1" applyAlignment="1" applyProtection="1">
      <alignment horizontal="left"/>
      <protection/>
    </xf>
    <xf numFmtId="0" fontId="0" fillId="2" borderId="0" xfId="0" applyFill="1" applyAlignment="1">
      <alignment horizontal="left" wrapText="1" indent="1"/>
    </xf>
    <xf numFmtId="174" fontId="0" fillId="2" borderId="1" xfId="0" applyNumberFormat="1" applyFont="1" applyFill="1" applyBorder="1" applyAlignment="1" applyProtection="1">
      <alignment wrapText="1"/>
      <protection locked="0"/>
    </xf>
    <xf numFmtId="1" fontId="0" fillId="5" borderId="8" xfId="0" applyNumberFormat="1" applyFont="1" applyFill="1" applyBorder="1" applyAlignment="1" applyProtection="1">
      <alignment horizontal="center" shrinkToFit="1"/>
      <protection locked="0"/>
    </xf>
    <xf numFmtId="164" fontId="0" fillId="5" borderId="8" xfId="0" applyNumberFormat="1" applyFont="1" applyFill="1" applyBorder="1" applyAlignment="1" applyProtection="1">
      <alignment horizontal="center" shrinkToFit="1"/>
      <protection locked="0"/>
    </xf>
    <xf numFmtId="0" fontId="0" fillId="4" borderId="7" xfId="0" applyFont="1" applyFill="1" applyBorder="1" applyAlignment="1" applyProtection="1">
      <alignment horizontal="right"/>
      <protection/>
    </xf>
    <xf numFmtId="0" fontId="0" fillId="4" borderId="8" xfId="0" applyFont="1" applyFill="1" applyBorder="1" applyAlignment="1" applyProtection="1">
      <alignment horizontal="right"/>
      <protection/>
    </xf>
    <xf numFmtId="0" fontId="3" fillId="0" borderId="11" xfId="0" applyFont="1" applyFill="1" applyBorder="1" applyAlignment="1">
      <alignment/>
    </xf>
    <xf numFmtId="170" fontId="0" fillId="4" borderId="7" xfId="0" applyNumberFormat="1" applyFill="1" applyBorder="1" applyAlignment="1" applyProtection="1">
      <alignment horizontal="right" shrinkToFit="1"/>
      <protection/>
    </xf>
    <xf numFmtId="170" fontId="0" fillId="4" borderId="8" xfId="0" applyNumberFormat="1" applyFill="1" applyBorder="1" applyAlignment="1" applyProtection="1">
      <alignment horizontal="right" shrinkToFit="1"/>
      <protection/>
    </xf>
    <xf numFmtId="170" fontId="3" fillId="4" borderId="7" xfId="0" applyNumberFormat="1" applyFont="1" applyFill="1" applyBorder="1" applyAlignment="1" applyProtection="1">
      <alignment horizontal="right" shrinkToFit="1"/>
      <protection/>
    </xf>
    <xf numFmtId="170" fontId="3" fillId="4" borderId="8" xfId="0" applyNumberFormat="1" applyFont="1" applyFill="1" applyBorder="1" applyAlignment="1" applyProtection="1">
      <alignment horizontal="right" shrinkToFit="1"/>
      <protection/>
    </xf>
    <xf numFmtId="170" fontId="0" fillId="4" borderId="7" xfId="0" applyNumberFormat="1" applyFont="1" applyFill="1" applyBorder="1" applyAlignment="1" applyProtection="1">
      <alignment horizontal="right" shrinkToFit="1"/>
      <protection/>
    </xf>
    <xf numFmtId="170" fontId="0" fillId="4" borderId="8" xfId="0" applyNumberFormat="1" applyFont="1" applyFill="1" applyBorder="1" applyAlignment="1" applyProtection="1">
      <alignment horizontal="right" shrinkToFit="1"/>
      <protection/>
    </xf>
    <xf numFmtId="170" fontId="3" fillId="4" borderId="8" xfId="0" applyNumberFormat="1" applyFont="1" applyFill="1" applyBorder="1" applyAlignment="1" applyProtection="1">
      <alignment horizontal="right"/>
      <protection/>
    </xf>
    <xf numFmtId="0" fontId="0" fillId="0" borderId="0" xfId="0" applyFill="1" applyBorder="1" applyAlignment="1" applyProtection="1">
      <alignment horizontal="right" wrapText="1"/>
      <protection/>
    </xf>
    <xf numFmtId="0" fontId="0" fillId="0" borderId="0" xfId="0" applyFill="1" applyBorder="1" applyAlignment="1" applyProtection="1">
      <alignment wrapText="1"/>
      <protection/>
    </xf>
    <xf numFmtId="9" fontId="0" fillId="5" borderId="8" xfId="0" applyNumberFormat="1" applyFill="1" applyBorder="1" applyAlignment="1" applyProtection="1">
      <alignment horizontal="center" shrinkToFit="1"/>
      <protection locked="0"/>
    </xf>
    <xf numFmtId="1" fontId="0" fillId="0" borderId="0" xfId="0" applyNumberFormat="1" applyBorder="1" applyAlignment="1" applyProtection="1">
      <alignment horizontal="right"/>
      <protection/>
    </xf>
    <xf numFmtId="0" fontId="3" fillId="0" borderId="12" xfId="0" applyFont="1" applyFill="1" applyBorder="1" applyAlignment="1">
      <alignment/>
    </xf>
    <xf numFmtId="0" fontId="11" fillId="3" borderId="6" xfId="0" applyFont="1" applyFill="1" applyBorder="1" applyAlignment="1" applyProtection="1">
      <alignment horizontal="left" wrapText="1"/>
      <protection/>
    </xf>
    <xf numFmtId="2" fontId="0" fillId="2" borderId="1" xfId="0" applyNumberFormat="1" applyFill="1" applyBorder="1" applyAlignment="1" applyProtection="1">
      <alignment horizontal="right"/>
      <protection locked="0"/>
    </xf>
    <xf numFmtId="1" fontId="0" fillId="2" borderId="1" xfId="0" applyNumberFormat="1" applyFill="1" applyBorder="1" applyAlignment="1" applyProtection="1">
      <alignment horizontal="right"/>
      <protection locked="0"/>
    </xf>
    <xf numFmtId="0" fontId="0" fillId="0" borderId="0" xfId="0" applyFont="1" applyBorder="1" applyAlignment="1" applyProtection="1">
      <alignment/>
      <protection/>
    </xf>
    <xf numFmtId="164" fontId="0" fillId="4" borderId="1" xfId="0" applyNumberFormat="1" applyFill="1" applyBorder="1" applyAlignment="1" applyProtection="1">
      <alignment horizontal="right"/>
      <protection/>
    </xf>
    <xf numFmtId="6" fontId="0" fillId="2" borderId="1" xfId="0" applyNumberFormat="1" applyFill="1" applyBorder="1" applyAlignment="1" applyProtection="1">
      <alignment horizontal="right" wrapText="1"/>
      <protection locked="0"/>
    </xf>
    <xf numFmtId="8" fontId="0" fillId="2" borderId="1" xfId="0" applyNumberFormat="1" applyFill="1" applyBorder="1" applyAlignment="1" applyProtection="1">
      <alignment wrapText="1"/>
      <protection locked="0"/>
    </xf>
    <xf numFmtId="164" fontId="0" fillId="2" borderId="1" xfId="0" applyNumberFormat="1" applyFill="1" applyBorder="1" applyAlignment="1" applyProtection="1">
      <alignment horizontal="right" wrapText="1"/>
      <protection locked="0"/>
    </xf>
    <xf numFmtId="0" fontId="0" fillId="2" borderId="1" xfId="0" applyFill="1" applyBorder="1" applyAlignment="1" applyProtection="1">
      <alignment horizontal="right" wrapText="1"/>
      <protection locked="0"/>
    </xf>
    <xf numFmtId="0" fontId="0" fillId="0" borderId="0" xfId="0" applyAlignment="1">
      <alignment wrapText="1"/>
    </xf>
    <xf numFmtId="0" fontId="0" fillId="4" borderId="15" xfId="0" applyFont="1" applyFill="1" applyBorder="1" applyAlignment="1" applyProtection="1">
      <alignment horizontal="left"/>
      <protection/>
    </xf>
    <xf numFmtId="0" fontId="0" fillId="4" borderId="16" xfId="0" applyFill="1" applyBorder="1" applyAlignment="1" applyProtection="1">
      <alignment horizontal="left"/>
      <protection/>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11" fontId="0" fillId="4" borderId="13" xfId="0" applyNumberFormat="1" applyFill="1" applyBorder="1" applyAlignment="1">
      <alignment/>
    </xf>
    <xf numFmtId="3" fontId="0" fillId="4" borderId="17" xfId="0" applyNumberFormat="1" applyFill="1" applyBorder="1" applyAlignment="1">
      <alignment wrapText="1"/>
    </xf>
    <xf numFmtId="3" fontId="0" fillId="4" borderId="18" xfId="0" applyNumberFormat="1" applyFill="1" applyBorder="1" applyAlignment="1">
      <alignment wrapText="1"/>
    </xf>
    <xf numFmtId="177" fontId="0" fillId="4" borderId="18" xfId="0" applyNumberFormat="1" applyFill="1" applyBorder="1" applyAlignment="1">
      <alignment wrapText="1"/>
    </xf>
    <xf numFmtId="11" fontId="0" fillId="4" borderId="1" xfId="0" applyNumberFormat="1" applyFill="1" applyBorder="1" applyAlignment="1">
      <alignment/>
    </xf>
    <xf numFmtId="3" fontId="0" fillId="4" borderId="19" xfId="0" applyNumberFormat="1" applyFill="1" applyBorder="1" applyAlignment="1">
      <alignment wrapText="1"/>
    </xf>
    <xf numFmtId="3" fontId="0" fillId="4" borderId="20" xfId="0" applyNumberFormat="1" applyFill="1" applyBorder="1" applyAlignment="1" applyProtection="1">
      <alignment horizontal="right" shrinkToFit="1"/>
      <protection/>
    </xf>
    <xf numFmtId="0" fontId="0" fillId="4" borderId="5" xfId="0" applyNumberFormat="1" applyFont="1" applyFill="1" applyBorder="1" applyAlignment="1" applyProtection="1">
      <alignment horizontal="right"/>
      <protection/>
    </xf>
    <xf numFmtId="1" fontId="0" fillId="4" borderId="18" xfId="0" applyNumberFormat="1" applyFill="1" applyBorder="1" applyAlignment="1">
      <alignment wrapText="1"/>
    </xf>
    <xf numFmtId="0" fontId="0" fillId="4" borderId="5" xfId="0" applyFont="1" applyFill="1" applyBorder="1" applyAlignment="1" applyProtection="1">
      <alignment horizontal="right"/>
      <protection/>
    </xf>
    <xf numFmtId="0" fontId="0" fillId="4" borderId="19" xfId="0" applyNumberFormat="1" applyFill="1" applyBorder="1" applyAlignment="1">
      <alignment wrapText="1"/>
    </xf>
    <xf numFmtId="0" fontId="0" fillId="4" borderId="18" xfId="0" applyNumberFormat="1" applyFill="1" applyBorder="1" applyAlignment="1">
      <alignment wrapText="1"/>
    </xf>
    <xf numFmtId="0" fontId="0" fillId="4" borderId="1" xfId="0" applyFont="1" applyFill="1" applyBorder="1" applyAlignment="1">
      <alignment horizontal="right"/>
    </xf>
    <xf numFmtId="0" fontId="0" fillId="4" borderId="1" xfId="0" applyFont="1" applyFill="1" applyBorder="1" applyAlignment="1">
      <alignment horizontal="center"/>
    </xf>
    <xf numFmtId="0" fontId="0" fillId="4" borderId="5" xfId="0" applyFont="1" applyFill="1" applyBorder="1" applyAlignment="1">
      <alignment horizontal="center"/>
    </xf>
    <xf numFmtId="0" fontId="0" fillId="4" borderId="1" xfId="0" applyNumberFormat="1" applyFont="1" applyFill="1" applyBorder="1" applyAlignment="1">
      <alignment horizontal="right"/>
    </xf>
    <xf numFmtId="3" fontId="0" fillId="4" borderId="18" xfId="0" applyNumberFormat="1" applyFont="1" applyFill="1" applyBorder="1" applyAlignment="1">
      <alignment wrapText="1"/>
    </xf>
    <xf numFmtId="3" fontId="0" fillId="4" borderId="7" xfId="0" applyNumberFormat="1" applyFill="1" applyBorder="1" applyAlignment="1" applyProtection="1">
      <alignment horizontal="right" shrinkToFit="1"/>
      <protection/>
    </xf>
    <xf numFmtId="0" fontId="0" fillId="4" borderId="13" xfId="0" applyNumberFormat="1" applyFill="1" applyBorder="1" applyAlignment="1">
      <alignment horizontal="right"/>
    </xf>
    <xf numFmtId="0" fontId="0" fillId="4" borderId="1" xfId="0" applyNumberFormat="1" applyFill="1" applyBorder="1" applyAlignment="1">
      <alignment horizontal="right"/>
    </xf>
    <xf numFmtId="0" fontId="0" fillId="4" borderId="6" xfId="0" applyFill="1" applyBorder="1" applyAlignment="1" applyProtection="1">
      <alignment horizontal="left"/>
      <protection/>
    </xf>
    <xf numFmtId="3" fontId="0" fillId="4" borderId="20" xfId="0" applyNumberFormat="1" applyFont="1" applyFill="1" applyBorder="1" applyAlignment="1" applyProtection="1">
      <alignment horizontal="right"/>
      <protection/>
    </xf>
    <xf numFmtId="3" fontId="0" fillId="4" borderId="6" xfId="0" applyNumberFormat="1" applyFont="1" applyFill="1" applyBorder="1" applyAlignment="1" applyProtection="1">
      <alignment horizontal="right"/>
      <protection/>
    </xf>
    <xf numFmtId="3" fontId="0" fillId="4" borderId="8" xfId="0" applyNumberFormat="1" applyFill="1" applyBorder="1" applyAlignment="1" applyProtection="1">
      <alignment horizontal="right" shrinkToFit="1"/>
      <protection/>
    </xf>
    <xf numFmtId="3" fontId="0" fillId="4" borderId="7" xfId="0" applyNumberFormat="1" applyFont="1" applyFill="1" applyBorder="1" applyAlignment="1" applyProtection="1">
      <alignment horizontal="right"/>
      <protection/>
    </xf>
    <xf numFmtId="3" fontId="0" fillId="4" borderId="2" xfId="0" applyNumberFormat="1" applyFont="1" applyFill="1" applyBorder="1" applyAlignment="1" applyProtection="1">
      <alignment horizontal="right"/>
      <protection/>
    </xf>
    <xf numFmtId="3" fontId="0" fillId="4" borderId="8" xfId="0" applyNumberFormat="1" applyFont="1" applyFill="1" applyBorder="1" applyAlignment="1" applyProtection="1">
      <alignment horizontal="right"/>
      <protection/>
    </xf>
    <xf numFmtId="3" fontId="0" fillId="4" borderId="21" xfId="0" applyNumberFormat="1" applyFont="1" applyFill="1" applyBorder="1" applyAlignment="1" applyProtection="1">
      <alignment horizontal="right"/>
      <protection/>
    </xf>
    <xf numFmtId="3" fontId="11" fillId="3" borderId="0" xfId="0" applyNumberFormat="1" applyFont="1" applyFill="1" applyBorder="1" applyAlignment="1" applyProtection="1">
      <alignment horizontal="right"/>
      <protection/>
    </xf>
    <xf numFmtId="3" fontId="0" fillId="4" borderId="22" xfId="0" applyNumberFormat="1" applyFill="1" applyBorder="1" applyAlignment="1" applyProtection="1">
      <alignment horizontal="right" shrinkToFit="1"/>
      <protection/>
    </xf>
    <xf numFmtId="3" fontId="11" fillId="3" borderId="4" xfId="0" applyNumberFormat="1" applyFont="1" applyFill="1" applyBorder="1" applyAlignment="1" applyProtection="1">
      <alignment horizontal="right"/>
      <protection/>
    </xf>
    <xf numFmtId="3" fontId="0" fillId="4" borderId="9" xfId="0" applyNumberFormat="1" applyFont="1" applyFill="1" applyBorder="1" applyAlignment="1" applyProtection="1">
      <alignment horizontal="right"/>
      <protection/>
    </xf>
    <xf numFmtId="3" fontId="0" fillId="4" borderId="10" xfId="0" applyNumberFormat="1" applyFont="1" applyFill="1" applyBorder="1" applyAlignment="1" applyProtection="1">
      <alignment horizontal="right"/>
      <protection/>
    </xf>
    <xf numFmtId="0" fontId="11" fillId="3" borderId="4" xfId="0" applyFont="1" applyFill="1" applyBorder="1" applyAlignment="1" applyProtection="1">
      <alignment horizontal="right"/>
      <protection/>
    </xf>
    <xf numFmtId="3" fontId="0" fillId="4" borderId="21" xfId="0" applyNumberFormat="1" applyFill="1" applyBorder="1" applyAlignment="1" applyProtection="1">
      <alignment horizontal="right" shrinkToFit="1"/>
      <protection/>
    </xf>
    <xf numFmtId="0" fontId="0" fillId="4" borderId="5" xfId="0" applyFill="1" applyBorder="1" applyAlignment="1" applyProtection="1">
      <alignment horizontal="left" wrapText="1"/>
      <protection/>
    </xf>
    <xf numFmtId="0" fontId="0" fillId="4" borderId="5" xfId="0" applyFont="1" applyFill="1" applyBorder="1" applyAlignment="1" applyProtection="1">
      <alignment/>
      <protection/>
    </xf>
    <xf numFmtId="0" fontId="0" fillId="0" borderId="0" xfId="0" applyFont="1" applyFill="1" applyBorder="1" applyAlignment="1" applyProtection="1">
      <alignment horizontal="left"/>
      <protection/>
    </xf>
    <xf numFmtId="3" fontId="0" fillId="0" borderId="0" xfId="0" applyNumberFormat="1" applyFill="1" applyBorder="1" applyAlignment="1">
      <alignment wrapText="1"/>
    </xf>
    <xf numFmtId="1" fontId="0" fillId="0" borderId="0" xfId="0" applyNumberFormat="1" applyFill="1" applyBorder="1" applyAlignment="1">
      <alignment wrapText="1"/>
    </xf>
    <xf numFmtId="177" fontId="0" fillId="0" borderId="0" xfId="0" applyNumberFormat="1" applyFill="1" applyBorder="1" applyAlignment="1">
      <alignment wrapText="1"/>
    </xf>
    <xf numFmtId="0" fontId="0" fillId="0" borderId="0" xfId="0" applyNumberFormat="1" applyFont="1" applyFill="1" applyBorder="1" applyAlignment="1" applyProtection="1">
      <alignment horizontal="right"/>
      <protection/>
    </xf>
    <xf numFmtId="0" fontId="11" fillId="3" borderId="1" xfId="0" applyFont="1" applyFill="1" applyBorder="1" applyAlignment="1" applyProtection="1">
      <alignment horizontal="left"/>
      <protection/>
    </xf>
    <xf numFmtId="0" fontId="0" fillId="0" borderId="0" xfId="0" applyBorder="1" applyAlignment="1">
      <alignment/>
    </xf>
    <xf numFmtId="3" fontId="0" fillId="4" borderId="1" xfId="0" applyNumberFormat="1" applyFill="1" applyBorder="1" applyAlignment="1">
      <alignment wrapText="1"/>
    </xf>
    <xf numFmtId="3" fontId="0" fillId="4" borderId="1" xfId="0" applyNumberFormat="1" applyFill="1" applyBorder="1" applyAlignment="1">
      <alignment horizontal="right" wrapText="1"/>
    </xf>
    <xf numFmtId="0" fontId="3" fillId="0" borderId="0" xfId="0" applyFont="1" applyAlignment="1">
      <alignment/>
    </xf>
    <xf numFmtId="0" fontId="0" fillId="4" borderId="15" xfId="0" applyFont="1" applyFill="1" applyBorder="1" applyAlignment="1" applyProtection="1">
      <alignment/>
      <protection/>
    </xf>
    <xf numFmtId="3" fontId="0" fillId="4" borderId="11" xfId="0" applyNumberFormat="1" applyFill="1" applyBorder="1" applyAlignment="1">
      <alignment wrapText="1"/>
    </xf>
    <xf numFmtId="0" fontId="0" fillId="4" borderId="15" xfId="0" applyFill="1" applyBorder="1" applyAlignment="1" applyProtection="1">
      <alignment horizontal="left"/>
      <protection/>
    </xf>
    <xf numFmtId="3" fontId="0" fillId="4" borderId="0" xfId="0" applyNumberFormat="1" applyFont="1" applyFill="1" applyBorder="1" applyAlignment="1" applyProtection="1">
      <alignment horizontal="right"/>
      <protection/>
    </xf>
    <xf numFmtId="0" fontId="0" fillId="4" borderId="23" xfId="0" applyFont="1" applyFill="1" applyBorder="1" applyAlignment="1" applyProtection="1">
      <alignment horizontal="left"/>
      <protection/>
    </xf>
    <xf numFmtId="3" fontId="0" fillId="4" borderId="24" xfId="0" applyNumberFormat="1" applyFont="1" applyFill="1" applyBorder="1" applyAlignment="1" applyProtection="1">
      <alignment horizontal="right"/>
      <protection/>
    </xf>
    <xf numFmtId="3" fontId="0" fillId="4" borderId="25" xfId="0" applyNumberFormat="1" applyFont="1" applyFill="1" applyBorder="1" applyAlignment="1" applyProtection="1">
      <alignment horizontal="right"/>
      <protection/>
    </xf>
    <xf numFmtId="3" fontId="0" fillId="4" borderId="2" xfId="0" applyNumberFormat="1" applyFill="1" applyBorder="1" applyAlignment="1" applyProtection="1">
      <alignment horizontal="right" shrinkToFit="1"/>
      <protection/>
    </xf>
    <xf numFmtId="3" fontId="0" fillId="4" borderId="9" xfId="0" applyNumberFormat="1" applyFill="1" applyBorder="1" applyAlignment="1" applyProtection="1">
      <alignment horizontal="right" shrinkToFit="1"/>
      <protection/>
    </xf>
    <xf numFmtId="0" fontId="0" fillId="4" borderId="23" xfId="0" applyFill="1" applyBorder="1" applyAlignment="1" applyProtection="1">
      <alignment horizontal="left"/>
      <protection/>
    </xf>
    <xf numFmtId="3" fontId="0" fillId="4" borderId="24" xfId="0" applyNumberFormat="1" applyFill="1" applyBorder="1" applyAlignment="1" applyProtection="1">
      <alignment horizontal="right" shrinkToFit="1"/>
      <protection/>
    </xf>
    <xf numFmtId="3" fontId="0" fillId="4" borderId="25" xfId="0" applyNumberFormat="1" applyFill="1" applyBorder="1" applyAlignment="1" applyProtection="1">
      <alignment horizontal="right" shrinkToFit="1"/>
      <protection/>
    </xf>
    <xf numFmtId="2" fontId="0" fillId="2" borderId="1" xfId="0" applyNumberFormat="1" applyFont="1" applyFill="1" applyBorder="1" applyAlignment="1" applyProtection="1">
      <alignment wrapText="1"/>
      <protection locked="0"/>
    </xf>
    <xf numFmtId="0" fontId="11" fillId="3" borderId="7" xfId="0" applyFont="1" applyFill="1" applyBorder="1" applyAlignment="1" applyProtection="1">
      <alignment horizontal="right"/>
      <protection/>
    </xf>
    <xf numFmtId="0" fontId="11" fillId="3" borderId="8" xfId="0" applyFont="1" applyFill="1" applyBorder="1" applyAlignment="1" applyProtection="1">
      <alignment horizontal="right"/>
      <protection/>
    </xf>
    <xf numFmtId="0" fontId="11" fillId="3" borderId="15" xfId="0" applyFont="1" applyFill="1" applyBorder="1" applyAlignment="1" applyProtection="1">
      <alignment horizontal="left" wrapText="1"/>
      <protection/>
    </xf>
    <xf numFmtId="0" fontId="11" fillId="3" borderId="2" xfId="0" applyFont="1" applyFill="1" applyBorder="1" applyAlignment="1" applyProtection="1">
      <alignment horizontal="right"/>
      <protection/>
    </xf>
    <xf numFmtId="0" fontId="11" fillId="3" borderId="9" xfId="0" applyFont="1" applyFill="1" applyBorder="1" applyAlignment="1" applyProtection="1">
      <alignment horizontal="right"/>
      <protection/>
    </xf>
    <xf numFmtId="3" fontId="0" fillId="4" borderId="19" xfId="0" applyNumberFormat="1" applyFont="1" applyFill="1" applyBorder="1" applyAlignment="1">
      <alignment horizontal="right" wrapText="1"/>
    </xf>
    <xf numFmtId="3" fontId="0" fillId="4" borderId="18" xfId="0" applyNumberFormat="1" applyFont="1" applyFill="1" applyBorder="1" applyAlignment="1">
      <alignment horizontal="right"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0" fillId="4" borderId="26" xfId="0" applyNumberFormat="1" applyFont="1" applyFill="1" applyBorder="1" applyAlignment="1">
      <alignment horizontal="right"/>
    </xf>
    <xf numFmtId="0" fontId="0" fillId="4" borderId="27" xfId="0" applyFont="1" applyFill="1" applyBorder="1" applyAlignment="1">
      <alignment horizontal="right"/>
    </xf>
    <xf numFmtId="0" fontId="0" fillId="4" borderId="28" xfId="0" applyNumberFormat="1" applyFill="1" applyBorder="1" applyAlignment="1">
      <alignment horizontal="right"/>
    </xf>
    <xf numFmtId="11" fontId="0" fillId="4" borderId="29" xfId="0" applyNumberFormat="1" applyFill="1" applyBorder="1" applyAlignment="1">
      <alignment horizontal="right"/>
    </xf>
    <xf numFmtId="0" fontId="0" fillId="4" borderId="26" xfId="0" applyNumberFormat="1" applyFill="1" applyBorder="1" applyAlignment="1">
      <alignment horizontal="right"/>
    </xf>
    <xf numFmtId="11" fontId="0" fillId="4" borderId="27" xfId="0" applyNumberFormat="1" applyFill="1" applyBorder="1" applyAlignment="1">
      <alignment horizontal="right"/>
    </xf>
    <xf numFmtId="0" fontId="0" fillId="4" borderId="30" xfId="0" applyNumberFormat="1" applyFont="1" applyFill="1" applyBorder="1" applyAlignment="1" applyProtection="1">
      <alignment horizontal="right"/>
      <protection/>
    </xf>
    <xf numFmtId="0" fontId="0" fillId="4" borderId="27" xfId="0" applyFont="1" applyFill="1" applyBorder="1" applyAlignment="1" applyProtection="1">
      <alignment horizontal="right"/>
      <protection/>
    </xf>
    <xf numFmtId="0" fontId="0" fillId="4" borderId="27" xfId="0" applyFont="1" applyFill="1" applyBorder="1" applyAlignment="1" applyProtection="1">
      <alignment horizontal="left"/>
      <protection/>
    </xf>
    <xf numFmtId="3" fontId="0" fillId="2" borderId="7" xfId="0" applyNumberFormat="1" applyFont="1" applyFill="1" applyBorder="1" applyAlignment="1" applyProtection="1">
      <alignment horizontal="right"/>
      <protection/>
    </xf>
    <xf numFmtId="3" fontId="0" fillId="2" borderId="8" xfId="0" applyNumberFormat="1" applyFont="1" applyFill="1" applyBorder="1" applyAlignment="1" applyProtection="1">
      <alignment horizontal="right"/>
      <protection/>
    </xf>
    <xf numFmtId="3" fontId="0" fillId="2" borderId="2" xfId="0" applyNumberFormat="1" applyFont="1" applyFill="1" applyBorder="1" applyAlignment="1" applyProtection="1">
      <alignment horizontal="right"/>
      <protection/>
    </xf>
    <xf numFmtId="3" fontId="0" fillId="2" borderId="9" xfId="0" applyNumberFormat="1" applyFont="1" applyFill="1" applyBorder="1" applyAlignment="1" applyProtection="1">
      <alignment horizontal="right"/>
      <protection/>
    </xf>
    <xf numFmtId="3" fontId="0" fillId="2" borderId="7" xfId="0" applyNumberFormat="1" applyFill="1" applyBorder="1" applyAlignment="1" applyProtection="1">
      <alignment horizontal="right"/>
      <protection/>
    </xf>
    <xf numFmtId="3" fontId="0" fillId="2" borderId="8" xfId="0" applyNumberFormat="1" applyFill="1" applyBorder="1" applyAlignment="1" applyProtection="1">
      <alignment horizontal="right"/>
      <protection/>
    </xf>
    <xf numFmtId="0" fontId="0" fillId="4" borderId="28" xfId="0" applyNumberFormat="1" applyFill="1" applyBorder="1" applyAlignment="1">
      <alignment/>
    </xf>
    <xf numFmtId="0" fontId="0" fillId="4" borderId="26" xfId="0" applyNumberFormat="1" applyFill="1" applyBorder="1" applyAlignment="1">
      <alignment/>
    </xf>
    <xf numFmtId="0" fontId="0" fillId="4" borderId="26" xfId="0" applyNumberFormat="1" applyFont="1" applyFill="1" applyBorder="1" applyAlignment="1" applyProtection="1">
      <alignment horizontal="right"/>
      <protection/>
    </xf>
    <xf numFmtId="0" fontId="11" fillId="3" borderId="5" xfId="0" applyFont="1" applyFill="1" applyBorder="1" applyAlignment="1" applyProtection="1">
      <alignment horizontal="left" wrapText="1"/>
      <protection/>
    </xf>
    <xf numFmtId="0" fontId="0" fillId="4" borderId="24" xfId="0" applyFill="1" applyBorder="1" applyAlignment="1">
      <alignment horizontal="right"/>
    </xf>
    <xf numFmtId="0" fontId="0" fillId="4" borderId="25" xfId="0" applyFill="1" applyBorder="1" applyAlignment="1">
      <alignment horizontal="right"/>
    </xf>
    <xf numFmtId="0" fontId="11" fillId="3" borderId="5" xfId="0" applyFont="1" applyFill="1" applyBorder="1" applyAlignment="1" applyProtection="1">
      <alignment horizontal="left"/>
      <protection/>
    </xf>
    <xf numFmtId="3" fontId="0" fillId="0" borderId="0" xfId="0" applyNumberFormat="1" applyFont="1" applyFill="1" applyBorder="1" applyAlignment="1" applyProtection="1">
      <alignment horizontal="right"/>
      <protection/>
    </xf>
    <xf numFmtId="3" fontId="0" fillId="4" borderId="7" xfId="0" applyNumberFormat="1" applyFill="1" applyBorder="1" applyAlignment="1" applyProtection="1">
      <alignment/>
      <protection/>
    </xf>
    <xf numFmtId="3" fontId="0" fillId="4" borderId="8" xfId="0" applyNumberFormat="1" applyFill="1" applyBorder="1" applyAlignment="1" applyProtection="1">
      <alignment/>
      <protection/>
    </xf>
    <xf numFmtId="3" fontId="0" fillId="4" borderId="2" xfId="0" applyNumberFormat="1" applyFill="1" applyBorder="1" applyAlignment="1" applyProtection="1">
      <alignment/>
      <protection/>
    </xf>
    <xf numFmtId="3" fontId="0" fillId="4" borderId="9" xfId="0" applyNumberFormat="1" applyFill="1" applyBorder="1" applyAlignment="1" applyProtection="1">
      <alignment/>
      <protection/>
    </xf>
    <xf numFmtId="3" fontId="0" fillId="4" borderId="20" xfId="0" applyNumberFormat="1" applyFill="1" applyBorder="1" applyAlignment="1" applyProtection="1">
      <alignment/>
      <protection/>
    </xf>
    <xf numFmtId="0" fontId="0" fillId="4" borderId="31" xfId="0" applyFill="1" applyBorder="1" applyAlignment="1" applyProtection="1">
      <alignment/>
      <protection/>
    </xf>
    <xf numFmtId="3" fontId="0" fillId="4" borderId="22" xfId="0" applyNumberFormat="1"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4" borderId="25" xfId="0" applyFill="1" applyBorder="1" applyAlignment="1" applyProtection="1">
      <alignment/>
      <protection/>
    </xf>
    <xf numFmtId="0" fontId="0" fillId="4" borderId="16" xfId="0" applyFill="1" applyBorder="1" applyAlignment="1" applyProtection="1">
      <alignment horizontal="left" wrapText="1"/>
      <protection/>
    </xf>
    <xf numFmtId="3" fontId="0" fillId="4" borderId="6" xfId="0" applyNumberFormat="1" applyFill="1" applyBorder="1" applyAlignment="1" applyProtection="1">
      <alignment/>
      <protection/>
    </xf>
    <xf numFmtId="0" fontId="0" fillId="0" borderId="7" xfId="0" applyFill="1" applyBorder="1" applyAlignment="1" applyProtection="1">
      <alignment horizontal="left"/>
      <protection/>
    </xf>
    <xf numFmtId="0" fontId="0" fillId="0" borderId="2" xfId="0" applyFill="1" applyBorder="1" applyAlignment="1" applyProtection="1">
      <alignment horizontal="left"/>
      <protection/>
    </xf>
    <xf numFmtId="3" fontId="0" fillId="4" borderId="10" xfId="0" applyNumberFormat="1" applyFill="1" applyBorder="1" applyAlignment="1" applyProtection="1">
      <alignment/>
      <protection/>
    </xf>
    <xf numFmtId="3" fontId="0" fillId="4" borderId="21" xfId="0" applyNumberFormat="1" applyFill="1" applyBorder="1" applyAlignment="1" applyProtection="1">
      <alignment/>
      <protection/>
    </xf>
    <xf numFmtId="3" fontId="0" fillId="2" borderId="7" xfId="0" applyNumberFormat="1" applyFill="1" applyBorder="1" applyAlignment="1" applyProtection="1">
      <alignment/>
      <protection/>
    </xf>
    <xf numFmtId="3" fontId="0" fillId="2" borderId="8" xfId="0" applyNumberFormat="1" applyFill="1" applyBorder="1" applyAlignment="1" applyProtection="1">
      <alignment/>
      <protection/>
    </xf>
    <xf numFmtId="3" fontId="0" fillId="2" borderId="2" xfId="0" applyNumberFormat="1" applyFill="1" applyBorder="1" applyAlignment="1" applyProtection="1">
      <alignment/>
      <protection/>
    </xf>
    <xf numFmtId="3" fontId="0" fillId="2" borderId="9" xfId="0" applyNumberFormat="1" applyFill="1" applyBorder="1" applyAlignment="1" applyProtection="1">
      <alignment/>
      <protection/>
    </xf>
    <xf numFmtId="0" fontId="0" fillId="4" borderId="31" xfId="0" applyFill="1" applyBorder="1" applyAlignment="1" applyProtection="1">
      <alignment horizontal="left"/>
      <protection/>
    </xf>
    <xf numFmtId="3" fontId="0" fillId="4" borderId="25" xfId="0" applyNumberFormat="1" applyFill="1" applyBorder="1" applyAlignment="1" applyProtection="1">
      <alignment/>
      <protection/>
    </xf>
    <xf numFmtId="0" fontId="11" fillId="3" borderId="10" xfId="0" applyFont="1" applyFill="1" applyBorder="1" applyAlignment="1" applyProtection="1">
      <alignment horizontal="center"/>
      <protection/>
    </xf>
    <xf numFmtId="3" fontId="0" fillId="5" borderId="10" xfId="0" applyNumberFormat="1" applyFont="1" applyFill="1" applyBorder="1" applyAlignment="1" applyProtection="1">
      <alignment horizontal="center" shrinkToFit="1"/>
      <protection locked="0"/>
    </xf>
    <xf numFmtId="0" fontId="0" fillId="4" borderId="32" xfId="0" applyFill="1" applyBorder="1" applyAlignment="1" applyProtection="1">
      <alignment horizontal="left"/>
      <protection/>
    </xf>
    <xf numFmtId="3" fontId="0" fillId="2" borderId="33" xfId="0" applyNumberFormat="1" applyFill="1" applyBorder="1" applyAlignment="1" applyProtection="1">
      <alignment/>
      <protection/>
    </xf>
    <xf numFmtId="3" fontId="0" fillId="2" borderId="34" xfId="0" applyNumberFormat="1" applyFill="1" applyBorder="1" applyAlignment="1" applyProtection="1">
      <alignment/>
      <protection/>
    </xf>
    <xf numFmtId="3" fontId="8" fillId="0"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11" fillId="0" borderId="0" xfId="0" applyFont="1" applyFill="1" applyBorder="1" applyAlignment="1" applyProtection="1">
      <alignment horizontal="right"/>
      <protection/>
    </xf>
    <xf numFmtId="3" fontId="11" fillId="0" borderId="0" xfId="0" applyNumberFormat="1" applyFont="1" applyFill="1" applyBorder="1" applyAlignment="1" applyProtection="1">
      <alignment horizontal="right"/>
      <protection/>
    </xf>
    <xf numFmtId="3" fontId="0" fillId="0" borderId="0" xfId="0" applyNumberFormat="1" applyFill="1" applyBorder="1" applyAlignment="1" applyProtection="1">
      <alignment horizontal="right" shrinkToFit="1"/>
      <protection/>
    </xf>
    <xf numFmtId="3" fontId="0" fillId="0" borderId="0" xfId="0" applyNumberFormat="1" applyFill="1" applyBorder="1" applyAlignment="1" applyProtection="1">
      <alignment horizontal="right"/>
      <protection/>
    </xf>
    <xf numFmtId="0" fontId="0" fillId="0" borderId="0" xfId="0" applyFill="1" applyBorder="1" applyAlignment="1" applyProtection="1">
      <alignment horizontal="right"/>
      <protection/>
    </xf>
    <xf numFmtId="0" fontId="3" fillId="0" borderId="0" xfId="0" applyFont="1" applyBorder="1" applyAlignment="1" applyProtection="1">
      <alignment wrapText="1"/>
      <protection/>
    </xf>
    <xf numFmtId="0" fontId="0" fillId="0" borderId="0" xfId="0" applyFont="1" applyAlignment="1">
      <alignment wrapText="1"/>
    </xf>
    <xf numFmtId="0" fontId="11" fillId="3" borderId="15" xfId="0" applyFont="1" applyFill="1" applyBorder="1" applyAlignment="1" applyProtection="1">
      <alignment horizontal="left"/>
      <protection/>
    </xf>
    <xf numFmtId="3" fontId="0" fillId="4" borderId="24" xfId="0" applyNumberFormat="1" applyFill="1" applyBorder="1" applyAlignment="1" applyProtection="1">
      <alignment/>
      <protection/>
    </xf>
    <xf numFmtId="3" fontId="0" fillId="4" borderId="33" xfId="0" applyNumberFormat="1" applyFill="1" applyBorder="1" applyAlignment="1" applyProtection="1">
      <alignment/>
      <protection/>
    </xf>
    <xf numFmtId="4" fontId="0" fillId="4" borderId="6" xfId="0" applyNumberFormat="1" applyFill="1" applyBorder="1" applyAlignment="1" applyProtection="1">
      <alignment/>
      <protection/>
    </xf>
    <xf numFmtId="0" fontId="0" fillId="4" borderId="14" xfId="0" applyFill="1" applyBorder="1" applyAlignment="1" applyProtection="1">
      <alignment horizontal="left" wrapText="1"/>
      <protection/>
    </xf>
    <xf numFmtId="178" fontId="0" fillId="4" borderId="6" xfId="0" applyNumberFormat="1" applyFill="1" applyBorder="1" applyAlignment="1" applyProtection="1">
      <alignment/>
      <protection/>
    </xf>
    <xf numFmtId="0" fontId="3" fillId="0" borderId="0" xfId="0" applyFont="1" applyAlignment="1">
      <alignment/>
    </xf>
    <xf numFmtId="0" fontId="11" fillId="3" borderId="2" xfId="0" applyFont="1" applyFill="1" applyBorder="1" applyAlignment="1" applyProtection="1">
      <alignment horizontal="center"/>
      <protection/>
    </xf>
    <xf numFmtId="4" fontId="0" fillId="4" borderId="7" xfId="0" applyNumberFormat="1" applyFill="1" applyBorder="1" applyAlignment="1" applyProtection="1">
      <alignment/>
      <protection/>
    </xf>
    <xf numFmtId="4" fontId="0" fillId="4" borderId="2" xfId="0" applyNumberFormat="1" applyFill="1" applyBorder="1" applyAlignment="1" applyProtection="1">
      <alignment wrapText="1"/>
      <protection/>
    </xf>
    <xf numFmtId="0" fontId="11" fillId="3" borderId="10" xfId="0" applyFont="1" applyFill="1" applyBorder="1" applyAlignment="1" applyProtection="1">
      <alignment horizontal="center"/>
      <protection locked="0"/>
    </xf>
    <xf numFmtId="0" fontId="11" fillId="3" borderId="10" xfId="0" applyFont="1" applyFill="1" applyBorder="1" applyAlignment="1" applyProtection="1">
      <alignment horizontal="left"/>
      <protection locked="0"/>
    </xf>
    <xf numFmtId="0" fontId="3" fillId="4" borderId="23" xfId="0" applyFont="1" applyFill="1" applyBorder="1" applyAlignment="1" applyProtection="1">
      <alignment horizontal="left"/>
      <protection/>
    </xf>
    <xf numFmtId="3" fontId="3" fillId="4" borderId="24" xfId="0" applyNumberFormat="1" applyFont="1" applyFill="1" applyBorder="1" applyAlignment="1" applyProtection="1">
      <alignment horizontal="right"/>
      <protection/>
    </xf>
    <xf numFmtId="3" fontId="3" fillId="4" borderId="25" xfId="0" applyNumberFormat="1" applyFont="1" applyFill="1" applyBorder="1" applyAlignment="1" applyProtection="1">
      <alignment horizontal="right"/>
      <protection/>
    </xf>
    <xf numFmtId="3" fontId="3" fillId="0" borderId="0" xfId="0" applyNumberFormat="1" applyFont="1" applyFill="1" applyBorder="1" applyAlignment="1" applyProtection="1">
      <alignment horizontal="right"/>
      <protection/>
    </xf>
    <xf numFmtId="0" fontId="3" fillId="3" borderId="0" xfId="0" applyFont="1" applyFill="1" applyAlignment="1">
      <alignment/>
    </xf>
    <xf numFmtId="0" fontId="3" fillId="3" borderId="0" xfId="0" applyFont="1" applyFill="1" applyBorder="1" applyAlignment="1" applyProtection="1">
      <alignment/>
      <protection/>
    </xf>
    <xf numFmtId="0" fontId="3" fillId="3" borderId="0" xfId="0" applyFont="1" applyFill="1" applyBorder="1" applyAlignment="1" applyProtection="1">
      <alignment/>
      <protection/>
    </xf>
    <xf numFmtId="178" fontId="0" fillId="2" borderId="2" xfId="0" applyNumberFormat="1" applyFill="1" applyBorder="1" applyAlignment="1" applyProtection="1">
      <alignment/>
      <protection/>
    </xf>
    <xf numFmtId="178" fontId="0" fillId="2" borderId="6" xfId="0" applyNumberFormat="1" applyFill="1" applyBorder="1" applyAlignment="1" applyProtection="1">
      <alignment/>
      <protection/>
    </xf>
    <xf numFmtId="178" fontId="0" fillId="2" borderId="7" xfId="0" applyNumberFormat="1" applyFill="1" applyBorder="1" applyAlignment="1" applyProtection="1">
      <alignment/>
      <protection/>
    </xf>
    <xf numFmtId="178" fontId="0" fillId="2" borderId="24" xfId="0" applyNumberFormat="1" applyFill="1" applyBorder="1" applyAlignment="1" applyProtection="1">
      <alignment/>
      <protection/>
    </xf>
    <xf numFmtId="178" fontId="0" fillId="2" borderId="20" xfId="0" applyNumberFormat="1" applyFill="1" applyBorder="1" applyAlignment="1" applyProtection="1">
      <alignment/>
      <protection/>
    </xf>
    <xf numFmtId="178" fontId="0" fillId="0" borderId="0" xfId="0" applyNumberFormat="1" applyBorder="1" applyAlignment="1" applyProtection="1">
      <alignment/>
      <protection/>
    </xf>
    <xf numFmtId="178" fontId="11" fillId="3" borderId="2" xfId="0" applyNumberFormat="1" applyFont="1" applyFill="1" applyBorder="1" applyAlignment="1" applyProtection="1">
      <alignment horizontal="right"/>
      <protection/>
    </xf>
    <xf numFmtId="0" fontId="3" fillId="0" borderId="0" xfId="0" applyFont="1" applyFill="1" applyAlignment="1">
      <alignment/>
    </xf>
    <xf numFmtId="0" fontId="0" fillId="0" borderId="0" xfId="0" applyFill="1" applyAlignment="1">
      <alignment/>
    </xf>
    <xf numFmtId="4" fontId="0" fillId="4" borderId="7" xfId="0" applyNumberFormat="1" applyFill="1" applyBorder="1" applyAlignment="1" applyProtection="1">
      <alignment horizontal="left" wrapText="1"/>
      <protection/>
    </xf>
    <xf numFmtId="4" fontId="0" fillId="4" borderId="24" xfId="0" applyNumberFormat="1" applyFill="1" applyBorder="1" applyAlignment="1" applyProtection="1">
      <alignment horizontal="left" wrapText="1"/>
      <protection/>
    </xf>
    <xf numFmtId="3" fontId="0" fillId="4" borderId="6" xfId="0" applyNumberFormat="1" applyFill="1" applyBorder="1" applyAlignment="1" applyProtection="1">
      <alignment horizontal="left" wrapText="1"/>
      <protection/>
    </xf>
    <xf numFmtId="178" fontId="0" fillId="4" borderId="6" xfId="0" applyNumberFormat="1" applyFill="1" applyBorder="1" applyAlignment="1" applyProtection="1">
      <alignment horizontal="left" wrapText="1"/>
      <protection/>
    </xf>
    <xf numFmtId="3" fontId="0" fillId="4" borderId="20" xfId="0" applyNumberFormat="1" applyFill="1" applyBorder="1" applyAlignment="1" applyProtection="1">
      <alignment horizontal="left" wrapText="1"/>
      <protection/>
    </xf>
    <xf numFmtId="3" fontId="0" fillId="4" borderId="7" xfId="0" applyNumberFormat="1" applyFill="1" applyBorder="1" applyAlignment="1" applyProtection="1">
      <alignment horizontal="left" wrapText="1"/>
      <protection/>
    </xf>
    <xf numFmtId="4" fontId="0" fillId="2" borderId="6" xfId="0" applyNumberFormat="1" applyFill="1" applyBorder="1" applyAlignment="1" applyProtection="1">
      <alignment/>
      <protection/>
    </xf>
    <xf numFmtId="178" fontId="0" fillId="4" borderId="20" xfId="0" applyNumberFormat="1" applyFill="1" applyBorder="1" applyAlignment="1" applyProtection="1">
      <alignment/>
      <protection/>
    </xf>
    <xf numFmtId="0" fontId="0" fillId="4" borderId="8" xfId="0" applyFill="1" applyBorder="1" applyAlignment="1">
      <alignment wrapText="1"/>
    </xf>
    <xf numFmtId="0" fontId="11" fillId="3" borderId="9" xfId="0" applyFont="1" applyFill="1" applyBorder="1" applyAlignment="1" applyProtection="1">
      <alignment horizontal="center"/>
      <protection/>
    </xf>
    <xf numFmtId="3" fontId="0" fillId="4" borderId="8" xfId="0" applyNumberFormat="1" applyFill="1" applyBorder="1" applyAlignment="1" applyProtection="1">
      <alignment wrapText="1"/>
      <protection/>
    </xf>
    <xf numFmtId="3" fontId="0" fillId="4" borderId="25" xfId="0" applyNumberFormat="1" applyFill="1" applyBorder="1" applyAlignment="1" applyProtection="1">
      <alignment wrapText="1"/>
      <protection/>
    </xf>
    <xf numFmtId="3" fontId="0" fillId="4" borderId="10" xfId="0" applyNumberFormat="1" applyFill="1" applyBorder="1" applyAlignment="1" applyProtection="1">
      <alignment wrapText="1"/>
      <protection/>
    </xf>
    <xf numFmtId="3" fontId="0" fillId="4" borderId="9" xfId="0" applyNumberFormat="1" applyFill="1" applyBorder="1" applyAlignment="1" applyProtection="1">
      <alignment wrapText="1"/>
      <protection/>
    </xf>
    <xf numFmtId="3" fontId="0" fillId="4" borderId="21" xfId="0" applyNumberFormat="1" applyFill="1" applyBorder="1" applyAlignment="1" applyProtection="1">
      <alignment wrapText="1"/>
      <protection/>
    </xf>
    <xf numFmtId="0" fontId="11" fillId="3" borderId="8" xfId="0" applyFont="1" applyFill="1" applyBorder="1" applyAlignment="1" applyProtection="1">
      <alignment horizontal="center"/>
      <protection/>
    </xf>
    <xf numFmtId="0" fontId="0" fillId="0" borderId="13" xfId="0" applyFill="1" applyBorder="1" applyAlignment="1">
      <alignment/>
    </xf>
    <xf numFmtId="0" fontId="0" fillId="4" borderId="1" xfId="0" applyFill="1" applyBorder="1" applyAlignment="1" applyProtection="1">
      <alignment/>
      <protection/>
    </xf>
    <xf numFmtId="0" fontId="11" fillId="3" borderId="0" xfId="0" applyFont="1" applyFill="1" applyAlignment="1" applyProtection="1">
      <alignment horizontal="left"/>
      <protection/>
    </xf>
    <xf numFmtId="49" fontId="0" fillId="4" borderId="1" xfId="0" applyNumberFormat="1" applyFill="1" applyBorder="1" applyAlignment="1" applyProtection="1">
      <alignment horizontal="left" wrapText="1"/>
      <protection/>
    </xf>
    <xf numFmtId="0" fontId="0" fillId="4" borderId="1" xfId="0" applyFill="1" applyBorder="1" applyAlignment="1" applyProtection="1">
      <alignment horizontal="left" wrapText="1"/>
      <protection/>
    </xf>
    <xf numFmtId="0" fontId="3" fillId="0" borderId="0" xfId="0" applyFont="1" applyFill="1" applyBorder="1" applyAlignment="1" applyProtection="1">
      <alignment/>
      <protection/>
    </xf>
    <xf numFmtId="0" fontId="0" fillId="4" borderId="1" xfId="0" applyFont="1" applyFill="1" applyBorder="1" applyAlignment="1" applyProtection="1">
      <alignment/>
      <protection/>
    </xf>
    <xf numFmtId="2"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3" fontId="0" fillId="4" borderId="35" xfId="0" applyNumberFormat="1" applyFill="1" applyBorder="1" applyAlignment="1">
      <alignment wrapText="1"/>
    </xf>
    <xf numFmtId="3" fontId="0" fillId="4" borderId="36" xfId="0" applyNumberFormat="1" applyFill="1" applyBorder="1" applyAlignment="1">
      <alignment wrapText="1"/>
    </xf>
    <xf numFmtId="3" fontId="0" fillId="4" borderId="37" xfId="0" applyNumberFormat="1" applyFill="1" applyBorder="1" applyAlignment="1">
      <alignment wrapText="1"/>
    </xf>
    <xf numFmtId="1" fontId="0" fillId="4" borderId="37" xfId="0" applyNumberFormat="1" applyFill="1" applyBorder="1" applyAlignment="1">
      <alignment wrapText="1"/>
    </xf>
    <xf numFmtId="3" fontId="0" fillId="4" borderId="38" xfId="0" applyNumberFormat="1" applyFill="1" applyBorder="1" applyAlignment="1">
      <alignment wrapText="1"/>
    </xf>
    <xf numFmtId="2" fontId="0" fillId="4" borderId="17" xfId="0" applyNumberFormat="1" applyFill="1" applyBorder="1" applyAlignment="1">
      <alignment wrapText="1"/>
    </xf>
    <xf numFmtId="1" fontId="0" fillId="4" borderId="17" xfId="0" applyNumberFormat="1" applyFill="1" applyBorder="1" applyAlignment="1">
      <alignment wrapText="1"/>
    </xf>
    <xf numFmtId="0" fontId="0" fillId="4" borderId="39" xfId="0" applyNumberFormat="1" applyFill="1" applyBorder="1" applyAlignment="1">
      <alignment horizontal="right" wrapText="1"/>
    </xf>
    <xf numFmtId="171" fontId="0" fillId="4" borderId="17" xfId="0" applyNumberFormat="1" applyFill="1" applyBorder="1" applyAlignment="1">
      <alignment wrapText="1"/>
    </xf>
    <xf numFmtId="2" fontId="0" fillId="4" borderId="40" xfId="0" applyNumberFormat="1" applyFill="1" applyBorder="1" applyAlignment="1">
      <alignment wrapText="1"/>
    </xf>
    <xf numFmtId="1" fontId="0" fillId="4" borderId="35" xfId="0" applyNumberFormat="1" applyFill="1" applyBorder="1" applyAlignment="1">
      <alignment wrapText="1"/>
    </xf>
    <xf numFmtId="3" fontId="0" fillId="4" borderId="41" xfId="0" applyNumberFormat="1" applyFont="1" applyFill="1" applyBorder="1" applyAlignment="1">
      <alignment horizontal="right" wrapText="1"/>
    </xf>
    <xf numFmtId="172" fontId="0" fillId="4" borderId="1" xfId="0" applyNumberFormat="1" applyFont="1" applyFill="1" applyBorder="1" applyAlignment="1" applyProtection="1">
      <alignment wrapText="1"/>
      <protection/>
    </xf>
    <xf numFmtId="2" fontId="0" fillId="4" borderId="1" xfId="0" applyNumberFormat="1" applyFont="1" applyFill="1" applyBorder="1" applyAlignment="1" applyProtection="1">
      <alignment wrapText="1"/>
      <protection/>
    </xf>
    <xf numFmtId="174" fontId="0" fillId="4" borderId="1" xfId="0" applyNumberFormat="1" applyFont="1" applyFill="1" applyBorder="1" applyAlignment="1" applyProtection="1">
      <alignment wrapText="1"/>
      <protection/>
    </xf>
    <xf numFmtId="171" fontId="0" fillId="4" borderId="1" xfId="0" applyNumberFormat="1" applyFont="1" applyFill="1" applyBorder="1" applyAlignment="1" applyProtection="1">
      <alignment wrapText="1"/>
      <protection/>
    </xf>
    <xf numFmtId="173" fontId="0" fillId="4" borderId="1" xfId="0" applyNumberFormat="1" applyFont="1" applyFill="1" applyBorder="1" applyAlignment="1" applyProtection="1">
      <alignment wrapText="1"/>
      <protection/>
    </xf>
    <xf numFmtId="6" fontId="0" fillId="4" borderId="1" xfId="0" applyNumberFormat="1" applyFill="1" applyBorder="1" applyAlignment="1" applyProtection="1">
      <alignment horizontal="right" wrapText="1"/>
      <protection/>
    </xf>
    <xf numFmtId="1" fontId="0" fillId="4" borderId="1" xfId="0" applyNumberFormat="1" applyFill="1" applyBorder="1" applyAlignment="1" applyProtection="1">
      <alignment horizontal="right"/>
      <protection/>
    </xf>
    <xf numFmtId="8" fontId="0" fillId="4" borderId="1" xfId="0" applyNumberFormat="1" applyFill="1" applyBorder="1" applyAlignment="1" applyProtection="1">
      <alignment wrapText="1"/>
      <protection/>
    </xf>
    <xf numFmtId="164" fontId="0" fillId="4" borderId="1" xfId="0" applyNumberFormat="1" applyFill="1" applyBorder="1" applyAlignment="1" applyProtection="1">
      <alignment horizontal="right" wrapText="1"/>
      <protection/>
    </xf>
    <xf numFmtId="2" fontId="0" fillId="4" borderId="1" xfId="0" applyNumberFormat="1" applyFill="1" applyBorder="1" applyAlignment="1" applyProtection="1">
      <alignment horizontal="right"/>
      <protection/>
    </xf>
    <xf numFmtId="170" fontId="0" fillId="4" borderId="1" xfId="0" applyNumberFormat="1" applyFill="1" applyBorder="1" applyAlignment="1" applyProtection="1">
      <alignment horizontal="right"/>
      <protection/>
    </xf>
    <xf numFmtId="164" fontId="0" fillId="4" borderId="1" xfId="0" applyNumberFormat="1" applyFont="1" applyFill="1" applyBorder="1" applyAlignment="1" applyProtection="1">
      <alignment horizontal="right"/>
      <protection/>
    </xf>
    <xf numFmtId="174" fontId="0" fillId="4" borderId="19" xfId="0" applyNumberFormat="1" applyFill="1" applyBorder="1" applyAlignment="1">
      <alignment wrapText="1"/>
    </xf>
    <xf numFmtId="164" fontId="0" fillId="6" borderId="1" xfId="0" applyNumberFormat="1" applyFill="1" applyBorder="1" applyAlignment="1" applyProtection="1">
      <alignment horizontal="right" wrapText="1"/>
      <protection locked="0"/>
    </xf>
    <xf numFmtId="9" fontId="0" fillId="2" borderId="11" xfId="0" applyNumberFormat="1" applyFont="1" applyFill="1" applyBorder="1" applyAlignment="1" applyProtection="1">
      <alignment wrapText="1"/>
      <protection locked="0"/>
    </xf>
    <xf numFmtId="9" fontId="0" fillId="0" borderId="12" xfId="0" applyNumberFormat="1" applyBorder="1" applyAlignment="1" applyProtection="1">
      <alignment wrapText="1"/>
      <protection locked="0"/>
    </xf>
    <xf numFmtId="9" fontId="0" fillId="0" borderId="13" xfId="0" applyNumberFormat="1" applyBorder="1" applyAlignment="1" applyProtection="1">
      <alignment wrapText="1"/>
      <protection locked="0"/>
    </xf>
    <xf numFmtId="0" fontId="3" fillId="3" borderId="0" xfId="0" applyFont="1" applyFill="1" applyBorder="1" applyAlignment="1" applyProtection="1">
      <alignment wrapText="1"/>
      <protection/>
    </xf>
    <xf numFmtId="0" fontId="0" fillId="3" borderId="0" xfId="0" applyFont="1" applyFill="1" applyAlignment="1">
      <alignment wrapText="1"/>
    </xf>
    <xf numFmtId="0" fontId="0" fillId="4" borderId="5" xfId="0" applyFill="1" applyBorder="1" applyAlignment="1" applyProtection="1">
      <alignment wrapText="1"/>
      <protection/>
    </xf>
    <xf numFmtId="0" fontId="0" fillId="0" borderId="8" xfId="0" applyBorder="1" applyAlignment="1" applyProtection="1">
      <alignment wrapText="1"/>
      <protection/>
    </xf>
    <xf numFmtId="0" fontId="0" fillId="2" borderId="4" xfId="0" applyFill="1" applyBorder="1" applyAlignment="1">
      <alignment horizontal="left" indent="1"/>
    </xf>
    <xf numFmtId="0" fontId="0" fillId="0" borderId="0" xfId="0" applyAlignment="1">
      <alignment horizontal="left" wrapText="1" indent="1"/>
    </xf>
    <xf numFmtId="0" fontId="0" fillId="0" borderId="4" xfId="0" applyBorder="1" applyAlignment="1">
      <alignment horizontal="left" wrapText="1" indent="1"/>
    </xf>
    <xf numFmtId="0" fontId="0" fillId="2" borderId="10" xfId="0" applyFill="1" applyBorder="1" applyAlignment="1">
      <alignment horizontal="left" wrapText="1" indent="1"/>
    </xf>
    <xf numFmtId="0" fontId="0" fillId="2" borderId="3" xfId="0" applyFill="1" applyBorder="1" applyAlignment="1">
      <alignment horizontal="left" indent="1"/>
    </xf>
    <xf numFmtId="0" fontId="0" fillId="2" borderId="0" xfId="0" applyFill="1" applyBorder="1" applyAlignment="1">
      <alignment horizontal="left" indent="1"/>
    </xf>
    <xf numFmtId="0" fontId="3" fillId="2" borderId="15" xfId="0" applyFont="1" applyFill="1" applyBorder="1" applyAlignment="1">
      <alignment horizontal="left" wrapText="1" indent="1"/>
    </xf>
    <xf numFmtId="0" fontId="0" fillId="2" borderId="2" xfId="0" applyFill="1" applyBorder="1" applyAlignment="1">
      <alignment horizontal="left" wrapText="1" indent="1"/>
    </xf>
    <xf numFmtId="0" fontId="0" fillId="0" borderId="2" xfId="0" applyBorder="1" applyAlignment="1">
      <alignment horizontal="left" wrapText="1" indent="1"/>
    </xf>
    <xf numFmtId="0" fontId="0" fillId="2" borderId="3" xfId="0" applyFill="1" applyBorder="1" applyAlignment="1">
      <alignment horizontal="left" wrapText="1" indent="1"/>
    </xf>
    <xf numFmtId="0" fontId="0" fillId="2" borderId="0" xfId="0" applyFill="1" applyBorder="1" applyAlignment="1">
      <alignment horizontal="left" wrapText="1" indent="1"/>
    </xf>
    <xf numFmtId="0" fontId="0" fillId="2" borderId="4" xfId="0" applyFill="1" applyBorder="1" applyAlignment="1">
      <alignment horizontal="left" wrapText="1" indent="1"/>
    </xf>
    <xf numFmtId="0" fontId="0" fillId="2" borderId="14" xfId="0" applyFill="1" applyBorder="1" applyAlignment="1">
      <alignment horizontal="left" wrapText="1" indent="1"/>
    </xf>
    <xf numFmtId="0" fontId="0" fillId="2" borderId="6" xfId="0" applyFill="1" applyBorder="1" applyAlignment="1">
      <alignment horizontal="left" wrapText="1" indent="1"/>
    </xf>
    <xf numFmtId="0" fontId="9" fillId="0" borderId="0" xfId="0" applyFont="1" applyAlignment="1" applyProtection="1">
      <alignment/>
      <protection/>
    </xf>
    <xf numFmtId="0" fontId="6" fillId="3" borderId="0" xfId="0" applyFont="1" applyFill="1" applyAlignment="1" applyProtection="1">
      <alignment horizontal="left"/>
      <protection/>
    </xf>
    <xf numFmtId="0" fontId="8" fillId="3" borderId="0" xfId="0" applyFont="1" applyFill="1" applyAlignment="1" applyProtection="1">
      <alignment horizontal="left"/>
      <protection/>
    </xf>
    <xf numFmtId="0" fontId="8" fillId="3" borderId="0" xfId="0" applyFont="1" applyFill="1" applyBorder="1" applyAlignment="1" applyProtection="1">
      <alignment horizontal="left" wrapText="1"/>
      <protection/>
    </xf>
    <xf numFmtId="0" fontId="8" fillId="3" borderId="0" xfId="0" applyFont="1" applyFill="1" applyAlignment="1" applyProtection="1">
      <alignment wrapText="1"/>
      <protection/>
    </xf>
    <xf numFmtId="164" fontId="0" fillId="4" borderId="1" xfId="0" applyNumberFormat="1" applyFill="1" applyBorder="1" applyAlignment="1" applyProtection="1">
      <alignment horizontal="center" wrapText="1"/>
      <protection/>
    </xf>
    <xf numFmtId="0" fontId="0" fillId="4" borderId="1" xfId="0" applyFill="1" applyBorder="1" applyAlignment="1" applyProtection="1">
      <alignment wrapText="1"/>
      <protection/>
    </xf>
    <xf numFmtId="164" fontId="0" fillId="4" borderId="7" xfId="0" applyNumberFormat="1" applyFill="1" applyBorder="1" applyAlignment="1" applyProtection="1">
      <alignment horizontal="center"/>
      <protection/>
    </xf>
    <xf numFmtId="164" fontId="0" fillId="4" borderId="8" xfId="0" applyNumberFormat="1" applyFill="1" applyBorder="1" applyAlignment="1" applyProtection="1">
      <alignment horizontal="center"/>
      <protection/>
    </xf>
    <xf numFmtId="0" fontId="0" fillId="0" borderId="1" xfId="0" applyBorder="1" applyAlignment="1" applyProtection="1">
      <alignment wrapText="1"/>
      <protection/>
    </xf>
    <xf numFmtId="164" fontId="0" fillId="4" borderId="5" xfId="0" applyNumberFormat="1" applyFill="1" applyBorder="1" applyAlignment="1" applyProtection="1">
      <alignment horizontal="center" wrapText="1"/>
      <protection/>
    </xf>
    <xf numFmtId="0" fontId="0" fillId="0" borderId="8" xfId="0" applyBorder="1" applyAlignment="1">
      <alignment wrapText="1"/>
    </xf>
    <xf numFmtId="0" fontId="0" fillId="4" borderId="8" xfId="0" applyFill="1" applyBorder="1" applyAlignment="1" applyProtection="1">
      <alignment wrapText="1"/>
      <protection/>
    </xf>
    <xf numFmtId="0" fontId="11" fillId="3" borderId="0" xfId="0" applyFont="1" applyFill="1" applyBorder="1" applyAlignment="1" applyProtection="1">
      <alignment horizontal="left" wrapText="1"/>
      <protection/>
    </xf>
    <xf numFmtId="0" fontId="3" fillId="3" borderId="0" xfId="0" applyFont="1" applyFill="1" applyAlignment="1" applyProtection="1">
      <alignment/>
      <protection/>
    </xf>
    <xf numFmtId="0" fontId="0" fillId="3" borderId="0" xfId="0" applyFont="1" applyFill="1" applyAlignment="1" applyProtection="1">
      <alignment/>
      <protection/>
    </xf>
    <xf numFmtId="0" fontId="11" fillId="3" borderId="6" xfId="0" applyFont="1" applyFill="1" applyBorder="1" applyAlignment="1" applyProtection="1">
      <alignment horizontal="left" wrapText="1"/>
      <protection/>
    </xf>
    <xf numFmtId="0" fontId="0" fillId="4" borderId="11" xfId="0" applyFill="1" applyBorder="1" applyAlignment="1" applyProtection="1">
      <alignment horizontal="right" wrapText="1"/>
      <protection/>
    </xf>
    <xf numFmtId="0" fontId="0" fillId="0" borderId="12" xfId="0" applyBorder="1" applyAlignment="1" applyProtection="1">
      <alignment horizontal="right" wrapText="1"/>
      <protection/>
    </xf>
    <xf numFmtId="0" fontId="0" fillId="0" borderId="13" xfId="0" applyBorder="1" applyAlignment="1" applyProtection="1">
      <alignment horizontal="right" wrapText="1"/>
      <protection/>
    </xf>
    <xf numFmtId="0" fontId="0" fillId="0" borderId="6" xfId="0" applyBorder="1" applyAlignment="1">
      <alignment horizontal="left" wrapText="1"/>
    </xf>
    <xf numFmtId="0" fontId="0" fillId="4" borderId="15" xfId="0" applyFill="1" applyBorder="1" applyAlignment="1" applyProtection="1">
      <alignment horizontal="left" vertical="top" wrapText="1"/>
      <protection/>
    </xf>
    <xf numFmtId="0" fontId="0" fillId="0" borderId="9" xfId="0" applyBorder="1" applyAlignment="1">
      <alignment horizontal="left" wrapText="1"/>
    </xf>
    <xf numFmtId="0" fontId="0" fillId="4" borderId="3" xfId="0" applyFill="1" applyBorder="1" applyAlignment="1" applyProtection="1">
      <alignment horizontal="left" vertical="top" wrapText="1"/>
      <protection/>
    </xf>
    <xf numFmtId="0" fontId="0" fillId="0" borderId="4" xfId="0" applyBorder="1" applyAlignment="1">
      <alignment horizontal="left" wrapText="1"/>
    </xf>
    <xf numFmtId="0" fontId="0" fillId="4" borderId="14" xfId="0" applyFill="1" applyBorder="1" applyAlignment="1" applyProtection="1">
      <alignment horizontal="left" vertical="top" wrapText="1"/>
      <protection/>
    </xf>
    <xf numFmtId="0" fontId="0" fillId="0" borderId="10" xfId="0" applyBorder="1" applyAlignment="1">
      <alignment horizontal="left" wrapText="1"/>
    </xf>
    <xf numFmtId="0" fontId="0" fillId="4" borderId="11" xfId="0" applyFill="1" applyBorder="1" applyAlignment="1" applyProtection="1">
      <alignment wrapText="1"/>
      <protection/>
    </xf>
    <xf numFmtId="0" fontId="0" fillId="4" borderId="12" xfId="0" applyFill="1" applyBorder="1" applyAlignment="1" applyProtection="1">
      <alignment wrapText="1"/>
      <protection/>
    </xf>
    <xf numFmtId="0" fontId="0" fillId="4" borderId="13" xfId="0" applyFill="1" applyBorder="1" applyAlignment="1" applyProtection="1">
      <alignment wrapText="1"/>
      <protection/>
    </xf>
    <xf numFmtId="0" fontId="14" fillId="4" borderId="5" xfId="0" applyFont="1" applyFill="1" applyBorder="1" applyAlignment="1" applyProtection="1">
      <alignment wrapText="1"/>
      <protection/>
    </xf>
    <xf numFmtId="0" fontId="14" fillId="4" borderId="8" xfId="0" applyFont="1" applyFill="1" applyBorder="1" applyAlignment="1" applyProtection="1">
      <alignment wrapText="1"/>
      <protection/>
    </xf>
    <xf numFmtId="0" fontId="0" fillId="4" borderId="5" xfId="0" applyFont="1" applyFill="1" applyBorder="1" applyAlignment="1" applyProtection="1">
      <alignment wrapText="1"/>
      <protection/>
    </xf>
    <xf numFmtId="0" fontId="0" fillId="4" borderId="8" xfId="0" applyFont="1" applyFill="1" applyBorder="1" applyAlignment="1" applyProtection="1">
      <alignment wrapText="1"/>
      <protection/>
    </xf>
    <xf numFmtId="0" fontId="4" fillId="0" borderId="8" xfId="0" applyFont="1" applyBorder="1" applyAlignment="1" applyProtection="1">
      <alignment wrapText="1"/>
      <protection/>
    </xf>
    <xf numFmtId="0" fontId="3" fillId="4" borderId="0" xfId="0" applyFont="1" applyFill="1" applyAlignment="1">
      <alignment/>
    </xf>
    <xf numFmtId="0" fontId="0" fillId="4" borderId="0" xfId="0" applyFont="1" applyFill="1" applyAlignment="1">
      <alignment/>
    </xf>
    <xf numFmtId="0" fontId="0" fillId="0" borderId="9" xfId="0" applyBorder="1" applyAlignment="1">
      <alignment horizontal="left" wrapText="1" indent="1"/>
    </xf>
    <xf numFmtId="0" fontId="3" fillId="2" borderId="3" xfId="0" applyFont="1" applyFill="1" applyBorder="1" applyAlignment="1">
      <alignment horizontal="left" wrapText="1" indent="1"/>
    </xf>
    <xf numFmtId="0" fontId="3" fillId="2" borderId="14" xfId="0" applyFont="1" applyFill="1" applyBorder="1" applyAlignment="1">
      <alignment horizontal="left" wrapText="1" indent="1"/>
    </xf>
    <xf numFmtId="0" fontId="0" fillId="0" borderId="6" xfId="0" applyFont="1" applyBorder="1" applyAlignment="1">
      <alignment horizontal="left" wrapText="1" indent="1"/>
    </xf>
    <xf numFmtId="0" fontId="0" fillId="0" borderId="10" xfId="0" applyFont="1" applyBorder="1" applyAlignment="1">
      <alignment horizontal="left" wrapText="1" indent="1"/>
    </xf>
    <xf numFmtId="0" fontId="0" fillId="0" borderId="0" xfId="0" applyFont="1" applyAlignment="1">
      <alignment horizontal="left" wrapText="1" indent="1"/>
    </xf>
    <xf numFmtId="0" fontId="0" fillId="0" borderId="4" xfId="0" applyFont="1" applyBorder="1" applyAlignment="1">
      <alignment horizontal="left" wrapText="1" indent="1"/>
    </xf>
    <xf numFmtId="0" fontId="0" fillId="7" borderId="0" xfId="0" applyFill="1"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7" borderId="22" xfId="0" applyFill="1" applyBorder="1" applyAlignment="1">
      <alignment horizontal="right"/>
    </xf>
    <xf numFmtId="0" fontId="0" fillId="0" borderId="22"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3" fontId="0" fillId="7" borderId="22" xfId="0" applyNumberFormat="1" applyFont="1" applyFill="1" applyBorder="1" applyAlignment="1" applyProtection="1">
      <alignment horizontal="right"/>
      <protection/>
    </xf>
    <xf numFmtId="0" fontId="0" fillId="7" borderId="42" xfId="0" applyFill="1" applyBorder="1" applyAlignment="1">
      <alignment horizontal="right"/>
    </xf>
    <xf numFmtId="0" fontId="0" fillId="7" borderId="4" xfId="0" applyFill="1" applyBorder="1" applyAlignment="1">
      <alignment horizontal="right"/>
    </xf>
    <xf numFmtId="0" fontId="0" fillId="7" borderId="6" xfId="0" applyFill="1" applyBorder="1" applyAlignment="1">
      <alignment horizontal="right"/>
    </xf>
    <xf numFmtId="0" fontId="0" fillId="7" borderId="10" xfId="0" applyFill="1" applyBorder="1" applyAlignment="1">
      <alignment horizontal="right"/>
    </xf>
    <xf numFmtId="0" fontId="7" fillId="0" borderId="0" xfId="0" applyFont="1" applyBorder="1" applyAlignment="1" applyProtection="1">
      <alignment wrapText="1"/>
      <protection/>
    </xf>
    <xf numFmtId="0" fontId="0" fillId="0" borderId="0" xfId="0" applyAlignment="1">
      <alignment wrapText="1"/>
    </xf>
    <xf numFmtId="0" fontId="0" fillId="7" borderId="43" xfId="0" applyFill="1" applyBorder="1" applyAlignment="1">
      <alignment horizontal="right"/>
    </xf>
    <xf numFmtId="0" fontId="0" fillId="7" borderId="44" xfId="0" applyFill="1" applyBorder="1" applyAlignment="1">
      <alignment horizontal="right"/>
    </xf>
    <xf numFmtId="0" fontId="0" fillId="4" borderId="0" xfId="0" applyFill="1" applyAlignment="1">
      <alignment/>
    </xf>
    <xf numFmtId="3" fontId="0" fillId="4" borderId="5" xfId="0" applyNumberFormat="1" applyFill="1" applyBorder="1" applyAlignment="1">
      <alignment wrapText="1"/>
    </xf>
    <xf numFmtId="3" fontId="0" fillId="4" borderId="7" xfId="0" applyNumberFormat="1" applyFill="1" applyBorder="1" applyAlignment="1">
      <alignment wrapText="1"/>
    </xf>
    <xf numFmtId="0" fontId="0" fillId="4" borderId="5" xfId="0" applyFill="1" applyBorder="1" applyAlignment="1">
      <alignment wrapText="1"/>
    </xf>
    <xf numFmtId="0" fontId="0" fillId="0" borderId="7" xfId="0" applyBorder="1" applyAlignment="1">
      <alignment wrapText="1"/>
    </xf>
    <xf numFmtId="2" fontId="0" fillId="4" borderId="5" xfId="0" applyNumberFormat="1" applyFont="1" applyFill="1" applyBorder="1" applyAlignment="1" applyProtection="1">
      <alignment horizontal="right"/>
      <protection/>
    </xf>
    <xf numFmtId="0" fontId="0" fillId="0" borderId="8" xfId="0" applyBorder="1" applyAlignment="1">
      <alignment/>
    </xf>
    <xf numFmtId="0" fontId="0" fillId="4" borderId="5" xfId="0" applyFont="1" applyFill="1" applyBorder="1" applyAlignment="1" applyProtection="1">
      <alignment/>
      <protection/>
    </xf>
    <xf numFmtId="0" fontId="0" fillId="4" borderId="7" xfId="0" applyFont="1" applyFill="1" applyBorder="1" applyAlignment="1" applyProtection="1">
      <alignment/>
      <protection/>
    </xf>
    <xf numFmtId="0" fontId="0" fillId="4" borderId="5" xfId="0" applyFill="1" applyBorder="1" applyAlignment="1">
      <alignment/>
    </xf>
    <xf numFmtId="0" fontId="0" fillId="4" borderId="7" xfId="0" applyFill="1" applyBorder="1" applyAlignment="1">
      <alignment/>
    </xf>
    <xf numFmtId="0" fontId="0" fillId="4" borderId="5" xfId="0" applyFont="1" applyFill="1" applyBorder="1" applyAlignment="1" applyProtection="1">
      <alignment horizontal="left"/>
      <protection/>
    </xf>
    <xf numFmtId="0" fontId="0" fillId="4" borderId="7" xfId="0" applyFont="1" applyFill="1" applyBorder="1" applyAlignment="1" applyProtection="1">
      <alignment horizontal="left"/>
      <protection/>
    </xf>
    <xf numFmtId="0" fontId="11" fillId="3" borderId="5" xfId="0" applyFont="1" applyFill="1" applyBorder="1" applyAlignment="1">
      <alignment horizontal="center" vertical="center" wrapText="1"/>
    </xf>
    <xf numFmtId="0" fontId="0" fillId="0" borderId="8" xfId="0" applyBorder="1" applyAlignment="1">
      <alignment horizontal="center" vertical="center" wrapText="1"/>
    </xf>
    <xf numFmtId="0" fontId="0" fillId="4" borderId="5" xfId="0" applyFont="1" applyFill="1" applyBorder="1" applyAlignment="1" applyProtection="1">
      <alignment horizontal="right"/>
      <protection/>
    </xf>
    <xf numFmtId="0" fontId="0" fillId="0" borderId="8" xfId="0" applyBorder="1" applyAlignment="1">
      <alignment horizontal="right"/>
    </xf>
    <xf numFmtId="0" fontId="0" fillId="4" borderId="30" xfId="0" applyNumberFormat="1" applyFill="1" applyBorder="1" applyAlignment="1">
      <alignment horizontal="right"/>
    </xf>
    <xf numFmtId="0" fontId="11" fillId="3" borderId="1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wrapText="1"/>
    </xf>
    <xf numFmtId="0" fontId="0" fillId="4" borderId="30" xfId="0" applyNumberFormat="1" applyFont="1" applyFill="1" applyBorder="1" applyAlignment="1" applyProtection="1">
      <alignment horizontal="right"/>
      <protection/>
    </xf>
    <xf numFmtId="3" fontId="0" fillId="4" borderId="45" xfId="0" applyNumberFormat="1" applyFont="1" applyFill="1" applyBorder="1" applyAlignment="1">
      <alignment wrapText="1"/>
    </xf>
    <xf numFmtId="0" fontId="0" fillId="0" borderId="46" xfId="0" applyBorder="1" applyAlignment="1">
      <alignment wrapText="1"/>
    </xf>
    <xf numFmtId="0" fontId="0" fillId="0" borderId="47" xfId="0" applyBorder="1" applyAlignment="1">
      <alignment wrapText="1"/>
    </xf>
    <xf numFmtId="0" fontId="11" fillId="3" borderId="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0" fillId="0" borderId="7" xfId="0" applyBorder="1" applyAlignment="1">
      <alignment horizontal="center" vertical="center" wrapText="1"/>
    </xf>
    <xf numFmtId="0" fontId="11" fillId="3" borderId="30" xfId="0" applyFont="1" applyFill="1" applyBorder="1" applyAlignment="1">
      <alignment horizontal="center" vertical="center" wrapText="1"/>
    </xf>
    <xf numFmtId="3" fontId="0" fillId="4" borderId="40" xfId="0" applyNumberFormat="1" applyFill="1" applyBorder="1" applyAlignment="1">
      <alignment wrapText="1"/>
    </xf>
    <xf numFmtId="3" fontId="0" fillId="4" borderId="17" xfId="0" applyNumberFormat="1" applyFill="1" applyBorder="1" applyAlignment="1">
      <alignment wrapText="1"/>
    </xf>
    <xf numFmtId="3" fontId="0" fillId="4" borderId="49" xfId="0" applyNumberFormat="1" applyFont="1" applyFill="1" applyBorder="1" applyAlignment="1">
      <alignment wrapText="1"/>
    </xf>
    <xf numFmtId="0" fontId="0" fillId="0" borderId="35" xfId="0" applyBorder="1" applyAlignment="1">
      <alignment wrapText="1"/>
    </xf>
    <xf numFmtId="0" fontId="0" fillId="4" borderId="30" xfId="0" applyNumberFormat="1" applyFont="1" applyFill="1" applyBorder="1" applyAlignment="1">
      <alignment horizontal="right"/>
    </xf>
    <xf numFmtId="0" fontId="0" fillId="4" borderId="16" xfId="0" applyFont="1" applyFill="1" applyBorder="1" applyAlignment="1" applyProtection="1">
      <alignment/>
      <protection/>
    </xf>
    <xf numFmtId="0" fontId="0" fillId="4" borderId="20" xfId="0" applyFont="1" applyFill="1" applyBorder="1" applyAlignment="1" applyProtection="1">
      <alignment/>
      <protection/>
    </xf>
    <xf numFmtId="0" fontId="0" fillId="4" borderId="21" xfId="0" applyFont="1" applyFill="1" applyBorder="1" applyAlignment="1" applyProtection="1">
      <alignment/>
      <protection/>
    </xf>
    <xf numFmtId="0" fontId="0" fillId="4" borderId="15" xfId="0" applyFill="1" applyBorder="1" applyAlignment="1">
      <alignment wrapText="1"/>
    </xf>
    <xf numFmtId="0" fontId="0" fillId="0" borderId="2" xfId="0" applyBorder="1" applyAlignment="1">
      <alignment wrapText="1"/>
    </xf>
    <xf numFmtId="0" fontId="0" fillId="0" borderId="9" xfId="0" applyBorder="1" applyAlignment="1">
      <alignment wrapText="1"/>
    </xf>
    <xf numFmtId="1" fontId="0" fillId="4" borderId="32" xfId="0" applyNumberFormat="1" applyFont="1" applyFill="1" applyBorder="1" applyAlignment="1" applyProtection="1">
      <alignment/>
      <protection/>
    </xf>
    <xf numFmtId="0" fontId="0" fillId="0" borderId="34" xfId="0" applyBorder="1" applyAlignment="1">
      <alignment/>
    </xf>
    <xf numFmtId="2" fontId="0" fillId="4" borderId="5" xfId="0" applyNumberFormat="1" applyFont="1" applyFill="1" applyBorder="1" applyAlignment="1" applyProtection="1">
      <alignment/>
      <protection/>
    </xf>
    <xf numFmtId="0" fontId="0" fillId="2" borderId="0" xfId="0" applyFont="1" applyFill="1" applyBorder="1" applyAlignment="1" applyProtection="1">
      <alignment wrapText="1"/>
      <protection/>
    </xf>
    <xf numFmtId="0" fontId="0" fillId="2" borderId="0" xfId="0" applyFont="1" applyFill="1" applyAlignment="1">
      <alignment wrapText="1"/>
    </xf>
    <xf numFmtId="0" fontId="0" fillId="3" borderId="0" xfId="0" applyFill="1" applyAlignment="1">
      <alignment wrapText="1"/>
    </xf>
    <xf numFmtId="0" fontId="0" fillId="4" borderId="7" xfId="0" applyFill="1" applyBorder="1" applyAlignment="1" applyProtection="1">
      <alignment wrapText="1"/>
      <protection/>
    </xf>
    <xf numFmtId="0" fontId="0" fillId="3" borderId="0" xfId="0" applyFill="1" applyBorder="1" applyAlignment="1" applyProtection="1">
      <alignment horizontal="left" wrapText="1"/>
      <protection/>
    </xf>
    <xf numFmtId="0" fontId="0" fillId="4" borderId="7" xfId="0" applyFill="1" applyBorder="1" applyAlignment="1">
      <alignment wrapText="1"/>
    </xf>
    <xf numFmtId="0" fontId="0" fillId="4" borderId="8" xfId="0" applyFill="1" applyBorder="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Hardscape and Landscape Waste 
Disposition Costs Over Time</a:t>
            </a:r>
          </a:p>
        </c:rich>
      </c:tx>
      <c:layout/>
      <c:spPr>
        <a:noFill/>
        <a:ln>
          <a:noFill/>
        </a:ln>
      </c:spPr>
    </c:title>
    <c:plotArea>
      <c:layout>
        <c:manualLayout>
          <c:xMode val="edge"/>
          <c:yMode val="edge"/>
          <c:x val="0.04025"/>
          <c:y val="0.11825"/>
          <c:w val="0.94575"/>
          <c:h val="0.62825"/>
        </c:manualLayout>
      </c:layout>
      <c:lineChart>
        <c:grouping val="standard"/>
        <c:varyColors val="0"/>
        <c:ser>
          <c:idx val="0"/>
          <c:order val="0"/>
          <c:tx>
            <c:strRef>
              <c:f>'Cost Calculator'!$A$4</c:f>
              <c:strCache>
                <c:ptCount val="1"/>
                <c:pt idx="0">
                  <c:v>Maximum Reuse, then Recycle, Landfill Remaining Waste </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strRef>
              <c:f>'Cost Calculator'!$B$4:$E$4</c:f>
              <c:strCache>
                <c:ptCount val="4"/>
                <c:pt idx="0">
                  <c:v>1 year</c:v>
                </c:pt>
                <c:pt idx="1">
                  <c:v>3 years</c:v>
                </c:pt>
                <c:pt idx="2">
                  <c:v>6 years</c:v>
                </c:pt>
                <c:pt idx="3">
                  <c:v>10 years</c:v>
                </c:pt>
              </c:strCache>
            </c:strRef>
          </c:cat>
          <c:val>
            <c:numRef>
              <c:f>'Cost Calculator'!$B$24:$E$24</c:f>
              <c:numCache>
                <c:ptCount val="4"/>
                <c:pt idx="0">
                  <c:v>195.48994623655915</c:v>
                </c:pt>
                <c:pt idx="1">
                  <c:v>586.4698387096774</c:v>
                </c:pt>
                <c:pt idx="2">
                  <c:v>1172.939677419355</c:v>
                </c:pt>
                <c:pt idx="3">
                  <c:v>1954.8994623655913</c:v>
                </c:pt>
              </c:numCache>
            </c:numRef>
          </c:val>
          <c:smooth val="0"/>
        </c:ser>
        <c:ser>
          <c:idx val="1"/>
          <c:order val="1"/>
          <c:tx>
            <c:strRef>
              <c:f>'Cost Calculator'!$A$27</c:f>
              <c:strCache>
                <c:ptCount val="1"/>
                <c:pt idx="0">
                  <c:v>Maximum Reuse, Landfill Remaining Waste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'Cost Calculator'!$B$4:$E$4</c:f>
              <c:strCache>
                <c:ptCount val="4"/>
                <c:pt idx="0">
                  <c:v>1 year</c:v>
                </c:pt>
                <c:pt idx="1">
                  <c:v>3 years</c:v>
                </c:pt>
                <c:pt idx="2">
                  <c:v>6 years</c:v>
                </c:pt>
                <c:pt idx="3">
                  <c:v>10 years</c:v>
                </c:pt>
              </c:strCache>
            </c:strRef>
          </c:cat>
          <c:val>
            <c:numRef>
              <c:f>'Cost Calculator'!$B$47:$E$47</c:f>
              <c:numCache>
                <c:ptCount val="4"/>
                <c:pt idx="0">
                  <c:v>293.46286290322587</c:v>
                </c:pt>
                <c:pt idx="1">
                  <c:v>880.3885887096774</c:v>
                </c:pt>
                <c:pt idx="2">
                  <c:v>1760.7771774193548</c:v>
                </c:pt>
                <c:pt idx="3">
                  <c:v>2934.628629032258</c:v>
                </c:pt>
              </c:numCache>
            </c:numRef>
          </c:val>
          <c:smooth val="0"/>
        </c:ser>
        <c:ser>
          <c:idx val="2"/>
          <c:order val="2"/>
          <c:tx>
            <c:strRef>
              <c:f>'Cost Calculator'!$A$50</c:f>
              <c:strCache>
                <c:ptCount val="1"/>
                <c:pt idx="0">
                  <c:v>Recycle All Waste Where Facilities Exist</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'Cost Calculator'!$B$4:$E$4</c:f>
              <c:strCache>
                <c:ptCount val="4"/>
                <c:pt idx="0">
                  <c:v>1 year</c:v>
                </c:pt>
                <c:pt idx="1">
                  <c:v>3 years</c:v>
                </c:pt>
                <c:pt idx="2">
                  <c:v>6 years</c:v>
                </c:pt>
                <c:pt idx="3">
                  <c:v>10 years</c:v>
                </c:pt>
              </c:strCache>
            </c:strRef>
          </c:cat>
          <c:val>
            <c:numRef>
              <c:f>'Cost Calculator'!$B$63:$E$63</c:f>
              <c:numCache>
                <c:ptCount val="4"/>
                <c:pt idx="0">
                  <c:v>827.39</c:v>
                </c:pt>
                <c:pt idx="1">
                  <c:v>2482.17</c:v>
                </c:pt>
                <c:pt idx="2">
                  <c:v>4964.34</c:v>
                </c:pt>
                <c:pt idx="3">
                  <c:v>8273.9</c:v>
                </c:pt>
              </c:numCache>
            </c:numRef>
          </c:val>
          <c:smooth val="0"/>
        </c:ser>
        <c:ser>
          <c:idx val="3"/>
          <c:order val="3"/>
          <c:tx>
            <c:strRef>
              <c:f>'Cost Calculator'!$A$66</c:f>
              <c:strCache>
                <c:ptCount val="1"/>
                <c:pt idx="0">
                  <c:v>Landfill All Waste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'Cost Calculator'!$B$4:$E$4</c:f>
              <c:strCache>
                <c:ptCount val="4"/>
                <c:pt idx="0">
                  <c:v>1 year</c:v>
                </c:pt>
                <c:pt idx="1">
                  <c:v>3 years</c:v>
                </c:pt>
                <c:pt idx="2">
                  <c:v>6 years</c:v>
                </c:pt>
                <c:pt idx="3">
                  <c:v>10 years</c:v>
                </c:pt>
              </c:strCache>
            </c:strRef>
          </c:cat>
          <c:val>
            <c:numRef>
              <c:f>'Cost Calculator'!$B$79:$E$79</c:f>
              <c:numCache>
                <c:ptCount val="4"/>
                <c:pt idx="0">
                  <c:v>1030.9825</c:v>
                </c:pt>
                <c:pt idx="1">
                  <c:v>3092.9474999999998</c:v>
                </c:pt>
                <c:pt idx="2">
                  <c:v>6185.8949999999995</c:v>
                </c:pt>
                <c:pt idx="3">
                  <c:v>10309.825</c:v>
                </c:pt>
              </c:numCache>
            </c:numRef>
          </c:val>
          <c:smooth val="0"/>
        </c:ser>
        <c:marker val="1"/>
        <c:axId val="5453749"/>
        <c:axId val="49083742"/>
      </c:lineChart>
      <c:catAx>
        <c:axId val="5453749"/>
        <c:scaling>
          <c:orientation val="minMax"/>
        </c:scaling>
        <c:axPos val="b"/>
        <c:title>
          <c:tx>
            <c:rich>
              <a:bodyPr vert="horz" rot="0" anchor="ctr"/>
              <a:lstStyle/>
              <a:p>
                <a:pPr algn="ctr">
                  <a:defRPr/>
                </a:pPr>
                <a:r>
                  <a:rPr lang="en-US" cap="none" sz="1200" b="1" i="0" u="none" baseline="0">
                    <a:latin typeface="Arial"/>
                    <a:ea typeface="Arial"/>
                    <a:cs typeface="Arial"/>
                  </a:rPr>
                  <a:t>Time</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9083742"/>
        <c:crosses val="autoZero"/>
        <c:auto val="1"/>
        <c:lblOffset val="100"/>
        <c:noMultiLvlLbl val="0"/>
      </c:catAx>
      <c:valAx>
        <c:axId val="49083742"/>
        <c:scaling>
          <c:orientation val="minMax"/>
        </c:scaling>
        <c:axPos val="l"/>
        <c:title>
          <c:tx>
            <c:rich>
              <a:bodyPr vert="horz" rot="-5400000" anchor="ctr"/>
              <a:lstStyle/>
              <a:p>
                <a:pPr algn="ctr">
                  <a:defRPr/>
                </a:pPr>
                <a:r>
                  <a:rPr lang="en-US" cap="none" sz="1200"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453749"/>
        <c:crossesAt val="1"/>
        <c:crossBetween val="between"/>
        <c:dispUnits/>
      </c:valAx>
      <c:spPr>
        <a:noFill/>
        <a:ln>
          <a:noFill/>
        </a:ln>
      </c:spPr>
    </c:plotArea>
    <c:legend>
      <c:legendPos val="b"/>
      <c:layout>
        <c:manualLayout>
          <c:xMode val="edge"/>
          <c:yMode val="edge"/>
          <c:x val="0.3735"/>
          <c:y val="0.822"/>
          <c:w val="0.59225"/>
          <c:h val="0.1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Annual Hardscape and Landscape Waste Dispostion Cost (Over 10 Years)</a:t>
            </a:r>
          </a:p>
        </c:rich>
      </c:tx>
      <c:layout/>
      <c:spPr>
        <a:noFill/>
        <a:ln>
          <a:noFill/>
        </a:ln>
      </c:spPr>
    </c:title>
    <c:plotArea>
      <c:layout>
        <c:manualLayout>
          <c:xMode val="edge"/>
          <c:yMode val="edge"/>
          <c:x val="0.07175"/>
          <c:y val="0.18325"/>
          <c:w val="0.9115"/>
          <c:h val="0.711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4"/>
                <c:pt idx="0">
                  <c:v>Maximum Reuse, then Recycle, Landfill Remaining Waste </c:v>
                </c:pt>
                <c:pt idx="1">
                  <c:v>Maximum Reuse, Landfill Remaining Waste</c:v>
                </c:pt>
                <c:pt idx="2">
                  <c:v>Recycle All Waste Where Facilities Exist</c:v>
                </c:pt>
                <c:pt idx="3">
                  <c:v>Landfill All Waste</c:v>
                </c:pt>
              </c:strCache>
            </c:strRef>
          </c:cat>
          <c:val>
            <c:numRef>
              <c:f>('Cost Calculator'!$F$24,'Cost Calculator'!$F$47,'Cost Calculator'!$F$63,'Cost Calculator'!$F$79)</c:f>
              <c:numCache>
                <c:ptCount val="4"/>
                <c:pt idx="0">
                  <c:v>195.48994623655912</c:v>
                </c:pt>
                <c:pt idx="1">
                  <c:v>293.46286290322575</c:v>
                </c:pt>
                <c:pt idx="2">
                  <c:v>827.39</c:v>
                </c:pt>
                <c:pt idx="3">
                  <c:v>1030.9825</c:v>
                </c:pt>
              </c:numCache>
            </c:numRef>
          </c:val>
        </c:ser>
        <c:axId val="39100495"/>
        <c:axId val="16360136"/>
      </c:barChart>
      <c:catAx>
        <c:axId val="39100495"/>
        <c:scaling>
          <c:orientation val="minMax"/>
        </c:scaling>
        <c:axPos val="b"/>
        <c:title>
          <c:tx>
            <c:rich>
              <a:bodyPr vert="horz" rot="0" anchor="ctr"/>
              <a:lstStyle/>
              <a:p>
                <a:pPr algn="ctr">
                  <a:defRPr/>
                </a:pPr>
                <a:r>
                  <a:rPr lang="en-US" cap="none" sz="1200" b="1" i="0" u="none" baseline="0">
                    <a:latin typeface="Arial"/>
                    <a:ea typeface="Arial"/>
                    <a:cs typeface="Arial"/>
                  </a:rPr>
                  <a:t>Approach
(Waste Disposition)</a:t>
                </a:r>
              </a:p>
            </c:rich>
          </c:tx>
          <c:layout/>
          <c:overlay val="0"/>
          <c:spPr>
            <a:noFill/>
            <a:ln>
              <a:noFill/>
            </a:ln>
          </c:spPr>
        </c:title>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16360136"/>
        <c:crosses val="autoZero"/>
        <c:auto val="1"/>
        <c:lblOffset val="100"/>
        <c:noMultiLvlLbl val="0"/>
      </c:catAx>
      <c:valAx>
        <c:axId val="16360136"/>
        <c:scaling>
          <c:orientation val="minMax"/>
        </c:scaling>
        <c:axPos val="l"/>
        <c:title>
          <c:tx>
            <c:rich>
              <a:bodyPr vert="horz" rot="-5400000" anchor="ctr"/>
              <a:lstStyle/>
              <a:p>
                <a:pPr algn="ctr">
                  <a:defRPr/>
                </a:pPr>
                <a:r>
                  <a:rPr lang="en-US" cap="none" sz="1200"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9100495"/>
        <c:crossesAt val="1"/>
        <c:crossBetween val="between"/>
        <c:dispUnits/>
      </c:valAx>
      <c:spPr>
        <a:noFill/>
        <a:ln>
          <a:no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Tons of Waste Recycled or Reused</a:t>
            </a:r>
          </a:p>
        </c:rich>
      </c:tx>
      <c:layout/>
      <c:spPr>
        <a:noFill/>
        <a:ln>
          <a:noFill/>
        </a:ln>
      </c:spPr>
    </c:title>
    <c:plotArea>
      <c:layout>
        <c:manualLayout>
          <c:xMode val="edge"/>
          <c:yMode val="edge"/>
          <c:x val="0.052"/>
          <c:y val="0.10275"/>
          <c:w val="0.9265"/>
          <c:h val="0.6575"/>
        </c:manualLayout>
      </c:layout>
      <c:lineChart>
        <c:grouping val="standard"/>
        <c:varyColors val="0"/>
        <c:ser>
          <c:idx val="0"/>
          <c:order val="0"/>
          <c:tx>
            <c:strRef>
              <c:f>'Cost Calculator'!$A$4</c:f>
              <c:strCache>
                <c:ptCount val="1"/>
                <c:pt idx="0">
                  <c:v>Maximum Reuse, then Recycle, Landfill Remaining Waste </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9966"/>
              </a:solidFill>
              <a:ln>
                <a:solidFill>
                  <a:srgbClr val="339966"/>
                </a:solidFill>
              </a:ln>
            </c:spPr>
          </c:marker>
          <c:cat>
            <c:strRef>
              <c:f>'Cost Calculator'!$B$4:$E$4</c:f>
              <c:strCache>
                <c:ptCount val="4"/>
                <c:pt idx="0">
                  <c:v>1 year</c:v>
                </c:pt>
                <c:pt idx="1">
                  <c:v>3 years</c:v>
                </c:pt>
                <c:pt idx="2">
                  <c:v>6 years</c:v>
                </c:pt>
                <c:pt idx="3">
                  <c:v>10 years</c:v>
                </c:pt>
              </c:strCache>
            </c:strRef>
          </c:cat>
          <c:val>
            <c:numRef>
              <c:f>'Quantified Env Benefits'!$B$186:$E$186</c:f>
              <c:numCache>
                <c:ptCount val="4"/>
                <c:pt idx="0">
                  <c:v>35500</c:v>
                </c:pt>
                <c:pt idx="1">
                  <c:v>106500</c:v>
                </c:pt>
                <c:pt idx="2">
                  <c:v>213000</c:v>
                </c:pt>
                <c:pt idx="3">
                  <c:v>355000</c:v>
                </c:pt>
              </c:numCache>
            </c:numRef>
          </c:val>
          <c:smooth val="0"/>
        </c:ser>
        <c:ser>
          <c:idx val="1"/>
          <c:order val="1"/>
          <c:tx>
            <c:strRef>
              <c:f>'Cost Calculator'!$A$27</c:f>
              <c:strCache>
                <c:ptCount val="1"/>
                <c:pt idx="0">
                  <c:v>Maximum Reuse, Landfill Remaining Waste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'Cost Calculator'!$B$4:$E$4</c:f>
              <c:strCache>
                <c:ptCount val="4"/>
                <c:pt idx="0">
                  <c:v>1 year</c:v>
                </c:pt>
                <c:pt idx="1">
                  <c:v>3 years</c:v>
                </c:pt>
                <c:pt idx="2">
                  <c:v>6 years</c:v>
                </c:pt>
                <c:pt idx="3">
                  <c:v>10 years</c:v>
                </c:pt>
              </c:strCache>
            </c:strRef>
          </c:cat>
          <c:val>
            <c:numRef>
              <c:f>'Quantified Env Benefits'!$I$186:$L$186</c:f>
              <c:numCache>
                <c:ptCount val="4"/>
                <c:pt idx="0">
                  <c:v>18416.666666666668</c:v>
                </c:pt>
                <c:pt idx="1">
                  <c:v>55250</c:v>
                </c:pt>
                <c:pt idx="2">
                  <c:v>110500</c:v>
                </c:pt>
                <c:pt idx="3">
                  <c:v>184166.6666666667</c:v>
                </c:pt>
              </c:numCache>
            </c:numRef>
          </c:val>
          <c:smooth val="0"/>
        </c:ser>
        <c:ser>
          <c:idx val="2"/>
          <c:order val="2"/>
          <c:tx>
            <c:strRef>
              <c:f>'Cost Calculator'!$A$50</c:f>
              <c:strCache>
                <c:ptCount val="1"/>
                <c:pt idx="0">
                  <c:v>Recycle All Waste Where Facilities Exist</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'Cost Calculator'!$B$4:$E$4</c:f>
              <c:strCache>
                <c:ptCount val="4"/>
                <c:pt idx="0">
                  <c:v>1 year</c:v>
                </c:pt>
                <c:pt idx="1">
                  <c:v>3 years</c:v>
                </c:pt>
                <c:pt idx="2">
                  <c:v>6 years</c:v>
                </c:pt>
                <c:pt idx="3">
                  <c:v>10 years</c:v>
                </c:pt>
              </c:strCache>
            </c:strRef>
          </c:cat>
          <c:val>
            <c:numRef>
              <c:f>'Quantified Env Benefits'!$P$186:$S$186</c:f>
              <c:numCache>
                <c:ptCount val="4"/>
                <c:pt idx="0">
                  <c:v>35500</c:v>
                </c:pt>
                <c:pt idx="1">
                  <c:v>106500</c:v>
                </c:pt>
                <c:pt idx="2">
                  <c:v>213000</c:v>
                </c:pt>
                <c:pt idx="3">
                  <c:v>355000</c:v>
                </c:pt>
              </c:numCache>
            </c:numRef>
          </c:val>
          <c:smooth val="0"/>
        </c:ser>
        <c:marker val="1"/>
        <c:axId val="13023497"/>
        <c:axId val="50102610"/>
      </c:lineChart>
      <c:catAx>
        <c:axId val="13023497"/>
        <c:scaling>
          <c:orientation val="minMax"/>
        </c:scaling>
        <c:axPos val="b"/>
        <c:title>
          <c:tx>
            <c:rich>
              <a:bodyPr vert="horz" rot="0" anchor="ctr"/>
              <a:lstStyle/>
              <a:p>
                <a:pPr algn="ctr">
                  <a:defRPr/>
                </a:pPr>
                <a:r>
                  <a:rPr lang="en-US" cap="none" sz="950" b="1" i="0" u="none" baseline="0">
                    <a:latin typeface="Arial"/>
                    <a:ea typeface="Arial"/>
                    <a:cs typeface="Arial"/>
                  </a:rPr>
                  <a:t>Time</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102610"/>
        <c:crosses val="autoZero"/>
        <c:auto val="1"/>
        <c:lblOffset val="100"/>
        <c:noMultiLvlLbl val="0"/>
      </c:catAx>
      <c:valAx>
        <c:axId val="50102610"/>
        <c:scaling>
          <c:orientation val="minMax"/>
        </c:scaling>
        <c:axPos val="l"/>
        <c:title>
          <c:tx>
            <c:rich>
              <a:bodyPr vert="horz" rot="-5400000" anchor="ctr"/>
              <a:lstStyle/>
              <a:p>
                <a:pPr algn="ctr">
                  <a:defRPr/>
                </a:pPr>
                <a:r>
                  <a:rPr lang="en-US" cap="none" sz="950" b="1" i="0" u="none" baseline="0">
                    <a:latin typeface="Arial"/>
                    <a:ea typeface="Arial"/>
                    <a:cs typeface="Arial"/>
                  </a:rPr>
                  <a:t>Tons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023497"/>
        <c:crossesAt val="1"/>
        <c:crossBetween val="between"/>
        <c:dispUnits/>
      </c:valAx>
      <c:spPr>
        <a:noFill/>
        <a:ln>
          <a:noFill/>
        </a:ln>
      </c:spPr>
    </c:plotArea>
    <c:legend>
      <c:legendPos val="b"/>
      <c:layout>
        <c:manualLayout>
          <c:xMode val="edge"/>
          <c:yMode val="edge"/>
          <c:x val="0.06075"/>
          <c:y val="0.822"/>
          <c:w val="0.93925"/>
          <c:h val="0.1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Energy Use Avoided (Over 10 Years)</a:t>
            </a:r>
          </a:p>
        </c:rich>
      </c:tx>
      <c:layout/>
      <c:spPr>
        <a:noFill/>
        <a:ln>
          <a:noFill/>
        </a:ln>
      </c:spPr>
    </c:title>
    <c:plotArea>
      <c:layout>
        <c:manualLayout>
          <c:xMode val="edge"/>
          <c:yMode val="edge"/>
          <c:x val="0.08625"/>
          <c:y val="0.20025"/>
          <c:w val="0.891"/>
          <c:h val="0.703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Benefits'!$G$202,'Quantified Env Benefits'!$N$202,'Quantified Env Benefits'!$T$187)</c:f>
              <c:numCache>
                <c:ptCount val="3"/>
                <c:pt idx="0">
                  <c:v>8454.750943028213</c:v>
                </c:pt>
                <c:pt idx="1">
                  <c:v>4168.5</c:v>
                </c:pt>
                <c:pt idx="2">
                  <c:v>8441.865943028215</c:v>
                </c:pt>
              </c:numCache>
            </c:numRef>
          </c:val>
        </c:ser>
        <c:axId val="48270307"/>
        <c:axId val="31779580"/>
      </c:barChart>
      <c:catAx>
        <c:axId val="4827030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779580"/>
        <c:crosses val="autoZero"/>
        <c:auto val="1"/>
        <c:lblOffset val="100"/>
        <c:noMultiLvlLbl val="0"/>
      </c:catAx>
      <c:valAx>
        <c:axId val="31779580"/>
        <c:scaling>
          <c:orientation val="minMax"/>
        </c:scaling>
        <c:axPos val="l"/>
        <c:title>
          <c:tx>
            <c:rich>
              <a:bodyPr vert="horz" rot="-5400000" anchor="ctr"/>
              <a:lstStyle/>
              <a:p>
                <a:pPr algn="ctr">
                  <a:defRPr/>
                </a:pPr>
                <a:r>
                  <a:rPr lang="en-US" cap="none" sz="800" b="1" i="0" u="none" baseline="0">
                    <a:latin typeface="Arial"/>
                    <a:ea typeface="Arial"/>
                    <a:cs typeface="Arial"/>
                  </a:rPr>
                  <a:t>Enery Avoided (MJ)</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27030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Air Emissions Avoided (Over 10 Years)</a:t>
            </a:r>
          </a:p>
        </c:rich>
      </c:tx>
      <c:layout/>
      <c:spPr>
        <a:noFill/>
        <a:ln>
          <a:noFill/>
        </a:ln>
      </c:spPr>
    </c:title>
    <c:plotArea>
      <c:layout>
        <c:manualLayout>
          <c:xMode val="edge"/>
          <c:yMode val="edge"/>
          <c:x val="0.08575"/>
          <c:y val="0.2015"/>
          <c:w val="0.74"/>
          <c:h val="0.5975"/>
        </c:manualLayout>
      </c:layout>
      <c:barChart>
        <c:barDir val="col"/>
        <c:grouping val="clustered"/>
        <c:varyColors val="0"/>
        <c:ser>
          <c:idx val="1"/>
          <c:order val="0"/>
          <c:tx>
            <c:v>CO</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Benefits'!$G$205,'Quantified Env Benefits'!$N$205,'Quantified Env Benefits'!$T$190)</c:f>
              <c:numCache>
                <c:ptCount val="3"/>
                <c:pt idx="0">
                  <c:v>2314.28403349814</c:v>
                </c:pt>
                <c:pt idx="1">
                  <c:v>2241.7850000000003</c:v>
                </c:pt>
                <c:pt idx="2">
                  <c:v>123.9148773020049</c:v>
                </c:pt>
              </c:numCache>
            </c:numRef>
          </c:val>
        </c:ser>
        <c:ser>
          <c:idx val="2"/>
          <c:order val="1"/>
          <c:tx>
            <c:v>VOC</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Benefits'!$G$206,'Quantified Env Benefits'!$N$206,'Quantified Env Benefits'!$T$191)</c:f>
              <c:numCache>
                <c:ptCount val="3"/>
                <c:pt idx="0">
                  <c:v>435.1615328177448</c:v>
                </c:pt>
                <c:pt idx="1">
                  <c:v>408.65</c:v>
                </c:pt>
                <c:pt idx="2">
                  <c:v>53.02306563548943</c:v>
                </c:pt>
              </c:numCache>
            </c:numRef>
          </c:val>
        </c:ser>
        <c:ser>
          <c:idx val="3"/>
          <c:order val="2"/>
          <c:tx>
            <c:v>NOx</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Benefits'!$G$207,'Quantified Env Benefits'!$N$207,'Quantified Env Benefits'!$T$192)</c:f>
              <c:numCache>
                <c:ptCount val="3"/>
                <c:pt idx="0">
                  <c:v>5037.4241086818465</c:v>
                </c:pt>
                <c:pt idx="1">
                  <c:v>4611.5</c:v>
                </c:pt>
                <c:pt idx="2">
                  <c:v>801.7711058695455</c:v>
                </c:pt>
              </c:numCache>
            </c:numRef>
          </c:val>
        </c:ser>
        <c:ser>
          <c:idx val="4"/>
          <c:order val="3"/>
          <c:tx>
            <c:v>SO2</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Benefits'!$G$208,'Quantified Env Benefits'!$N$208,'Quantified Env Benefits'!$T$193)</c:f>
              <c:numCache>
                <c:ptCount val="3"/>
                <c:pt idx="0">
                  <c:v>5187.920424793613</c:v>
                </c:pt>
                <c:pt idx="1">
                  <c:v>2895.475</c:v>
                </c:pt>
                <c:pt idx="2">
                  <c:v>4540.619780005443</c:v>
                </c:pt>
              </c:numCache>
            </c:numRef>
          </c:val>
        </c:ser>
        <c:ser>
          <c:idx val="5"/>
          <c:order val="4"/>
          <c:tx>
            <c:v>PM</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Benefits'!$G$209,'Quantified Env Benefits'!$N$209,'Quantified Env Benefits'!$T$194)</c:f>
              <c:numCache>
                <c:ptCount val="3"/>
                <c:pt idx="0">
                  <c:v>3323.043907284768</c:v>
                </c:pt>
                <c:pt idx="1">
                  <c:v>1726.33</c:v>
                </c:pt>
                <c:pt idx="2">
                  <c:v>3189.9079016601654</c:v>
                </c:pt>
              </c:numCache>
            </c:numRef>
          </c:val>
        </c:ser>
        <c:axId val="17580765"/>
        <c:axId val="24009158"/>
      </c:barChart>
      <c:catAx>
        <c:axId val="175807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009158"/>
        <c:crosses val="autoZero"/>
        <c:auto val="1"/>
        <c:lblOffset val="100"/>
        <c:noMultiLvlLbl val="0"/>
      </c:catAx>
      <c:valAx>
        <c:axId val="24009158"/>
        <c:scaling>
          <c:orientation val="minMax"/>
        </c:scaling>
        <c:axPos val="l"/>
        <c:title>
          <c:tx>
            <c:rich>
              <a:bodyPr vert="horz" rot="-5400000" anchor="ctr"/>
              <a:lstStyle/>
              <a:p>
                <a:pPr algn="ctr">
                  <a:defRPr/>
                </a:pPr>
                <a:r>
                  <a:rPr lang="en-US" cap="none" sz="800" b="1" i="0" u="none" baseline="0">
                    <a:latin typeface="Arial"/>
                    <a:ea typeface="Arial"/>
                    <a:cs typeface="Arial"/>
                  </a:rPr>
                  <a:t>Emissions Avoided (grams)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58076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Greenhouse Gas Emissions Avoided (Over 10 Years)</a:t>
            </a:r>
          </a:p>
        </c:rich>
      </c:tx>
      <c:layout/>
      <c:spPr>
        <a:noFill/>
        <a:ln>
          <a:noFill/>
        </a:ln>
      </c:spPr>
    </c:title>
    <c:plotArea>
      <c:layout>
        <c:manualLayout>
          <c:xMode val="edge"/>
          <c:yMode val="edge"/>
          <c:x val="0.08625"/>
          <c:y val="0.18575"/>
          <c:w val="0.891"/>
          <c:h val="0.7187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Benefits'!$G$204,'Quantified Env Benefits'!$N$204,'Quantified Env Benefits'!$T$189)</c:f>
              <c:numCache>
                <c:ptCount val="3"/>
                <c:pt idx="0">
                  <c:v>9738.13754698691</c:v>
                </c:pt>
                <c:pt idx="1">
                  <c:v>5142.556905146001</c:v>
                </c:pt>
                <c:pt idx="2">
                  <c:v>9147.06928368182</c:v>
                </c:pt>
              </c:numCache>
            </c:numRef>
          </c:val>
        </c:ser>
        <c:axId val="14755831"/>
        <c:axId val="65693616"/>
      </c:barChart>
      <c:catAx>
        <c:axId val="1475583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693616"/>
        <c:crosses val="autoZero"/>
        <c:auto val="1"/>
        <c:lblOffset val="100"/>
        <c:noMultiLvlLbl val="0"/>
      </c:catAx>
      <c:valAx>
        <c:axId val="65693616"/>
        <c:scaling>
          <c:orientation val="minMax"/>
        </c:scaling>
        <c:axPos val="l"/>
        <c:title>
          <c:tx>
            <c:rich>
              <a:bodyPr vert="horz" rot="-5400000" anchor="ctr"/>
              <a:lstStyle/>
              <a:p>
                <a:pPr algn="ctr">
                  <a:defRPr/>
                </a:pPr>
                <a:r>
                  <a:rPr lang="en-US" cap="none" sz="800" b="1" i="0" u="none" baseline="0">
                    <a:latin typeface="Arial"/>
                    <a:ea typeface="Arial"/>
                    <a:cs typeface="Arial"/>
                  </a:rPr>
                  <a:t>Emissions Avoided (lbs. 
of CO2 equivalent)</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5583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Water Conserved (Over 10 Years)</a:t>
            </a:r>
          </a:p>
        </c:rich>
      </c:tx>
      <c:layout/>
      <c:spPr>
        <a:noFill/>
        <a:ln>
          <a:noFill/>
        </a:ln>
      </c:spPr>
    </c:title>
    <c:plotArea>
      <c:layout>
        <c:manualLayout>
          <c:xMode val="edge"/>
          <c:yMode val="edge"/>
          <c:x val="0.08925"/>
          <c:y val="0.20325"/>
          <c:w val="0.88825"/>
          <c:h val="0.702"/>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Benefits'!$G$211,'Quantified Env Benefits'!$N$211,'Quantified Env Benefits'!$T$196)</c:f>
              <c:numCache>
                <c:ptCount val="3"/>
                <c:pt idx="0">
                  <c:v>320.93946442518717</c:v>
                </c:pt>
                <c:pt idx="1">
                  <c:v>47.25</c:v>
                </c:pt>
                <c:pt idx="2">
                  <c:v>320.93946442518717</c:v>
                </c:pt>
              </c:numCache>
            </c:numRef>
          </c:val>
        </c:ser>
        <c:axId val="54371633"/>
        <c:axId val="19582650"/>
      </c:barChart>
      <c:catAx>
        <c:axId val="5437163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582650"/>
        <c:crosses val="autoZero"/>
        <c:auto val="1"/>
        <c:lblOffset val="100"/>
        <c:noMultiLvlLbl val="0"/>
      </c:catAx>
      <c:valAx>
        <c:axId val="19582650"/>
        <c:scaling>
          <c:orientation val="minMax"/>
        </c:scaling>
        <c:axPos val="l"/>
        <c:title>
          <c:tx>
            <c:rich>
              <a:bodyPr vert="horz" rot="-5400000" anchor="ctr"/>
              <a:lstStyle/>
              <a:p>
                <a:pPr algn="ctr">
                  <a:defRPr/>
                </a:pPr>
                <a:r>
                  <a:rPr lang="en-US" cap="none" sz="800" b="1" i="0" u="none" baseline="0">
                    <a:latin typeface="Arial"/>
                    <a:ea typeface="Arial"/>
                    <a:cs typeface="Arial"/>
                  </a:rPr>
                  <a:t>Water Conserved (gallons)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37163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RCRA Hazardous Waste Avoided (Over 10 Years)</a:t>
            </a:r>
          </a:p>
        </c:rich>
      </c:tx>
      <c:layout/>
      <c:spPr>
        <a:noFill/>
        <a:ln>
          <a:noFill/>
        </a:ln>
      </c:spPr>
    </c:title>
    <c:plotArea>
      <c:layout>
        <c:manualLayout>
          <c:xMode val="edge"/>
          <c:yMode val="edge"/>
          <c:x val="0.08575"/>
          <c:y val="0.1675"/>
          <c:w val="0.8915"/>
          <c:h val="0.731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Benefits'!$G$210,'Quantified Env Benefits'!$N$210,'Quantified Env Benefits'!$T$195)</c:f>
              <c:numCache>
                <c:ptCount val="3"/>
                <c:pt idx="0">
                  <c:v>0</c:v>
                </c:pt>
                <c:pt idx="1">
                  <c:v>0</c:v>
                </c:pt>
                <c:pt idx="2">
                  <c:v>0</c:v>
                </c:pt>
              </c:numCache>
            </c:numRef>
          </c:val>
        </c:ser>
        <c:axId val="42026123"/>
        <c:axId val="42690788"/>
      </c:barChart>
      <c:catAx>
        <c:axId val="4202612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90788"/>
        <c:crosses val="autoZero"/>
        <c:auto val="1"/>
        <c:lblOffset val="100"/>
        <c:noMultiLvlLbl val="0"/>
      </c:catAx>
      <c:valAx>
        <c:axId val="42690788"/>
        <c:scaling>
          <c:orientation val="minMax"/>
        </c:scaling>
        <c:axPos val="l"/>
        <c:title>
          <c:tx>
            <c:rich>
              <a:bodyPr vert="horz" rot="-5400000" anchor="ctr"/>
              <a:lstStyle/>
              <a:p>
                <a:pPr algn="ctr">
                  <a:defRPr/>
                </a:pPr>
                <a:r>
                  <a:rPr lang="en-US" cap="none" sz="800" b="1" i="0" u="none" baseline="0">
                    <a:latin typeface="Arial"/>
                    <a:ea typeface="Arial"/>
                    <a:cs typeface="Arial"/>
                  </a:rPr>
                  <a:t>Hazardous Waste 
Avoided (grams)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02612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9.emf" /><Relationship Id="rId3" Type="http://schemas.openxmlformats.org/officeDocument/2006/relationships/image" Target="../media/image5.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12.emf" /><Relationship Id="rId8" Type="http://schemas.openxmlformats.org/officeDocument/2006/relationships/image" Target="../media/image11.emf" /><Relationship Id="rId9" Type="http://schemas.openxmlformats.org/officeDocument/2006/relationships/image" Target="../media/image6.emf" /><Relationship Id="rId10"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19050</xdr:rowOff>
    </xdr:from>
    <xdr:to>
      <xdr:col>8</xdr:col>
      <xdr:colOff>590550</xdr:colOff>
      <xdr:row>1</xdr:row>
      <xdr:rowOff>38100</xdr:rowOff>
    </xdr:to>
    <xdr:pic>
      <xdr:nvPicPr>
        <xdr:cNvPr id="1" name="Picture 1"/>
        <xdr:cNvPicPr preferRelativeResize="1">
          <a:picLocks noChangeAspect="1"/>
        </xdr:cNvPicPr>
      </xdr:nvPicPr>
      <xdr:blipFill>
        <a:blip r:embed="rId1"/>
        <a:stretch>
          <a:fillRect/>
        </a:stretch>
      </xdr:blipFill>
      <xdr:spPr>
        <a:xfrm>
          <a:off x="3752850" y="19050"/>
          <a:ext cx="1714500" cy="342900"/>
        </a:xfrm>
        <a:prstGeom prst="rect">
          <a:avLst/>
        </a:prstGeom>
        <a:noFill/>
        <a:ln w="9525" cmpd="sng">
          <a:noFill/>
        </a:ln>
      </xdr:spPr>
    </xdr:pic>
    <xdr:clientData/>
  </xdr:twoCellAnchor>
  <xdr:twoCellAnchor editAs="oneCell">
    <xdr:from>
      <xdr:col>2</xdr:col>
      <xdr:colOff>95250</xdr:colOff>
      <xdr:row>16</xdr:row>
      <xdr:rowOff>9525</xdr:rowOff>
    </xdr:from>
    <xdr:to>
      <xdr:col>6</xdr:col>
      <xdr:colOff>38100</xdr:colOff>
      <xdr:row>26</xdr:row>
      <xdr:rowOff>28575</xdr:rowOff>
    </xdr:to>
    <xdr:pic>
      <xdr:nvPicPr>
        <xdr:cNvPr id="2" name="Picture 2"/>
        <xdr:cNvPicPr preferRelativeResize="1">
          <a:picLocks noChangeAspect="1"/>
        </xdr:cNvPicPr>
      </xdr:nvPicPr>
      <xdr:blipFill>
        <a:blip r:embed="rId2"/>
        <a:stretch>
          <a:fillRect/>
        </a:stretch>
      </xdr:blipFill>
      <xdr:spPr>
        <a:xfrm>
          <a:off x="1314450" y="7210425"/>
          <a:ext cx="2381250" cy="1638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523875</xdr:colOff>
      <xdr:row>0</xdr:row>
      <xdr:rowOff>47625</xdr:rowOff>
    </xdr:from>
    <xdr:to>
      <xdr:col>17</xdr:col>
      <xdr:colOff>619125</xdr:colOff>
      <xdr:row>2</xdr:row>
      <xdr:rowOff>47625</xdr:rowOff>
    </xdr:to>
    <xdr:pic>
      <xdr:nvPicPr>
        <xdr:cNvPr id="1" name="Picture 1"/>
        <xdr:cNvPicPr preferRelativeResize="1">
          <a:picLocks noChangeAspect="1"/>
        </xdr:cNvPicPr>
      </xdr:nvPicPr>
      <xdr:blipFill>
        <a:blip r:embed="rId1"/>
        <a:stretch>
          <a:fillRect/>
        </a:stretch>
      </xdr:blipFill>
      <xdr:spPr>
        <a:xfrm>
          <a:off x="18916650" y="47625"/>
          <a:ext cx="160972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9305925" y="28575"/>
          <a:ext cx="17145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4276725</xdr:colOff>
      <xdr:row>0</xdr:row>
      <xdr:rowOff>28575</xdr:rowOff>
    </xdr:from>
    <xdr:to>
      <xdr:col>1</xdr:col>
      <xdr:colOff>666750</xdr:colOff>
      <xdr:row>2</xdr:row>
      <xdr:rowOff>9525</xdr:rowOff>
    </xdr:to>
    <xdr:pic>
      <xdr:nvPicPr>
        <xdr:cNvPr id="1" name="Picture 1"/>
        <xdr:cNvPicPr preferRelativeResize="1">
          <a:picLocks noChangeAspect="1"/>
        </xdr:cNvPicPr>
      </xdr:nvPicPr>
      <xdr:blipFill>
        <a:blip r:embed="rId1"/>
        <a:stretch>
          <a:fillRect/>
        </a:stretch>
      </xdr:blipFill>
      <xdr:spPr>
        <a:xfrm>
          <a:off x="4276725" y="28575"/>
          <a:ext cx="1533525" cy="304800"/>
        </a:xfrm>
        <a:prstGeom prst="rect">
          <a:avLst/>
        </a:prstGeom>
        <a:noFill/>
        <a:ln w="9525" cmpd="sng">
          <a:noFill/>
        </a:ln>
      </xdr:spPr>
    </xdr:pic>
    <xdr:clientData/>
  </xdr:twoCellAnchor>
  <xdr:twoCellAnchor editAs="oneCell">
    <xdr:from>
      <xdr:col>1</xdr:col>
      <xdr:colOff>0</xdr:colOff>
      <xdr:row>75</xdr:row>
      <xdr:rowOff>9525</xdr:rowOff>
    </xdr:from>
    <xdr:to>
      <xdr:col>2</xdr:col>
      <xdr:colOff>19050</xdr:colOff>
      <xdr:row>75</xdr:row>
      <xdr:rowOff>228600</xdr:rowOff>
    </xdr:to>
    <xdr:pic>
      <xdr:nvPicPr>
        <xdr:cNvPr id="2" name="Concrete"/>
        <xdr:cNvPicPr preferRelativeResize="1">
          <a:picLocks noChangeAspect="1"/>
        </xdr:cNvPicPr>
      </xdr:nvPicPr>
      <xdr:blipFill>
        <a:blip r:embed="rId2"/>
        <a:stretch>
          <a:fillRect/>
        </a:stretch>
      </xdr:blipFill>
      <xdr:spPr>
        <a:xfrm>
          <a:off x="5143500" y="12839700"/>
          <a:ext cx="695325" cy="219075"/>
        </a:xfrm>
        <a:prstGeom prst="rect">
          <a:avLst/>
        </a:prstGeom>
        <a:noFill/>
        <a:ln w="9525" cmpd="sng">
          <a:noFill/>
        </a:ln>
      </xdr:spPr>
    </xdr:pic>
    <xdr:clientData/>
  </xdr:twoCellAnchor>
  <xdr:twoCellAnchor editAs="oneCell">
    <xdr:from>
      <xdr:col>1</xdr:col>
      <xdr:colOff>0</xdr:colOff>
      <xdr:row>87</xdr:row>
      <xdr:rowOff>9525</xdr:rowOff>
    </xdr:from>
    <xdr:to>
      <xdr:col>2</xdr:col>
      <xdr:colOff>19050</xdr:colOff>
      <xdr:row>87</xdr:row>
      <xdr:rowOff>228600</xdr:rowOff>
    </xdr:to>
    <xdr:pic>
      <xdr:nvPicPr>
        <xdr:cNvPr id="3" name="Asphalt"/>
        <xdr:cNvPicPr preferRelativeResize="1">
          <a:picLocks noChangeAspect="1"/>
        </xdr:cNvPicPr>
      </xdr:nvPicPr>
      <xdr:blipFill>
        <a:blip r:embed="rId3"/>
        <a:stretch>
          <a:fillRect/>
        </a:stretch>
      </xdr:blipFill>
      <xdr:spPr>
        <a:xfrm>
          <a:off x="5143500" y="14868525"/>
          <a:ext cx="695325" cy="219075"/>
        </a:xfrm>
        <a:prstGeom prst="rect">
          <a:avLst/>
        </a:prstGeom>
        <a:noFill/>
        <a:ln w="9525" cmpd="sng">
          <a:noFill/>
        </a:ln>
      </xdr:spPr>
    </xdr:pic>
    <xdr:clientData/>
  </xdr:twoCellAnchor>
  <xdr:twoCellAnchor editAs="oneCell">
    <xdr:from>
      <xdr:col>1</xdr:col>
      <xdr:colOff>0</xdr:colOff>
      <xdr:row>47</xdr:row>
      <xdr:rowOff>9525</xdr:rowOff>
    </xdr:from>
    <xdr:to>
      <xdr:col>2</xdr:col>
      <xdr:colOff>19050</xdr:colOff>
      <xdr:row>47</xdr:row>
      <xdr:rowOff>228600</xdr:rowOff>
    </xdr:to>
    <xdr:pic>
      <xdr:nvPicPr>
        <xdr:cNvPr id="4" name="Brick"/>
        <xdr:cNvPicPr preferRelativeResize="1">
          <a:picLocks noChangeAspect="1"/>
        </xdr:cNvPicPr>
      </xdr:nvPicPr>
      <xdr:blipFill>
        <a:blip r:embed="rId4"/>
        <a:stretch>
          <a:fillRect/>
        </a:stretch>
      </xdr:blipFill>
      <xdr:spPr>
        <a:xfrm>
          <a:off x="5143500" y="8048625"/>
          <a:ext cx="695325" cy="219075"/>
        </a:xfrm>
        <a:prstGeom prst="rect">
          <a:avLst/>
        </a:prstGeom>
        <a:noFill/>
        <a:ln w="9525" cmpd="sng">
          <a:noFill/>
        </a:ln>
      </xdr:spPr>
    </xdr:pic>
    <xdr:clientData/>
  </xdr:twoCellAnchor>
  <xdr:twoCellAnchor editAs="oneCell">
    <xdr:from>
      <xdr:col>1</xdr:col>
      <xdr:colOff>0</xdr:colOff>
      <xdr:row>26</xdr:row>
      <xdr:rowOff>19050</xdr:rowOff>
    </xdr:from>
    <xdr:to>
      <xdr:col>2</xdr:col>
      <xdr:colOff>19050</xdr:colOff>
      <xdr:row>26</xdr:row>
      <xdr:rowOff>247650</xdr:rowOff>
    </xdr:to>
    <xdr:pic>
      <xdr:nvPicPr>
        <xdr:cNvPr id="5" name="Lumber"/>
        <xdr:cNvPicPr preferRelativeResize="1">
          <a:picLocks noChangeAspect="1"/>
        </xdr:cNvPicPr>
      </xdr:nvPicPr>
      <xdr:blipFill>
        <a:blip r:embed="rId5"/>
        <a:stretch>
          <a:fillRect/>
        </a:stretch>
      </xdr:blipFill>
      <xdr:spPr>
        <a:xfrm>
          <a:off x="5143500" y="4572000"/>
          <a:ext cx="695325" cy="228600"/>
        </a:xfrm>
        <a:prstGeom prst="rect">
          <a:avLst/>
        </a:prstGeom>
        <a:noFill/>
        <a:ln w="9525" cmpd="sng">
          <a:noFill/>
        </a:ln>
      </xdr:spPr>
    </xdr:pic>
    <xdr:clientData/>
  </xdr:twoCellAnchor>
  <xdr:twoCellAnchor editAs="oneCell">
    <xdr:from>
      <xdr:col>1</xdr:col>
      <xdr:colOff>0</xdr:colOff>
      <xdr:row>11</xdr:row>
      <xdr:rowOff>9525</xdr:rowOff>
    </xdr:from>
    <xdr:to>
      <xdr:col>2</xdr:col>
      <xdr:colOff>19050</xdr:colOff>
      <xdr:row>11</xdr:row>
      <xdr:rowOff>228600</xdr:rowOff>
    </xdr:to>
    <xdr:pic>
      <xdr:nvPicPr>
        <xdr:cNvPr id="6" name="Yardwaste"/>
        <xdr:cNvPicPr preferRelativeResize="1">
          <a:picLocks noChangeAspect="1"/>
        </xdr:cNvPicPr>
      </xdr:nvPicPr>
      <xdr:blipFill>
        <a:blip r:embed="rId6"/>
        <a:stretch>
          <a:fillRect/>
        </a:stretch>
      </xdr:blipFill>
      <xdr:spPr>
        <a:xfrm>
          <a:off x="5143500" y="2047875"/>
          <a:ext cx="695325" cy="219075"/>
        </a:xfrm>
        <a:prstGeom prst="rect">
          <a:avLst/>
        </a:prstGeom>
        <a:noFill/>
        <a:ln w="9525" cmpd="sng">
          <a:noFill/>
        </a:ln>
      </xdr:spPr>
    </xdr:pic>
    <xdr:clientData/>
  </xdr:twoCellAnchor>
  <xdr:twoCellAnchor editAs="oneCell">
    <xdr:from>
      <xdr:col>1</xdr:col>
      <xdr:colOff>0</xdr:colOff>
      <xdr:row>66</xdr:row>
      <xdr:rowOff>9525</xdr:rowOff>
    </xdr:from>
    <xdr:to>
      <xdr:col>2</xdr:col>
      <xdr:colOff>19050</xdr:colOff>
      <xdr:row>66</xdr:row>
      <xdr:rowOff>228600</xdr:rowOff>
    </xdr:to>
    <xdr:pic>
      <xdr:nvPicPr>
        <xdr:cNvPr id="7" name="Crusher"/>
        <xdr:cNvPicPr preferRelativeResize="1">
          <a:picLocks noChangeAspect="1"/>
        </xdr:cNvPicPr>
      </xdr:nvPicPr>
      <xdr:blipFill>
        <a:blip r:embed="rId7"/>
        <a:stretch>
          <a:fillRect/>
        </a:stretch>
      </xdr:blipFill>
      <xdr:spPr>
        <a:xfrm>
          <a:off x="5143500" y="11296650"/>
          <a:ext cx="695325" cy="219075"/>
        </a:xfrm>
        <a:prstGeom prst="rect">
          <a:avLst/>
        </a:prstGeom>
        <a:noFill/>
        <a:ln w="9525" cmpd="sng">
          <a:noFill/>
        </a:ln>
      </xdr:spPr>
    </xdr:pic>
    <xdr:clientData/>
  </xdr:twoCellAnchor>
  <xdr:twoCellAnchor editAs="oneCell">
    <xdr:from>
      <xdr:col>1</xdr:col>
      <xdr:colOff>0</xdr:colOff>
      <xdr:row>50</xdr:row>
      <xdr:rowOff>9525</xdr:rowOff>
    </xdr:from>
    <xdr:to>
      <xdr:col>2</xdr:col>
      <xdr:colOff>19050</xdr:colOff>
      <xdr:row>50</xdr:row>
      <xdr:rowOff>228600</xdr:rowOff>
    </xdr:to>
    <xdr:pic>
      <xdr:nvPicPr>
        <xdr:cNvPr id="8" name="BrickBuy"/>
        <xdr:cNvPicPr preferRelativeResize="1">
          <a:picLocks noChangeAspect="1"/>
        </xdr:cNvPicPr>
      </xdr:nvPicPr>
      <xdr:blipFill>
        <a:blip r:embed="rId8"/>
        <a:stretch>
          <a:fillRect/>
        </a:stretch>
      </xdr:blipFill>
      <xdr:spPr>
        <a:xfrm>
          <a:off x="5143500" y="8620125"/>
          <a:ext cx="695325" cy="219075"/>
        </a:xfrm>
        <a:prstGeom prst="rect">
          <a:avLst/>
        </a:prstGeom>
        <a:noFill/>
        <a:ln w="9525" cmpd="sng">
          <a:noFill/>
        </a:ln>
      </xdr:spPr>
    </xdr:pic>
    <xdr:clientData/>
  </xdr:twoCellAnchor>
  <xdr:twoCellAnchor editAs="oneCell">
    <xdr:from>
      <xdr:col>1</xdr:col>
      <xdr:colOff>0</xdr:colOff>
      <xdr:row>10</xdr:row>
      <xdr:rowOff>9525</xdr:rowOff>
    </xdr:from>
    <xdr:to>
      <xdr:col>2</xdr:col>
      <xdr:colOff>19050</xdr:colOff>
      <xdr:row>10</xdr:row>
      <xdr:rowOff>228600</xdr:rowOff>
    </xdr:to>
    <xdr:pic>
      <xdr:nvPicPr>
        <xdr:cNvPr id="9" name="LargeChipper"/>
        <xdr:cNvPicPr preferRelativeResize="1">
          <a:picLocks noChangeAspect="1"/>
        </xdr:cNvPicPr>
      </xdr:nvPicPr>
      <xdr:blipFill>
        <a:blip r:embed="rId9"/>
        <a:stretch>
          <a:fillRect/>
        </a:stretch>
      </xdr:blipFill>
      <xdr:spPr>
        <a:xfrm>
          <a:off x="5143500" y="1800225"/>
          <a:ext cx="695325" cy="219075"/>
        </a:xfrm>
        <a:prstGeom prst="rect">
          <a:avLst/>
        </a:prstGeom>
        <a:noFill/>
        <a:ln w="9525" cmpd="sng">
          <a:noFill/>
        </a:ln>
      </xdr:spPr>
    </xdr:pic>
    <xdr:clientData/>
  </xdr:twoCellAnchor>
  <xdr:twoCellAnchor editAs="oneCell">
    <xdr:from>
      <xdr:col>0</xdr:col>
      <xdr:colOff>3990975</xdr:colOff>
      <xdr:row>3</xdr:row>
      <xdr:rowOff>9525</xdr:rowOff>
    </xdr:from>
    <xdr:to>
      <xdr:col>0</xdr:col>
      <xdr:colOff>5143500</xdr:colOff>
      <xdr:row>3</xdr:row>
      <xdr:rowOff>247650</xdr:rowOff>
    </xdr:to>
    <xdr:pic>
      <xdr:nvPicPr>
        <xdr:cNvPr id="10" name="Region"/>
        <xdr:cNvPicPr preferRelativeResize="1">
          <a:picLocks noChangeAspect="1"/>
        </xdr:cNvPicPr>
      </xdr:nvPicPr>
      <xdr:blipFill>
        <a:blip r:embed="rId10"/>
        <a:stretch>
          <a:fillRect/>
        </a:stretch>
      </xdr:blipFill>
      <xdr:spPr>
        <a:xfrm>
          <a:off x="3990975" y="495300"/>
          <a:ext cx="11525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4</xdr:col>
      <xdr:colOff>762000</xdr:colOff>
      <xdr:row>2</xdr:row>
      <xdr:rowOff>38100</xdr:rowOff>
    </xdr:to>
    <xdr:pic>
      <xdr:nvPicPr>
        <xdr:cNvPr id="1" name="Picture 1"/>
        <xdr:cNvPicPr preferRelativeResize="1">
          <a:picLocks noChangeAspect="1"/>
        </xdr:cNvPicPr>
      </xdr:nvPicPr>
      <xdr:blipFill>
        <a:blip r:embed="rId1"/>
        <a:stretch>
          <a:fillRect/>
        </a:stretch>
      </xdr:blipFill>
      <xdr:spPr>
        <a:xfrm>
          <a:off x="3686175" y="38100"/>
          <a:ext cx="15906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9572625" y="28575"/>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19050</xdr:rowOff>
    </xdr:from>
    <xdr:to>
      <xdr:col>11</xdr:col>
      <xdr:colOff>171450</xdr:colOff>
      <xdr:row>1</xdr:row>
      <xdr:rowOff>171450</xdr:rowOff>
    </xdr:to>
    <xdr:pic>
      <xdr:nvPicPr>
        <xdr:cNvPr id="1" name="Picture 2"/>
        <xdr:cNvPicPr preferRelativeResize="1">
          <a:picLocks noChangeAspect="1"/>
        </xdr:cNvPicPr>
      </xdr:nvPicPr>
      <xdr:blipFill>
        <a:blip r:embed="rId1"/>
        <a:stretch>
          <a:fillRect/>
        </a:stretch>
      </xdr:blipFill>
      <xdr:spPr>
        <a:xfrm>
          <a:off x="5276850" y="19050"/>
          <a:ext cx="1600200" cy="314325"/>
        </a:xfrm>
        <a:prstGeom prst="rect">
          <a:avLst/>
        </a:prstGeom>
        <a:noFill/>
        <a:ln w="9525" cmpd="sng">
          <a:noFill/>
        </a:ln>
      </xdr:spPr>
    </xdr:pic>
    <xdr:clientData/>
  </xdr:twoCellAnchor>
  <xdr:twoCellAnchor>
    <xdr:from>
      <xdr:col>0</xdr:col>
      <xdr:colOff>104775</xdr:colOff>
      <xdr:row>2</xdr:row>
      <xdr:rowOff>0</xdr:rowOff>
    </xdr:from>
    <xdr:to>
      <xdr:col>11</xdr:col>
      <xdr:colOff>190500</xdr:colOff>
      <xdr:row>21</xdr:row>
      <xdr:rowOff>57150</xdr:rowOff>
    </xdr:to>
    <xdr:graphicFrame>
      <xdr:nvGraphicFramePr>
        <xdr:cNvPr id="2" name="Chart 3"/>
        <xdr:cNvGraphicFramePr/>
      </xdr:nvGraphicFramePr>
      <xdr:xfrm>
        <a:off x="104775" y="400050"/>
        <a:ext cx="6791325" cy="3133725"/>
      </xdr:xfrm>
      <a:graphic>
        <a:graphicData uri="http://schemas.openxmlformats.org/drawingml/2006/chart">
          <c:chart xmlns:c="http://schemas.openxmlformats.org/drawingml/2006/chart" r:id="rId2"/>
        </a:graphicData>
      </a:graphic>
    </xdr:graphicFrame>
    <xdr:clientData/>
  </xdr:twoCellAnchor>
  <xdr:twoCellAnchor>
    <xdr:from>
      <xdr:col>0</xdr:col>
      <xdr:colOff>523875</xdr:colOff>
      <xdr:row>22</xdr:row>
      <xdr:rowOff>28575</xdr:rowOff>
    </xdr:from>
    <xdr:to>
      <xdr:col>10</xdr:col>
      <xdr:colOff>95250</xdr:colOff>
      <xdr:row>43</xdr:row>
      <xdr:rowOff>57150</xdr:rowOff>
    </xdr:to>
    <xdr:graphicFrame>
      <xdr:nvGraphicFramePr>
        <xdr:cNvPr id="3" name="Chart 4"/>
        <xdr:cNvGraphicFramePr/>
      </xdr:nvGraphicFramePr>
      <xdr:xfrm>
        <a:off x="523875" y="3667125"/>
        <a:ext cx="5667375" cy="34290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24</xdr:row>
      <xdr:rowOff>142875</xdr:rowOff>
    </xdr:from>
    <xdr:to>
      <xdr:col>8</xdr:col>
      <xdr:colOff>323850</xdr:colOff>
      <xdr:row>31</xdr:row>
      <xdr:rowOff>38100</xdr:rowOff>
    </xdr:to>
    <xdr:pic>
      <xdr:nvPicPr>
        <xdr:cNvPr id="1" name="Picture 1"/>
        <xdr:cNvPicPr preferRelativeResize="1">
          <a:picLocks noChangeAspect="1"/>
        </xdr:cNvPicPr>
      </xdr:nvPicPr>
      <xdr:blipFill>
        <a:blip r:embed="rId1"/>
        <a:stretch>
          <a:fillRect/>
        </a:stretch>
      </xdr:blipFill>
      <xdr:spPr>
        <a:xfrm>
          <a:off x="104775" y="5610225"/>
          <a:ext cx="50958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561975</xdr:colOff>
      <xdr:row>0</xdr:row>
      <xdr:rowOff>57150</xdr:rowOff>
    </xdr:from>
    <xdr:to>
      <xdr:col>19</xdr:col>
      <xdr:colOff>19050</xdr:colOff>
      <xdr:row>2</xdr:row>
      <xdr:rowOff>66675</xdr:rowOff>
    </xdr:to>
    <xdr:pic>
      <xdr:nvPicPr>
        <xdr:cNvPr id="1" name="Picture 1"/>
        <xdr:cNvPicPr preferRelativeResize="1">
          <a:picLocks noChangeAspect="1"/>
        </xdr:cNvPicPr>
      </xdr:nvPicPr>
      <xdr:blipFill>
        <a:blip r:embed="rId1"/>
        <a:stretch>
          <a:fillRect/>
        </a:stretch>
      </xdr:blipFill>
      <xdr:spPr>
        <a:xfrm>
          <a:off x="13430250" y="57150"/>
          <a:ext cx="1600200"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0</xdr:row>
      <xdr:rowOff>38100</xdr:rowOff>
    </xdr:from>
    <xdr:to>
      <xdr:col>14</xdr:col>
      <xdr:colOff>400050</xdr:colOff>
      <xdr:row>1</xdr:row>
      <xdr:rowOff>190500</xdr:rowOff>
    </xdr:to>
    <xdr:pic>
      <xdr:nvPicPr>
        <xdr:cNvPr id="1" name="Picture 1"/>
        <xdr:cNvPicPr preferRelativeResize="1">
          <a:picLocks noChangeAspect="1"/>
        </xdr:cNvPicPr>
      </xdr:nvPicPr>
      <xdr:blipFill>
        <a:blip r:embed="rId1"/>
        <a:stretch>
          <a:fillRect/>
        </a:stretch>
      </xdr:blipFill>
      <xdr:spPr>
        <a:xfrm>
          <a:off x="7334250" y="38100"/>
          <a:ext cx="1600200" cy="314325"/>
        </a:xfrm>
        <a:prstGeom prst="rect">
          <a:avLst/>
        </a:prstGeom>
        <a:noFill/>
        <a:ln w="9525" cmpd="sng">
          <a:noFill/>
        </a:ln>
      </xdr:spPr>
    </xdr:pic>
    <xdr:clientData/>
  </xdr:twoCellAnchor>
  <xdr:twoCellAnchor>
    <xdr:from>
      <xdr:col>0</xdr:col>
      <xdr:colOff>104775</xdr:colOff>
      <xdr:row>2</xdr:row>
      <xdr:rowOff>0</xdr:rowOff>
    </xdr:from>
    <xdr:to>
      <xdr:col>7</xdr:col>
      <xdr:colOff>152400</xdr:colOff>
      <xdr:row>21</xdr:row>
      <xdr:rowOff>57150</xdr:rowOff>
    </xdr:to>
    <xdr:graphicFrame>
      <xdr:nvGraphicFramePr>
        <xdr:cNvPr id="2" name="Chart 2"/>
        <xdr:cNvGraphicFramePr/>
      </xdr:nvGraphicFramePr>
      <xdr:xfrm>
        <a:off x="104775" y="400050"/>
        <a:ext cx="4314825" cy="3133725"/>
      </xdr:xfrm>
      <a:graphic>
        <a:graphicData uri="http://schemas.openxmlformats.org/drawingml/2006/chart">
          <c:chart xmlns:c="http://schemas.openxmlformats.org/drawingml/2006/chart" r:id="rId2"/>
        </a:graphicData>
      </a:graphic>
    </xdr:graphicFrame>
    <xdr:clientData/>
  </xdr:twoCellAnchor>
  <xdr:twoCellAnchor>
    <xdr:from>
      <xdr:col>7</xdr:col>
      <xdr:colOff>419100</xdr:colOff>
      <xdr:row>2</xdr:row>
      <xdr:rowOff>0</xdr:rowOff>
    </xdr:from>
    <xdr:to>
      <xdr:col>14</xdr:col>
      <xdr:colOff>400050</xdr:colOff>
      <xdr:row>21</xdr:row>
      <xdr:rowOff>76200</xdr:rowOff>
    </xdr:to>
    <xdr:graphicFrame>
      <xdr:nvGraphicFramePr>
        <xdr:cNvPr id="3" name="Chart 5"/>
        <xdr:cNvGraphicFramePr/>
      </xdr:nvGraphicFramePr>
      <xdr:xfrm>
        <a:off x="4686300" y="400050"/>
        <a:ext cx="4248150" cy="315277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22</xdr:row>
      <xdr:rowOff>0</xdr:rowOff>
    </xdr:from>
    <xdr:to>
      <xdr:col>7</xdr:col>
      <xdr:colOff>123825</xdr:colOff>
      <xdr:row>41</xdr:row>
      <xdr:rowOff>85725</xdr:rowOff>
    </xdr:to>
    <xdr:graphicFrame>
      <xdr:nvGraphicFramePr>
        <xdr:cNvPr id="4" name="Chart 6"/>
        <xdr:cNvGraphicFramePr/>
      </xdr:nvGraphicFramePr>
      <xdr:xfrm>
        <a:off x="114300" y="3638550"/>
        <a:ext cx="4276725" cy="3162300"/>
      </xdr:xfrm>
      <a:graphic>
        <a:graphicData uri="http://schemas.openxmlformats.org/drawingml/2006/chart">
          <c:chart xmlns:c="http://schemas.openxmlformats.org/drawingml/2006/chart" r:id="rId4"/>
        </a:graphicData>
      </a:graphic>
    </xdr:graphicFrame>
    <xdr:clientData/>
  </xdr:twoCellAnchor>
  <xdr:twoCellAnchor>
    <xdr:from>
      <xdr:col>7</xdr:col>
      <xdr:colOff>419100</xdr:colOff>
      <xdr:row>22</xdr:row>
      <xdr:rowOff>19050</xdr:rowOff>
    </xdr:from>
    <xdr:to>
      <xdr:col>14</xdr:col>
      <xdr:colOff>438150</xdr:colOff>
      <xdr:row>41</xdr:row>
      <xdr:rowOff>114300</xdr:rowOff>
    </xdr:to>
    <xdr:graphicFrame>
      <xdr:nvGraphicFramePr>
        <xdr:cNvPr id="5" name="Chart 7"/>
        <xdr:cNvGraphicFramePr/>
      </xdr:nvGraphicFramePr>
      <xdr:xfrm>
        <a:off x="4686300" y="3657600"/>
        <a:ext cx="4286250" cy="31718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42</xdr:row>
      <xdr:rowOff>57150</xdr:rowOff>
    </xdr:from>
    <xdr:to>
      <xdr:col>7</xdr:col>
      <xdr:colOff>123825</xdr:colOff>
      <xdr:row>62</xdr:row>
      <xdr:rowOff>0</xdr:rowOff>
    </xdr:to>
    <xdr:graphicFrame>
      <xdr:nvGraphicFramePr>
        <xdr:cNvPr id="6" name="Chart 8"/>
        <xdr:cNvGraphicFramePr/>
      </xdr:nvGraphicFramePr>
      <xdr:xfrm>
        <a:off x="95250" y="6934200"/>
        <a:ext cx="4295775" cy="3181350"/>
      </xdr:xfrm>
      <a:graphic>
        <a:graphicData uri="http://schemas.openxmlformats.org/drawingml/2006/chart">
          <c:chart xmlns:c="http://schemas.openxmlformats.org/drawingml/2006/chart" r:id="rId6"/>
        </a:graphicData>
      </a:graphic>
    </xdr:graphicFrame>
    <xdr:clientData/>
  </xdr:twoCellAnchor>
  <xdr:twoCellAnchor>
    <xdr:from>
      <xdr:col>7</xdr:col>
      <xdr:colOff>419100</xdr:colOff>
      <xdr:row>42</xdr:row>
      <xdr:rowOff>47625</xdr:rowOff>
    </xdr:from>
    <xdr:to>
      <xdr:col>14</xdr:col>
      <xdr:colOff>457200</xdr:colOff>
      <xdr:row>62</xdr:row>
      <xdr:rowOff>0</xdr:rowOff>
    </xdr:to>
    <xdr:graphicFrame>
      <xdr:nvGraphicFramePr>
        <xdr:cNvPr id="7" name="Chart 9"/>
        <xdr:cNvGraphicFramePr/>
      </xdr:nvGraphicFramePr>
      <xdr:xfrm>
        <a:off x="4686300" y="6924675"/>
        <a:ext cx="4305300" cy="3190875"/>
      </xdr:xfrm>
      <a:graphic>
        <a:graphicData uri="http://schemas.openxmlformats.org/drawingml/2006/chart">
          <c:chart xmlns:c="http://schemas.openxmlformats.org/drawingml/2006/chart" r:id="rId7"/>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742950</xdr:colOff>
      <xdr:row>0</xdr:row>
      <xdr:rowOff>47625</xdr:rowOff>
    </xdr:from>
    <xdr:to>
      <xdr:col>17</xdr:col>
      <xdr:colOff>466725</xdr:colOff>
      <xdr:row>2</xdr:row>
      <xdr:rowOff>47625</xdr:rowOff>
    </xdr:to>
    <xdr:pic>
      <xdr:nvPicPr>
        <xdr:cNvPr id="1" name="Picture 1"/>
        <xdr:cNvPicPr preferRelativeResize="1">
          <a:picLocks noChangeAspect="1"/>
        </xdr:cNvPicPr>
      </xdr:nvPicPr>
      <xdr:blipFill>
        <a:blip r:embed="rId1"/>
        <a:stretch>
          <a:fillRect/>
        </a:stretch>
      </xdr:blipFill>
      <xdr:spPr>
        <a:xfrm>
          <a:off x="12201525" y="47625"/>
          <a:ext cx="16097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3.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image" Target="../media/image22.png"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image" Target="../media/image23.png"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1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image" Target="../media/image15.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16.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17.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18.pn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image" Target="../media/image19.png"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20.png"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image" Target="../media/image21.png"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15"/>
  <sheetViews>
    <sheetView showGridLines="0" tabSelected="1" workbookViewId="0" topLeftCell="A1">
      <selection activeCell="A1" sqref="A1:F1"/>
    </sheetView>
  </sheetViews>
  <sheetFormatPr defaultColWidth="9.140625" defaultRowHeight="12.75"/>
  <sheetData>
    <row r="1" spans="1:9" ht="25.5" customHeight="1">
      <c r="A1" s="337" t="s">
        <v>80</v>
      </c>
      <c r="B1" s="338"/>
      <c r="C1" s="338"/>
      <c r="D1" s="338"/>
      <c r="E1" s="338"/>
      <c r="F1" s="339"/>
      <c r="G1" s="17"/>
      <c r="H1" s="17"/>
      <c r="I1" s="43"/>
    </row>
    <row r="2" spans="1:9" ht="12.75">
      <c r="A2" s="18"/>
      <c r="B2" s="19"/>
      <c r="C2" s="19"/>
      <c r="D2" s="19"/>
      <c r="E2" s="19"/>
      <c r="F2" s="19"/>
      <c r="G2" s="19"/>
      <c r="H2" s="19"/>
      <c r="I2" s="21"/>
    </row>
    <row r="3" spans="1:9" ht="93.75" customHeight="1">
      <c r="A3" s="340" t="s">
        <v>111</v>
      </c>
      <c r="B3" s="341"/>
      <c r="C3" s="341"/>
      <c r="D3" s="341"/>
      <c r="E3" s="341"/>
      <c r="F3" s="341"/>
      <c r="G3" s="341"/>
      <c r="H3" s="341"/>
      <c r="I3" s="342"/>
    </row>
    <row r="4" spans="1:9" ht="5.25" customHeight="1">
      <c r="A4" s="44"/>
      <c r="B4" s="23"/>
      <c r="C4" s="23"/>
      <c r="D4" s="23"/>
      <c r="E4" s="23"/>
      <c r="F4" s="23"/>
      <c r="G4" s="23"/>
      <c r="H4" s="23"/>
      <c r="I4" s="24"/>
    </row>
    <row r="5" spans="1:9" ht="104.25" customHeight="1">
      <c r="A5" s="340" t="s">
        <v>95</v>
      </c>
      <c r="B5" s="341"/>
      <c r="C5" s="341"/>
      <c r="D5" s="341"/>
      <c r="E5" s="341"/>
      <c r="F5" s="341"/>
      <c r="G5" s="341"/>
      <c r="H5" s="341"/>
      <c r="I5" s="342"/>
    </row>
    <row r="6" spans="1:9" ht="6.75" customHeight="1">
      <c r="A6" s="44"/>
      <c r="B6" s="23"/>
      <c r="C6" s="23"/>
      <c r="D6" s="23"/>
      <c r="E6" s="23"/>
      <c r="F6" s="23"/>
      <c r="G6" s="23"/>
      <c r="H6" s="23"/>
      <c r="I6" s="24"/>
    </row>
    <row r="7" spans="1:9" ht="51" customHeight="1">
      <c r="A7" s="340" t="s">
        <v>392</v>
      </c>
      <c r="B7" s="341"/>
      <c r="C7" s="341"/>
      <c r="D7" s="341"/>
      <c r="E7" s="341"/>
      <c r="F7" s="341"/>
      <c r="G7" s="341"/>
      <c r="H7" s="341"/>
      <c r="I7" s="342"/>
    </row>
    <row r="8" spans="1:9" ht="9" customHeight="1">
      <c r="A8" s="18"/>
      <c r="B8" s="19"/>
      <c r="C8" s="19"/>
      <c r="D8" s="19"/>
      <c r="E8" s="19"/>
      <c r="F8" s="19"/>
      <c r="G8" s="19"/>
      <c r="H8" s="19"/>
      <c r="I8" s="21"/>
    </row>
    <row r="9" spans="1:9" ht="25.5" customHeight="1">
      <c r="A9" s="340" t="s">
        <v>71</v>
      </c>
      <c r="B9" s="341"/>
      <c r="C9" s="341"/>
      <c r="D9" s="341"/>
      <c r="E9" s="341"/>
      <c r="F9" s="341"/>
      <c r="G9" s="341"/>
      <c r="H9" s="341"/>
      <c r="I9" s="342"/>
    </row>
    <row r="10" spans="1:9" ht="4.5" customHeight="1">
      <c r="A10" s="335"/>
      <c r="B10" s="336"/>
      <c r="C10" s="336"/>
      <c r="D10" s="336"/>
      <c r="E10" s="336"/>
      <c r="F10" s="336"/>
      <c r="G10" s="336"/>
      <c r="H10" s="336"/>
      <c r="I10" s="331"/>
    </row>
    <row r="11" spans="1:9" ht="106.5" customHeight="1">
      <c r="A11" s="340" t="s">
        <v>289</v>
      </c>
      <c r="B11" s="332"/>
      <c r="C11" s="332"/>
      <c r="D11" s="332"/>
      <c r="E11" s="332"/>
      <c r="F11" s="332"/>
      <c r="G11" s="332"/>
      <c r="H11" s="332"/>
      <c r="I11" s="333"/>
    </row>
    <row r="12" spans="1:9" ht="3.75" customHeight="1">
      <c r="A12" s="44"/>
      <c r="B12" s="84"/>
      <c r="C12" s="84"/>
      <c r="D12" s="84"/>
      <c r="E12" s="84"/>
      <c r="F12" s="84"/>
      <c r="G12" s="84"/>
      <c r="H12" s="84"/>
      <c r="I12" s="24"/>
    </row>
    <row r="13" spans="1:9" ht="27" customHeight="1">
      <c r="A13" s="340" t="s">
        <v>268</v>
      </c>
      <c r="B13" s="332"/>
      <c r="C13" s="332"/>
      <c r="D13" s="332"/>
      <c r="E13" s="332"/>
      <c r="F13" s="332"/>
      <c r="G13" s="332"/>
      <c r="H13" s="332"/>
      <c r="I13" s="333"/>
    </row>
    <row r="14" spans="1:9" ht="46.5" customHeight="1">
      <c r="A14" s="340" t="s">
        <v>389</v>
      </c>
      <c r="B14" s="332"/>
      <c r="C14" s="332"/>
      <c r="D14" s="332"/>
      <c r="E14" s="332"/>
      <c r="F14" s="332"/>
      <c r="G14" s="332"/>
      <c r="H14" s="332"/>
      <c r="I14" s="333"/>
    </row>
    <row r="15" spans="1:9" ht="32.25" customHeight="1">
      <c r="A15" s="343" t="s">
        <v>3</v>
      </c>
      <c r="B15" s="344"/>
      <c r="C15" s="344"/>
      <c r="D15" s="344"/>
      <c r="E15" s="344"/>
      <c r="F15" s="344"/>
      <c r="G15" s="344"/>
      <c r="H15" s="344"/>
      <c r="I15" s="334"/>
    </row>
  </sheetData>
  <sheetProtection sheet="1" objects="1" scenarios="1"/>
  <mergeCells count="10">
    <mergeCell ref="A1:F1"/>
    <mergeCell ref="A7:I7"/>
    <mergeCell ref="A9:I9"/>
    <mergeCell ref="A15:I15"/>
    <mergeCell ref="A3:I3"/>
    <mergeCell ref="A5:I5"/>
    <mergeCell ref="A10:I10"/>
    <mergeCell ref="A11:I11"/>
    <mergeCell ref="A13:I13"/>
    <mergeCell ref="A14:I14"/>
  </mergeCells>
  <printOptions/>
  <pageMargins left="0.75" right="0.75" top="1" bottom="1" header="0.5" footer="0.5"/>
  <pageSetup fitToHeight="1" fitToWidth="1" horizontalDpi="600" verticalDpi="600" orientation="portrait" scale="98" r:id="rId3"/>
  <drawing r:id="rId1"/>
  <picture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W73"/>
  <sheetViews>
    <sheetView showGridLines="0" workbookViewId="0" topLeftCell="A1">
      <selection activeCell="A1" sqref="A1:F1"/>
    </sheetView>
  </sheetViews>
  <sheetFormatPr defaultColWidth="9.140625" defaultRowHeight="12.75"/>
  <cols>
    <col min="1" max="1" width="27.140625" style="7" customWidth="1"/>
    <col min="2" max="2" width="14.140625" style="7" customWidth="1"/>
    <col min="3" max="3" width="14.421875" style="7" customWidth="1"/>
    <col min="4" max="4" width="25.57421875" style="7" customWidth="1"/>
    <col min="5" max="5" width="11.8515625" style="7" customWidth="1"/>
    <col min="6" max="6" width="27.8515625" style="7" customWidth="1"/>
    <col min="7" max="7" width="6.00390625" style="7" customWidth="1"/>
    <col min="8" max="8" width="19.8515625" style="7" bestFit="1" customWidth="1"/>
    <col min="9" max="9" width="22.00390625" style="7" customWidth="1"/>
    <col min="10" max="10" width="9.28125" style="7" customWidth="1"/>
    <col min="11" max="11" width="12.8515625" style="7" customWidth="1"/>
    <col min="12" max="12" width="38.7109375" style="7" customWidth="1"/>
    <col min="13" max="13" width="4.8515625" style="7" customWidth="1"/>
    <col min="14" max="14" width="19.8515625" style="7" customWidth="1"/>
    <col min="15" max="15" width="21.421875" style="7" customWidth="1"/>
    <col min="16" max="16" width="11.140625" style="7" customWidth="1"/>
    <col min="17" max="17" width="11.57421875" style="7" customWidth="1"/>
    <col min="18" max="18" width="38.7109375" style="7" customWidth="1"/>
    <col min="19" max="19" width="11.57421875" style="7" customWidth="1"/>
    <col min="20" max="20" width="15.140625" style="7" customWidth="1"/>
    <col min="21" max="23" width="9.7109375" style="7" customWidth="1"/>
    <col min="24" max="16384" width="9.140625" style="7" customWidth="1"/>
  </cols>
  <sheetData>
    <row r="1" spans="1:23" ht="12.75" customHeight="1">
      <c r="A1" s="327" t="s">
        <v>285</v>
      </c>
      <c r="B1" s="451"/>
      <c r="C1" s="451"/>
      <c r="D1" s="451"/>
      <c r="E1" s="451"/>
      <c r="F1" s="451"/>
      <c r="G1" s="244"/>
      <c r="H1" s="244"/>
      <c r="I1" s="244"/>
      <c r="U1" s="41"/>
      <c r="V1" s="41"/>
      <c r="W1" s="41"/>
    </row>
    <row r="2" spans="1:23" ht="12.75" customHeight="1">
      <c r="A2" s="243"/>
      <c r="B2" s="244"/>
      <c r="C2" s="244"/>
      <c r="D2" s="244"/>
      <c r="E2" s="244"/>
      <c r="F2" s="244"/>
      <c r="G2" s="244"/>
      <c r="H2" s="244"/>
      <c r="I2" s="244"/>
      <c r="U2" s="41"/>
      <c r="V2" s="41"/>
      <c r="W2" s="41"/>
    </row>
    <row r="3" spans="1:23" ht="25.5" customHeight="1">
      <c r="A3" s="449" t="s">
        <v>328</v>
      </c>
      <c r="B3" s="450"/>
      <c r="C3" s="450"/>
      <c r="D3" s="450"/>
      <c r="E3" s="450"/>
      <c r="F3" s="450"/>
      <c r="G3" s="244"/>
      <c r="H3" s="244"/>
      <c r="I3" s="244"/>
      <c r="U3" s="41"/>
      <c r="V3" s="41"/>
      <c r="W3" s="41"/>
    </row>
    <row r="4" spans="1:23" ht="12.75">
      <c r="A4" s="5"/>
      <c r="B4" s="5"/>
      <c r="C4" s="5"/>
      <c r="D4" s="5"/>
      <c r="E4" s="5"/>
      <c r="U4" s="5"/>
      <c r="V4" s="5"/>
      <c r="W4" s="5"/>
    </row>
    <row r="5" spans="1:23" ht="12.75">
      <c r="A5" s="271" t="s">
        <v>152</v>
      </c>
      <c r="B5" s="272"/>
      <c r="C5" s="272"/>
      <c r="D5" s="272"/>
      <c r="E5" s="272"/>
      <c r="U5" s="5"/>
      <c r="V5" s="5"/>
      <c r="W5" s="5"/>
    </row>
    <row r="6" spans="1:13" ht="12.75">
      <c r="A6" s="245" t="s">
        <v>290</v>
      </c>
      <c r="B6" s="180" t="s">
        <v>286</v>
      </c>
      <c r="C6" s="252" t="s">
        <v>287</v>
      </c>
      <c r="D6" s="252"/>
      <c r="E6" s="180" t="s">
        <v>287</v>
      </c>
      <c r="F6" s="282"/>
      <c r="G6" s="238"/>
      <c r="M6" s="238"/>
    </row>
    <row r="7" spans="1:19" ht="38.25" customHeight="1">
      <c r="A7" s="36" t="s">
        <v>293</v>
      </c>
      <c r="B7" s="209">
        <f>'Quantified Env Benefits'!G198</f>
        <v>18416.666666666668</v>
      </c>
      <c r="C7" s="253">
        <f>4.6*2.6</f>
        <v>11.959999999999999</v>
      </c>
      <c r="D7" s="273" t="s">
        <v>308</v>
      </c>
      <c r="E7" s="266">
        <f aca="true" t="shared" si="0" ref="E7:E18">B7/C7</f>
        <v>1539.8550724637682</v>
      </c>
      <c r="F7" s="283" t="s">
        <v>320</v>
      </c>
      <c r="G7" s="237"/>
      <c r="M7" s="237"/>
      <c r="S7" s="236" t="e">
        <f>F38/10</f>
        <v>#VALUE!</v>
      </c>
    </row>
    <row r="8" spans="1:19" ht="38.25" customHeight="1">
      <c r="A8" s="49" t="s">
        <v>294</v>
      </c>
      <c r="B8" s="209">
        <f>'Quantified Env Benefits'!G199</f>
        <v>17083.333333333332</v>
      </c>
      <c r="C8" s="253">
        <f>4.6*2.6</f>
        <v>11.959999999999999</v>
      </c>
      <c r="D8" s="273" t="s">
        <v>308</v>
      </c>
      <c r="E8" s="266">
        <f t="shared" si="0"/>
        <v>1428.3723522853957</v>
      </c>
      <c r="F8" s="283" t="s">
        <v>320</v>
      </c>
      <c r="G8" s="237"/>
      <c r="M8" s="237"/>
      <c r="S8" s="236"/>
    </row>
    <row r="9" spans="1:19" ht="38.25" customHeight="1" thickBot="1">
      <c r="A9" s="113" t="s">
        <v>295</v>
      </c>
      <c r="B9" s="209">
        <f>'Quantified Env Benefits'!G200</f>
        <v>0</v>
      </c>
      <c r="C9" s="253">
        <f>4.6*2.6</f>
        <v>11.959999999999999</v>
      </c>
      <c r="D9" s="273" t="s">
        <v>308</v>
      </c>
      <c r="E9" s="264">
        <f t="shared" si="0"/>
        <v>0</v>
      </c>
      <c r="F9" s="283" t="s">
        <v>320</v>
      </c>
      <c r="G9" s="237"/>
      <c r="M9" s="237"/>
      <c r="S9" s="236"/>
    </row>
    <row r="10" spans="1:19" ht="25.5" customHeight="1" thickBot="1">
      <c r="A10" s="216" t="s">
        <v>296</v>
      </c>
      <c r="B10" s="246">
        <f>'Quantified Env Benefits'!G202</f>
        <v>8454.750943028213</v>
      </c>
      <c r="C10" s="246">
        <f>11965*3.6/365</f>
        <v>118.01095890410959</v>
      </c>
      <c r="D10" s="274" t="s">
        <v>309</v>
      </c>
      <c r="E10" s="267">
        <f t="shared" si="0"/>
        <v>71.64377801470256</v>
      </c>
      <c r="F10" s="284" t="s">
        <v>327</v>
      </c>
      <c r="G10" s="237"/>
      <c r="M10" s="237"/>
      <c r="S10" s="236"/>
    </row>
    <row r="11" spans="1:19" ht="38.25" customHeight="1">
      <c r="A11" s="152" t="s">
        <v>297</v>
      </c>
      <c r="B11" s="220">
        <f>'Quantified Env Benefits'!G204</f>
        <v>9738.13754698691</v>
      </c>
      <c r="C11" s="220">
        <f>2204.623*5.46/365</f>
        <v>32.97874405479452</v>
      </c>
      <c r="D11" s="275" t="s">
        <v>326</v>
      </c>
      <c r="E11" s="265">
        <f t="shared" si="0"/>
        <v>295.2852762011463</v>
      </c>
      <c r="F11" s="285" t="s">
        <v>318</v>
      </c>
      <c r="G11" s="237"/>
      <c r="M11" s="237"/>
      <c r="S11" s="236" t="e">
        <f aca="true" t="shared" si="1" ref="S11:S18">F39/10</f>
        <v>#VALUE!</v>
      </c>
    </row>
    <row r="12" spans="1:19" ht="14.25">
      <c r="A12" s="36" t="s">
        <v>298</v>
      </c>
      <c r="B12" s="209">
        <f>'Quantified Env Benefits'!G205</f>
        <v>2314.28403349814</v>
      </c>
      <c r="C12" s="250">
        <v>14.2</v>
      </c>
      <c r="D12" s="276" t="s">
        <v>312</v>
      </c>
      <c r="E12" s="265">
        <f t="shared" si="0"/>
        <v>162.9777488378972</v>
      </c>
      <c r="F12" s="285" t="s">
        <v>321</v>
      </c>
      <c r="G12" s="237"/>
      <c r="M12" s="237"/>
      <c r="S12" s="236" t="e">
        <f t="shared" si="1"/>
        <v>#VALUE!</v>
      </c>
    </row>
    <row r="13" spans="1:19" ht="38.25" customHeight="1">
      <c r="A13" s="36" t="s">
        <v>299</v>
      </c>
      <c r="B13" s="209">
        <f>'Quantified Env Benefits'!G206</f>
        <v>435.1615328177448</v>
      </c>
      <c r="C13" s="248">
        <v>1.4</v>
      </c>
      <c r="D13" s="276" t="s">
        <v>313</v>
      </c>
      <c r="E13" s="265">
        <f t="shared" si="0"/>
        <v>310.82966629838916</v>
      </c>
      <c r="F13" s="285" t="s">
        <v>321</v>
      </c>
      <c r="G13" s="237"/>
      <c r="M13" s="237"/>
      <c r="S13" s="236" t="e">
        <f t="shared" si="1"/>
        <v>#VALUE!</v>
      </c>
    </row>
    <row r="14" spans="1:19" ht="25.5" customHeight="1">
      <c r="A14" s="36" t="s">
        <v>335</v>
      </c>
      <c r="B14" s="209">
        <f>'Quantified Env Benefits'!G207</f>
        <v>5037.4241086818465</v>
      </c>
      <c r="C14" s="220">
        <v>47.47123287671233</v>
      </c>
      <c r="D14" s="275" t="s">
        <v>325</v>
      </c>
      <c r="E14" s="265">
        <f t="shared" si="0"/>
        <v>106.11529980197807</v>
      </c>
      <c r="F14" s="285" t="s">
        <v>329</v>
      </c>
      <c r="G14" s="237"/>
      <c r="M14" s="237"/>
      <c r="S14" s="236" t="e">
        <f t="shared" si="1"/>
        <v>#VALUE!</v>
      </c>
    </row>
    <row r="15" spans="1:19" ht="15.75">
      <c r="A15" s="36" t="s">
        <v>334</v>
      </c>
      <c r="B15" s="209">
        <f>'Quantified Env Benefits'!G208</f>
        <v>5187.920424793613</v>
      </c>
      <c r="C15" s="220">
        <f>160673/365/24/60*2000/'Cost Data'!$D$46*1000</f>
        <v>277324.18075337424</v>
      </c>
      <c r="D15" s="275" t="s">
        <v>310</v>
      </c>
      <c r="E15" s="279">
        <f t="shared" si="0"/>
        <v>0.01870706121154021</v>
      </c>
      <c r="F15" s="285" t="s">
        <v>322</v>
      </c>
      <c r="G15" s="237"/>
      <c r="M15" s="237"/>
      <c r="S15" s="236" t="e">
        <f t="shared" si="1"/>
        <v>#VALUE!</v>
      </c>
    </row>
    <row r="16" spans="1:19" ht="38.25" customHeight="1" thickBot="1">
      <c r="A16" s="166" t="s">
        <v>300</v>
      </c>
      <c r="B16" s="247">
        <f>'Quantified Env Benefits'!G209</f>
        <v>3323.043907284768</v>
      </c>
      <c r="C16" s="254">
        <v>0.75</v>
      </c>
      <c r="D16" s="276" t="s">
        <v>314</v>
      </c>
      <c r="E16" s="264">
        <f t="shared" si="0"/>
        <v>4430.725209713024</v>
      </c>
      <c r="F16" s="286" t="s">
        <v>323</v>
      </c>
      <c r="G16" s="237"/>
      <c r="M16" s="237"/>
      <c r="S16" s="236" t="e">
        <f t="shared" si="1"/>
        <v>#VALUE!</v>
      </c>
    </row>
    <row r="17" spans="1:19" ht="38.25" customHeight="1">
      <c r="A17" s="219" t="s">
        <v>301</v>
      </c>
      <c r="B17" s="220">
        <f>'Quantified Env Benefits'!G210</f>
        <v>0</v>
      </c>
      <c r="C17" s="280">
        <v>0.7</v>
      </c>
      <c r="D17" s="277" t="s">
        <v>315</v>
      </c>
      <c r="E17" s="268">
        <f t="shared" si="0"/>
        <v>0</v>
      </c>
      <c r="F17" s="287" t="s">
        <v>316</v>
      </c>
      <c r="G17" s="237"/>
      <c r="M17" s="237"/>
      <c r="S17" s="236" t="e">
        <f t="shared" si="1"/>
        <v>#VALUE!</v>
      </c>
    </row>
    <row r="18" spans="1:19" ht="38.25" customHeight="1">
      <c r="A18" s="83" t="s">
        <v>302</v>
      </c>
      <c r="B18" s="209">
        <f>'Quantified Env Benefits'!G211</f>
        <v>320.93946442518717</v>
      </c>
      <c r="C18" s="209">
        <v>40</v>
      </c>
      <c r="D18" s="278" t="s">
        <v>311</v>
      </c>
      <c r="E18" s="266">
        <f t="shared" si="0"/>
        <v>8.023486610629678</v>
      </c>
      <c r="F18" s="281" t="s">
        <v>324</v>
      </c>
      <c r="G18" s="237"/>
      <c r="M18" s="237"/>
      <c r="S18" s="236" t="e">
        <f t="shared" si="1"/>
        <v>#VALUE!</v>
      </c>
    </row>
    <row r="19" spans="1:5" ht="12.75">
      <c r="A19" s="251" t="s">
        <v>75</v>
      </c>
      <c r="E19" s="269"/>
    </row>
    <row r="20" spans="1:6" ht="12.75">
      <c r="A20" s="245" t="s">
        <v>290</v>
      </c>
      <c r="B20" s="180" t="s">
        <v>286</v>
      </c>
      <c r="C20" s="252" t="s">
        <v>287</v>
      </c>
      <c r="D20" s="252"/>
      <c r="E20" s="270" t="s">
        <v>287</v>
      </c>
      <c r="F20" s="288"/>
    </row>
    <row r="21" spans="1:19" ht="38.25" customHeight="1">
      <c r="A21" s="36" t="s">
        <v>293</v>
      </c>
      <c r="B21" s="209">
        <f>'Quantified Env Benefits'!N198</f>
        <v>18416.666666666668</v>
      </c>
      <c r="C21" s="253">
        <f>4.6*2.6</f>
        <v>11.959999999999999</v>
      </c>
      <c r="D21" s="273" t="s">
        <v>308</v>
      </c>
      <c r="E21" s="266">
        <f aca="true" t="shared" si="2" ref="E21:E32">B21/C21</f>
        <v>1539.8550724637682</v>
      </c>
      <c r="F21" s="283" t="s">
        <v>320</v>
      </c>
      <c r="G21" s="237"/>
      <c r="M21" s="237"/>
      <c r="S21" s="236">
        <f>F53/10</f>
        <v>0</v>
      </c>
    </row>
    <row r="22" spans="1:19" ht="38.25" customHeight="1">
      <c r="A22" s="49" t="s">
        <v>294</v>
      </c>
      <c r="B22" s="209">
        <f>'Quantified Env Benefits'!N199</f>
        <v>0</v>
      </c>
      <c r="C22" s="253">
        <f>4.6*2.6</f>
        <v>11.959999999999999</v>
      </c>
      <c r="D22" s="273" t="s">
        <v>308</v>
      </c>
      <c r="E22" s="266">
        <f t="shared" si="2"/>
        <v>0</v>
      </c>
      <c r="F22" s="283" t="s">
        <v>320</v>
      </c>
      <c r="G22" s="237"/>
      <c r="M22" s="237"/>
      <c r="S22" s="236"/>
    </row>
    <row r="23" spans="1:19" ht="38.25" customHeight="1" thickBot="1">
      <c r="A23" s="113" t="s">
        <v>295</v>
      </c>
      <c r="B23" s="209">
        <f>'Quantified Env Benefits'!N200</f>
        <v>17083.333333333332</v>
      </c>
      <c r="C23" s="253">
        <f>4.6*2.6</f>
        <v>11.959999999999999</v>
      </c>
      <c r="D23" s="273" t="s">
        <v>308</v>
      </c>
      <c r="E23" s="264">
        <f t="shared" si="2"/>
        <v>1428.3723522853957</v>
      </c>
      <c r="F23" s="283" t="s">
        <v>320</v>
      </c>
      <c r="G23" s="237"/>
      <c r="M23" s="237"/>
      <c r="S23" s="236"/>
    </row>
    <row r="24" spans="1:6" ht="25.5" customHeight="1" thickBot="1">
      <c r="A24" s="214" t="s">
        <v>296</v>
      </c>
      <c r="B24" s="215">
        <f>'Quantified Env Benefits'!N202</f>
        <v>4168.5</v>
      </c>
      <c r="C24" s="246">
        <f>11965*3.6/365</f>
        <v>118.01095890410959</v>
      </c>
      <c r="D24" s="274" t="s">
        <v>309</v>
      </c>
      <c r="E24" s="267">
        <f t="shared" si="2"/>
        <v>35.32299066722385</v>
      </c>
      <c r="F24" s="284" t="s">
        <v>327</v>
      </c>
    </row>
    <row r="25" spans="1:6" ht="25.5">
      <c r="A25" s="219" t="s">
        <v>297</v>
      </c>
      <c r="B25" s="213">
        <f>'Quantified Env Benefits'!N204</f>
        <v>5142.556905146001</v>
      </c>
      <c r="C25" s="220">
        <f>2204.623*5.46/365</f>
        <v>32.97874405479452</v>
      </c>
      <c r="D25" s="275" t="s">
        <v>326</v>
      </c>
      <c r="E25" s="265">
        <f t="shared" si="2"/>
        <v>155.93549883529798</v>
      </c>
      <c r="F25" s="285" t="s">
        <v>318</v>
      </c>
    </row>
    <row r="26" spans="1:6" ht="14.25">
      <c r="A26" s="36" t="s">
        <v>298</v>
      </c>
      <c r="B26" s="209">
        <f>'Quantified Env Benefits'!N205</f>
        <v>2241.7850000000003</v>
      </c>
      <c r="C26" s="250">
        <v>14.2</v>
      </c>
      <c r="D26" s="276" t="s">
        <v>312</v>
      </c>
      <c r="E26" s="265">
        <f t="shared" si="2"/>
        <v>157.8721830985916</v>
      </c>
      <c r="F26" s="285" t="s">
        <v>321</v>
      </c>
    </row>
    <row r="27" spans="1:6" ht="14.25">
      <c r="A27" s="36" t="s">
        <v>299</v>
      </c>
      <c r="B27" s="209">
        <f>'Quantified Env Benefits'!N206</f>
        <v>408.65</v>
      </c>
      <c r="C27" s="248">
        <v>1.4</v>
      </c>
      <c r="D27" s="276" t="s">
        <v>313</v>
      </c>
      <c r="E27" s="265">
        <f t="shared" si="2"/>
        <v>291.89285714285717</v>
      </c>
      <c r="F27" s="285" t="s">
        <v>321</v>
      </c>
    </row>
    <row r="28" spans="1:6" ht="15.75">
      <c r="A28" s="36" t="s">
        <v>335</v>
      </c>
      <c r="B28" s="209">
        <f>'Quantified Env Benefits'!N207</f>
        <v>4611.5</v>
      </c>
      <c r="C28" s="220">
        <v>47.47123287671233</v>
      </c>
      <c r="D28" s="275" t="s">
        <v>325</v>
      </c>
      <c r="E28" s="265">
        <f t="shared" si="2"/>
        <v>97.1430426501991</v>
      </c>
      <c r="F28" s="285" t="s">
        <v>329</v>
      </c>
    </row>
    <row r="29" spans="1:6" ht="15.75">
      <c r="A29" s="36" t="s">
        <v>334</v>
      </c>
      <c r="B29" s="209">
        <f>'Quantified Env Benefits'!N208</f>
        <v>2895.475</v>
      </c>
      <c r="C29" s="220">
        <f>160673/365/24/60*2000/'Cost Data'!$D$46*1000</f>
        <v>277324.18075337424</v>
      </c>
      <c r="D29" s="275" t="s">
        <v>310</v>
      </c>
      <c r="E29" s="279">
        <f t="shared" si="2"/>
        <v>0.01044075923034984</v>
      </c>
      <c r="F29" s="285" t="s">
        <v>322</v>
      </c>
    </row>
    <row r="30" spans="1:6" ht="27.75" thickBot="1">
      <c r="A30" s="233" t="s">
        <v>300</v>
      </c>
      <c r="B30" s="247">
        <f>'Quantified Env Benefits'!N209</f>
        <v>1726.33</v>
      </c>
      <c r="C30" s="254">
        <v>0.75</v>
      </c>
      <c r="D30" s="276" t="s">
        <v>314</v>
      </c>
      <c r="E30" s="264">
        <f t="shared" si="2"/>
        <v>2301.773333333333</v>
      </c>
      <c r="F30" s="286" t="s">
        <v>323</v>
      </c>
    </row>
    <row r="31" spans="1:6" ht="25.5">
      <c r="A31" s="219" t="s">
        <v>301</v>
      </c>
      <c r="B31" s="213">
        <f>'Quantified Env Benefits'!N210</f>
        <v>0</v>
      </c>
      <c r="C31" s="280">
        <v>0.7</v>
      </c>
      <c r="D31" s="277" t="s">
        <v>315</v>
      </c>
      <c r="E31" s="268">
        <f t="shared" si="2"/>
        <v>0</v>
      </c>
      <c r="F31" s="287" t="s">
        <v>316</v>
      </c>
    </row>
    <row r="32" spans="1:6" ht="38.25" customHeight="1">
      <c r="A32" s="83" t="s">
        <v>302</v>
      </c>
      <c r="B32" s="209">
        <f>'Quantified Env Benefits'!N211</f>
        <v>47.25</v>
      </c>
      <c r="C32" s="209">
        <v>40</v>
      </c>
      <c r="D32" s="278" t="s">
        <v>311</v>
      </c>
      <c r="E32" s="266">
        <f t="shared" si="2"/>
        <v>1.18125</v>
      </c>
      <c r="F32" s="281" t="s">
        <v>324</v>
      </c>
    </row>
    <row r="33" spans="1:5" ht="12.75">
      <c r="A33" s="251" t="s">
        <v>280</v>
      </c>
      <c r="E33" s="269"/>
    </row>
    <row r="34" spans="1:6" ht="12.75">
      <c r="A34" s="245" t="s">
        <v>290</v>
      </c>
      <c r="B34" s="180" t="s">
        <v>286</v>
      </c>
      <c r="C34" s="252" t="s">
        <v>287</v>
      </c>
      <c r="D34" s="252"/>
      <c r="E34" s="270" t="s">
        <v>287</v>
      </c>
      <c r="F34" s="288"/>
    </row>
    <row r="35" spans="1:19" ht="38.25" customHeight="1">
      <c r="A35" s="36" t="s">
        <v>293</v>
      </c>
      <c r="B35" s="209">
        <f>'Quantified Env Benefits'!T183</f>
        <v>0</v>
      </c>
      <c r="C35" s="253">
        <f>4.6*2.6</f>
        <v>11.959999999999999</v>
      </c>
      <c r="D35" s="273" t="s">
        <v>308</v>
      </c>
      <c r="E35" s="266">
        <f aca="true" t="shared" si="3" ref="E35:E46">B35/C35</f>
        <v>0</v>
      </c>
      <c r="F35" s="283" t="s">
        <v>320</v>
      </c>
      <c r="G35" s="237"/>
      <c r="M35" s="237"/>
      <c r="S35" s="236">
        <f>F66/10</f>
        <v>0</v>
      </c>
    </row>
    <row r="36" spans="1:19" ht="38.25" customHeight="1">
      <c r="A36" s="49" t="s">
        <v>294</v>
      </c>
      <c r="B36" s="209">
        <f>'Quantified Env Benefits'!T184</f>
        <v>35500</v>
      </c>
      <c r="C36" s="253">
        <f>4.6*2.6</f>
        <v>11.959999999999999</v>
      </c>
      <c r="D36" s="273" t="s">
        <v>308</v>
      </c>
      <c r="E36" s="266">
        <f>B36/C36</f>
        <v>2968.227424749164</v>
      </c>
      <c r="F36" s="283" t="s">
        <v>320</v>
      </c>
      <c r="G36" s="237"/>
      <c r="M36" s="237"/>
      <c r="S36" s="236"/>
    </row>
    <row r="37" spans="1:19" ht="38.25" customHeight="1" thickBot="1">
      <c r="A37" s="113" t="s">
        <v>295</v>
      </c>
      <c r="B37" s="209">
        <f>'Quantified Env Benefits'!T185</f>
        <v>0</v>
      </c>
      <c r="C37" s="253">
        <f>4.6*2.6</f>
        <v>11.959999999999999</v>
      </c>
      <c r="D37" s="273" t="s">
        <v>308</v>
      </c>
      <c r="E37" s="264">
        <f t="shared" si="3"/>
        <v>0</v>
      </c>
      <c r="F37" s="283" t="s">
        <v>320</v>
      </c>
      <c r="G37" s="237"/>
      <c r="M37" s="237"/>
      <c r="S37" s="236"/>
    </row>
    <row r="38" spans="1:6" ht="25.5" customHeight="1" thickBot="1">
      <c r="A38" s="216" t="s">
        <v>296</v>
      </c>
      <c r="B38" s="215">
        <f>'Quantified Env Benefits'!T187</f>
        <v>8441.865943028215</v>
      </c>
      <c r="C38" s="246">
        <f>11965*3.6/365</f>
        <v>118.01095890410959</v>
      </c>
      <c r="D38" s="274" t="s">
        <v>309</v>
      </c>
      <c r="E38" s="267">
        <f t="shared" si="3"/>
        <v>71.53459323966426</v>
      </c>
      <c r="F38" s="284" t="s">
        <v>327</v>
      </c>
    </row>
    <row r="39" spans="1:6" ht="25.5">
      <c r="A39" s="249" t="s">
        <v>297</v>
      </c>
      <c r="B39" s="213">
        <f>'Quantified Env Benefits'!T189</f>
        <v>9147.06928368182</v>
      </c>
      <c r="C39" s="220">
        <f>2204.623*5.46/365</f>
        <v>32.97874405479452</v>
      </c>
      <c r="D39" s="275" t="s">
        <v>326</v>
      </c>
      <c r="E39" s="265">
        <f t="shared" si="3"/>
        <v>277.3625723430787</v>
      </c>
      <c r="F39" s="285" t="s">
        <v>318</v>
      </c>
    </row>
    <row r="40" spans="1:6" ht="14.25">
      <c r="A40" s="36" t="s">
        <v>298</v>
      </c>
      <c r="B40" s="209">
        <f>'Quantified Env Benefits'!T190</f>
        <v>123.9148773020049</v>
      </c>
      <c r="C40" s="250">
        <v>14.2</v>
      </c>
      <c r="D40" s="276" t="s">
        <v>312</v>
      </c>
      <c r="E40" s="265">
        <f t="shared" si="3"/>
        <v>8.726399810000345</v>
      </c>
      <c r="F40" s="285" t="s">
        <v>321</v>
      </c>
    </row>
    <row r="41" spans="1:6" ht="14.25">
      <c r="A41" s="36" t="s">
        <v>299</v>
      </c>
      <c r="B41" s="209">
        <f>'Quantified Env Benefits'!T191</f>
        <v>53.02306563548943</v>
      </c>
      <c r="C41" s="248">
        <v>1.4</v>
      </c>
      <c r="D41" s="276" t="s">
        <v>313</v>
      </c>
      <c r="E41" s="265">
        <f t="shared" si="3"/>
        <v>37.87361831106388</v>
      </c>
      <c r="F41" s="285" t="s">
        <v>321</v>
      </c>
    </row>
    <row r="42" spans="1:6" ht="15.75">
      <c r="A42" s="36" t="s">
        <v>335</v>
      </c>
      <c r="B42" s="209">
        <f>'Quantified Env Benefits'!T192</f>
        <v>801.7711058695455</v>
      </c>
      <c r="C42" s="220">
        <v>47.47123287671233</v>
      </c>
      <c r="D42" s="275" t="s">
        <v>325</v>
      </c>
      <c r="E42" s="265">
        <f t="shared" si="3"/>
        <v>16.88962045607342</v>
      </c>
      <c r="F42" s="285" t="s">
        <v>329</v>
      </c>
    </row>
    <row r="43" spans="1:6" ht="15.75">
      <c r="A43" s="36" t="s">
        <v>334</v>
      </c>
      <c r="B43" s="209">
        <f>'Quantified Env Benefits'!T193</f>
        <v>4540.619780005443</v>
      </c>
      <c r="C43" s="220">
        <f>160673/365/24/60*2000/'Cost Data'!$D$46*1000</f>
        <v>277324.18075337424</v>
      </c>
      <c r="D43" s="275" t="s">
        <v>310</v>
      </c>
      <c r="E43" s="279">
        <f t="shared" si="3"/>
        <v>0.016372967433530214</v>
      </c>
      <c r="F43" s="285" t="s">
        <v>322</v>
      </c>
    </row>
    <row r="44" spans="1:6" ht="27.75" thickBot="1">
      <c r="A44" s="166" t="s">
        <v>300</v>
      </c>
      <c r="B44" s="247">
        <f>'Quantified Env Benefits'!T194</f>
        <v>3189.9079016601654</v>
      </c>
      <c r="C44" s="254">
        <v>0.75</v>
      </c>
      <c r="D44" s="276" t="s">
        <v>314</v>
      </c>
      <c r="E44" s="264">
        <f t="shared" si="3"/>
        <v>4253.2105355468875</v>
      </c>
      <c r="F44" s="286" t="s">
        <v>323</v>
      </c>
    </row>
    <row r="45" spans="1:6" ht="25.5">
      <c r="A45" s="219" t="s">
        <v>301</v>
      </c>
      <c r="B45" s="213">
        <f>'Quantified Env Benefits'!T195</f>
        <v>0</v>
      </c>
      <c r="C45" s="280">
        <v>0.7</v>
      </c>
      <c r="D45" s="277" t="s">
        <v>315</v>
      </c>
      <c r="E45" s="268">
        <f t="shared" si="3"/>
        <v>0</v>
      </c>
      <c r="F45" s="287" t="s">
        <v>316</v>
      </c>
    </row>
    <row r="46" spans="1:6" ht="38.25" customHeight="1">
      <c r="A46" s="83" t="s">
        <v>302</v>
      </c>
      <c r="B46" s="209">
        <f>'Quantified Env Benefits'!T196</f>
        <v>320.93946442518717</v>
      </c>
      <c r="C46" s="209">
        <v>40</v>
      </c>
      <c r="D46" s="278" t="s">
        <v>311</v>
      </c>
      <c r="E46" s="266">
        <f t="shared" si="3"/>
        <v>8.023486610629678</v>
      </c>
      <c r="F46" s="281" t="s">
        <v>324</v>
      </c>
    </row>
    <row r="48" spans="1:6" ht="12.75">
      <c r="A48" s="453" t="s">
        <v>0</v>
      </c>
      <c r="B48" s="451"/>
      <c r="C48" s="451"/>
      <c r="D48" s="451"/>
      <c r="E48" s="451"/>
      <c r="F48" s="451"/>
    </row>
    <row r="49" spans="1:6" ht="25.5" customHeight="1">
      <c r="A49" s="329" t="s">
        <v>303</v>
      </c>
      <c r="B49" s="452"/>
      <c r="C49" s="452"/>
      <c r="D49" s="452"/>
      <c r="E49" s="452"/>
      <c r="F49" s="357"/>
    </row>
    <row r="50" spans="1:6" ht="12.75" customHeight="1">
      <c r="A50" s="329" t="s">
        <v>317</v>
      </c>
      <c r="B50" s="452"/>
      <c r="C50" s="452"/>
      <c r="D50" s="452"/>
      <c r="E50" s="452"/>
      <c r="F50" s="357"/>
    </row>
    <row r="51" spans="1:6" ht="25.5" customHeight="1">
      <c r="A51" s="329" t="s">
        <v>319</v>
      </c>
      <c r="B51" s="452"/>
      <c r="C51" s="452"/>
      <c r="D51" s="452"/>
      <c r="E51" s="452"/>
      <c r="F51" s="357"/>
    </row>
    <row r="52" spans="1:6" ht="25.5" customHeight="1">
      <c r="A52" s="329" t="s">
        <v>304</v>
      </c>
      <c r="B52" s="452"/>
      <c r="C52" s="452"/>
      <c r="D52" s="452"/>
      <c r="E52" s="452"/>
      <c r="F52" s="357"/>
    </row>
    <row r="53" spans="1:6" ht="12.75">
      <c r="A53" s="329" t="s">
        <v>305</v>
      </c>
      <c r="B53" s="452"/>
      <c r="C53" s="452"/>
      <c r="D53" s="452"/>
      <c r="E53" s="452"/>
      <c r="F53" s="357"/>
    </row>
    <row r="54" spans="1:6" ht="12.75">
      <c r="A54" s="329" t="s">
        <v>331</v>
      </c>
      <c r="B54" s="454"/>
      <c r="C54" s="454"/>
      <c r="D54" s="454"/>
      <c r="E54" s="454"/>
      <c r="F54" s="455"/>
    </row>
    <row r="55" spans="1:6" ht="25.5" customHeight="1">
      <c r="A55" s="329" t="s">
        <v>306</v>
      </c>
      <c r="B55" s="452"/>
      <c r="C55" s="452"/>
      <c r="D55" s="452"/>
      <c r="E55" s="452"/>
      <c r="F55" s="357"/>
    </row>
    <row r="56" spans="1:6" ht="25.5" customHeight="1">
      <c r="A56" s="329" t="s">
        <v>307</v>
      </c>
      <c r="B56" s="452"/>
      <c r="C56" s="452"/>
      <c r="D56" s="452"/>
      <c r="E56" s="452"/>
      <c r="F56" s="357"/>
    </row>
    <row r="57" spans="1:6" ht="25.5" customHeight="1">
      <c r="A57" s="329" t="s">
        <v>330</v>
      </c>
      <c r="B57" s="452"/>
      <c r="C57" s="452"/>
      <c r="D57" s="452"/>
      <c r="E57" s="452"/>
      <c r="F57" s="357"/>
    </row>
    <row r="58" ht="12.75" customHeight="1"/>
    <row r="73" ht="12.75">
      <c r="B73" s="7" t="s">
        <v>292</v>
      </c>
    </row>
  </sheetData>
  <sheetProtection sheet="1" objects="1" scenarios="1"/>
  <mergeCells count="12">
    <mergeCell ref="A55:F55"/>
    <mergeCell ref="A56:F56"/>
    <mergeCell ref="A48:F48"/>
    <mergeCell ref="A57:F57"/>
    <mergeCell ref="A51:F51"/>
    <mergeCell ref="A52:F52"/>
    <mergeCell ref="A53:F53"/>
    <mergeCell ref="A54:F54"/>
    <mergeCell ref="A3:F3"/>
    <mergeCell ref="A1:F1"/>
    <mergeCell ref="A49:F49"/>
    <mergeCell ref="A50:F50"/>
  </mergeCells>
  <printOptions horizontalCentered="1"/>
  <pageMargins left="0.75" right="0.75" top="1" bottom="1" header="0.5" footer="0.5"/>
  <pageSetup fitToHeight="2" fitToWidth="1" horizontalDpi="600" verticalDpi="600" orientation="portrait" scale="75" r:id="rId3"/>
  <drawing r:id="rId1"/>
  <picture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F64"/>
  <sheetViews>
    <sheetView showGridLines="0" zoomScale="80" zoomScaleNormal="80" workbookViewId="0" topLeftCell="A1">
      <selection activeCell="A1" sqref="A1:E1"/>
    </sheetView>
  </sheetViews>
  <sheetFormatPr defaultColWidth="9.140625" defaultRowHeight="12.75"/>
  <cols>
    <col min="1" max="1" width="29.421875" style="1" customWidth="1"/>
    <col min="2" max="2" width="11.7109375" style="1" customWidth="1"/>
    <col min="3" max="3" width="17.7109375" style="1" customWidth="1"/>
    <col min="4" max="4" width="11.140625" style="10" customWidth="1"/>
    <col min="5" max="5" width="56.7109375" style="10" customWidth="1"/>
    <col min="6" max="6" width="38.7109375" style="1" customWidth="1"/>
    <col min="7" max="16384" width="9.140625" style="1" customWidth="1"/>
  </cols>
  <sheetData>
    <row r="1" spans="1:5" ht="12.75" customHeight="1">
      <c r="A1" s="359" t="s">
        <v>384</v>
      </c>
      <c r="B1" s="360"/>
      <c r="C1" s="360"/>
      <c r="D1" s="360"/>
      <c r="E1" s="456"/>
    </row>
    <row r="2" spans="1:2" ht="12.75" customHeight="1">
      <c r="A2" s="8"/>
      <c r="B2" s="4"/>
    </row>
    <row r="3" spans="1:5" ht="12.75" customHeight="1">
      <c r="A3" s="359" t="s">
        <v>385</v>
      </c>
      <c r="B3" s="360"/>
      <c r="C3" s="360"/>
      <c r="D3" s="360"/>
      <c r="E3" s="456"/>
    </row>
    <row r="4" spans="1:2" ht="12.75" customHeight="1">
      <c r="A4" s="8"/>
      <c r="B4" s="4"/>
    </row>
    <row r="5" spans="1:6" ht="12.75" customHeight="1">
      <c r="A5" s="291" t="s">
        <v>350</v>
      </c>
      <c r="B5" s="291" t="s">
        <v>351</v>
      </c>
      <c r="C5" s="291" t="s">
        <v>26</v>
      </c>
      <c r="D5" s="361" t="s">
        <v>352</v>
      </c>
      <c r="E5" s="365"/>
      <c r="F5" s="33" t="s">
        <v>353</v>
      </c>
    </row>
    <row r="6" spans="1:6" ht="12.75" customHeight="1">
      <c r="A6" s="292" t="s">
        <v>343</v>
      </c>
      <c r="B6" s="362" t="s">
        <v>11</v>
      </c>
      <c r="C6" s="107">
        <f>ROUND(70.53*B61,2)</f>
        <v>77.58</v>
      </c>
      <c r="D6" s="366" t="s">
        <v>354</v>
      </c>
      <c r="E6" s="367"/>
      <c r="F6" s="293" t="s">
        <v>355</v>
      </c>
    </row>
    <row r="7" spans="1:6" ht="12.75" customHeight="1">
      <c r="A7" s="292" t="s">
        <v>344</v>
      </c>
      <c r="B7" s="363"/>
      <c r="C7" s="321">
        <f>ROUND(46.29*B61,2)</f>
        <v>50.92</v>
      </c>
      <c r="D7" s="368"/>
      <c r="E7" s="369"/>
      <c r="F7" s="293" t="s">
        <v>356</v>
      </c>
    </row>
    <row r="8" spans="1:6" ht="12.75" customHeight="1">
      <c r="A8" s="292" t="s">
        <v>345</v>
      </c>
      <c r="B8" s="363"/>
      <c r="C8" s="318">
        <f>ROUND(30.97*B61,2)</f>
        <v>34.07</v>
      </c>
      <c r="D8" s="368"/>
      <c r="E8" s="369"/>
      <c r="F8" s="293" t="s">
        <v>357</v>
      </c>
    </row>
    <row r="9" spans="1:6" ht="12.75" customHeight="1">
      <c r="A9" s="292" t="s">
        <v>346</v>
      </c>
      <c r="B9" s="363"/>
      <c r="C9" s="107">
        <f>ROUND(34.96*B61,2)</f>
        <v>38.46</v>
      </c>
      <c r="D9" s="368"/>
      <c r="E9" s="369"/>
      <c r="F9" s="293" t="s">
        <v>358</v>
      </c>
    </row>
    <row r="10" spans="1:6" ht="12.75" customHeight="1">
      <c r="A10" s="292" t="s">
        <v>347</v>
      </c>
      <c r="B10" s="363"/>
      <c r="C10" s="107">
        <f>ROUND(24.06*B61,2)</f>
        <v>26.47</v>
      </c>
      <c r="D10" s="368"/>
      <c r="E10" s="369"/>
      <c r="F10" s="293" t="s">
        <v>359</v>
      </c>
    </row>
    <row r="11" spans="1:6" ht="12.75" customHeight="1">
      <c r="A11" s="292" t="s">
        <v>348</v>
      </c>
      <c r="B11" s="363"/>
      <c r="C11" s="107">
        <f>ROUND(37.74*B61,2)</f>
        <v>41.51</v>
      </c>
      <c r="D11" s="368"/>
      <c r="E11" s="369"/>
      <c r="F11" s="293" t="s">
        <v>360</v>
      </c>
    </row>
    <row r="12" spans="1:6" ht="12.75" customHeight="1">
      <c r="A12" s="292" t="s">
        <v>349</v>
      </c>
      <c r="B12" s="364"/>
      <c r="C12" s="107">
        <f>ROUND(34.29*B61,2)</f>
        <v>37.72</v>
      </c>
      <c r="D12" s="370"/>
      <c r="E12" s="371"/>
      <c r="F12" s="293" t="s">
        <v>361</v>
      </c>
    </row>
    <row r="13" spans="1:2" ht="12.75" customHeight="1">
      <c r="A13" s="8"/>
      <c r="B13" s="4"/>
    </row>
    <row r="14" spans="1:6" ht="38.25" customHeight="1">
      <c r="A14" s="62" t="s">
        <v>47</v>
      </c>
      <c r="B14" s="31" t="s">
        <v>1</v>
      </c>
      <c r="C14" s="32" t="s">
        <v>26</v>
      </c>
      <c r="D14" s="361" t="s">
        <v>0</v>
      </c>
      <c r="E14" s="361"/>
      <c r="F14" s="34" t="s">
        <v>2</v>
      </c>
    </row>
    <row r="15" spans="1:6" ht="25.5" customHeight="1">
      <c r="A15" s="28" t="s">
        <v>48</v>
      </c>
      <c r="B15" s="28" t="s">
        <v>77</v>
      </c>
      <c r="C15" s="320">
        <f>ROUND(55000*B59,2)</f>
        <v>64350</v>
      </c>
      <c r="D15" s="329" t="s">
        <v>61</v>
      </c>
      <c r="E15" s="357"/>
      <c r="F15" s="20"/>
    </row>
    <row r="16" spans="1:6" ht="51.75" customHeight="1">
      <c r="A16" s="28" t="s">
        <v>49</v>
      </c>
      <c r="B16" s="28" t="s">
        <v>11</v>
      </c>
      <c r="C16" s="107">
        <f>ROUND(6*B59,2)</f>
        <v>7.02</v>
      </c>
      <c r="D16" s="329" t="s">
        <v>61</v>
      </c>
      <c r="E16" s="357"/>
      <c r="F16" s="20"/>
    </row>
    <row r="17" spans="1:6" ht="12.75" customHeight="1">
      <c r="A17" s="28" t="s">
        <v>51</v>
      </c>
      <c r="B17" s="28" t="s">
        <v>11</v>
      </c>
      <c r="C17" s="107">
        <f>ROUND(0.5*B59,2)</f>
        <v>0.59</v>
      </c>
      <c r="D17" s="329" t="s">
        <v>61</v>
      </c>
      <c r="E17" s="357"/>
      <c r="F17" s="20"/>
    </row>
    <row r="18" spans="1:6" ht="12.75" customHeight="1">
      <c r="A18" s="98"/>
      <c r="B18" s="98"/>
      <c r="C18" s="58"/>
      <c r="D18" s="99"/>
      <c r="E18" s="99"/>
      <c r="F18" s="99"/>
    </row>
    <row r="19" spans="1:6" ht="51" customHeight="1">
      <c r="A19" s="62" t="s">
        <v>114</v>
      </c>
      <c r="B19" s="31" t="s">
        <v>1</v>
      </c>
      <c r="C19" s="32" t="s">
        <v>26</v>
      </c>
      <c r="D19" s="358" t="s">
        <v>0</v>
      </c>
      <c r="E19" s="358"/>
      <c r="F19" s="34" t="s">
        <v>2</v>
      </c>
    </row>
    <row r="20" spans="1:6" ht="38.25" customHeight="1">
      <c r="A20" s="28" t="s">
        <v>116</v>
      </c>
      <c r="B20" s="27" t="s">
        <v>121</v>
      </c>
      <c r="C20" s="107">
        <f>ROUND(25*B63,2)</f>
        <v>26</v>
      </c>
      <c r="D20" s="329" t="s">
        <v>128</v>
      </c>
      <c r="E20" s="330"/>
      <c r="F20" s="20" t="s">
        <v>147</v>
      </c>
    </row>
    <row r="21" spans="1:6" ht="25.5" customHeight="1">
      <c r="A21" s="28" t="s">
        <v>122</v>
      </c>
      <c r="B21" s="27" t="s">
        <v>125</v>
      </c>
      <c r="C21" s="319">
        <f>(1/(100*D45))/60</f>
        <v>0.053763440860215055</v>
      </c>
      <c r="D21" s="329" t="s">
        <v>133</v>
      </c>
      <c r="E21" s="330"/>
      <c r="F21" s="20" t="s">
        <v>146</v>
      </c>
    </row>
    <row r="22" spans="1:6" ht="25.5" customHeight="1">
      <c r="A22" s="28" t="s">
        <v>118</v>
      </c>
      <c r="B22" s="28" t="s">
        <v>129</v>
      </c>
      <c r="C22" s="107">
        <f>D30</f>
        <v>52.9104</v>
      </c>
      <c r="D22" s="329"/>
      <c r="E22" s="357"/>
      <c r="F22" s="20" t="s">
        <v>144</v>
      </c>
    </row>
    <row r="23" spans="1:6" ht="12.75" customHeight="1">
      <c r="A23" s="28" t="s">
        <v>132</v>
      </c>
      <c r="B23" s="27" t="s">
        <v>77</v>
      </c>
      <c r="C23" s="107">
        <f>ROUND(7999*B63,2)</f>
        <v>8318.96</v>
      </c>
      <c r="D23" s="329" t="s">
        <v>124</v>
      </c>
      <c r="E23" s="357"/>
      <c r="F23" s="20" t="s">
        <v>123</v>
      </c>
    </row>
    <row r="24" spans="1:6" ht="12.75" customHeight="1">
      <c r="A24" s="28" t="s">
        <v>148</v>
      </c>
      <c r="B24" s="27" t="s">
        <v>149</v>
      </c>
      <c r="C24" s="107">
        <f>C34-C21*(C20+C22)</f>
        <v>2.8875053763440857</v>
      </c>
      <c r="D24" s="329" t="s">
        <v>383</v>
      </c>
      <c r="E24" s="357"/>
      <c r="F24" s="20" t="s">
        <v>150</v>
      </c>
    </row>
    <row r="25" spans="1:6" ht="12.75" customHeight="1">
      <c r="A25" s="98"/>
      <c r="B25" s="98"/>
      <c r="C25" s="58"/>
      <c r="D25" s="99"/>
      <c r="E25" s="99"/>
      <c r="F25" s="99"/>
    </row>
    <row r="26" spans="1:6" ht="12.75" customHeight="1">
      <c r="A26" s="62" t="s">
        <v>134</v>
      </c>
      <c r="B26" s="31" t="s">
        <v>135</v>
      </c>
      <c r="C26" s="32" t="s">
        <v>136</v>
      </c>
      <c r="D26" s="103" t="s">
        <v>140</v>
      </c>
      <c r="E26" s="34" t="s">
        <v>34</v>
      </c>
      <c r="F26" s="34" t="s">
        <v>2</v>
      </c>
    </row>
    <row r="27" spans="1:6" ht="25.5" customHeight="1">
      <c r="A27" s="28" t="s">
        <v>137</v>
      </c>
      <c r="B27" s="315">
        <f>256*B63</f>
        <v>266.24</v>
      </c>
      <c r="C27" s="316">
        <v>10</v>
      </c>
      <c r="D27" s="317">
        <f>B27/C27</f>
        <v>26.624000000000002</v>
      </c>
      <c r="E27" s="372" t="s">
        <v>333</v>
      </c>
      <c r="F27" s="20" t="s">
        <v>145</v>
      </c>
    </row>
    <row r="28" spans="1:6" ht="38.25" customHeight="1">
      <c r="A28" s="28" t="s">
        <v>143</v>
      </c>
      <c r="B28" s="318">
        <f>3.8*6.6</f>
        <v>25.08</v>
      </c>
      <c r="C28" s="316">
        <v>1</v>
      </c>
      <c r="D28" s="317">
        <f>B28/C28</f>
        <v>25.08</v>
      </c>
      <c r="E28" s="373"/>
      <c r="F28" s="20" t="s">
        <v>141</v>
      </c>
    </row>
    <row r="29" spans="1:6" ht="51" customHeight="1">
      <c r="A29" s="28" t="s">
        <v>138</v>
      </c>
      <c r="B29" s="315">
        <f>58*B63</f>
        <v>60.32</v>
      </c>
      <c r="C29" s="316">
        <v>50</v>
      </c>
      <c r="D29" s="317">
        <f>B29/C29</f>
        <v>1.2064</v>
      </c>
      <c r="E29" s="373"/>
      <c r="F29" s="20" t="s">
        <v>142</v>
      </c>
    </row>
    <row r="30" spans="1:6" ht="38.25" customHeight="1">
      <c r="A30" s="28" t="s">
        <v>139</v>
      </c>
      <c r="B30" s="28" t="s">
        <v>77</v>
      </c>
      <c r="C30" s="107" t="s">
        <v>77</v>
      </c>
      <c r="D30" s="317">
        <f>SUM(D27:D29)</f>
        <v>52.9104</v>
      </c>
      <c r="E30" s="374"/>
      <c r="F30" s="20"/>
    </row>
    <row r="31" spans="1:2" ht="12.75" customHeight="1">
      <c r="A31" s="8"/>
      <c r="B31" s="8"/>
    </row>
    <row r="32" spans="1:6" ht="25.5" customHeight="1">
      <c r="A32" s="30" t="s">
        <v>78</v>
      </c>
      <c r="B32" s="31" t="s">
        <v>1</v>
      </c>
      <c r="C32" s="32" t="s">
        <v>26</v>
      </c>
      <c r="D32" s="361" t="s">
        <v>0</v>
      </c>
      <c r="E32" s="361"/>
      <c r="F32" s="34" t="s">
        <v>2</v>
      </c>
    </row>
    <row r="33" spans="1:6" ht="25.5" customHeight="1">
      <c r="A33" s="28" t="s">
        <v>43</v>
      </c>
      <c r="B33" s="27" t="s">
        <v>42</v>
      </c>
      <c r="C33" s="107">
        <f>ROUND(15*B60,2)</f>
        <v>17.1</v>
      </c>
      <c r="D33" s="329" t="s">
        <v>44</v>
      </c>
      <c r="E33" s="357"/>
      <c r="F33" s="20"/>
    </row>
    <row r="34" spans="1:6" ht="38.25" customHeight="1">
      <c r="A34" s="50" t="s">
        <v>108</v>
      </c>
      <c r="B34" s="27" t="s">
        <v>42</v>
      </c>
      <c r="C34" s="107">
        <f>ROUND(20/3*B62,2)</f>
        <v>7.13</v>
      </c>
      <c r="D34" s="377" t="s">
        <v>112</v>
      </c>
      <c r="E34" s="379"/>
      <c r="F34" s="20" t="s">
        <v>113</v>
      </c>
    </row>
    <row r="35" spans="1:6" ht="38.25" customHeight="1">
      <c r="A35" s="50" t="s">
        <v>35</v>
      </c>
      <c r="B35" s="27" t="s">
        <v>27</v>
      </c>
      <c r="C35" s="107">
        <f>ROUND(0.36*B62,2)</f>
        <v>0.39</v>
      </c>
      <c r="D35" s="377" t="s">
        <v>65</v>
      </c>
      <c r="E35" s="378"/>
      <c r="F35" s="20" t="s">
        <v>66</v>
      </c>
    </row>
    <row r="36" spans="1:6" ht="76.5" customHeight="1">
      <c r="A36" s="26" t="s">
        <v>9</v>
      </c>
      <c r="B36" s="27" t="s">
        <v>38</v>
      </c>
      <c r="C36" s="107">
        <f>ROUND(0.35*B61,2)</f>
        <v>0.39</v>
      </c>
      <c r="D36" s="375" t="s">
        <v>63</v>
      </c>
      <c r="E36" s="376"/>
      <c r="F36" s="20" t="s">
        <v>62</v>
      </c>
    </row>
    <row r="37" spans="1:6" ht="76.5" customHeight="1">
      <c r="A37" s="26" t="s">
        <v>53</v>
      </c>
      <c r="B37" s="27" t="s">
        <v>11</v>
      </c>
      <c r="C37" s="107">
        <f>ROUND(11.14*B62,2)</f>
        <v>11.92</v>
      </c>
      <c r="D37" s="375" t="s">
        <v>64</v>
      </c>
      <c r="E37" s="376"/>
      <c r="F37" s="20"/>
    </row>
    <row r="38" spans="1:3" ht="12.75" customHeight="1">
      <c r="A38" s="11"/>
      <c r="B38" s="11"/>
      <c r="C38" s="12"/>
    </row>
    <row r="39" spans="1:6" ht="38.25" customHeight="1">
      <c r="A39" s="30" t="s">
        <v>29</v>
      </c>
      <c r="B39" s="51" t="s">
        <v>30</v>
      </c>
      <c r="C39" s="51" t="s">
        <v>31</v>
      </c>
      <c r="D39" s="33" t="s">
        <v>33</v>
      </c>
      <c r="E39" s="34" t="s">
        <v>34</v>
      </c>
      <c r="F39" s="34" t="s">
        <v>2</v>
      </c>
    </row>
    <row r="40" spans="1:6" ht="25.5" customHeight="1">
      <c r="A40" s="26" t="s">
        <v>9</v>
      </c>
      <c r="B40" s="50" t="s">
        <v>45</v>
      </c>
      <c r="C40" s="50" t="s">
        <v>32</v>
      </c>
      <c r="D40" s="310">
        <f>4.5/2000</f>
        <v>0.00225</v>
      </c>
      <c r="E40" s="20" t="s">
        <v>67</v>
      </c>
      <c r="F40" s="20" t="s">
        <v>109</v>
      </c>
    </row>
    <row r="41" spans="1:6" ht="38.25" customHeight="1">
      <c r="A41" s="26" t="s">
        <v>213</v>
      </c>
      <c r="B41" s="28" t="s">
        <v>32</v>
      </c>
      <c r="C41" s="50" t="s">
        <v>41</v>
      </c>
      <c r="D41" s="311">
        <v>0.83</v>
      </c>
      <c r="E41" s="20" t="s">
        <v>214</v>
      </c>
      <c r="F41" s="20"/>
    </row>
    <row r="42" spans="1:6" ht="76.5" customHeight="1">
      <c r="A42" s="26" t="s">
        <v>186</v>
      </c>
      <c r="B42" s="50" t="s">
        <v>185</v>
      </c>
      <c r="C42" s="50" t="s">
        <v>339</v>
      </c>
      <c r="D42" s="312">
        <v>3.6667</v>
      </c>
      <c r="E42" s="20" t="s">
        <v>187</v>
      </c>
      <c r="F42" s="20"/>
    </row>
    <row r="43" spans="1:6" ht="51" customHeight="1">
      <c r="A43" s="26" t="s">
        <v>36</v>
      </c>
      <c r="B43" s="50" t="s">
        <v>207</v>
      </c>
      <c r="C43" s="50" t="s">
        <v>208</v>
      </c>
      <c r="D43" s="312">
        <v>1.624</v>
      </c>
      <c r="E43" s="20" t="s">
        <v>209</v>
      </c>
      <c r="F43" s="20"/>
    </row>
    <row r="44" spans="1:6" ht="12.75" customHeight="1">
      <c r="A44" s="26" t="s">
        <v>36</v>
      </c>
      <c r="B44" s="26" t="s">
        <v>46</v>
      </c>
      <c r="C44" s="50" t="s">
        <v>32</v>
      </c>
      <c r="D44" s="312">
        <f>3/2000</f>
        <v>0.0015</v>
      </c>
      <c r="E44" s="20" t="s">
        <v>68</v>
      </c>
      <c r="F44" s="20" t="s">
        <v>110</v>
      </c>
    </row>
    <row r="45" spans="1:6" ht="12.75" customHeight="1">
      <c r="A45" s="26" t="s">
        <v>36</v>
      </c>
      <c r="B45" s="26" t="s">
        <v>46</v>
      </c>
      <c r="C45" s="50" t="s">
        <v>216</v>
      </c>
      <c r="D45" s="312">
        <v>0.0031</v>
      </c>
      <c r="E45" s="20"/>
      <c r="F45" s="20" t="s">
        <v>117</v>
      </c>
    </row>
    <row r="46" spans="1:6" ht="12.75" customHeight="1">
      <c r="A46" s="26" t="s">
        <v>215</v>
      </c>
      <c r="B46" s="26" t="s">
        <v>233</v>
      </c>
      <c r="C46" s="50" t="s">
        <v>234</v>
      </c>
      <c r="D46" s="313">
        <v>3.6</v>
      </c>
      <c r="E46" s="20"/>
      <c r="F46" s="20"/>
    </row>
    <row r="47" spans="1:6" ht="12.75">
      <c r="A47" s="26" t="s">
        <v>215</v>
      </c>
      <c r="B47" s="26" t="s">
        <v>234</v>
      </c>
      <c r="C47" s="50" t="s">
        <v>288</v>
      </c>
      <c r="D47" s="313">
        <v>947.8</v>
      </c>
      <c r="E47" s="20"/>
      <c r="F47" s="20"/>
    </row>
    <row r="48" spans="1:6" ht="12.75">
      <c r="A48" s="26" t="s">
        <v>215</v>
      </c>
      <c r="B48" s="50" t="s">
        <v>188</v>
      </c>
      <c r="C48" s="50" t="s">
        <v>189</v>
      </c>
      <c r="D48" s="312">
        <v>2.2046</v>
      </c>
      <c r="E48" s="20"/>
      <c r="F48" s="20"/>
    </row>
    <row r="49" spans="1:6" ht="12.75">
      <c r="A49" s="26" t="s">
        <v>215</v>
      </c>
      <c r="B49" s="50" t="s">
        <v>376</v>
      </c>
      <c r="C49" s="50" t="s">
        <v>32</v>
      </c>
      <c r="D49" s="312">
        <v>1.1023</v>
      </c>
      <c r="E49" s="20"/>
      <c r="F49" s="20"/>
    </row>
    <row r="50" spans="1:6" ht="12.75">
      <c r="A50" s="26" t="s">
        <v>215</v>
      </c>
      <c r="B50" s="50" t="s">
        <v>378</v>
      </c>
      <c r="C50" s="50" t="s">
        <v>379</v>
      </c>
      <c r="D50" s="312">
        <v>28.3495</v>
      </c>
      <c r="E50" s="20"/>
      <c r="F50" s="20"/>
    </row>
    <row r="51" spans="1:6" ht="15.75">
      <c r="A51" s="26" t="s">
        <v>167</v>
      </c>
      <c r="B51" s="50" t="s">
        <v>381</v>
      </c>
      <c r="C51" s="50" t="s">
        <v>380</v>
      </c>
      <c r="D51" s="312">
        <f>12/44</f>
        <v>0.2727272727272727</v>
      </c>
      <c r="E51" s="20"/>
      <c r="F51" s="20"/>
    </row>
    <row r="52" spans="1:6" ht="12.75">
      <c r="A52" s="26" t="s">
        <v>266</v>
      </c>
      <c r="B52" s="50" t="s">
        <v>267</v>
      </c>
      <c r="C52" s="50" t="s">
        <v>188</v>
      </c>
      <c r="D52" s="311">
        <v>3.79</v>
      </c>
      <c r="E52" s="20"/>
      <c r="F52" s="20"/>
    </row>
    <row r="53" spans="1:6" ht="76.5">
      <c r="A53" s="27" t="s">
        <v>10</v>
      </c>
      <c r="B53" s="28" t="s">
        <v>41</v>
      </c>
      <c r="C53" s="28" t="s">
        <v>32</v>
      </c>
      <c r="D53" s="313">
        <v>0.2</v>
      </c>
      <c r="E53" s="20" t="s">
        <v>69</v>
      </c>
      <c r="F53" s="20" t="s">
        <v>109</v>
      </c>
    </row>
    <row r="54" spans="1:6" ht="51">
      <c r="A54" s="27" t="s">
        <v>50</v>
      </c>
      <c r="B54" s="28" t="s">
        <v>41</v>
      </c>
      <c r="C54" s="28" t="s">
        <v>41</v>
      </c>
      <c r="D54" s="314">
        <f>(0.5+0.25)/2</f>
        <v>0.375</v>
      </c>
      <c r="E54" s="29" t="s">
        <v>70</v>
      </c>
      <c r="F54" s="29" t="s">
        <v>85</v>
      </c>
    </row>
    <row r="55" spans="1:3" ht="12.75">
      <c r="A55" s="11"/>
      <c r="B55" s="11"/>
      <c r="C55" s="12"/>
    </row>
    <row r="56" spans="1:3" ht="12.75">
      <c r="A56" s="11"/>
      <c r="B56" s="11"/>
      <c r="C56" s="12"/>
    </row>
    <row r="57" spans="1:3" ht="12.75">
      <c r="A57" s="346" t="s">
        <v>4</v>
      </c>
      <c r="B57" s="347"/>
      <c r="C57" s="46"/>
    </row>
    <row r="58" spans="1:3" ht="12.75">
      <c r="A58" s="15" t="s">
        <v>5</v>
      </c>
      <c r="B58" s="348" t="s">
        <v>332</v>
      </c>
      <c r="C58" s="349"/>
    </row>
    <row r="59" spans="1:3" ht="12.75">
      <c r="A59" s="16">
        <v>2003</v>
      </c>
      <c r="B59" s="352">
        <v>1.17</v>
      </c>
      <c r="C59" s="353"/>
    </row>
    <row r="60" spans="1:3" ht="12.75">
      <c r="A60" s="16">
        <v>2004</v>
      </c>
      <c r="B60" s="350">
        <v>1.14</v>
      </c>
      <c r="C60" s="351"/>
    </row>
    <row r="61" spans="1:3" ht="12.75">
      <c r="A61" s="16">
        <v>2005</v>
      </c>
      <c r="B61" s="350">
        <v>1.1</v>
      </c>
      <c r="C61" s="351"/>
    </row>
    <row r="62" spans="1:3" ht="12.75">
      <c r="A62" s="16">
        <v>2006</v>
      </c>
      <c r="B62" s="355">
        <v>1.07</v>
      </c>
      <c r="C62" s="356"/>
    </row>
    <row r="63" spans="1:3" ht="12.75">
      <c r="A63" s="16">
        <v>2007</v>
      </c>
      <c r="B63" s="350">
        <v>1.04</v>
      </c>
      <c r="C63" s="354"/>
    </row>
    <row r="64" spans="1:3" ht="12.75">
      <c r="A64" s="345" t="s">
        <v>6</v>
      </c>
      <c r="B64" s="345"/>
      <c r="C64" s="345"/>
    </row>
  </sheetData>
  <sheetProtection sheet="1" objects="1" scenarios="1"/>
  <mergeCells count="30">
    <mergeCell ref="D21:E21"/>
    <mergeCell ref="A64:C64"/>
    <mergeCell ref="A57:B57"/>
    <mergeCell ref="B58:C58"/>
    <mergeCell ref="B61:C61"/>
    <mergeCell ref="B60:C60"/>
    <mergeCell ref="B59:C59"/>
    <mergeCell ref="B63:C63"/>
    <mergeCell ref="B62:C62"/>
    <mergeCell ref="D22:E22"/>
    <mergeCell ref="D17:E17"/>
    <mergeCell ref="B6:B12"/>
    <mergeCell ref="D5:E5"/>
    <mergeCell ref="D6:E12"/>
    <mergeCell ref="D37:E37"/>
    <mergeCell ref="D34:E34"/>
    <mergeCell ref="D23:E23"/>
    <mergeCell ref="E27:E30"/>
    <mergeCell ref="D32:E32"/>
    <mergeCell ref="D24:E24"/>
    <mergeCell ref="A1:E1"/>
    <mergeCell ref="A3:E3"/>
    <mergeCell ref="D36:E36"/>
    <mergeCell ref="D35:E35"/>
    <mergeCell ref="D33:E33"/>
    <mergeCell ref="D19:E19"/>
    <mergeCell ref="D20:E20"/>
    <mergeCell ref="D14:E14"/>
    <mergeCell ref="D15:E15"/>
    <mergeCell ref="D16:E16"/>
  </mergeCells>
  <printOptions horizontalCentered="1"/>
  <pageMargins left="0.75" right="0.75" top="1" bottom="1" header="0.5" footer="0.5"/>
  <pageSetup fitToHeight="2" fitToWidth="1" horizontalDpi="600" verticalDpi="600" orientation="landscape" scale="56" r:id="rId3"/>
  <drawing r:id="rId1"/>
  <picture r:id="rId2"/>
</worksheet>
</file>

<file path=xl/worksheets/sheet12.xml><?xml version="1.0" encoding="utf-8"?>
<worksheet xmlns="http://schemas.openxmlformats.org/spreadsheetml/2006/main" xmlns:r="http://schemas.openxmlformats.org/officeDocument/2006/relationships">
  <sheetPr codeName="Sheet7"/>
  <dimension ref="A1:I9"/>
  <sheetViews>
    <sheetView workbookViewId="0" topLeftCell="A1">
      <selection activeCell="L49" sqref="L49"/>
    </sheetView>
  </sheetViews>
  <sheetFormatPr defaultColWidth="9.140625" defaultRowHeight="12.75"/>
  <cols>
    <col min="5" max="5" width="11.00390625" style="0" customWidth="1"/>
    <col min="8" max="8" width="13.7109375" style="0" customWidth="1"/>
    <col min="9" max="9" width="12.28125" style="0" customWidth="1"/>
  </cols>
  <sheetData>
    <row r="1" spans="1:9" ht="12.75">
      <c r="A1" s="65" t="s">
        <v>7</v>
      </c>
      <c r="B1" s="65" t="s">
        <v>8</v>
      </c>
      <c r="C1" s="65" t="s">
        <v>9</v>
      </c>
      <c r="D1" s="65" t="s">
        <v>28</v>
      </c>
      <c r="E1" s="65" t="s">
        <v>10</v>
      </c>
      <c r="F1" s="73" t="s">
        <v>60</v>
      </c>
      <c r="G1" s="90" t="s">
        <v>79</v>
      </c>
      <c r="H1" s="102" t="s">
        <v>126</v>
      </c>
      <c r="I1" s="102" t="s">
        <v>342</v>
      </c>
    </row>
    <row r="2" spans="1:9" ht="12.75">
      <c r="A2" s="66" t="s">
        <v>40</v>
      </c>
      <c r="B2" s="66" t="s">
        <v>40</v>
      </c>
      <c r="C2" s="66" t="s">
        <v>40</v>
      </c>
      <c r="D2" s="66" t="s">
        <v>40</v>
      </c>
      <c r="E2" s="66" t="s">
        <v>40</v>
      </c>
      <c r="F2" s="72" t="s">
        <v>40</v>
      </c>
      <c r="G2" s="72" t="s">
        <v>40</v>
      </c>
      <c r="H2" s="72" t="s">
        <v>40</v>
      </c>
      <c r="I2" s="72" t="s">
        <v>343</v>
      </c>
    </row>
    <row r="3" spans="1:9" ht="12.75">
      <c r="A3" s="67" t="s">
        <v>52</v>
      </c>
      <c r="B3" s="67" t="s">
        <v>52</v>
      </c>
      <c r="C3" s="67" t="s">
        <v>52</v>
      </c>
      <c r="D3" s="67" t="s">
        <v>52</v>
      </c>
      <c r="E3" s="67" t="s">
        <v>52</v>
      </c>
      <c r="F3" s="72" t="s">
        <v>52</v>
      </c>
      <c r="G3" s="72" t="s">
        <v>52</v>
      </c>
      <c r="H3" s="72" t="s">
        <v>52</v>
      </c>
      <c r="I3" s="72" t="s">
        <v>344</v>
      </c>
    </row>
    <row r="4" spans="1:9" ht="12.75">
      <c r="A4" s="68" t="s">
        <v>40</v>
      </c>
      <c r="B4" s="68" t="s">
        <v>40</v>
      </c>
      <c r="C4" s="68" t="s">
        <v>40</v>
      </c>
      <c r="D4" s="68" t="s">
        <v>40</v>
      </c>
      <c r="E4" s="68" t="s">
        <v>40</v>
      </c>
      <c r="F4" s="68" t="s">
        <v>52</v>
      </c>
      <c r="G4" s="68" t="s">
        <v>40</v>
      </c>
      <c r="H4" s="68" t="s">
        <v>40</v>
      </c>
      <c r="I4" s="72" t="s">
        <v>345</v>
      </c>
    </row>
    <row r="5" ht="12.75">
      <c r="I5" s="72" t="s">
        <v>346</v>
      </c>
    </row>
    <row r="6" ht="12.75">
      <c r="I6" s="72" t="s">
        <v>347</v>
      </c>
    </row>
    <row r="7" ht="12.75">
      <c r="I7" s="72" t="s">
        <v>348</v>
      </c>
    </row>
    <row r="8" ht="12.75">
      <c r="I8" s="289" t="s">
        <v>349</v>
      </c>
    </row>
    <row r="9" ht="12.75">
      <c r="I9" s="68" t="s">
        <v>349</v>
      </c>
    </row>
  </sheetData>
  <printOptions heading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E99"/>
  <sheetViews>
    <sheetView showGridLines="0" workbookViewId="0" topLeftCell="A1">
      <selection activeCell="B13" sqref="B13"/>
    </sheetView>
  </sheetViews>
  <sheetFormatPr defaultColWidth="9.140625" defaultRowHeight="12.75"/>
  <cols>
    <col min="1" max="1" width="77.140625" style="7" customWidth="1"/>
    <col min="2" max="2" width="10.140625" style="7" customWidth="1"/>
    <col min="3" max="3" width="13.421875" style="7" customWidth="1"/>
    <col min="4" max="4" width="22.57421875" style="7" customWidth="1"/>
    <col min="5" max="16384" width="9.140625" style="7" customWidth="1"/>
  </cols>
  <sheetData>
    <row r="1" spans="1:5" ht="12.75" customHeight="1">
      <c r="A1" s="263" t="s">
        <v>91</v>
      </c>
      <c r="B1" s="82"/>
      <c r="C1" s="6"/>
      <c r="D1" s="6"/>
      <c r="E1" s="6"/>
    </row>
    <row r="2" ht="12.75"/>
    <row r="3" ht="12.75"/>
    <row r="4" ht="19.5" customHeight="1">
      <c r="A4" s="290" t="s">
        <v>341</v>
      </c>
    </row>
    <row r="5" ht="19.5" customHeight="1">
      <c r="A5" s="57"/>
    </row>
    <row r="6" spans="1:3" ht="12.75">
      <c r="A6" s="30" t="s">
        <v>102</v>
      </c>
      <c r="B6" s="231"/>
      <c r="C6" s="106"/>
    </row>
    <row r="7" spans="1:3" ht="12.75">
      <c r="A7" s="36" t="s">
        <v>103</v>
      </c>
      <c r="B7" s="47">
        <v>60</v>
      </c>
      <c r="C7" s="106"/>
    </row>
    <row r="8" spans="1:3" ht="12.75">
      <c r="A8" s="36" t="s">
        <v>119</v>
      </c>
      <c r="B8" s="100">
        <v>0.25</v>
      </c>
      <c r="C8" s="106"/>
    </row>
    <row r="9" spans="1:3" ht="12.75">
      <c r="A9" s="36" t="s">
        <v>83</v>
      </c>
      <c r="B9" s="63">
        <v>10</v>
      </c>
      <c r="C9" s="106"/>
    </row>
    <row r="10" spans="1:3" ht="12.75">
      <c r="A10" s="36" t="s">
        <v>106</v>
      </c>
      <c r="B10" s="63">
        <v>10</v>
      </c>
      <c r="C10" s="106"/>
    </row>
    <row r="11" spans="1:3" ht="19.5" customHeight="1">
      <c r="A11" s="36" t="s">
        <v>120</v>
      </c>
      <c r="B11" s="63"/>
      <c r="C11" s="106"/>
    </row>
    <row r="12" spans="1:3" ht="19.5" customHeight="1">
      <c r="A12" s="36" t="s">
        <v>275</v>
      </c>
      <c r="B12" s="47"/>
      <c r="C12" s="106"/>
    </row>
    <row r="13" spans="1:3" ht="12.75">
      <c r="A13" s="83" t="str">
        <f>IF(Lookup!E4="No","-","How much does green waste recycling cost per ton (including transportation)?")</f>
        <v>How much does green waste recycling cost per ton (including transportation)?</v>
      </c>
      <c r="B13" s="61">
        <v>15</v>
      </c>
      <c r="C13" s="106">
        <f>IF(A13="-","",IF(B13="","&lt;---- Fill in this cell",""))</f>
      </c>
    </row>
    <row r="14" spans="1:3" ht="12.75">
      <c r="A14" s="137" t="str">
        <f>IF(Lookup!E4="No","-","How many miles is it to the nearest recycling facility for green waste?")</f>
        <v>How many miles is it to the nearest recycling facility for green waste?</v>
      </c>
      <c r="B14" s="232">
        <v>25</v>
      </c>
      <c r="C14" s="106">
        <f>IF(A14="-","",IF(B14="","&lt;---- Fill in this cell",""))</f>
      </c>
    </row>
    <row r="15" spans="1:3" ht="12.75">
      <c r="A15" s="137" t="s">
        <v>281</v>
      </c>
      <c r="B15" s="232">
        <v>25</v>
      </c>
      <c r="C15" s="106"/>
    </row>
    <row r="16" spans="1:3" ht="12.75">
      <c r="A16" s="137" t="s">
        <v>184</v>
      </c>
      <c r="B16" s="232">
        <v>50</v>
      </c>
      <c r="C16" s="106"/>
    </row>
    <row r="17" spans="1:4" ht="12.75">
      <c r="A17" s="30" t="s">
        <v>28</v>
      </c>
      <c r="B17" s="255"/>
      <c r="C17" s="159" t="s">
        <v>372</v>
      </c>
      <c r="D17" s="159" t="s">
        <v>373</v>
      </c>
    </row>
    <row r="18" spans="1:4" ht="12.75">
      <c r="A18" s="36" t="s">
        <v>362</v>
      </c>
      <c r="B18" s="47">
        <v>1000</v>
      </c>
      <c r="C18" s="324">
        <v>0.2</v>
      </c>
      <c r="D18" s="295">
        <f>B18*(1-$C$18)</f>
        <v>800</v>
      </c>
    </row>
    <row r="19" spans="1:4" ht="12.75">
      <c r="A19" s="36" t="s">
        <v>363</v>
      </c>
      <c r="B19" s="47">
        <v>3000</v>
      </c>
      <c r="C19" s="325"/>
      <c r="D19" s="295">
        <f>B19*(1-$C$18)</f>
        <v>2400</v>
      </c>
    </row>
    <row r="20" spans="1:4" ht="12.75">
      <c r="A20" s="36" t="s">
        <v>364</v>
      </c>
      <c r="B20" s="47">
        <v>6000</v>
      </c>
      <c r="C20" s="325"/>
      <c r="D20" s="295">
        <f>B20*(1-$C$18)</f>
        <v>4800</v>
      </c>
    </row>
    <row r="21" spans="1:4" ht="12.75">
      <c r="A21" s="36" t="s">
        <v>365</v>
      </c>
      <c r="B21" s="47">
        <v>10000</v>
      </c>
      <c r="C21" s="326"/>
      <c r="D21" s="295">
        <f>B21*(1-$C$18)</f>
        <v>8000</v>
      </c>
    </row>
    <row r="22" spans="1:3" ht="12.75">
      <c r="A22" s="36" t="s">
        <v>115</v>
      </c>
      <c r="B22" s="100">
        <v>0</v>
      </c>
      <c r="C22" s="106"/>
    </row>
    <row r="23" spans="1:3" ht="12.75">
      <c r="A23" s="36" t="s">
        <v>366</v>
      </c>
      <c r="B23" s="86">
        <v>500</v>
      </c>
      <c r="C23" s="106"/>
    </row>
    <row r="24" spans="1:3" ht="12.75">
      <c r="A24" s="36" t="s">
        <v>363</v>
      </c>
      <c r="B24" s="86">
        <v>1500</v>
      </c>
      <c r="C24" s="106"/>
    </row>
    <row r="25" spans="1:3" ht="12.75">
      <c r="A25" s="36" t="s">
        <v>364</v>
      </c>
      <c r="B25" s="86">
        <v>3000</v>
      </c>
      <c r="C25" s="106"/>
    </row>
    <row r="26" spans="1:3" ht="12.75">
      <c r="A26" s="36" t="s">
        <v>365</v>
      </c>
      <c r="B26" s="86">
        <v>5000</v>
      </c>
      <c r="C26" s="106"/>
    </row>
    <row r="27" spans="1:3" ht="19.5" customHeight="1">
      <c r="A27" s="36" t="s">
        <v>276</v>
      </c>
      <c r="B27" s="48"/>
      <c r="C27" s="106"/>
    </row>
    <row r="28" spans="1:3" ht="12.75">
      <c r="A28" s="83" t="str">
        <f>IF(Lookup!D4="No","-","How much does lumber recycling cost per ton (including transportation)?")</f>
        <v>How much does lumber recycling cost per ton (including transportation)?</v>
      </c>
      <c r="B28" s="52">
        <v>15</v>
      </c>
      <c r="C28" s="106">
        <f>IF(A28="-","",IF(B28="","&lt;---- Fill in this cell",""))</f>
      </c>
    </row>
    <row r="29" spans="1:3" ht="12.75">
      <c r="A29" s="137" t="str">
        <f>IF(Lookup!D4="No","-","How many miles is it to the nearest lumber recycling facility?")</f>
        <v>How many miles is it to the nearest lumber recycling facility?</v>
      </c>
      <c r="B29" s="232">
        <v>25</v>
      </c>
      <c r="C29" s="106">
        <f>IF(A29="-","",IF(B29="","&lt;---- Fill in this cell",""))</f>
      </c>
    </row>
    <row r="30" spans="1:3" ht="12.75">
      <c r="A30" s="137" t="s">
        <v>226</v>
      </c>
      <c r="B30" s="232">
        <v>1</v>
      </c>
      <c r="C30" s="106"/>
    </row>
    <row r="31" spans="1:3" ht="12.75">
      <c r="A31" s="36" t="s">
        <v>218</v>
      </c>
      <c r="B31" s="232">
        <v>3</v>
      </c>
      <c r="C31" s="106"/>
    </row>
    <row r="32" spans="1:3" ht="12.75">
      <c r="A32" s="36" t="s">
        <v>219</v>
      </c>
      <c r="B32" s="232">
        <v>6</v>
      </c>
      <c r="C32" s="106"/>
    </row>
    <row r="33" spans="1:3" ht="12.75">
      <c r="A33" s="36" t="s">
        <v>220</v>
      </c>
      <c r="B33" s="232">
        <v>10</v>
      </c>
      <c r="C33" s="106"/>
    </row>
    <row r="34" spans="1:3" ht="12.75">
      <c r="A34" s="137" t="s">
        <v>183</v>
      </c>
      <c r="B34" s="232">
        <v>50</v>
      </c>
      <c r="C34" s="106"/>
    </row>
    <row r="35" spans="1:3" ht="12.75">
      <c r="A35" s="137" t="s">
        <v>217</v>
      </c>
      <c r="B35" s="232">
        <v>1</v>
      </c>
      <c r="C35" s="106"/>
    </row>
    <row r="36" spans="1:3" ht="12.75">
      <c r="A36" s="36" t="s">
        <v>218</v>
      </c>
      <c r="B36" s="232">
        <v>3</v>
      </c>
      <c r="C36" s="106"/>
    </row>
    <row r="37" spans="1:3" ht="12.75">
      <c r="A37" s="36" t="s">
        <v>219</v>
      </c>
      <c r="B37" s="232">
        <v>6</v>
      </c>
      <c r="C37" s="106"/>
    </row>
    <row r="38" spans="1:3" ht="12.75">
      <c r="A38" s="36" t="s">
        <v>220</v>
      </c>
      <c r="B38" s="232">
        <v>10</v>
      </c>
      <c r="C38" s="106"/>
    </row>
    <row r="39" spans="1:4" ht="12.75">
      <c r="A39" s="30" t="s">
        <v>9</v>
      </c>
      <c r="B39" s="255"/>
      <c r="C39" s="159" t="s">
        <v>372</v>
      </c>
      <c r="D39" s="159" t="s">
        <v>390</v>
      </c>
    </row>
    <row r="40" spans="1:4" ht="12.75">
      <c r="A40" s="36" t="s">
        <v>368</v>
      </c>
      <c r="B40" s="47">
        <v>1000</v>
      </c>
      <c r="C40" s="324">
        <v>0.1</v>
      </c>
      <c r="D40" s="295">
        <f>B40*(1-$C$40)</f>
        <v>900</v>
      </c>
    </row>
    <row r="41" spans="1:4" ht="12.75">
      <c r="A41" s="36" t="s">
        <v>363</v>
      </c>
      <c r="B41" s="47">
        <v>3000</v>
      </c>
      <c r="C41" s="325"/>
      <c r="D41" s="295">
        <f>B41*(1-$C$40)</f>
        <v>2700</v>
      </c>
    </row>
    <row r="42" spans="1:4" ht="12.75">
      <c r="A42" s="36" t="s">
        <v>364</v>
      </c>
      <c r="B42" s="47">
        <v>6000</v>
      </c>
      <c r="C42" s="325"/>
      <c r="D42" s="295">
        <f>B42*(1-$C$40)</f>
        <v>5400</v>
      </c>
    </row>
    <row r="43" spans="1:4" ht="12.75">
      <c r="A43" s="36" t="s">
        <v>365</v>
      </c>
      <c r="B43" s="47">
        <v>10000</v>
      </c>
      <c r="C43" s="326"/>
      <c r="D43" s="295">
        <f>B43*(1-$C$40)</f>
        <v>9000</v>
      </c>
    </row>
    <row r="44" spans="1:3" ht="12.75">
      <c r="A44" s="36" t="s">
        <v>367</v>
      </c>
      <c r="B44" s="86">
        <v>500</v>
      </c>
      <c r="C44" s="106"/>
    </row>
    <row r="45" spans="1:3" ht="12.75">
      <c r="A45" s="36" t="s">
        <v>363</v>
      </c>
      <c r="B45" s="86">
        <v>1500</v>
      </c>
      <c r="C45" s="106"/>
    </row>
    <row r="46" spans="1:3" ht="12.75">
      <c r="A46" s="36" t="s">
        <v>364</v>
      </c>
      <c r="B46" s="86">
        <v>3000</v>
      </c>
      <c r="C46" s="106"/>
    </row>
    <row r="47" spans="1:3" ht="12.75">
      <c r="A47" s="36" t="s">
        <v>365</v>
      </c>
      <c r="B47" s="86">
        <v>5000</v>
      </c>
      <c r="C47" s="106"/>
    </row>
    <row r="48" spans="1:3" ht="19.5" customHeight="1">
      <c r="A48" s="36" t="s">
        <v>277</v>
      </c>
      <c r="B48" s="48"/>
      <c r="C48" s="106"/>
    </row>
    <row r="49" spans="1:3" ht="12.75">
      <c r="A49" s="137" t="str">
        <f>IF(Lookup!C4="No","-","How much does brick recycling cost per ton (including transportation)?")</f>
        <v>How much does brick recycling cost per ton (including transportation)?</v>
      </c>
      <c r="B49" s="52">
        <v>15</v>
      </c>
      <c r="C49" s="106">
        <f>IF(A49="-","",IF(B49="","&lt;---- Fill in this cell",""))</f>
      </c>
    </row>
    <row r="50" spans="1:3" ht="12.75">
      <c r="A50" s="137" t="str">
        <f>IF(Lookup!C4="No","-","How many miles is it to the nearest brick recycling facility?")</f>
        <v>How many miles is it to the nearest brick recycling facility?</v>
      </c>
      <c r="B50" s="232">
        <v>25</v>
      </c>
      <c r="C50" s="106">
        <f>IF(A50="-","",IF(B50="","&lt;---- Fill in this cell",""))</f>
      </c>
    </row>
    <row r="51" spans="1:3" ht="19.5" customHeight="1">
      <c r="A51" s="36" t="s">
        <v>82</v>
      </c>
      <c r="B51" s="52"/>
      <c r="C51" s="106"/>
    </row>
    <row r="52" spans="1:3" ht="12.75">
      <c r="A52" s="36" t="str">
        <f>IF(Lookup!G4="No","-","How much do recycled bricks cost (per used brick)?")</f>
        <v>How much do recycled bricks cost (per used brick)?</v>
      </c>
      <c r="B52" s="87">
        <v>0.2</v>
      </c>
      <c r="C52" s="106">
        <f>IF(A52="-","",IF(B52="","&lt;---- Fill in this cell",""))</f>
      </c>
    </row>
    <row r="53" spans="1:3" ht="12.75">
      <c r="A53" s="137" t="s">
        <v>225</v>
      </c>
      <c r="B53" s="232">
        <v>1</v>
      </c>
      <c r="C53" s="106"/>
    </row>
    <row r="54" spans="1:3" ht="12.75">
      <c r="A54" s="36" t="s">
        <v>218</v>
      </c>
      <c r="B54" s="232">
        <v>3</v>
      </c>
      <c r="C54" s="106"/>
    </row>
    <row r="55" spans="1:3" ht="12.75">
      <c r="A55" s="36" t="s">
        <v>219</v>
      </c>
      <c r="B55" s="232">
        <v>6</v>
      </c>
      <c r="C55" s="106"/>
    </row>
    <row r="56" spans="1:3" ht="12.75">
      <c r="A56" s="36" t="s">
        <v>220</v>
      </c>
      <c r="B56" s="232">
        <v>10</v>
      </c>
      <c r="C56" s="106"/>
    </row>
    <row r="57" spans="1:3" ht="12.75">
      <c r="A57" s="137" t="s">
        <v>182</v>
      </c>
      <c r="B57" s="232">
        <v>50</v>
      </c>
      <c r="C57" s="106"/>
    </row>
    <row r="58" spans="1:3" ht="12.75">
      <c r="A58" s="137" t="s">
        <v>274</v>
      </c>
      <c r="B58" s="232">
        <v>1</v>
      </c>
      <c r="C58" s="106"/>
    </row>
    <row r="59" spans="1:3" ht="12.75">
      <c r="A59" s="36" t="s">
        <v>218</v>
      </c>
      <c r="B59" s="232">
        <v>3</v>
      </c>
      <c r="C59" s="106"/>
    </row>
    <row r="60" spans="1:3" ht="12.75">
      <c r="A60" s="36" t="s">
        <v>219</v>
      </c>
      <c r="B60" s="232">
        <v>6</v>
      </c>
      <c r="C60" s="106"/>
    </row>
    <row r="61" spans="1:3" ht="12.75">
      <c r="A61" s="36" t="s">
        <v>220</v>
      </c>
      <c r="B61" s="232">
        <v>10</v>
      </c>
      <c r="C61" s="106"/>
    </row>
    <row r="62" spans="1:5" ht="12.75">
      <c r="A62" s="30" t="s">
        <v>81</v>
      </c>
      <c r="B62" s="256"/>
      <c r="C62" s="106"/>
      <c r="D62" s="9"/>
      <c r="E62" s="9"/>
    </row>
    <row r="63" spans="1:3" ht="12.75">
      <c r="A63" s="36" t="s">
        <v>369</v>
      </c>
      <c r="B63" s="47">
        <v>1</v>
      </c>
      <c r="C63" s="106"/>
    </row>
    <row r="64" spans="1:3" ht="12.75">
      <c r="A64" s="36" t="s">
        <v>363</v>
      </c>
      <c r="B64" s="47">
        <v>3</v>
      </c>
      <c r="C64" s="106"/>
    </row>
    <row r="65" spans="1:3" ht="12.75">
      <c r="A65" s="36" t="s">
        <v>364</v>
      </c>
      <c r="B65" s="47">
        <v>6</v>
      </c>
      <c r="C65" s="106"/>
    </row>
    <row r="66" spans="1:3" ht="12.75">
      <c r="A66" s="36" t="s">
        <v>365</v>
      </c>
      <c r="B66" s="47">
        <v>10</v>
      </c>
      <c r="C66" s="106"/>
    </row>
    <row r="67" spans="1:3" ht="19.5" customHeight="1">
      <c r="A67" s="36" t="s">
        <v>59</v>
      </c>
      <c r="B67" s="47"/>
      <c r="C67" s="106"/>
    </row>
    <row r="68" spans="1:3" ht="12.75">
      <c r="A68" s="36" t="s">
        <v>371</v>
      </c>
      <c r="B68" s="47">
        <v>1</v>
      </c>
      <c r="C68" s="106"/>
    </row>
    <row r="69" spans="1:3" ht="12.75">
      <c r="A69" s="36" t="s">
        <v>363</v>
      </c>
      <c r="B69" s="47">
        <v>3</v>
      </c>
      <c r="C69" s="106"/>
    </row>
    <row r="70" spans="1:3" ht="12.75">
      <c r="A70" s="36" t="s">
        <v>364</v>
      </c>
      <c r="B70" s="47">
        <v>6</v>
      </c>
      <c r="C70" s="106"/>
    </row>
    <row r="71" spans="1:3" ht="12.75">
      <c r="A71" s="36" t="s">
        <v>365</v>
      </c>
      <c r="B71" s="47">
        <v>10</v>
      </c>
      <c r="C71" s="106"/>
    </row>
    <row r="72" spans="1:3" ht="12.75" customHeight="1">
      <c r="A72" s="36" t="s">
        <v>370</v>
      </c>
      <c r="B72" s="47">
        <v>2</v>
      </c>
      <c r="C72" s="106"/>
    </row>
    <row r="73" spans="1:3" ht="12.75" customHeight="1">
      <c r="A73" s="36" t="s">
        <v>363</v>
      </c>
      <c r="B73" s="47">
        <v>6</v>
      </c>
      <c r="C73" s="106"/>
    </row>
    <row r="74" spans="1:3" ht="12.75" customHeight="1">
      <c r="A74" s="36" t="s">
        <v>364</v>
      </c>
      <c r="B74" s="47">
        <v>12</v>
      </c>
      <c r="C74" s="106"/>
    </row>
    <row r="75" spans="1:3" ht="12.75" customHeight="1">
      <c r="A75" s="36" t="s">
        <v>365</v>
      </c>
      <c r="B75" s="47">
        <v>20</v>
      </c>
      <c r="C75" s="106"/>
    </row>
    <row r="76" spans="1:3" ht="19.5" customHeight="1">
      <c r="A76" s="36" t="s">
        <v>278</v>
      </c>
      <c r="B76" s="48"/>
      <c r="C76" s="106"/>
    </row>
    <row r="77" spans="1:3" ht="12.75">
      <c r="A77" s="83" t="str">
        <f>IF(Lookup!A4="No","-","How much does recycling concrete cost per ton (including transportation)?")</f>
        <v>How much does recycling concrete cost per ton (including transportation)?</v>
      </c>
      <c r="B77" s="52">
        <v>15</v>
      </c>
      <c r="C77" s="106">
        <f>IF(A77="-","",IF(B77="","&lt;---- Fill in this cell",""))</f>
      </c>
    </row>
    <row r="78" spans="1:3" ht="12.75">
      <c r="A78" s="137" t="str">
        <f>IF(Lookup!A4="No","-","How many miles is it to the nearest concrete recycling facility?")</f>
        <v>How many miles is it to the nearest concrete recycling facility?</v>
      </c>
      <c r="B78" s="232">
        <v>25</v>
      </c>
      <c r="C78" s="106">
        <f>IF(A78="-","",IF(B78="","&lt;---- Fill in this cell",""))</f>
      </c>
    </row>
    <row r="79" spans="1:3" ht="12.75">
      <c r="A79" s="137" t="s">
        <v>223</v>
      </c>
      <c r="B79" s="232">
        <v>1</v>
      </c>
      <c r="C79" s="106"/>
    </row>
    <row r="80" spans="1:3" ht="12.75">
      <c r="A80" s="36" t="s">
        <v>218</v>
      </c>
      <c r="B80" s="232">
        <v>3</v>
      </c>
      <c r="C80" s="106"/>
    </row>
    <row r="81" spans="1:3" ht="12.75">
      <c r="A81" s="36" t="s">
        <v>219</v>
      </c>
      <c r="B81" s="232">
        <v>6</v>
      </c>
      <c r="C81" s="106"/>
    </row>
    <row r="82" spans="1:3" ht="12.75">
      <c r="A82" s="36" t="s">
        <v>220</v>
      </c>
      <c r="B82" s="232">
        <v>10</v>
      </c>
      <c r="C82" s="106"/>
    </row>
    <row r="83" spans="1:3" ht="12.75">
      <c r="A83" s="137" t="s">
        <v>181</v>
      </c>
      <c r="B83" s="232">
        <v>50</v>
      </c>
      <c r="C83" s="106"/>
    </row>
    <row r="84" spans="1:3" ht="12.75">
      <c r="A84" s="137" t="s">
        <v>221</v>
      </c>
      <c r="B84" s="232">
        <v>1</v>
      </c>
      <c r="C84" s="106"/>
    </row>
    <row r="85" spans="1:3" ht="12.75">
      <c r="A85" s="36" t="s">
        <v>218</v>
      </c>
      <c r="B85" s="232">
        <v>3</v>
      </c>
      <c r="C85" s="106"/>
    </row>
    <row r="86" spans="1:3" ht="12.75">
      <c r="A86" s="36" t="s">
        <v>219</v>
      </c>
      <c r="B86" s="232">
        <v>6</v>
      </c>
      <c r="C86" s="106"/>
    </row>
    <row r="87" spans="1:3" ht="12.75">
      <c r="A87" s="36" t="s">
        <v>220</v>
      </c>
      <c r="B87" s="232">
        <v>10</v>
      </c>
      <c r="C87" s="106"/>
    </row>
    <row r="88" spans="1:3" ht="19.5" customHeight="1">
      <c r="A88" s="36" t="s">
        <v>279</v>
      </c>
      <c r="B88" s="48"/>
      <c r="C88" s="106"/>
    </row>
    <row r="89" spans="1:3" ht="12.75">
      <c r="A89" s="83" t="str">
        <f>IF(Lookup!B4="No","-","How much does recycling asphalt cost per ton (including transportation)?")</f>
        <v>How much does recycling asphalt cost per ton (including transportation)?</v>
      </c>
      <c r="B89" s="52">
        <v>15</v>
      </c>
      <c r="C89" s="106">
        <f>IF(A89="-","",IF(B89="","&lt;---- Fill in this cell",""))</f>
      </c>
    </row>
    <row r="90" spans="1:3" ht="12.75">
      <c r="A90" s="137" t="str">
        <f>IF(Lookup!B4="No","-","How many miles is it to the nearest asphalt recycling facility?")</f>
        <v>How many miles is it to the nearest asphalt recycling facility?</v>
      </c>
      <c r="B90" s="232">
        <v>25</v>
      </c>
      <c r="C90" s="106">
        <f>IF(A90="-","",IF(B90="","&lt;---- Fill in this cell",""))</f>
      </c>
    </row>
    <row r="91" spans="1:3" ht="12.75">
      <c r="A91" s="137" t="s">
        <v>224</v>
      </c>
      <c r="B91" s="232">
        <v>1</v>
      </c>
      <c r="C91" s="106"/>
    </row>
    <row r="92" spans="1:3" ht="12.75">
      <c r="A92" s="36" t="s">
        <v>218</v>
      </c>
      <c r="B92" s="232">
        <v>3</v>
      </c>
      <c r="C92" s="106"/>
    </row>
    <row r="93" spans="1:3" ht="12.75">
      <c r="A93" s="36" t="s">
        <v>219</v>
      </c>
      <c r="B93" s="232">
        <v>6</v>
      </c>
      <c r="C93" s="106"/>
    </row>
    <row r="94" spans="1:3" ht="12.75">
      <c r="A94" s="36" t="s">
        <v>220</v>
      </c>
      <c r="B94" s="232">
        <v>10</v>
      </c>
      <c r="C94" s="106"/>
    </row>
    <row r="95" spans="1:3" ht="12.75">
      <c r="A95" s="137" t="s">
        <v>180</v>
      </c>
      <c r="B95" s="232">
        <v>50</v>
      </c>
      <c r="C95" s="106"/>
    </row>
    <row r="96" spans="1:3" ht="12.75">
      <c r="A96" s="137" t="s">
        <v>222</v>
      </c>
      <c r="B96" s="232">
        <v>1</v>
      </c>
      <c r="C96" s="106"/>
    </row>
    <row r="97" spans="1:3" ht="12.75">
      <c r="A97" s="36" t="s">
        <v>218</v>
      </c>
      <c r="B97" s="232">
        <v>3</v>
      </c>
      <c r="C97" s="106"/>
    </row>
    <row r="98" spans="1:3" ht="12.75">
      <c r="A98" s="36" t="s">
        <v>219</v>
      </c>
      <c r="B98" s="232">
        <v>6</v>
      </c>
      <c r="C98" s="106"/>
    </row>
    <row r="99" spans="1:3" ht="12.75">
      <c r="A99" s="36" t="s">
        <v>220</v>
      </c>
      <c r="B99" s="232">
        <v>10</v>
      </c>
      <c r="C99" s="106"/>
    </row>
  </sheetData>
  <sheetProtection sheet="1" objects="1" scenarios="1"/>
  <mergeCells count="2">
    <mergeCell ref="C18:C21"/>
    <mergeCell ref="C40:C43"/>
  </mergeCells>
  <dataValidations count="6">
    <dataValidation type="decimal" allowBlank="1" showInputMessage="1" showErrorMessage="1" sqref="B88">
      <formula1>0</formula1>
      <formula2>100000000000</formula2>
    </dataValidation>
    <dataValidation type="decimal" allowBlank="1" showInputMessage="1" showErrorMessage="1" errorTitle="Error" error="Please enter a number greater or equal to zero." sqref="B22:B23 B7:B10 B13:B16 B83:B84 B28:B30 B34:B35 B49:B50 B44 B57:B58 B63 B72 B40 B52:B53 B68 B77:B79 B89:B91 B95:B96">
      <formula1>0</formula1>
      <formula2>100000000000</formula2>
    </dataValidation>
    <dataValidation type="decimal" operator="greaterThanOrEqual" allowBlank="1" showInputMessage="1" showErrorMessage="1" errorTitle="Error" error="Please enter a number greater or equal to value in the previous row." sqref="B36:B38 B42:B43 B45:B47 B54:B56 B59:B61 B64:B66 B69:B71 B73:B75 B80:B82 B85:B87 B92:B94 B31:B33 B97:B99 B19:B21 B24:B26">
      <formula1>B35</formula1>
    </dataValidation>
    <dataValidation type="decimal" operator="greaterThanOrEqual" allowBlank="1" showInputMessage="1" showErrorMessage="1" errorTitle="Error" error="Please enter a number greater or equal to zero." sqref="B18">
      <formula1>0</formula1>
    </dataValidation>
    <dataValidation type="decimal" operator="greaterThanOrEqual" allowBlank="1" showInputMessage="1" showErrorMessage="1" errorTitle="Error" error="Please enter a number greater or equal to value in the previous row." sqref="B41">
      <formula1>B40</formula1>
    </dataValidation>
    <dataValidation type="decimal" allowBlank="1" showErrorMessage="1" promptTitle="Error" prompt="Please enter a value between 0 and 100%" sqref="C18:C21 C40:C43">
      <formula1>0</formula1>
      <formula2>1</formula2>
    </dataValidation>
  </dataValidations>
  <printOptions horizontalCentered="1"/>
  <pageMargins left="0.75" right="0.75" top="1" bottom="1" header="0.5" footer="0.5"/>
  <pageSetup fitToHeight="2" fitToWidth="1" horizontalDpi="600" verticalDpi="600" orientation="portrait" r:id="rId5"/>
  <drawing r:id="rId3"/>
  <legacyDrawing r:id="rId2"/>
  <picture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I84"/>
  <sheetViews>
    <sheetView showGridLines="0" workbookViewId="0" topLeftCell="A1">
      <selection activeCell="A1" sqref="A1:B2"/>
    </sheetView>
  </sheetViews>
  <sheetFormatPr defaultColWidth="9.140625" defaultRowHeight="12.75"/>
  <cols>
    <col min="1" max="1" width="32.57421875" style="7" customWidth="1"/>
    <col min="2" max="5" width="11.7109375" style="7" customWidth="1"/>
    <col min="6" max="16384" width="9.140625" style="7" customWidth="1"/>
  </cols>
  <sheetData>
    <row r="1" spans="1:7" ht="12.75" customHeight="1">
      <c r="A1" s="327" t="s">
        <v>93</v>
      </c>
      <c r="B1" s="328"/>
      <c r="C1" s="6"/>
      <c r="D1" s="6"/>
      <c r="E1" s="6"/>
      <c r="F1" s="6"/>
      <c r="G1" s="6"/>
    </row>
    <row r="2" spans="1:2" ht="12.75">
      <c r="A2" s="328"/>
      <c r="B2" s="328"/>
    </row>
    <row r="3" ht="12.75"/>
    <row r="4" spans="1:7" ht="25.5" customHeight="1">
      <c r="A4" s="62" t="s">
        <v>74</v>
      </c>
      <c r="B4" s="42" t="s">
        <v>21</v>
      </c>
      <c r="C4" s="42" t="s">
        <v>18</v>
      </c>
      <c r="D4" s="42" t="s">
        <v>19</v>
      </c>
      <c r="E4" s="42" t="s">
        <v>20</v>
      </c>
      <c r="F4" s="70"/>
      <c r="G4" s="6"/>
    </row>
    <row r="5" spans="1:7" ht="12.75">
      <c r="A5" s="36" t="s">
        <v>16</v>
      </c>
      <c r="B5" s="88"/>
      <c r="C5" s="88"/>
      <c r="D5" s="88"/>
      <c r="E5" s="89"/>
      <c r="F5" s="70"/>
      <c r="G5" s="6"/>
    </row>
    <row r="6" spans="1:7" ht="12.75">
      <c r="A6" s="49" t="s">
        <v>17</v>
      </c>
      <c r="B6" s="53">
        <f>MAX(Inputs!$B$9-(Inputs!$B$7*(1-Inputs!$B$8)*'Cost Data'!$D$52),0)*'Cost Data'!$C$31</f>
        <v>0</v>
      </c>
      <c r="C6" s="53">
        <f>MAX(Inputs!$B$9-(Inputs!$B$7*(1-Inputs!$B$8)*'Cost Data'!$D$52),0)*'Cost Data'!$C$31*3</f>
        <v>0</v>
      </c>
      <c r="D6" s="53">
        <f>MAX(Inputs!$B$9-(Inputs!$B$7*(1-Inputs!$B$8)*'Cost Data'!$D$52),0)*'Cost Data'!$C$31*6</f>
        <v>0</v>
      </c>
      <c r="E6" s="54">
        <f>MAX(Inputs!$B$9-(Inputs!$B$7*(1-Inputs!$B$8)*'Cost Data'!$D$52),0)*'Cost Data'!$C$31*10</f>
        <v>0</v>
      </c>
      <c r="F6" s="70"/>
      <c r="G6" s="6"/>
    </row>
    <row r="7" spans="1:7" ht="12.75">
      <c r="A7" s="49" t="s">
        <v>107</v>
      </c>
      <c r="B7" s="53">
        <f>IF(B15="N/A",Inputs!$B$10*'Cost Data'!$C$32,MAX(Inputs!$B$10-((Inputs!$B$7*Inputs!$B$8)+(IF((Inputs!$B$22*Inputs!$B$18)&gt;Inputs!$B$23,Inputs!$B$18*(1-Inputs!$B$22)*'Cost Data'!$D$43,MAX(0,Inputs!$B$18-Inputs!$B$23)*'Cost Data'!$D$43))),0)*'Cost Data'!$C$32)</f>
        <v>0</v>
      </c>
      <c r="C7" s="53">
        <f>IF(B15="N/A",Inputs!$B$10*'Cost Data'!$C$32*3,MAX((Inputs!$B$10*3)-(((Inputs!$B$7*3)*Inputs!$B$8)+(IF((Inputs!$B$22*Inputs!$B$19)&gt;Inputs!$B$23,Inputs!$B$19*(1-Inputs!$B$22)*'Cost Data'!$D$43,MAX(0,Inputs!$B$19-Inputs!$B$23)*'Cost Data'!$D$43))),0)*'Cost Data'!$C$32)</f>
        <v>0</v>
      </c>
      <c r="D7" s="53">
        <f>IF(B15="N/A",Inputs!$B$10*'Cost Data'!$C$32*6,MAX((Inputs!$B$10*6)-(((Inputs!$B$7*6)*Inputs!$B$8)+(IF((Inputs!$B$22*Inputs!$B$20)&gt;Inputs!$B$23,Inputs!$B$20*(1-Inputs!$B$22)*'Cost Data'!$D$43,MAX(0,Inputs!$B$20-Inputs!$B$23)*'Cost Data'!$D$43))),0)*'Cost Data'!$C$32)</f>
        <v>0</v>
      </c>
      <c r="E7" s="54">
        <f>IF(B15="N/A",Inputs!$B$10*'Cost Data'!$C$32*10,MAX((Inputs!$B$10*10)-(((Inputs!$B$7*10)*Inputs!$B$8)+(IF((Inputs!$B$22*Inputs!$B$21)&gt;Inputs!$B$23,Inputs!$B$21*(1-Inputs!$B$22)*'Cost Data'!$D$43,MAX(0,Inputs!$B$21-Inputs!$B$23)*'Cost Data'!$D$43))),0)*'Cost Data'!$C$32)</f>
        <v>0</v>
      </c>
      <c r="F7" s="70"/>
      <c r="G7" s="6"/>
    </row>
    <row r="8" spans="1:7" ht="12.75">
      <c r="A8" s="49" t="s">
        <v>37</v>
      </c>
      <c r="B8" s="53">
        <f>IF(Inputs!$B$23&gt;Inputs!$D$18,(Inputs!$B$23-Inputs!$D$18)*'Cost Data'!$C$33,0)</f>
        <v>0</v>
      </c>
      <c r="C8" s="53">
        <f>IF(Inputs!$B$24&gt;Inputs!$D$19,(Inputs!$B$24-Inputs!$D$19)*'Cost Data'!$C$33,0)</f>
        <v>0</v>
      </c>
      <c r="D8" s="53">
        <f>IF(Inputs!$B$25&gt;Inputs!$D$20,(Inputs!$B$25-Inputs!$D$20)*'Cost Data'!$C$33,0)</f>
        <v>0</v>
      </c>
      <c r="E8" s="54">
        <f>IF(Inputs!$B$26&gt;Inputs!$D$21,(Inputs!$B$26-Inputs!$D$21)*'Cost Data'!$C$33,0)</f>
        <v>0</v>
      </c>
      <c r="F8" s="70"/>
      <c r="G8" s="101"/>
    </row>
    <row r="9" spans="1:7" ht="12.75">
      <c r="A9" s="49" t="s">
        <v>14</v>
      </c>
      <c r="B9" s="53">
        <f>IF(Inputs!$B$44&gt;Inputs!$D$40,(Inputs!$B$44-Inputs!$D$40)*'Cost Data'!$C$34,0)</f>
        <v>0</v>
      </c>
      <c r="C9" s="53">
        <f>IF(Inputs!$B$45&gt;Inputs!$D$41,(Inputs!$B$45-Inputs!$D$41)*'Cost Data'!$C$34,0)</f>
        <v>0</v>
      </c>
      <c r="D9" s="53">
        <f>IF(Inputs!$B$46&gt;Inputs!$D$42,(Inputs!$B$46-Inputs!$D$42)*'Cost Data'!$C$34,0)</f>
        <v>0</v>
      </c>
      <c r="E9" s="54">
        <f>IF(Inputs!$B$47&gt;Inputs!$D$43,(Inputs!$B$47-Inputs!$D$43)*'Cost Data'!$C$34,0)</f>
        <v>0</v>
      </c>
      <c r="F9" s="70"/>
      <c r="G9" s="6"/>
    </row>
    <row r="10" spans="1:7" ht="12.75">
      <c r="A10" s="49" t="s">
        <v>58</v>
      </c>
      <c r="B10" s="53">
        <f>IF($B$12="N/A",Inputs!$B$72*'Cost Data'!$C$35,IF(Inputs!$B$72&gt;Inputs!$B$63,(Inputs!$B$72-Inputs!$B$63)*'Cost Data'!$C$35,0))</f>
        <v>23.84</v>
      </c>
      <c r="C10" s="53">
        <f>IF($B$12="N/A",Inputs!$B$73*'Cost Data'!$C$35,IF(Inputs!$B$73&gt;Inputs!$B$64,(Inputs!$B$73-Inputs!$B$64)*'Cost Data'!$C$35,0))</f>
        <v>71.52</v>
      </c>
      <c r="D10" s="53">
        <f>IF($B$12="N/A",Inputs!$B$74*'Cost Data'!$C$35,IF(Inputs!$B$74&gt;Inputs!$B$65,(Inputs!$B$74-Inputs!$B$65)*'Cost Data'!$C$35,0))</f>
        <v>143.04</v>
      </c>
      <c r="E10" s="54">
        <f>IF($B$12="N/A",Inputs!$B$75*'Cost Data'!$C$35,IF(Inputs!$B$75&gt;Inputs!$B$66,(Inputs!$B$75-Inputs!$B$66)*'Cost Data'!$C$35,0))</f>
        <v>238.4</v>
      </c>
      <c r="F10" s="70"/>
      <c r="G10" s="6"/>
    </row>
    <row r="11" spans="1:7" ht="12.75">
      <c r="A11" s="36" t="s">
        <v>54</v>
      </c>
      <c r="B11" s="53"/>
      <c r="C11" s="53"/>
      <c r="D11" s="53"/>
      <c r="E11" s="54"/>
      <c r="F11" s="70"/>
      <c r="G11" s="9"/>
    </row>
    <row r="12" spans="1:7" ht="12.75">
      <c r="A12" s="49" t="s">
        <v>55</v>
      </c>
      <c r="B12" s="37" t="str">
        <f>IF(Lookup!$F$4="Yes",0,IF(MIN(Inputs!$B$66,Inputs!$B$75)+MIN(Inputs!$B$71,Inputs!$B$75)&lt;10000,"N/A",'Cost Data'!$C$13))</f>
        <v>N/A</v>
      </c>
      <c r="C12" s="37" t="str">
        <f>IF(Lookup!$F$4="Yes",0,IF(MIN(Inputs!$B$66,Inputs!$B$75)+MIN(Inputs!$B$71,Inputs!$B$75)&lt;10000,"N/A",'Cost Data'!$C$13))</f>
        <v>N/A</v>
      </c>
      <c r="D12" s="37" t="str">
        <f>IF(Lookup!$F$4="Yes",0,IF(MIN(Inputs!$B$66,Inputs!$B$75)+MIN(Inputs!$B$71,Inputs!$B$75)&lt;10000,"N/A",'Cost Data'!$C$13))</f>
        <v>N/A</v>
      </c>
      <c r="E12" s="38" t="str">
        <f>IF(Lookup!$F$4="Yes",0,IF(MIN(Inputs!$B$66,Inputs!$B$75)+MIN(Inputs!$B$71,Inputs!$B$75)&lt;10000,"N/A",'Cost Data'!$C$13))</f>
        <v>N/A</v>
      </c>
      <c r="F12" s="70"/>
      <c r="G12" s="9"/>
    </row>
    <row r="13" spans="1:7" ht="12.75">
      <c r="A13" s="49" t="s">
        <v>56</v>
      </c>
      <c r="B13" s="37" t="str">
        <f>IF(B12="N/A","N/A",'Cost Data'!$C$14*(MIN(Inputs!$B$63,Inputs!$B$72)+MIN(Inputs!$B$68,Inputs!$B$72)))</f>
        <v>N/A</v>
      </c>
      <c r="C13" s="37" t="str">
        <f>IF(C12="N/A","N/A",'Cost Data'!$C$14*(MIN(Inputs!$B$64,Inputs!$B$73)+MIN(Inputs!$B$69,Inputs!$B$73)))</f>
        <v>N/A</v>
      </c>
      <c r="D13" s="37" t="str">
        <f>IF(D12="N/A","N/A",'Cost Data'!$C$14*(MIN(Inputs!$B$65,Inputs!$B$74)+MIN(Inputs!$B$70,Inputs!$B$74)))</f>
        <v>N/A</v>
      </c>
      <c r="E13" s="38" t="str">
        <f>IF(E12="N/A","N/A",'Cost Data'!$C$14*(MIN(Inputs!$B$66,Inputs!$B$75)+MIN(Inputs!$B$71,Inputs!$B$75)))</f>
        <v>N/A</v>
      </c>
      <c r="F13" s="9"/>
      <c r="G13" s="9"/>
    </row>
    <row r="14" spans="1:7" ht="12.75">
      <c r="A14" s="49" t="s">
        <v>57</v>
      </c>
      <c r="B14" s="37" t="str">
        <f>IF(B12="N/A","N/A",'Cost Data'!$C$15*(MIN(Inputs!$B$63,Inputs!$B$72)+MIN(Inputs!$B$68,Inputs!$B$72)))</f>
        <v>N/A</v>
      </c>
      <c r="C14" s="37" t="str">
        <f>IF(C12="N/A","N/A",'Cost Data'!$C$15*(MIN(Inputs!$B$64,Inputs!$B$73)+MIN(Inputs!$B$69,Inputs!$B$73)))</f>
        <v>N/A</v>
      </c>
      <c r="D14" s="37" t="str">
        <f>IF(D12="N/A","N/A",'Cost Data'!$C$15*(MIN(Inputs!$B$65,Inputs!$B$74)+MIN(Inputs!$B$70,Inputs!$B$74)))</f>
        <v>N/A</v>
      </c>
      <c r="E14" s="38" t="str">
        <f>IF(E12="N/A","N/A",'Cost Data'!$C$15*(MIN(Inputs!$B$66,Inputs!$B$75)+MIN(Inputs!$B$71,Inputs!$B$75)))</f>
        <v>N/A</v>
      </c>
      <c r="F14" s="9"/>
      <c r="G14" s="9"/>
    </row>
    <row r="15" spans="1:7" ht="12.75">
      <c r="A15" s="49" t="s">
        <v>130</v>
      </c>
      <c r="B15" s="37">
        <f>IF(Lookup!$H$4="Yes",0,IF('Cost Data'!$C$21&gt;'Cost Data'!$C$22*MIN(Inputs!$B$10*10,((Inputs!$B$7*10*Inputs!$B$8)+(IF(Inputs!$B$21*Inputs!$B$22&lt;Inputs!$B$26,MAX(Inputs!$B$21-Inputs!$B$26,0),Inputs!$B$21-(Inputs!$B$21*Inputs!$B$22)))*'Cost Data'!$D$43)),"N/A",'Cost Data'!$C$21))</f>
        <v>0</v>
      </c>
      <c r="C15" s="37">
        <f>IF(Lookup!$H$4="Yes",0,IF('Cost Data'!$C$21&gt;'Cost Data'!$C$22*MIN(Inputs!$B$10*10,((Inputs!$B$7*10*Inputs!$B$8)+(IF(Inputs!$B$21*Inputs!$B$22&lt;Inputs!$B$26,MAX(Inputs!$B$21-Inputs!$B$26,0),Inputs!$B$21-(Inputs!$B$21*Inputs!$B$22)))*'Cost Data'!$D$43)),"N/A",'Cost Data'!$C$21))</f>
        <v>0</v>
      </c>
      <c r="D15" s="37">
        <f>IF(Lookup!$H$4="Yes",0,IF('Cost Data'!$C$21&gt;'Cost Data'!$C$22*MIN(Inputs!$B$10*10,((Inputs!$B$7*10*Inputs!$B$8)+(IF(Inputs!$B$21*Inputs!$B$22&lt;Inputs!$B$26,MAX(Inputs!$B$21-Inputs!$B$26,0),Inputs!$B$21-(Inputs!$B$21*Inputs!$B$22)))*'Cost Data'!$D$43)),"N/A",'Cost Data'!$C$21))</f>
        <v>0</v>
      </c>
      <c r="E15" s="38">
        <f>IF(Lookup!$H$4="Yes",0,IF('Cost Data'!$C$21&gt;'Cost Data'!$C$22*MIN(Inputs!$B$10*10,((Inputs!$B$7*10*Inputs!$B$8)+(IF(Inputs!$B$21*Inputs!$B$22&lt;Inputs!$B$26,MAX(Inputs!$B$21-Inputs!$B$26,0),Inputs!$B$21-(Inputs!$B$21*Inputs!$B$22)))*'Cost Data'!$D$43)),"N/A",'Cost Data'!$C$21))</f>
        <v>0</v>
      </c>
      <c r="F15" s="75"/>
      <c r="G15" s="9"/>
    </row>
    <row r="16" spans="1:7" ht="12.75">
      <c r="A16" s="49" t="s">
        <v>131</v>
      </c>
      <c r="B16" s="37">
        <f>IF(B15="N/A","N/A",MIN(Inputs!$B$10*'Cost Data'!$C$20*'Cost Data'!$C$19,((Inputs!$B$7*Inputs!$B$8)+(IF(Inputs!$D$18*Inputs!$B$22&lt;Inputs!$B$23,MAX(Inputs!$D$18-Inputs!$B$23,0),Inputs!$D$18-(Inputs!$D$18*Inputs!$B$22)))*'Cost Data'!$D$43)*'Cost Data'!$C$20*'Cost Data'!$C$19))</f>
        <v>29.54645161290323</v>
      </c>
      <c r="C16" s="37">
        <f>IF(C15="N/A","N/A",MIN(Inputs!$B$10*3*'Cost Data'!$C$20*'Cost Data'!$C$19,((Inputs!$B$7*3*Inputs!$B$8)+(IF(Inputs!$D$19*Inputs!$B$22&lt;Inputs!$B$24,MAX(Inputs!$D$19-Inputs!$B$24,0),Inputs!$D$19-(Inputs!$D$19*Inputs!$B$22)))*'Cost Data'!$D$43)*'Cost Data'!$C$20*'Cost Data'!$C$19))</f>
        <v>88.63935483870968</v>
      </c>
      <c r="D16" s="37">
        <f>IF(D15="N/A","N/A",MIN(Inputs!$B$10*6*'Cost Data'!$C$20*'Cost Data'!$C$19,((Inputs!$B$7*6*Inputs!$B$8)+(IF(Inputs!$D$20*Inputs!$B$22&lt;Inputs!$B$25,MAX(Inputs!$D$20-Inputs!$B$25,0),Inputs!$D$20-(Inputs!$D$20*Inputs!$B$22)))*'Cost Data'!$D42)*'Cost Data'!$C$20*'Cost Data'!$C$19))</f>
        <v>177.27870967741936</v>
      </c>
      <c r="E16" s="38">
        <f>IF(B15="N/A","N/A",MIN(Inputs!$B$10*10*'Cost Data'!$C$20*'Cost Data'!$C$19,((Inputs!$B$7*10*Inputs!$B$8)+(IF(Inputs!$D$21*Inputs!$B$22&lt;Inputs!$B$26,MAX(Inputs!$D$21-Inputs!$B$26,0),Inputs!$D$21-(Inputs!$D$21*Inputs!$B$22)))*'Cost Data'!$D$43)*'Cost Data'!$C$20*'Cost Data'!$C$19))</f>
        <v>295.4645161290323</v>
      </c>
      <c r="F16" s="9"/>
      <c r="G16" s="9"/>
    </row>
    <row r="17" spans="1:7" ht="12.75">
      <c r="A17" s="49" t="s">
        <v>127</v>
      </c>
      <c r="B17" s="37">
        <f>IF(B15="N/A","N/A",MIN(Inputs!$B$10*'Cost Data'!$C$18*'Cost Data'!$C$19,((Inputs!$B$7*Inputs!$B$8)+(IF(Inputs!$D$18*Inputs!$B$22&lt;Inputs!$B$23,MAX(Inputs!$D$18-Inputs!$B$23,0),Inputs!$D$18-(Inputs!$D$18*Inputs!$B$22)))*'Cost Data'!$D$43)*'Cost Data'!$C$18*'Cost Data'!$C$19))</f>
        <v>13.978494623655914</v>
      </c>
      <c r="C17" s="37">
        <f>IF(C15="N/A","N/A",MIN(Inputs!$B$10*3*'Cost Data'!$C$18*'Cost Data'!$C$19,((Inputs!$B$7*3*Inputs!$B$8)+(IF(Inputs!$D$19*Inputs!$B$22&lt;Inputs!$B$24,MAX(Inputs!$D$19-Inputs!$B$24,0),Inputs!$D$19-(Inputs!$D$19*Inputs!$B$22)))*'Cost Data'!$D$43)*'Cost Data'!$C$18*'Cost Data'!$C$19))</f>
        <v>41.935483870967744</v>
      </c>
      <c r="D17" s="37">
        <f>IF(D15="N/A","N/A",MIN(Inputs!$B$10*6*'Cost Data'!$C$18*'Cost Data'!$C$19,((Inputs!$B$7*6*Inputs!$B$8)+(IF(Inputs!$D$20*Inputs!$B$22&lt;Inputs!$B$25,MAX(Inputs!$D$20-Inputs!$B$25,0),Inputs!$D$20-(Inputs!$D$20*Inputs!$B$22)))*'Cost Data'!$D43)*'Cost Data'!$C$18*'Cost Data'!$C$19))</f>
        <v>83.87096774193549</v>
      </c>
      <c r="E17" s="38">
        <f>IF(B15="N/A","N/A",MIN(Inputs!$B$10*10*'Cost Data'!$C$18*'Cost Data'!$C$19,((Inputs!$B$7*10*Inputs!$B$8)+(IF(Inputs!$D$21*Inputs!$B$22&lt;Inputs!$B$26,MAX(Inputs!$D$21-Inputs!$B$26,0),Inputs!$D$21-(Inputs!$D$21*Inputs!$B$22)))*'Cost Data'!$D$43)*'Cost Data'!$C$18*'Cost Data'!$C$19))</f>
        <v>139.78494623655914</v>
      </c>
      <c r="F17" s="9"/>
      <c r="G17" s="9"/>
    </row>
    <row r="18" spans="1:7" s="14" customFormat="1" ht="12.75">
      <c r="A18" s="49" t="s">
        <v>73</v>
      </c>
      <c r="B18" s="53"/>
      <c r="C18" s="53"/>
      <c r="D18" s="53"/>
      <c r="E18" s="54"/>
      <c r="F18" s="13"/>
      <c r="G18" s="13"/>
    </row>
    <row r="19" spans="1:7" s="14" customFormat="1" ht="12.75">
      <c r="A19" s="49" t="s">
        <v>104</v>
      </c>
      <c r="B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f>
        <v>70</v>
      </c>
      <c r="C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Data'!$A$4:$C$10,3)))*3</f>
        <v>210</v>
      </c>
      <c r="D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Data'!$A$4:$C$10,3)))*6</f>
        <v>420</v>
      </c>
      <c r="E19" s="54">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Data'!$A$4:$C$10,3)))*10</f>
        <v>700</v>
      </c>
      <c r="F19" s="13"/>
      <c r="G19" s="13"/>
    </row>
    <row r="20" spans="1:7" s="14" customFormat="1" ht="12.75">
      <c r="A20" s="49" t="s">
        <v>39</v>
      </c>
      <c r="B20" s="37">
        <f>IF(B15="N/A",MAX(0,Inputs!$B$18-Inputs!$B$23),MAX(0,(Inputs!$B$18-MIN(Inputs!$B$18,Inputs!$B$23)-IF(Inputs!$B$23&gt;Inputs!$B$18,0,IF(Inputs!$B$7*Inputs!$B$8&gt;Inputs!$B$10,0,IF(Inputs!$B$18*Inputs!$B$22&gt;Inputs!$B$23,(MIN((Inputs!$B$18*(1-Inputs!$B$22))*'Cost Data'!$D$43,(Inputs!$B$10-(Inputs!$B$7*Inputs!$B$9))))/'Cost Data'!$D$43,(MIN(((Inputs!$B$18-Inputs!$B$23)*'Cost Data'!$D$43),Inputs!$B$10-(Inputs!$B$7*Inputs!$B$8)))/'Cost Data'!$D$43))))))*'Cost Data'!$D$42*IF(Lookup!D4="Yes",Inputs!B28,VLOOKUP(Lookup!$I$9,'Cost Data'!$A$4:$C$10,3))</f>
        <v>11.25</v>
      </c>
      <c r="C20" s="37">
        <f>IF(B15="N/A",MAX(0,Inputs!$B$19-Inputs!$B$24),MAX(0,(Inputs!$B$19-MIN(Inputs!$B$19,Inputs!$B$24)-IF(Inputs!$B$24&gt;Inputs!$B$19,0,IF(Inputs!$B$7*Inputs!$B$8&gt;Inputs!$B$10,0,IF(Inputs!$B$19*Inputs!$B$22&gt;Inputs!$B$24,(MIN((Inputs!$B$19*(1-Inputs!$B$22))*'Cost Data'!$D$43,(Inputs!$B$10-(Inputs!$B$7*Inputs!$B$9))))/'Cost Data'!$D$43,(MIN(((Inputs!$B$19-Inputs!$B$24)*'Cost Data'!$D$43),Inputs!$B$10-(Inputs!$B$7*Inputs!$B$8)))/'Cost Data'!$D$43))))))*'Cost Data'!$D$42*IF(Lookup!D4="Yes",Inputs!B28,VLOOKUP(Lookup!$I$9,'Cost Data'!$A$4:$C$10,3))</f>
        <v>33.75</v>
      </c>
      <c r="D20" s="37">
        <f>IF(B15="N/A",MAX(0,Inputs!$B$20-Inputs!$B$25),MAX(0,(Inputs!$B$20-MIN(Inputs!$B$20,Inputs!$B$25)-IF(Inputs!$B$25&gt;Inputs!$B$20,0,IF(Inputs!$B$7*Inputs!$B$8&gt;Inputs!$B$10,0,IF(Inputs!$B$20*Inputs!$B$22&gt;Inputs!$B$25,(MIN((Inputs!$B$20*(1-Inputs!$B$22))*'Cost Data'!$D$43,(Inputs!$B$10-(Inputs!$B$7*Inputs!$B$9))))/'Cost Data'!$D$43,(MIN(((Inputs!$B$20-Inputs!$B$25)*'Cost Data'!$D$43),Inputs!$B$10-(Inputs!$B$7*Inputs!$B$8)))/'Cost Data'!$D$43))))))*'Cost Data'!$D$42*IF(Lookup!D4="Yes",Inputs!B28,VLOOKUP(Lookup!$I$9,'Cost Data'!$A$4:$C$10,3))</f>
        <v>67.5</v>
      </c>
      <c r="E20" s="38">
        <f>IF(B15="N/A",MAX(0,Inputs!$B$21-Inputs!$B$26),MAX(0,(Inputs!$B$21-MIN(Inputs!$B$21,Inputs!$B$26)-IF(Inputs!$B$26&gt;Inputs!$B$21,0,IF(Inputs!$B$7*Inputs!$B$8&gt;Inputs!$B$10,0,IF(Inputs!$B$21*Inputs!$B$22&gt;Inputs!$B$26,(MIN((Inputs!$B$21*(1-Inputs!$B$22))*'Cost Data'!$D$43,(Inputs!$B$10-(Inputs!$B$7*Inputs!$B$9))))/'Cost Data'!$D$43,(MIN(((Inputs!$B$21-Inputs!$B$26)*'Cost Data'!$D$43),Inputs!$B$10-(Inputs!$B$7*Inputs!$B$8)))/'Cost Data'!$D$43))))))*'Cost Data'!$D$42*IF(Lookup!D4="Yes",Inputs!B28,VLOOKUP(Lookup!$I$9,'Cost Data'!$A$4:$C$10,3))</f>
        <v>112.5</v>
      </c>
      <c r="F20" s="13"/>
      <c r="G20" s="13"/>
    </row>
    <row r="21" spans="1:9" s="14" customFormat="1" ht="12.75">
      <c r="A21" s="49" t="s">
        <v>22</v>
      </c>
      <c r="B21" s="53">
        <f>IF(Lookup!$C$4="Yes",IF(Inputs!$D$40&gt;Inputs!$B$44,(Inputs!$D$40-Inputs!$B$44)*'Cost Data'!$D$38*Inputs!$B$49,0)+Inputs!$B$40*Inputs!$C$40*'Cost Data'!$D$38*Inputs!$B$49,IF(Inputs!$D$40&gt;Inputs!$B$44,(Inputs!$D$40-Inputs!$B$44)*'Cost Data'!$D$38*VLOOKUP(Lookup!$I$9,'Cost Data'!$A$4:$C$10,3),0)+Inputs!$B$40*Inputs!$C$40*'Cost Data'!$D$38*VLOOKUP(Lookup!$I$9,'Cost Data'!$A$4:$C$10,3))</f>
        <v>16.874999999999996</v>
      </c>
      <c r="C21" s="53">
        <f>IF(Lookup!$C$4="Yes",IF(Inputs!$D$41&gt;Inputs!$B$45,(Inputs!$D$41-Inputs!$B$45)*'Cost Data'!$D$38*Inputs!$B$49,0)+Inputs!$B$41*Inputs!$C$40*'Cost Data'!$D$38*Inputs!$B$49,IF(Inputs!$D$41&gt;Inputs!$B$45,(Inputs!$D$41-Inputs!$B$45)*'Cost Data'!$D$38*VLOOKUP(Lookup!$I$9,'Cost Data'!$A$4:$C$10,3),0)+Inputs!$B$41*Inputs!$C$40*'Cost Data'!$D$38*VLOOKUP(Lookup!$I$9,'Cost Data'!$A$4:$C$10,3))</f>
        <v>50.62499999999999</v>
      </c>
      <c r="D21" s="53">
        <f>IF(Lookup!$C$4="Yes",IF(Inputs!$D$42&gt;Inputs!$B$46,(Inputs!$D$42-Inputs!$B$46)*'Cost Data'!$D$38*Inputs!$B$49,0)+Inputs!$B$42*Inputs!$C$40*'Cost Data'!$D$38*Inputs!$B$49,IF(Inputs!$D$42&gt;Inputs!$B$46,(Inputs!$D$42-Inputs!$B$46)*'Cost Data'!$D$38*VLOOKUP(Lookup!$I$9,'Cost Data'!$A$4:$C$10,3),0)+Inputs!$B$42*Inputs!$C$40*'Cost Data'!$D$38*VLOOKUP(Lookup!$I$9,'Cost Data'!$A$4:$C$10,3))</f>
        <v>101.24999999999999</v>
      </c>
      <c r="E21" s="54">
        <f>IF(Lookup!$C$4="Yes",IF(Inputs!$D$43&gt;Inputs!$B$47,(Inputs!$D$43-Inputs!$B$47)*'Cost Data'!$D$38*Inputs!$B$49,0)+Inputs!$B$43*Inputs!$C$40*'Cost Data'!$D$38*Inputs!$B$49,IF(Inputs!$D$43&gt;Inputs!$B$47,(Inputs!$D$43-Inputs!$B$47)*'Cost Data'!$D$38*VLOOKUP(Lookup!$I$9,'Cost Data'!$A$4:$C$10,3),0)+Inputs!$B$43*Inputs!$C$40*'Cost Data'!$D$38*VLOOKUP(Lookup!$I$9,'Cost Data'!$A$4:$C$10,3))</f>
        <v>168.75</v>
      </c>
      <c r="F21" s="13"/>
      <c r="G21" s="13"/>
      <c r="I21" s="296"/>
    </row>
    <row r="22" spans="1:9" s="14" customFormat="1" ht="12.75">
      <c r="A22" s="49" t="s">
        <v>24</v>
      </c>
      <c r="B22" s="53">
        <f>IF($B$12="N/A",IF(Lookup!$B$4="Yes",Inputs!$B$68*Inputs!$B$89,Inputs!$B$68*VLOOKUP(Lookup!$I$9,'Cost Data'!$A$4:$C$10,3)),IF(Lookup!$B$4="Yes",IF(Inputs!$B$68&lt;Inputs!$B$72,0,(Inputs!$B$68-Inputs!$B$72)*Inputs!$B$89),IF(Inputs!$B$68&gt;Inputs!$B$72,0,(Inputs!$B$68-Inputs!$B$72)*VLOOKUP(Lookup!$I$9,'Cost Data'!$A$4:$C$10,3))))</f>
        <v>15</v>
      </c>
      <c r="C22" s="53">
        <f>IF($B$12="N/A",IF(Lookup!$B$4="Yes",Inputs!$B$69*Inputs!$B$89,Inputs!$B$69*VLOOKUP(Lookup!$I$9,'Cost Data'!$A$4:$C$10,3)),IF(Lookup!$B$4="Yes",IF(Inputs!$B$69&lt;Inputs!$B$73,0,(Inputs!$B$69-Inputs!$B$73)*Inputs!$B$89),IF(Inputs!$B$69&gt;Inputs!$B$73,0,(Inputs!$B$69-Inputs!$B$73)*VLOOKUP(Lookup!$I$9,'Cost Data'!$A$4:$C$10,3))))</f>
        <v>45</v>
      </c>
      <c r="D22" s="53">
        <f>IF($B$12="N/A",IF(Lookup!$B$4="Yes",Inputs!$B$70*Inputs!$B$89,Inputs!$B$70*VLOOKUP(Lookup!$I$9,'Cost Data'!$A$4:$C$10,3)),IF(Lookup!$B$4="Yes",IF(Inputs!$B$70&lt;Inputs!$B$74,0,(Inputs!$B$70-Inputs!$B$74)*Inputs!$B$89),IF(Inputs!$B$70&gt;Inputs!$B$74,0,(Inputs!$B$70-Inputs!$B$74)*VLOOKUP(Lookup!$I$9,'Cost Data'!$A$4:$C$10,3))))</f>
        <v>90</v>
      </c>
      <c r="E22" s="54">
        <f>IF($B$12="N/A",IF(Lookup!$B$4="Yes",Inputs!$B$71*Inputs!$B$89,Inputs!$B$71*VLOOKUP(Lookup!$I$9,'Cost Data'!$A$4:$C$10,3)),IF(Lookup!$B$4="Yes",IF(Inputs!$B$71&lt;Inputs!$B$75,0,(Inputs!$B$71-Inputs!$B$75)*Inputs!$B$89),IF(Inputs!$B$71&gt;Inputs!$B$75,0,(Inputs!$B$71-Inputs!$B$75)*VLOOKUP(Lookup!$I$9,'Cost Data'!$A$4:$C$10,3))))</f>
        <v>150</v>
      </c>
      <c r="F22" s="13"/>
      <c r="G22" s="13"/>
      <c r="H22" s="297"/>
      <c r="I22" s="297"/>
    </row>
    <row r="23" spans="1:7" s="14" customFormat="1" ht="12.75">
      <c r="A23" s="49" t="s">
        <v>23</v>
      </c>
      <c r="B23" s="53">
        <f>IF($B$12="N/A",IF(Lookup!$A$4="Yes",Inputs!$B$63*Inputs!$B$77,Inputs!$B$63*VLOOKUP(Lookup!$I$9,'Cost Data'!$A$4:$C$10,3)),IF(Lookup!$A$4="Yes",IF(Inputs!$B$63&lt;Inputs!$B$72,0,(Inputs!$B$63-Inputs!$B$72)*Inputs!$B$77),IF(Inputs!$B$63&gt;Inputs!$B$72,0,(Inputs!$B$63-Inputs!$B$72)*VLOOKUP(Lookup!$I$9,'Cost Data'!$A$4:$C$10,3))))</f>
        <v>15</v>
      </c>
      <c r="C23" s="53">
        <f>IF($B$12="N/A",IF(Lookup!$A$4="Yes",Inputs!$B$64*Inputs!$B$77,Inputs!$B$64*VLOOKUP(Lookup!$I$9,'Cost Data'!$A$4:$C$10,3)),IF(Lookup!$A$4="Yes",IF(Inputs!$B$64&lt;Inputs!$B$73,0,(Inputs!$B$64-Inputs!$B$73)*Inputs!$B$77),IF(Inputs!$B$64&gt;Inputs!$B$73,0,(Inputs!$B$64-Inputs!$B$73)*VLOOKUP(Lookup!$I$9,'Cost Data'!$A$4:$C$10,3))))</f>
        <v>45</v>
      </c>
      <c r="D23" s="53">
        <f>IF($B$12="N/A",IF(Lookup!$A$4="Yes",Inputs!$B$65*Inputs!$B$77,Inputs!$B$65*VLOOKUP(Lookup!$I$9,'Cost Data'!$A$4:$C$10,3)),IF(Lookup!$A$4="Yes",IF(Inputs!$B$65&lt;Inputs!$B$74,0,(Inputs!$B$65-Inputs!$B$74)*Inputs!$B$77),IF(Inputs!$B$65&gt;Inputs!$B$74,0,(Inputs!$B$65-Inputs!$B$74)*VLOOKUP(Lookup!$I$9,'Cost Data'!$A$4:$C$10,3))))</f>
        <v>90</v>
      </c>
      <c r="E23" s="54">
        <f>IF($B$12="N/A",IF(Lookup!$A$4="Yes",Inputs!$B$66*Inputs!$B$77,Inputs!$B$66*VLOOKUP(Lookup!$I$9,'Cost Data'!$A$4:$C$10,3)),IF(Lookup!$A$4="Yes",IF(Inputs!$B$66&lt;Inputs!$B$75,0,(Inputs!$B$66-Inputs!$B$75)*Inputs!$B$77),IF(Inputs!$B$66&gt;Inputs!$B$75,0,(Inputs!$B$66-Inputs!$B$75)*VLOOKUP(Lookup!$I$9,'Cost Data'!$A$4:$C$10,3))))</f>
        <v>150</v>
      </c>
      <c r="F23" s="13"/>
      <c r="G23" s="13"/>
    </row>
    <row r="24" spans="1:7" s="14" customFormat="1" ht="12.75">
      <c r="A24" s="39" t="s">
        <v>25</v>
      </c>
      <c r="B24" s="40">
        <f>SUM(B6:B23)</f>
        <v>195.48994623655915</v>
      </c>
      <c r="C24" s="40">
        <f>SUM(C6:C23)</f>
        <v>586.4698387096774</v>
      </c>
      <c r="D24" s="40">
        <f>SUM(D6:D23)</f>
        <v>1172.939677419355</v>
      </c>
      <c r="E24" s="97">
        <f>SUM(E6:E23)</f>
        <v>1954.8994623655913</v>
      </c>
      <c r="F24" s="75">
        <f>E24/10</f>
        <v>195.48994623655912</v>
      </c>
      <c r="G24" s="13"/>
    </row>
    <row r="25" spans="1:7" s="14" customFormat="1" ht="12.75">
      <c r="A25" s="39" t="s">
        <v>96</v>
      </c>
      <c r="B25" s="40">
        <f>B24</f>
        <v>195.48994623655915</v>
      </c>
      <c r="C25" s="40">
        <f>C24/3</f>
        <v>195.48994623655915</v>
      </c>
      <c r="D25" s="40">
        <f>D24/6</f>
        <v>195.48994623655915</v>
      </c>
      <c r="E25" s="97">
        <f>E24/10</f>
        <v>195.48994623655912</v>
      </c>
      <c r="F25" s="75"/>
      <c r="G25" s="13"/>
    </row>
    <row r="26" spans="1:7" ht="12.75">
      <c r="A26" s="2"/>
      <c r="B26" s="9"/>
      <c r="C26" s="9"/>
      <c r="D26" s="9"/>
      <c r="E26" s="9"/>
      <c r="F26" s="9"/>
      <c r="G26" s="9"/>
    </row>
    <row r="27" spans="1:7" ht="25.5" customHeight="1">
      <c r="A27" s="62" t="s">
        <v>75</v>
      </c>
      <c r="B27" s="42" t="s">
        <v>21</v>
      </c>
      <c r="C27" s="42" t="s">
        <v>18</v>
      </c>
      <c r="D27" s="42" t="s">
        <v>19</v>
      </c>
      <c r="E27" s="42" t="s">
        <v>20</v>
      </c>
      <c r="F27" s="9"/>
      <c r="G27" s="9"/>
    </row>
    <row r="28" spans="1:7" ht="12.75">
      <c r="A28" s="36" t="s">
        <v>16</v>
      </c>
      <c r="B28" s="88"/>
      <c r="C28" s="88"/>
      <c r="D28" s="88"/>
      <c r="E28" s="89"/>
      <c r="F28" s="9"/>
      <c r="G28" s="9"/>
    </row>
    <row r="29" spans="1:7" ht="12.75">
      <c r="A29" s="36" t="s">
        <v>17</v>
      </c>
      <c r="B29" s="53">
        <f>MAX(Inputs!$B$9-(Inputs!$B$7*(1-Inputs!$B$8)*'Cost Data'!$D$52),0)*'Cost Data'!$C$31</f>
        <v>0</v>
      </c>
      <c r="C29" s="53">
        <f>MAX(Inputs!$B$9-(Inputs!$B$7*(1-Inputs!$B$8)*'Cost Data'!$D$52),0)*'Cost Data'!$C$31*3</f>
        <v>0</v>
      </c>
      <c r="D29" s="53">
        <f>MAX(Inputs!$B$9-(Inputs!$B$7*(1-Inputs!$B$8)*'Cost Data'!$D$52),0)*'Cost Data'!$C$31*6</f>
        <v>0</v>
      </c>
      <c r="E29" s="54">
        <f>MAX(Inputs!$B$9-(Inputs!$B$7*(1-Inputs!$B$8)*'Cost Data'!$D$52),0)*'Cost Data'!$C$31*10</f>
        <v>0</v>
      </c>
      <c r="F29" s="9"/>
      <c r="G29" s="9"/>
    </row>
    <row r="30" spans="1:7" ht="12.75">
      <c r="A30" s="36" t="s">
        <v>107</v>
      </c>
      <c r="B30" s="53">
        <f>IF(B38="N/A",Inputs!$B$10*'Cost Data'!$C$32,MAX(Inputs!$B$10-((Inputs!$B$7*Inputs!$B$8)+(IF((Inputs!$B$22*Inputs!$B$18)&gt;Inputs!$B$23,Inputs!$B$18*(1-Inputs!$B$22)*'Cost Data'!$D$43,MAX(0,Inputs!$B$18-Inputs!$B$23)*'Cost Data'!$D$43))),0)*'Cost Data'!$C$32)</f>
        <v>0</v>
      </c>
      <c r="C30" s="53">
        <f>IF(C38="N/A",Inputs!$B$10*'Cost Data'!$C$32*3,MAX((Inputs!$B$10*3)-(((Inputs!$B$7*3)*Inputs!$B$8)+(IF((Inputs!$B$22*Inputs!$B$19)&gt;Inputs!$B$23,Inputs!$B$19*(1-Inputs!$B$22)*'Cost Data'!$D$43,MAX(0,Inputs!$B$19-Inputs!$B$23)*'Cost Data'!$D$43))),0)*'Cost Data'!$C$32)</f>
        <v>0</v>
      </c>
      <c r="D30" s="53">
        <f>IF(D38="N/A",Inputs!$B$10*'Cost Data'!$C$32*6,MAX((Inputs!$B$10*6)-(((Inputs!$B$7*6)*Inputs!$B$8)+(IF((Inputs!$B$22*Inputs!$B$20)&gt;Inputs!$B$23,Inputs!$B$20*(1-Inputs!$B$22)*'Cost Data'!$D$43,MAX(0,Inputs!$B$20-Inputs!$B$23)*'Cost Data'!$D$43))),0)*'Cost Data'!$C$32)</f>
        <v>0</v>
      </c>
      <c r="E30" s="54">
        <f>IF(E38="N/A",Inputs!$B$10*'Cost Data'!$C$32*10,MAX((Inputs!$B$10*10)-(((Inputs!$B$7*10)*Inputs!$B$8)+(IF((Inputs!$B$22*Inputs!$B$21)&gt;Inputs!$B$23,Inputs!$B$21*(1-Inputs!$B$22)*'Cost Data'!$D$43,MAX(0,Inputs!$B$21-Inputs!$B$23)*'Cost Data'!$D$43))),0)*'Cost Data'!$C$32)</f>
        <v>0</v>
      </c>
      <c r="F30" s="9"/>
      <c r="G30" s="9"/>
    </row>
    <row r="31" spans="1:7" ht="12.75">
      <c r="A31" s="36" t="s">
        <v>37</v>
      </c>
      <c r="B31" s="53">
        <f>IF(Inputs!$B$23&gt;Inputs!$D$18,(Inputs!$B$23-Inputs!$D$18)*'Cost Data'!$C$33,0)</f>
        <v>0</v>
      </c>
      <c r="C31" s="53">
        <f>IF(Inputs!$B$24&gt;Inputs!$D$19,(Inputs!$B$24-Inputs!$D$19)*'Cost Data'!$C$33,0)</f>
        <v>0</v>
      </c>
      <c r="D31" s="53">
        <f>IF(Inputs!$B$25&gt;Inputs!$D$20,(Inputs!$B$25-Inputs!$D$20)*'Cost Data'!$C$33,0)</f>
        <v>0</v>
      </c>
      <c r="E31" s="54">
        <f>IF(Inputs!$B$26&gt;Inputs!$D$21,(Inputs!$B$26-Inputs!$D$21)*'Cost Data'!$C$33,0)</f>
        <v>0</v>
      </c>
      <c r="F31" s="9"/>
      <c r="G31" s="9"/>
    </row>
    <row r="32" spans="1:7" ht="12.75">
      <c r="A32" s="36" t="s">
        <v>14</v>
      </c>
      <c r="B32" s="53">
        <f>IF(Inputs!$B$44&gt;Inputs!$D$40,(Inputs!$B$44-Inputs!$D$40)*'Cost Data'!$C$34,0)</f>
        <v>0</v>
      </c>
      <c r="C32" s="53">
        <f>IF(Inputs!$B$45&gt;Inputs!$D$41,(Inputs!$B$45-Inputs!$D$41)*'Cost Data'!$C$34,0)</f>
        <v>0</v>
      </c>
      <c r="D32" s="53">
        <f>IF(Inputs!$B$46&gt;Inputs!$D$42,(Inputs!$B$46-Inputs!$D$42)*'Cost Data'!$C$34,0)</f>
        <v>0</v>
      </c>
      <c r="E32" s="54">
        <f>IF(Inputs!$B$47&gt;Inputs!$D$43,(Inputs!$B$47-Inputs!$D$43)*'Cost Data'!$C$34,0)</f>
        <v>0</v>
      </c>
      <c r="F32" s="9"/>
      <c r="G32" s="9"/>
    </row>
    <row r="33" spans="1:7" ht="12.75">
      <c r="A33" s="36" t="s">
        <v>58</v>
      </c>
      <c r="B33" s="53">
        <f>IF($B$35="N/A",Inputs!$B$72*'Cost Data'!$C$35,IF(Inputs!$B$72&gt;Inputs!$B$63,(Inputs!$B$72-Inputs!$B$63)*'Cost Data'!$C$35,0))</f>
        <v>23.84</v>
      </c>
      <c r="C33" s="53">
        <f>IF($B$35="N/A",Inputs!$B$73*'Cost Data'!$C$35,IF(Inputs!$B$73&gt;Inputs!$B$64,(Inputs!$B$73-Inputs!$B$64)*'Cost Data'!$C$35,0))</f>
        <v>71.52</v>
      </c>
      <c r="D33" s="53">
        <f>IF($B$35="N/A",Inputs!$B$74*'Cost Data'!$C$35,IF(Inputs!$B$74&gt;Inputs!$B$65,(Inputs!$B$74-Inputs!$B$65)*'Cost Data'!$C$35,0))</f>
        <v>143.04</v>
      </c>
      <c r="E33" s="54">
        <f>IF($B$35="N/A",Inputs!$B$75*'Cost Data'!$C$35,IF(Inputs!$B$75&gt;Inputs!$B$66,(Inputs!$B$75-Inputs!$B$66)*'Cost Data'!$C$35,0))</f>
        <v>238.4</v>
      </c>
      <c r="F33" s="9"/>
      <c r="G33" s="9"/>
    </row>
    <row r="34" spans="1:7" ht="12.75">
      <c r="A34" s="36" t="s">
        <v>54</v>
      </c>
      <c r="B34" s="53"/>
      <c r="C34" s="53"/>
      <c r="D34" s="53"/>
      <c r="E34" s="54"/>
      <c r="F34" s="70"/>
      <c r="G34" s="9"/>
    </row>
    <row r="35" spans="1:7" ht="12.75">
      <c r="A35" s="36" t="s">
        <v>55</v>
      </c>
      <c r="B35" s="37" t="str">
        <f>IF(Lookup!$F$4="Yes",0,IF(MIN(Inputs!$B$66,Inputs!$B$75)+MIN(Inputs!$B$71,Inputs!$B$75)&lt;10000,"N/A",'Cost Data'!$C$13))</f>
        <v>N/A</v>
      </c>
      <c r="C35" s="37" t="str">
        <f>IF(Lookup!$F$4="Yes",0,IF(MIN(Inputs!$B$66,Inputs!$B$75)+MIN(Inputs!$B$71,Inputs!$B$75)&lt;10000,"N/A",'Cost Data'!$C$13))</f>
        <v>N/A</v>
      </c>
      <c r="D35" s="37" t="str">
        <f>IF(Lookup!$F$4="Yes",0,IF(MIN(Inputs!$B$66,Inputs!$B$75)+MIN(Inputs!$B$71,Inputs!$B$75)&lt;10000,"N/A",'Cost Data'!$C$13))</f>
        <v>N/A</v>
      </c>
      <c r="E35" s="38" t="str">
        <f>IF(Lookup!$F$4="Yes",0,IF(MIN(Inputs!$B$66,Inputs!$B$75)+MIN(Inputs!$B$71,Inputs!$B$75)&lt;10000,"N/A",'Cost Data'!$C$13))</f>
        <v>N/A</v>
      </c>
      <c r="F35" s="9"/>
      <c r="G35" s="9"/>
    </row>
    <row r="36" spans="1:7" ht="12.75">
      <c r="A36" s="36" t="s">
        <v>56</v>
      </c>
      <c r="B36" s="37" t="str">
        <f>IF(B35="N/A","N/A",'Cost Data'!$C$14*(MIN(Inputs!$B$63,Inputs!$B$72)+MIN(Inputs!$B$68,Inputs!$B$72)))</f>
        <v>N/A</v>
      </c>
      <c r="C36" s="37" t="str">
        <f>IF(C35="N/A","N/A",'Cost Data'!$C$14*(MIN(Inputs!$B$64,Inputs!$B$73)+MIN(Inputs!$B$69,Inputs!$B$73)))</f>
        <v>N/A</v>
      </c>
      <c r="D36" s="37" t="str">
        <f>IF(D35="N/A","N/A",'Cost Data'!$C$14*(MIN(Inputs!$B$65,Inputs!$B$74)+MIN(Inputs!$B$70,Inputs!$B$74)))</f>
        <v>N/A</v>
      </c>
      <c r="E36" s="38" t="str">
        <f>IF(E35="N/A","N/A",'Cost Data'!$C$14*(MIN(Inputs!$B$66,Inputs!$B$75)+MIN(Inputs!$B$71,Inputs!$B$75)))</f>
        <v>N/A</v>
      </c>
      <c r="F36" s="9"/>
      <c r="G36" s="9"/>
    </row>
    <row r="37" spans="1:7" ht="12.75">
      <c r="A37" s="36" t="s">
        <v>57</v>
      </c>
      <c r="B37" s="37" t="str">
        <f>IF(B35="N/A","N/A",'Cost Data'!$C$15*(MIN(Inputs!$B$63,Inputs!$B$72)+MIN(Inputs!$B$68,Inputs!$B$72)))</f>
        <v>N/A</v>
      </c>
      <c r="C37" s="37" t="str">
        <f>IF(C35="N/A","N/A",'Cost Data'!$C$15*(MIN(Inputs!$B$64,Inputs!$B$73)+MIN(Inputs!$B$69,Inputs!$B$73)))</f>
        <v>N/A</v>
      </c>
      <c r="D37" s="37" t="str">
        <f>IF(D35="N/A","N/A",'Cost Data'!$C$15*(MIN(Inputs!$B$65,Inputs!$B$74)+MIN(Inputs!$B$70,Inputs!$B$74)))</f>
        <v>N/A</v>
      </c>
      <c r="E37" s="38" t="str">
        <f>IF(E35="N/A","N/A",'Cost Data'!$C$15*(MIN(Inputs!$B$66,Inputs!$B$75)+MIN(Inputs!$B$71,Inputs!$B$75)))</f>
        <v>N/A</v>
      </c>
      <c r="F37" s="9"/>
      <c r="G37" s="9"/>
    </row>
    <row r="38" spans="1:7" ht="12.75">
      <c r="A38" s="49" t="s">
        <v>130</v>
      </c>
      <c r="B38" s="37">
        <f>IF(Lookup!$H$4="Yes",0,IF('Cost Data'!$C$21&gt;'Cost Data'!$C$22*MIN(Inputs!$B$10*10,((Inputs!$B$7*10*Inputs!$B$8)+(IF(Inputs!$B$21*Inputs!$B$22&lt;Inputs!$B$26,MAX(Inputs!$B$21-Inputs!$B$26,0),Inputs!$B$21-(Inputs!$B$21*Inputs!$B$22)))*'Cost Data'!$D$43)),"N/A",'Cost Data'!$C$21))</f>
        <v>0</v>
      </c>
      <c r="C38" s="37">
        <f>IF(Lookup!$H$4="Yes",0,IF('Cost Data'!$C$21&gt;'Cost Data'!$C$22*MIN(Inputs!$B$10*10,((Inputs!$B$7*10*Inputs!$B$8)+(IF(Inputs!$B$21*Inputs!$B$22&lt;Inputs!$B$26,MAX(Inputs!$B$21-Inputs!$B$26,0),Inputs!$B$21-(Inputs!$B$21*Inputs!$B$22)))*'Cost Data'!$D$43)),"N/A",'Cost Data'!$C$21))</f>
        <v>0</v>
      </c>
      <c r="D38" s="37">
        <f>IF(Lookup!$H$4="Yes",0,IF('Cost Data'!$C$21&gt;'Cost Data'!$C$22*MIN(Inputs!$B$10*10,((Inputs!$B$7*10*Inputs!$B$8)+(IF(Inputs!$B$21*Inputs!$B$22&lt;Inputs!$B$26,MAX(Inputs!$B$21-Inputs!$B$26,0),Inputs!$B$21-(Inputs!$B$21*Inputs!$B$22)))*'Cost Data'!$D$43)),"N/A",'Cost Data'!$C$21))</f>
        <v>0</v>
      </c>
      <c r="E38" s="38">
        <f>IF(Lookup!$H$4="Yes",0,IF('Cost Data'!$C$21&gt;'Cost Data'!$C$22*MIN(Inputs!$B$10*10,((Inputs!$B$7*10*Inputs!$B$8)+(IF(Inputs!$B$21*Inputs!$B$22&lt;Inputs!$B$26,MAX(Inputs!$B$21-Inputs!$B$26,0),Inputs!$B$21-(Inputs!$B$21*Inputs!$B$22)))*'Cost Data'!$D$43)),"N/A",'Cost Data'!$C$21))</f>
        <v>0</v>
      </c>
      <c r="F38" s="9"/>
      <c r="G38" s="9"/>
    </row>
    <row r="39" spans="1:7" ht="12.75">
      <c r="A39" s="36" t="s">
        <v>131</v>
      </c>
      <c r="B39" s="37">
        <f>IF(B38="N/A","N/A",MIN(Inputs!$B$10*'Cost Data'!$C$20*'Cost Data'!$C$19,((Inputs!$B$7*Inputs!$B$8)+(IF(Inputs!$D$18*Inputs!$B$22&lt;Inputs!$B$23,MAX(Inputs!$D$18-Inputs!$B$23,0),Inputs!$D$18-(Inputs!$D$18*Inputs!$B$22)))*'Cost Data'!$D$43)*'Cost Data'!$C$20*'Cost Data'!$C$19))</f>
        <v>29.54645161290323</v>
      </c>
      <c r="C39" s="37">
        <f>IF(B38="N/A","N/A",MIN(Inputs!$B$10*3*'Cost Data'!$C$20*'Cost Data'!$C$19,((Inputs!$B$7*3*Inputs!$B$8)+(IF(Inputs!$D$19*Inputs!$B$22&lt;Inputs!$B$24,MAX(Inputs!$D$19-Inputs!$B$24,0),Inputs!$D$19-(Inputs!$D$19*Inputs!$B$22)))*'Cost Data'!$D$43)*'Cost Data'!$C$20*'Cost Data'!$C$19))</f>
        <v>88.63935483870968</v>
      </c>
      <c r="D39" s="37">
        <f>IF(B38="N/A","N/A",MIN(Inputs!$B$10*6*'Cost Data'!$C$20*'Cost Data'!$C$19,((Inputs!$B$7*6*Inputs!$B$8)+(IF(Inputs!$D$20*Inputs!$B$22&lt;Inputs!$B$25,MAX(Inputs!$D$20-Inputs!$B$25,0),Inputs!$D$20-(Inputs!$D$20*Inputs!$B$22)))*'Cost Data'!$D73)*'Cost Data'!$C$20*'Cost Data'!$C$19))</f>
        <v>177.27870967741936</v>
      </c>
      <c r="E39" s="38">
        <f>IF(B38="N/A","N/A",MIN(Inputs!$B$10*10*'Cost Data'!$C$20*'Cost Data'!$C$19,((Inputs!$B$7*10*Inputs!$B$8)+(IF(Inputs!$D$21*Inputs!$B$22&lt;Inputs!$B$26,MAX(Inputs!$D$21-Inputs!$B$26,0),Inputs!$D$21-(Inputs!$D$21*Inputs!$B$22)))*'Cost Data'!$D$43)*'Cost Data'!$C$20*'Cost Data'!$C$19))</f>
        <v>295.4645161290323</v>
      </c>
      <c r="F39" s="9"/>
      <c r="G39" s="9"/>
    </row>
    <row r="40" spans="1:7" ht="12.75">
      <c r="A40" s="36" t="s">
        <v>127</v>
      </c>
      <c r="B40" s="37">
        <f>IF(B38="N/A","N/A",MIN(Inputs!$B$10*'Cost Data'!$C$18*'Cost Data'!$C$19,((Inputs!$B$7*Inputs!$B$8)+(IF(Inputs!$D$18*Inputs!$B$22&lt;Inputs!$B$23,MAX(Inputs!$D$18-Inputs!$B$23,0),Inputs!$D$18-(Inputs!$D$18*Inputs!$B$22)))*'Cost Data'!$D$43)*'Cost Data'!$C$18*'Cost Data'!$C$19))</f>
        <v>13.978494623655914</v>
      </c>
      <c r="C40" s="37">
        <f>IF(B38="N/A","N/A",MIN(Inputs!$B$10*3*'Cost Data'!$C$18*'Cost Data'!$C$19,((Inputs!$B$7*3*Inputs!$B$8)+(IF(Inputs!$D$19*Inputs!$B$22&lt;Inputs!$B$24,MAX(Inputs!$B$19-Inputs!$B$24,0),Inputs!$B$19-(Inputs!$B$19*Inputs!$B$22)))*'Cost Data'!$D$43)*'Cost Data'!$C$18*'Cost Data'!$C$19))</f>
        <v>41.935483870967744</v>
      </c>
      <c r="D40" s="37">
        <f>IF(B38="N/A","N/A",MIN(Inputs!$B$10*6*'Cost Data'!$C$18*'Cost Data'!$C$19,((Inputs!$B$7*6*Inputs!$B$8)+(IF(Inputs!$D$20*Inputs!$B$22&lt;Inputs!$B$25,MAX(Inputs!$D$20-Inputs!$B$25,0),Inputs!$D$20-(Inputs!$D$20*Inputs!$B$22)))*'Cost Data'!$D74)*'Cost Data'!$C$18*'Cost Data'!$C$19))</f>
        <v>83.87096774193549</v>
      </c>
      <c r="E40" s="38">
        <f>IF(E38="N/A","N/A",MIN(Inputs!$B$10*10*'Cost Data'!$C$18*'Cost Data'!$C$19,((Inputs!$B$7*10*Inputs!$B$8)+(IF(Inputs!$D$21*Inputs!$B$22&lt;Inputs!$B$26,MAX(Inputs!$D$21-Inputs!$B$26,0),Inputs!$D$21-(Inputs!$D$21*Inputs!$B$22)))*'Cost Data'!$D$43)*'Cost Data'!$C$18*'Cost Data'!$C$19))</f>
        <v>139.78494623655914</v>
      </c>
      <c r="F40" s="9"/>
      <c r="G40" s="9"/>
    </row>
    <row r="41" spans="1:7" ht="12.75">
      <c r="A41" s="36" t="s">
        <v>15</v>
      </c>
      <c r="B41" s="37"/>
      <c r="C41" s="37"/>
      <c r="D41" s="37"/>
      <c r="E41" s="38"/>
      <c r="F41" s="9"/>
      <c r="G41" s="9"/>
    </row>
    <row r="42" spans="1:7" ht="12.75">
      <c r="A42" s="49" t="s">
        <v>105</v>
      </c>
      <c r="B42" s="53">
        <f>IF(B38="N/A",((Inputs!$B$7*Inputs!$B$8)+MAX(0,(((Inputs!$B$7*(1-Inputs!$B$8))*'Cost Data'!$D$52)-Inputs!$B$9)/'Cost Data'!$D$52))*'Cost Data'!$D$51*VLOOKUP(Lookup!$I$9,'Cost Data'!$A$4:$C$10,3),(MAX(0,((Inputs!$B$7*Inputs!$B$8)-Inputs!$B$10))+MAX(0,(((Inputs!$B$7*(1-Inputs!$B$8))*'Cost Data'!$D$52)-Inputs!$B$9)/'Cost Data'!$D$52))*'Cost Data'!$D$51*VLOOKUP(Lookup!$I$9,'Cost Data'!$A$4:$C$10,3))</f>
        <v>123.52666666666667</v>
      </c>
      <c r="C42" s="53">
        <f>IF(C38="N/A",((Inputs!$B$7*Inputs!$B$8)+MAX(0,(((Inputs!$B$7*(1-Inputs!$B$8))*'Cost Data'!$D$52)-Inputs!$B$9)/'Cost Data'!$D$52))*'Cost Data'!$D$51*VLOOKUP(Lookup!$I$9,'Cost Data'!$A$4:$C$10,3),(MAX(0,((Inputs!$B$7*Inputs!$B$8)-Inputs!$B$10))+MAX(0,(((Inputs!$B$7*(1-Inputs!$B$8))*'Cost Data'!$D$52)-Inputs!$B$9)/'Cost Data'!$D$52))*'Cost Data'!$D$51*VLOOKUP(Lookup!$I$9,'Cost Data'!$A$4:$C$10,3))*3</f>
        <v>370.58000000000004</v>
      </c>
      <c r="D42" s="53">
        <f>IF(D38="N/A",((Inputs!$B$7*Inputs!$B$8)+MAX(0,(((Inputs!$B$7*(1-Inputs!$B$8))*'Cost Data'!$D$52)-Inputs!$B$9)/'Cost Data'!$D$52))*'Cost Data'!$D$51*VLOOKUP(Lookup!$I$9,'Cost Data'!$A$4:$C$10,3),(MAX(0,((Inputs!$B$7*Inputs!$B$8)-Inputs!$B$10))+MAX(0,(((Inputs!$B$7*(1-Inputs!$B$8))*'Cost Data'!$D$52)-Inputs!$B$9)/'Cost Data'!$D$52))*'Cost Data'!$D$51*VLOOKUP(Lookup!$I$9,'Cost Data'!$A$4:$C$10,3))*6</f>
        <v>741.1600000000001</v>
      </c>
      <c r="E42" s="54">
        <f>IF(E38="N/A",((Inputs!$B$7*Inputs!$B$8)+MAX(0,(((Inputs!$B$7*(1-Inputs!$B$8))*'Cost Data'!$D$52)-Inputs!$B$9)/'Cost Data'!$D$52))*'Cost Data'!$D$51*VLOOKUP(Lookup!$I$9,'Cost Data'!$A$4:$C$10,3),(MAX(0,((Inputs!$B$7*Inputs!$B$8)-Inputs!$B$10))+MAX(0,(((Inputs!$B$7*(1-Inputs!$B$8))*'Cost Data'!$D$52)-Inputs!$B$9)/'Cost Data'!$D$52))*'Cost Data'!$D$51*VLOOKUP(Lookup!$I$9,'Cost Data'!$A$4:$C$10,3))*10</f>
        <v>1235.2666666666667</v>
      </c>
      <c r="F42" s="9"/>
      <c r="G42" s="9"/>
    </row>
    <row r="43" spans="1:7" ht="12.75">
      <c r="A43" s="36" t="s">
        <v>37</v>
      </c>
      <c r="B43" s="37">
        <f>IF(B38="N/A",MAX(0,Inputs!$B$18-Inputs!$B$23),MAX(0,(Inputs!$B$18-MIN(Inputs!$B$18,Inputs!$B$23)-IF(Inputs!$B$23&gt;Inputs!$B$18,0,IF(Inputs!$B$7*Inputs!$B$8&gt;Inputs!$B$10,0,IF(Inputs!$B$18*Inputs!$B$22&gt;Inputs!$B$23,(MIN((Inputs!$B$18*(1-Inputs!$B$22))*'Cost Data'!$D$43,(Inputs!$B$10-(Inputs!$B$7*Inputs!$B$9))))/'Cost Data'!$D$43,(MIN(((Inputs!$B$18-Inputs!$B$23)*'Cost Data'!$D$43),Inputs!$B$10-(Inputs!$B$7*Inputs!$B$8)))/'Cost Data'!$D$43))))))*'Cost Data'!$D$42*VLOOKUP(Lookup!$I$9,'Cost Data'!$A$4:$C$10,3)</f>
        <v>19.8525</v>
      </c>
      <c r="C43" s="37">
        <f>IF(C38="N/A",MAX(0,Inputs!$B$19-Inputs!$B$24),MAX(0,(Inputs!$B$19-MIN(Inputs!$B$19,Inputs!$B$24)-IF(Inputs!$B$24&gt;Inputs!$B$19,0,IF(Inputs!$B$7*Inputs!$B$8&gt;Inputs!$B$10,0,IF(Inputs!$B$19*Inputs!$B$22&gt;Inputs!$B$24,(MIN((Inputs!$B$19*(1-Inputs!$B$22))*'Cost Data'!$D$43,(Inputs!$B$10-(Inputs!$B$7*Inputs!$B$9))))/'Cost Data'!$D$43,(MIN(((Inputs!$B$19-Inputs!$B$24)*'Cost Data'!$D$43),Inputs!$B$10-(Inputs!$B$7*Inputs!$B$8)))/'Cost Data'!$D$43))))))*'Cost Data'!$D$42*VLOOKUP(Lookup!$I$9,'Cost Data'!$A$4:$C$10,3)</f>
        <v>59.5575</v>
      </c>
      <c r="D43" s="37">
        <f>IF(D38="N/A",MAX(0,Inputs!$B$20-Inputs!$B$25),MAX(0,(Inputs!$B$20-MIN(Inputs!$B$20,Inputs!$B$25)-IF(Inputs!$B$25&gt;Inputs!$B$20,0,IF(Inputs!$B$7*Inputs!$B$8&gt;Inputs!$B$10,0,IF(Inputs!$B$20*Inputs!$B$22&gt;Inputs!$B$25,(MIN((Inputs!$B$20*(1-Inputs!$B$22))*'Cost Data'!$D$43,(Inputs!$B$10-(Inputs!$B$7*Inputs!$B$9))))/'Cost Data'!$D$43,(MIN(((Inputs!$B$20-Inputs!$B$25)*'Cost Data'!$D$43),Inputs!$B$10-(Inputs!$B$7*Inputs!$B$8)))/'Cost Data'!$D$43))))))*'Cost Data'!$D$42*VLOOKUP(Lookup!$I$9,'Cost Data'!$A$4:$C$10,3)</f>
        <v>119.115</v>
      </c>
      <c r="E43" s="38">
        <f>IF(E38="N/A",MAX(0,Inputs!$B$21-Inputs!$B$26),MAX(0,(Inputs!$B$21-MIN(Inputs!$B$21,Inputs!$B$26)-IF(Inputs!$B$26&gt;Inputs!$B$21,0,IF(Inputs!$B$7*Inputs!$B$8&gt;Inputs!$B$10,0,IF(Inputs!$B$21*Inputs!$B$22&gt;Inputs!$B$26,(MIN((Inputs!$B$21*(1-Inputs!$B$22))*'Cost Data'!$D$43,(Inputs!$B$10-(Inputs!$B$7*Inputs!$B$9))))/'Cost Data'!$D$43,(MIN(((Inputs!$B$21-Inputs!$B$26)*'Cost Data'!$D$43),Inputs!$B$10-(Inputs!$B$7*Inputs!$B$8)))/'Cost Data'!$D$43))))))*'Cost Data'!$D$42*VLOOKUP(Lookup!$I$9,'Cost Data'!$A$4:$C$10,3)</f>
        <v>198.52499999999998</v>
      </c>
      <c r="F43" s="9"/>
      <c r="G43" s="9"/>
    </row>
    <row r="44" spans="1:7" ht="12.75">
      <c r="A44" s="36" t="s">
        <v>14</v>
      </c>
      <c r="B44" s="37">
        <f>IF(Inputs!$D$40&gt;Inputs!$B$44,(Inputs!$D$40-Inputs!$B$44)*'Cost Data'!$D$38*VLOOKUP(Lookup!$I$9,'Cost Data'!$A$4:$C$10,3),0)+Inputs!$B$40*Inputs!$C$40*'Cost Data'!$D$38*VLOOKUP(Lookup!$I$9,'Cost Data'!$A$4:$C$10,3)</f>
        <v>29.778749999999995</v>
      </c>
      <c r="C44" s="37">
        <f>IF(Inputs!$D$41&gt;Inputs!$B$45,(Inputs!$D$41-Inputs!$B$45)*'Cost Data'!$D$38*VLOOKUP(Lookup!$I$9,'Cost Data'!$A$4:$C$10,3),0)+Inputs!$B$41*Inputs!$C$40*'Cost Data'!$D$38*VLOOKUP(Lookup!$I$9,'Cost Data'!$A$4:$C$10,3)</f>
        <v>89.33624999999999</v>
      </c>
      <c r="D44" s="37">
        <f>IF(Inputs!$D$42&gt;Inputs!$B$46,(Inputs!$D$42-Inputs!$B$46)*'Cost Data'!$D$38*VLOOKUP(Lookup!$I$9,'Cost Data'!$A$4:$C$10,3),0)+Inputs!$B$42*Inputs!$C$40*'Cost Data'!$D$38*VLOOKUP(Lookup!$I$9,'Cost Data'!$A$4:$C$10,3)</f>
        <v>178.67249999999999</v>
      </c>
      <c r="E44" s="37">
        <f>IF(Inputs!$D$43&gt;Inputs!$B$47,(Inputs!$D$43-Inputs!$B$47)*'Cost Data'!$D$38*VLOOKUP(Lookup!$I$9,'Cost Data'!$A$4:$C$10,3),0)+Inputs!$B$43*Inputs!$C$40*'Cost Data'!$D$38*VLOOKUP(Lookup!$I$9,'Cost Data'!$A$4:$C$10,3)</f>
        <v>297.78749999999997</v>
      </c>
      <c r="F44" s="9"/>
      <c r="G44" s="9"/>
    </row>
    <row r="45" spans="1:7" ht="12.75">
      <c r="A45" s="36" t="s">
        <v>13</v>
      </c>
      <c r="B45" s="37">
        <f>IF($B$35="N/A",Inputs!$B$68*VLOOKUP(Lookup!$I$9,'Cost Data'!$A$4:$C$10,3),IF(Inputs!$B$68&gt;Inputs!$B$72,(Inputs!$B$68-Inputs!$B$72)*VLOOKUP(Lookup!$I$9,'Cost Data'!$A$4:$C$10,3),0))</f>
        <v>26.47</v>
      </c>
      <c r="C45" s="37">
        <f>IF($B$35="N/A",Inputs!$B$69*VLOOKUP(Lookup!$I$9,'Cost Data'!$A$4:$C$10,3),IF(Inputs!$B$69&gt;Inputs!$B$73,(Inputs!$B$69-Inputs!$B$73)*VLOOKUP(Lookup!$I$9,'Cost Data'!$A$4:$C$10,3),0))</f>
        <v>79.41</v>
      </c>
      <c r="D45" s="37">
        <f>IF($B$35="N/A",Inputs!$B$70*VLOOKUP(Lookup!$I$9,'Cost Data'!$A$4:$C$10,3),IF(Inputs!$B$70&gt;Inputs!$B$74,(Inputs!$B$70-Inputs!$B$74)*VLOOKUP(Lookup!$I$9,'Cost Data'!$A$4:$C$10,3),0))</f>
        <v>158.82</v>
      </c>
      <c r="E45" s="38">
        <f>IF($B$35="N/A",Inputs!$B$71*VLOOKUP(Lookup!$I$9,'Cost Data'!$A$4:$C$10,3),IF(Inputs!$B$71&gt;Inputs!$B$75,(Inputs!$B$71-Inputs!$B$75)*VLOOKUP(Lookup!$I$9,'Cost Data'!$A$4:$C$10,3),0))</f>
        <v>264.7</v>
      </c>
      <c r="F45" s="9"/>
      <c r="G45" s="9"/>
    </row>
    <row r="46" spans="1:7" ht="12.75">
      <c r="A46" s="36" t="s">
        <v>12</v>
      </c>
      <c r="B46" s="37">
        <f>IF($B$35="N/A",Inputs!$B$63*VLOOKUP(Lookup!$I$9,'Cost Data'!$A$4:$C$10,3),IF(Inputs!$B$63&gt;Inputs!$B$72,(Inputs!$B$63-Inputs!$B$72)*VLOOKUP(Lookup!$I$9,'Cost Data'!$A$4:$C$10,3),0))</f>
        <v>26.47</v>
      </c>
      <c r="C46" s="37">
        <f>IF($B$35="N/A",Inputs!$B$64*VLOOKUP(Lookup!$I$9,'Cost Data'!$A$4:$C$10,3),IF(Inputs!$B$64&gt;Inputs!$B$73,(Inputs!$B$64-Inputs!$B$73)*VLOOKUP(Lookup!$I$9,'Cost Data'!$A$4:$C$10,3),0))</f>
        <v>79.41</v>
      </c>
      <c r="D46" s="37">
        <f>IF($B$35="N/A",Inputs!$B$65*VLOOKUP(Lookup!$I$9,'Cost Data'!$A$4:$C$10,3),IF(Inputs!$B$65&gt;Inputs!$B$74,(Inputs!$B$65-Inputs!$B$74)*VLOOKUP(Lookup!$I$9,'Cost Data'!$A$4:$C$10,3),0))</f>
        <v>158.82</v>
      </c>
      <c r="E46" s="38">
        <f>IF($B$35="N/A",Inputs!$B$66*VLOOKUP(Lookup!$I$9,'Cost Data'!$A$4:$C$10,3),IF(Inputs!$B$66&gt;Inputs!$B$75,(Inputs!$B$66-Inputs!$B$75)*VLOOKUP(Lookup!$I$9,'Cost Data'!$A$4:$C$10,3),0))</f>
        <v>264.7</v>
      </c>
      <c r="F46" s="9"/>
      <c r="G46" s="9"/>
    </row>
    <row r="47" spans="1:7" ht="12.75">
      <c r="A47" s="39" t="s">
        <v>25</v>
      </c>
      <c r="B47" s="40">
        <f>SUM(B29:B46)</f>
        <v>293.46286290322587</v>
      </c>
      <c r="C47" s="40">
        <f>SUM(C29:C46)</f>
        <v>880.3885887096774</v>
      </c>
      <c r="D47" s="40">
        <f>SUM(D29:D46)</f>
        <v>1760.7771774193548</v>
      </c>
      <c r="E47" s="97">
        <f>SUM(E29:E46)</f>
        <v>2934.628629032258</v>
      </c>
      <c r="F47" s="76">
        <f>E47/10</f>
        <v>293.46286290322575</v>
      </c>
      <c r="G47" s="9"/>
    </row>
    <row r="48" spans="1:7" s="14" customFormat="1" ht="12.75">
      <c r="A48" s="39" t="s">
        <v>96</v>
      </c>
      <c r="B48" s="40">
        <f>B47/1</f>
        <v>293.46286290322587</v>
      </c>
      <c r="C48" s="40">
        <f>C47/3</f>
        <v>293.4628629032258</v>
      </c>
      <c r="D48" s="40">
        <f>D47/6</f>
        <v>293.4628629032258</v>
      </c>
      <c r="E48" s="97">
        <f>E47/10</f>
        <v>293.46286290322575</v>
      </c>
      <c r="F48" s="75"/>
      <c r="G48" s="13"/>
    </row>
    <row r="49" spans="1:7" ht="12.75">
      <c r="A49" s="2"/>
      <c r="B49" s="9"/>
      <c r="C49" s="9"/>
      <c r="D49" s="9"/>
      <c r="E49" s="9"/>
      <c r="F49" s="9"/>
      <c r="G49" s="9"/>
    </row>
    <row r="50" spans="1:7" ht="25.5" customHeight="1">
      <c r="A50" s="62" t="s">
        <v>280</v>
      </c>
      <c r="B50" s="42" t="s">
        <v>21</v>
      </c>
      <c r="C50" s="42" t="s">
        <v>18</v>
      </c>
      <c r="D50" s="42" t="s">
        <v>19</v>
      </c>
      <c r="E50" s="42" t="s">
        <v>20</v>
      </c>
      <c r="F50" s="9"/>
      <c r="G50" s="9"/>
    </row>
    <row r="51" spans="1:7" ht="12.75">
      <c r="A51" s="36" t="s">
        <v>16</v>
      </c>
      <c r="B51" s="37"/>
      <c r="C51" s="59"/>
      <c r="D51" s="59"/>
      <c r="E51" s="60"/>
      <c r="F51" s="71"/>
      <c r="G51" s="9"/>
    </row>
    <row r="52" spans="1:7" ht="12.75">
      <c r="A52" s="36" t="s">
        <v>17</v>
      </c>
      <c r="B52" s="91">
        <f>Inputs!$B$9*'Cost Data'!$C$31</f>
        <v>171</v>
      </c>
      <c r="C52" s="91">
        <f>Inputs!$B$9*'Cost Data'!$C$31*3</f>
        <v>513</v>
      </c>
      <c r="D52" s="91">
        <f>Inputs!$B$9*'Cost Data'!$C$31*6</f>
        <v>1026</v>
      </c>
      <c r="E52" s="92">
        <f>Inputs!$B$9*'Cost Data'!$C$31*10</f>
        <v>1710</v>
      </c>
      <c r="F52" s="9"/>
      <c r="G52" s="9"/>
    </row>
    <row r="53" spans="1:7" ht="12.75">
      <c r="A53" s="36" t="s">
        <v>107</v>
      </c>
      <c r="B53" s="91">
        <f>Inputs!$B$10*'Cost Data'!$C$32</f>
        <v>71.3</v>
      </c>
      <c r="C53" s="91">
        <f>Inputs!$B$10*'Cost Data'!$C$32*3</f>
        <v>213.89999999999998</v>
      </c>
      <c r="D53" s="91">
        <f>Inputs!$B$10*'Cost Data'!$C$32*6</f>
        <v>427.79999999999995</v>
      </c>
      <c r="E53" s="92">
        <f>Inputs!$B$10*'Cost Data'!$C$32*10</f>
        <v>713</v>
      </c>
      <c r="F53" s="9"/>
      <c r="G53" s="9"/>
    </row>
    <row r="54" spans="1:7" ht="12.75">
      <c r="A54" s="36" t="s">
        <v>37</v>
      </c>
      <c r="B54" s="91">
        <f>Inputs!$B$23*'Cost Data'!$C$33</f>
        <v>195</v>
      </c>
      <c r="C54" s="91">
        <f>Inputs!$B$24*'Cost Data'!$C$33</f>
        <v>585</v>
      </c>
      <c r="D54" s="91">
        <f>Inputs!$B$25*'Cost Data'!$C$33</f>
        <v>1170</v>
      </c>
      <c r="E54" s="92">
        <f>Inputs!$B$26*'Cost Data'!$C$33</f>
        <v>1950</v>
      </c>
      <c r="F54" s="9"/>
      <c r="G54" s="9"/>
    </row>
    <row r="55" spans="1:7" ht="12.75">
      <c r="A55" s="36" t="s">
        <v>14</v>
      </c>
      <c r="B55" s="91">
        <f>IF(Lookup!$G$4="Yes",Inputs!$B$52*Inputs!$B$44,Inputs!$B$44*'Cost Data'!$C$34)</f>
        <v>100</v>
      </c>
      <c r="C55" s="91">
        <f>IF(Lookup!$G$4="Yes",Inputs!$B$52*Inputs!$B$45,Inputs!$B$45*'Cost Data'!$C$34)</f>
        <v>300</v>
      </c>
      <c r="D55" s="91">
        <f>IF(Lookup!$G$4="Yes",Inputs!$B$52*Inputs!$B$46,Inputs!$B$46*'Cost Data'!$C$34)</f>
        <v>600</v>
      </c>
      <c r="E55" s="92">
        <f>IF(Lookup!$G$4="Yes",Inputs!$B$52*Inputs!$B$47,Inputs!$B$47*'Cost Data'!$C$34)</f>
        <v>1000</v>
      </c>
      <c r="F55" s="9"/>
      <c r="G55" s="9"/>
    </row>
    <row r="56" spans="1:7" ht="12.75">
      <c r="A56" s="36" t="s">
        <v>58</v>
      </c>
      <c r="B56" s="91">
        <f>Inputs!$B$72*'Cost Data'!$C$35</f>
        <v>23.84</v>
      </c>
      <c r="C56" s="91">
        <f>Inputs!$B$73*'Cost Data'!$C$35</f>
        <v>71.52</v>
      </c>
      <c r="D56" s="91">
        <f>Inputs!$B$74*'Cost Data'!$C$35</f>
        <v>143.04</v>
      </c>
      <c r="E56" s="92">
        <f>Inputs!$B$75*'Cost Data'!$C$35</f>
        <v>238.4</v>
      </c>
      <c r="F56" s="9"/>
      <c r="G56" s="9"/>
    </row>
    <row r="57" spans="1:7" ht="12.75">
      <c r="A57" s="49" t="s">
        <v>73</v>
      </c>
      <c r="B57" s="95"/>
      <c r="C57" s="95"/>
      <c r="D57" s="95"/>
      <c r="E57" s="96"/>
      <c r="F57" s="70"/>
      <c r="G57" s="9"/>
    </row>
    <row r="58" spans="1:7" ht="12.75">
      <c r="A58" s="49" t="s">
        <v>104</v>
      </c>
      <c r="B58" s="95">
        <f>IF(Lookup!$E4="Yes",Inputs!$B$7*Inputs!$B$13*'Cost Data'!$D$51,Inputs!$B7*'Cost Data'!$D$51*VLOOKUP(Lookup!$I$9,'Cost Data'!$A$4:$C$10,3))</f>
        <v>180</v>
      </c>
      <c r="C58" s="95">
        <f>IF(Lookup!$E4="Yes",Inputs!$B$7*3*Inputs!$B$13*'Cost Data'!$D$51,Inputs!$B7*3*'Cost Data'!$D$51*VLOOKUP(Lookup!$I$9,'Cost Data'!$A$4:$C$10,3))</f>
        <v>540</v>
      </c>
      <c r="D58" s="95">
        <f>IF(Lookup!$E4="Yes",Inputs!$B$7*6*Inputs!$B$13*'Cost Data'!$D$51,Inputs!$B7*6*'Cost Data'!$D$51*VLOOKUP(Lookup!$I$9,'Cost Data'!$A$4:$C$10,3))</f>
        <v>1080</v>
      </c>
      <c r="E58" s="96">
        <f>IF(Lookup!$E4="Yes",Inputs!$B$7*10*Inputs!$B$13*'Cost Data'!$D$51,Inputs!$B7*10*'Cost Data'!$D$51*VLOOKUP(Lookup!$I$9,'Cost Data'!$A$4:$C$10,3))</f>
        <v>1800</v>
      </c>
      <c r="F58" s="9"/>
      <c r="G58" s="9"/>
    </row>
    <row r="59" spans="1:7" ht="12.75">
      <c r="A59" s="36" t="s">
        <v>39</v>
      </c>
      <c r="B59" s="95">
        <f>IF(Lookup!$D4="Yes",Inputs!$B$28*Inputs!$B$18*'Cost Data'!$D42,Inputs!$B$18*VLOOKUP(Lookup!$I$9,'Cost Data'!$A$4:$C$10,3)*'Cost Data'!$D$42)</f>
        <v>22.5</v>
      </c>
      <c r="C59" s="95">
        <f>IF(Lookup!$D4="Yes",Inputs!$B$28*Inputs!$B$19*'Cost Data'!$D42,Inputs!$B$19*VLOOKUP(Lookup!$I$9,'Cost Data'!$A$4:$C$10,3)*'Cost Data'!$D$42)</f>
        <v>67.5</v>
      </c>
      <c r="D59" s="95">
        <f>IF(Lookup!$D4="Yes",Inputs!$B$28*Inputs!$B$20*'Cost Data'!$D42,Inputs!$B$20*VLOOKUP(Lookup!$I$9,'Cost Data'!$A$4:$C$10,3)*'Cost Data'!$D$42)</f>
        <v>135</v>
      </c>
      <c r="E59" s="96">
        <f>IF(Lookup!$D4="Yes",Inputs!$B$28*Inputs!$B$21*'Cost Data'!$D42,Inputs!$B$21*VLOOKUP(Lookup!$I$9,'Cost Data'!$A$4:$C$10,3)*'Cost Data'!$D$42)</f>
        <v>225</v>
      </c>
      <c r="F59" s="9"/>
      <c r="G59" s="9"/>
    </row>
    <row r="60" spans="1:7" ht="12.75">
      <c r="A60" s="49" t="s">
        <v>22</v>
      </c>
      <c r="B60" s="95">
        <f>IF(Lookup!C4="Yes",Inputs!$B$49*Inputs!$B$40*'Cost Data'!$D$38,Inputs!$B$40*VLOOKUP(Lookup!$I$9,'Cost Data'!$A$4:$C$10,3)*'Cost Data'!$D$38)</f>
        <v>33.75</v>
      </c>
      <c r="C60" s="95">
        <f>IF(Lookup!C4="Yes",Inputs!$B$49*Inputs!$B$41*'Cost Data'!$D$38,Inputs!$B$41*VLOOKUP(Lookup!$I$9,'Cost Data'!$A$4:$C$10,3)*'Cost Data'!$D$38)</f>
        <v>101.24999999999999</v>
      </c>
      <c r="D60" s="95">
        <f>IF(Lookup!C4="Yes",Inputs!$B$49*Inputs!$B$42*'Cost Data'!$D$38,Inputs!$B$42*VLOOKUP(Lookup!$I$9,'Cost Data'!$A$4:$C$10,3)*'Cost Data'!$D$38)</f>
        <v>202.49999999999997</v>
      </c>
      <c r="E60" s="96">
        <f>IF(Lookup!C4="Yes",Inputs!$B$49*Inputs!$B$43*'Cost Data'!$D$38,Inputs!$B$43*VLOOKUP(Lookup!$I$9,'Cost Data'!$A$4:$C$10,3)*'Cost Data'!$D$38)</f>
        <v>337.5</v>
      </c>
      <c r="F60" s="9"/>
      <c r="G60" s="9"/>
    </row>
    <row r="61" spans="1:7" ht="12.75">
      <c r="A61" s="49" t="s">
        <v>24</v>
      </c>
      <c r="B61" s="95">
        <f>IF(Lookup!B4="Yes",Inputs!$B$68*Inputs!$B$89,Inputs!$B$68*VLOOKUP(Lookup!$I$9,'Cost Data'!$A$4:$C$10,3))</f>
        <v>15</v>
      </c>
      <c r="C61" s="95">
        <f>IF(Lookup!B4="Yes",Inputs!$B$69*Inputs!$B$89,Inputs!$B$69*VLOOKUP(Lookup!$I$9,'Cost Data'!$A$4:$C$10,3))</f>
        <v>45</v>
      </c>
      <c r="D61" s="95">
        <f>IF(Lookup!B4="Yes",Inputs!$B$70*Inputs!$B$89,Inputs!$B$70*VLOOKUP(Lookup!$I$9,'Cost Data'!$A$4:$C$10,3))</f>
        <v>90</v>
      </c>
      <c r="E61" s="96">
        <f>IF(Lookup!B4="Yes",Inputs!$B$71*Inputs!$B$89,Inputs!$B$71*VLOOKUP(Lookup!$I$9,'Cost Data'!$A$4:$C$10,3))</f>
        <v>150</v>
      </c>
      <c r="F61" s="9"/>
      <c r="G61" s="9"/>
    </row>
    <row r="62" spans="1:7" ht="12.75">
      <c r="A62" s="49" t="s">
        <v>23</v>
      </c>
      <c r="B62" s="95">
        <f>IF(Lookup!A4="Yes",Inputs!$B$77*Inputs!$B$63,Inputs!$B$63*VLOOKUP(Lookup!$I$9,'Cost Data'!$A$4:$C$10,3))</f>
        <v>15</v>
      </c>
      <c r="C62" s="95">
        <f>IF(Lookup!A4="Yes",Inputs!$B$77*Inputs!$B$64,Inputs!$B$64*VLOOKUP(Lookup!$I$9,'Cost Data'!$A$4:$C$10,3))</f>
        <v>45</v>
      </c>
      <c r="D62" s="95">
        <f>IF(Lookup!A4="Yes",Inputs!$B$77*Inputs!$B$65,Inputs!$B$65*VLOOKUP(Lookup!$I$9,'Cost Data'!$A$4:$C$10,3))</f>
        <v>90</v>
      </c>
      <c r="E62" s="96">
        <f>IF(Lookup!A4="Yes",Inputs!$B$77*Inputs!$B$66,Inputs!$B$66*VLOOKUP(Lookup!$I$9,'Cost Data'!$A$4:$C$10,3))</f>
        <v>150</v>
      </c>
      <c r="F62" s="9"/>
      <c r="G62" s="9"/>
    </row>
    <row r="63" spans="1:7" ht="12.75">
      <c r="A63" s="39" t="s">
        <v>25</v>
      </c>
      <c r="B63" s="93">
        <f>SUM(B52:B57,B58:B62)</f>
        <v>827.39</v>
      </c>
      <c r="C63" s="93">
        <f>SUM(C52:C57,C58:C62)</f>
        <v>2482.17</v>
      </c>
      <c r="D63" s="93">
        <f>SUM(D52:D57,D58:D62)</f>
        <v>4964.34</v>
      </c>
      <c r="E63" s="94">
        <f>SUM(E52:E57,E58:E62)</f>
        <v>8273.9</v>
      </c>
      <c r="F63" s="76">
        <f>E63/10</f>
        <v>827.39</v>
      </c>
      <c r="G63" s="9"/>
    </row>
    <row r="64" spans="1:7" s="14" customFormat="1" ht="12.75">
      <c r="A64" s="39" t="s">
        <v>96</v>
      </c>
      <c r="B64" s="40">
        <f>B63</f>
        <v>827.39</v>
      </c>
      <c r="C64" s="40">
        <f>C63/3</f>
        <v>827.39</v>
      </c>
      <c r="D64" s="40">
        <f>D63/6</f>
        <v>827.39</v>
      </c>
      <c r="E64" s="97">
        <f>E63/10</f>
        <v>827.39</v>
      </c>
      <c r="F64" s="75"/>
      <c r="G64" s="13"/>
    </row>
    <row r="65" spans="1:7" s="57" customFormat="1" ht="12.75">
      <c r="A65" s="55"/>
      <c r="B65" s="56"/>
      <c r="C65" s="56"/>
      <c r="D65" s="56"/>
      <c r="E65" s="56"/>
      <c r="F65" s="58"/>
      <c r="G65" s="58"/>
    </row>
    <row r="66" spans="1:7" ht="12.75">
      <c r="A66" s="35" t="s">
        <v>76</v>
      </c>
      <c r="B66" s="42" t="s">
        <v>21</v>
      </c>
      <c r="C66" s="42" t="s">
        <v>18</v>
      </c>
      <c r="D66" s="42" t="s">
        <v>19</v>
      </c>
      <c r="E66" s="42" t="s">
        <v>20</v>
      </c>
      <c r="F66" s="9"/>
      <c r="G66" s="9"/>
    </row>
    <row r="67" spans="1:7" ht="12.75">
      <c r="A67" s="36" t="s">
        <v>16</v>
      </c>
      <c r="B67" s="37"/>
      <c r="C67" s="37"/>
      <c r="D67" s="37"/>
      <c r="E67" s="38"/>
      <c r="F67" s="71"/>
      <c r="G67" s="9"/>
    </row>
    <row r="68" spans="1:7" ht="12.75">
      <c r="A68" s="36" t="s">
        <v>17</v>
      </c>
      <c r="B68" s="91">
        <f>Inputs!$B$9*'Cost Data'!$C$31</f>
        <v>171</v>
      </c>
      <c r="C68" s="91">
        <f>Inputs!$B$9*'Cost Data'!$C$31*3</f>
        <v>513</v>
      </c>
      <c r="D68" s="91">
        <f>Inputs!$B$9*'Cost Data'!$C$31*6</f>
        <v>1026</v>
      </c>
      <c r="E68" s="92">
        <f>Inputs!$B$9*'Cost Data'!$C$31*10</f>
        <v>1710</v>
      </c>
      <c r="F68" s="9"/>
      <c r="G68" s="9"/>
    </row>
    <row r="69" spans="1:7" ht="12.75">
      <c r="A69" s="36" t="s">
        <v>107</v>
      </c>
      <c r="B69" s="91">
        <f>Inputs!$B$10*'Cost Data'!$C$32</f>
        <v>71.3</v>
      </c>
      <c r="C69" s="91">
        <f>Inputs!$B$10*'Cost Data'!$C$32*3</f>
        <v>213.89999999999998</v>
      </c>
      <c r="D69" s="91">
        <f>Inputs!$B$10*'Cost Data'!$C$32*6</f>
        <v>427.79999999999995</v>
      </c>
      <c r="E69" s="92">
        <f>Inputs!$B$10*'Cost Data'!$C$32*10</f>
        <v>713</v>
      </c>
      <c r="F69" s="9"/>
      <c r="G69" s="9"/>
    </row>
    <row r="70" spans="1:7" s="14" customFormat="1" ht="12.75">
      <c r="A70" s="36" t="s">
        <v>37</v>
      </c>
      <c r="B70" s="91">
        <f>Inputs!$B$23*'Cost Data'!$C$33</f>
        <v>195</v>
      </c>
      <c r="C70" s="91">
        <f>Inputs!$B$24*'Cost Data'!$C$33</f>
        <v>585</v>
      </c>
      <c r="D70" s="91">
        <f>Inputs!$B$25*'Cost Data'!$C$33</f>
        <v>1170</v>
      </c>
      <c r="E70" s="92">
        <f>Inputs!$B$26*'Cost Data'!$C$33</f>
        <v>1950</v>
      </c>
      <c r="F70" s="13"/>
      <c r="G70" s="13"/>
    </row>
    <row r="71" spans="1:7" ht="12.75">
      <c r="A71" s="36" t="s">
        <v>14</v>
      </c>
      <c r="B71" s="91">
        <f>IF(Lookup!$G$4="Yes",Inputs!$B$52*Inputs!$B$44,Inputs!$B$44*'Cost Data'!$C$34)</f>
        <v>100</v>
      </c>
      <c r="C71" s="91">
        <f>IF(Lookup!$G$4="Yes",Inputs!$B$52*Inputs!$B$45,Inputs!$B$45*'Cost Data'!$C$34)</f>
        <v>300</v>
      </c>
      <c r="D71" s="91">
        <f>IF(Lookup!$G$4="Yes",Inputs!$B$52*Inputs!$B$46,Inputs!$B$46*'Cost Data'!$C$34)</f>
        <v>600</v>
      </c>
      <c r="E71" s="92">
        <f>IF(Lookup!$G$4="Yes",Inputs!$B$52*Inputs!$B$47,Inputs!$B$47*'Cost Data'!$C$34)</f>
        <v>1000</v>
      </c>
      <c r="F71" s="9"/>
      <c r="G71" s="9"/>
    </row>
    <row r="72" spans="1:7" ht="12.75">
      <c r="A72" s="36" t="s">
        <v>58</v>
      </c>
      <c r="B72" s="91">
        <f>Inputs!$B$72*'Cost Data'!$C$35</f>
        <v>23.84</v>
      </c>
      <c r="C72" s="91">
        <f>Inputs!$B$73*'Cost Data'!$C$35</f>
        <v>71.52</v>
      </c>
      <c r="D72" s="91">
        <f>Inputs!$B$74*'Cost Data'!$C$35</f>
        <v>143.04</v>
      </c>
      <c r="E72" s="92">
        <f>Inputs!$B$75*'Cost Data'!$C$35</f>
        <v>238.4</v>
      </c>
      <c r="F72" s="9"/>
      <c r="G72" s="9"/>
    </row>
    <row r="73" spans="1:6" ht="12.75">
      <c r="A73" s="36" t="s">
        <v>15</v>
      </c>
      <c r="B73" s="91"/>
      <c r="C73" s="91"/>
      <c r="D73" s="91"/>
      <c r="E73" s="92"/>
      <c r="F73" s="69"/>
    </row>
    <row r="74" spans="1:5" ht="12.75">
      <c r="A74" s="36" t="s">
        <v>105</v>
      </c>
      <c r="B74" s="91">
        <f>Inputs!$B$7*VLOOKUP(Lookup!$I$9,'Cost Data'!$A$4:$C$10,3)*'Cost Data'!D51</f>
        <v>317.64</v>
      </c>
      <c r="C74" s="91">
        <f>Inputs!$B$7*3*VLOOKUP(Lookup!$I$9,'Cost Data'!$A$4:$C$10,3)*'Cost Data'!D51</f>
        <v>952.92</v>
      </c>
      <c r="D74" s="91">
        <f>Inputs!$B$7*6*VLOOKUP(Lookup!$I$9,'Cost Data'!$A$4:$C$10,3)*'Cost Data'!D51</f>
        <v>1905.84</v>
      </c>
      <c r="E74" s="92">
        <f>Inputs!$B$7*10*VLOOKUP(Lookup!$I$9,'Cost Data'!$A$4:$C$10,3)*'Cost Data'!D51</f>
        <v>3176.4</v>
      </c>
    </row>
    <row r="75" spans="1:5" ht="12.75">
      <c r="A75" s="36" t="s">
        <v>37</v>
      </c>
      <c r="B75" s="91">
        <f>Inputs!$B18*'Cost Data'!$D$42*VLOOKUP(Lookup!$I$9,'Cost Data'!$A$4:$C$10,3)</f>
        <v>39.705</v>
      </c>
      <c r="C75" s="91">
        <f>Inputs!$B19*'Cost Data'!$D$42*VLOOKUP(Lookup!$I$9,'Cost Data'!$A$4:$C$10,3)</f>
        <v>119.115</v>
      </c>
      <c r="D75" s="91">
        <f>Inputs!$B20*'Cost Data'!$D$42*VLOOKUP(Lookup!$I$9,'Cost Data'!$A$4:$C$10,3)</f>
        <v>238.23</v>
      </c>
      <c r="E75" s="92">
        <f>Inputs!$B21*'Cost Data'!$D$42*VLOOKUP(Lookup!$I$9,'Cost Data'!$A$4:$C$10,3)</f>
        <v>397.04999999999995</v>
      </c>
    </row>
    <row r="76" spans="1:5" ht="12.75">
      <c r="A76" s="36" t="s">
        <v>14</v>
      </c>
      <c r="B76" s="91">
        <f>Inputs!$B40*'Cost Data'!$D$38*VLOOKUP(Lookup!$I$9,'Cost Data'!$A$4:$C$10,3)</f>
        <v>59.5575</v>
      </c>
      <c r="C76" s="91">
        <f>Inputs!$B41*'Cost Data'!$D$38*VLOOKUP(Lookup!$I$9,'Cost Data'!$A$4:$C$10,3)</f>
        <v>178.67249999999996</v>
      </c>
      <c r="D76" s="91">
        <f>Inputs!$B42*'Cost Data'!$D$38*VLOOKUP(Lookup!$I$9,'Cost Data'!$A$4:$C$10,3)</f>
        <v>357.3449999999999</v>
      </c>
      <c r="E76" s="92">
        <f>Inputs!$B43*'Cost Data'!$D$38*VLOOKUP(Lookup!$I$9,'Cost Data'!$A$4:$C$10,3)</f>
        <v>595.5749999999999</v>
      </c>
    </row>
    <row r="77" spans="1:5" ht="12.75">
      <c r="A77" s="36" t="s">
        <v>13</v>
      </c>
      <c r="B77" s="91">
        <f>Inputs!$B$63*VLOOKUP(Lookup!$I$9,'Cost Data'!$A$4:$C$10,3)</f>
        <v>26.47</v>
      </c>
      <c r="C77" s="91">
        <f>Inputs!$B$64*VLOOKUP(Lookup!$I$9,'Cost Data'!$A$4:$C$10,3)</f>
        <v>79.41</v>
      </c>
      <c r="D77" s="91">
        <f>Inputs!$B$65*VLOOKUP(Lookup!$I$9,'Cost Data'!$A$4:$C$10,3)</f>
        <v>158.82</v>
      </c>
      <c r="E77" s="92">
        <f>Inputs!$B$66*VLOOKUP(Lookup!$I$9,'Cost Data'!$A$4:$C$10,3)</f>
        <v>264.7</v>
      </c>
    </row>
    <row r="78" spans="1:5" ht="12.75">
      <c r="A78" s="36" t="s">
        <v>12</v>
      </c>
      <c r="B78" s="91">
        <f>Inputs!$B$63*VLOOKUP(Lookup!$I$9,'Cost Data'!$A$4:$C$10,3)</f>
        <v>26.47</v>
      </c>
      <c r="C78" s="91">
        <f>Inputs!$B$64*VLOOKUP(Lookup!$I$9,'Cost Data'!$A$4:$C$10,3)</f>
        <v>79.41</v>
      </c>
      <c r="D78" s="91">
        <f>Inputs!$B$65*VLOOKUP(Lookup!$I$9,'Cost Data'!$A$4:$C$10,3)</f>
        <v>158.82</v>
      </c>
      <c r="E78" s="92">
        <f>Inputs!$B$66*VLOOKUP(Lookup!$I$9,'Cost Data'!$A$4:$C$10,3)</f>
        <v>264.7</v>
      </c>
    </row>
    <row r="79" spans="1:6" ht="12.75">
      <c r="A79" s="39" t="s">
        <v>25</v>
      </c>
      <c r="B79" s="93">
        <f>SUM(B68:B72,B74:B78)</f>
        <v>1030.9825</v>
      </c>
      <c r="C79" s="93">
        <f>SUM(C68:C72,C74:C78)</f>
        <v>3092.9474999999998</v>
      </c>
      <c r="D79" s="93">
        <f>SUM(D68:D72,D74:D78)</f>
        <v>6185.8949999999995</v>
      </c>
      <c r="E79" s="94">
        <f>SUM(E68:E72,E74:E78)</f>
        <v>10309.825</v>
      </c>
      <c r="F79" s="77">
        <f>E79/10</f>
        <v>1030.9825</v>
      </c>
    </row>
    <row r="80" spans="1:7" s="14" customFormat="1" ht="12.75">
      <c r="A80" s="39" t="s">
        <v>96</v>
      </c>
      <c r="B80" s="40">
        <f>B79</f>
        <v>1030.9825</v>
      </c>
      <c r="C80" s="40">
        <f>C79/3</f>
        <v>1030.9824999999998</v>
      </c>
      <c r="D80" s="40">
        <f>D79/6</f>
        <v>1030.9824999999998</v>
      </c>
      <c r="E80" s="97">
        <f>E79/10</f>
        <v>1030.9825</v>
      </c>
      <c r="F80" s="75"/>
      <c r="G80" s="13"/>
    </row>
    <row r="83" ht="12.75">
      <c r="F83" s="74"/>
    </row>
    <row r="84" ht="12.75">
      <c r="F84" s="74"/>
    </row>
  </sheetData>
  <sheetProtection sheet="1" objects="1" scenarios="1"/>
  <mergeCells count="1">
    <mergeCell ref="A1:B2"/>
  </mergeCells>
  <printOptions horizontalCentered="1"/>
  <pageMargins left="0.75" right="0.75" top="1" bottom="1" header="0.5" footer="0.5"/>
  <pageSetup fitToHeight="1" fitToWidth="1" horizontalDpi="600" verticalDpi="600" orientation="portrait" scale="63" r:id="rId5"/>
  <drawing r:id="rId3"/>
  <legacyDrawing r:id="rId2"/>
  <picture r:id="rId4"/>
</worksheet>
</file>

<file path=xl/worksheets/sheet4.xml><?xml version="1.0" encoding="utf-8"?>
<worksheet xmlns="http://schemas.openxmlformats.org/spreadsheetml/2006/main" xmlns:r="http://schemas.openxmlformats.org/officeDocument/2006/relationships">
  <sheetPr codeName="Sheet5">
    <pageSetUpPr fitToPage="1"/>
  </sheetPr>
  <dimension ref="A1:F62"/>
  <sheetViews>
    <sheetView showGridLines="0" zoomScale="80" zoomScaleNormal="80" workbookViewId="0" topLeftCell="A1">
      <selection activeCell="B26" sqref="B26"/>
    </sheetView>
  </sheetViews>
  <sheetFormatPr defaultColWidth="9.140625" defaultRowHeight="12.75"/>
  <cols>
    <col min="1" max="1" width="29.421875" style="1" customWidth="1"/>
    <col min="2" max="2" width="11.7109375" style="1" customWidth="1"/>
    <col min="3" max="3" width="17.7109375" style="1" customWidth="1"/>
    <col min="4" max="4" width="15.140625" style="10" customWidth="1"/>
    <col min="5" max="5" width="56.7109375" style="10" customWidth="1"/>
    <col min="6" max="6" width="38.7109375" style="1" customWidth="1"/>
    <col min="7" max="16384" width="9.140625" style="1" customWidth="1"/>
  </cols>
  <sheetData>
    <row r="1" spans="1:5" ht="12.75" customHeight="1">
      <c r="A1" s="359" t="s">
        <v>84</v>
      </c>
      <c r="B1" s="360"/>
      <c r="C1" s="360"/>
      <c r="D1" s="360"/>
      <c r="E1" s="82"/>
    </row>
    <row r="2" spans="1:2" ht="12.75" customHeight="1">
      <c r="A2" s="8"/>
      <c r="B2" s="4"/>
    </row>
    <row r="3" spans="1:6" ht="12.75" customHeight="1">
      <c r="A3" s="291" t="s">
        <v>350</v>
      </c>
      <c r="B3" s="291" t="s">
        <v>351</v>
      </c>
      <c r="C3" s="291" t="s">
        <v>26</v>
      </c>
      <c r="D3" s="361" t="s">
        <v>352</v>
      </c>
      <c r="E3" s="365"/>
      <c r="F3" s="33" t="s">
        <v>353</v>
      </c>
    </row>
    <row r="4" spans="1:6" ht="12.75" customHeight="1">
      <c r="A4" s="292" t="s">
        <v>343</v>
      </c>
      <c r="B4" s="362" t="s">
        <v>11</v>
      </c>
      <c r="C4" s="3">
        <f>ROUND(70.53*B59,2)</f>
        <v>77.58</v>
      </c>
      <c r="D4" s="366" t="s">
        <v>354</v>
      </c>
      <c r="E4" s="367"/>
      <c r="F4" s="293" t="s">
        <v>355</v>
      </c>
    </row>
    <row r="5" spans="1:6" ht="12.75" customHeight="1">
      <c r="A5" s="292" t="s">
        <v>344</v>
      </c>
      <c r="B5" s="363"/>
      <c r="C5" s="78">
        <f>ROUND(46.29*B59,2)</f>
        <v>50.92</v>
      </c>
      <c r="D5" s="368"/>
      <c r="E5" s="369"/>
      <c r="F5" s="293" t="s">
        <v>356</v>
      </c>
    </row>
    <row r="6" spans="1:6" ht="12.75" customHeight="1">
      <c r="A6" s="292" t="s">
        <v>345</v>
      </c>
      <c r="B6" s="363"/>
      <c r="C6" s="110">
        <f>ROUND(30.97*B59,2)</f>
        <v>34.07</v>
      </c>
      <c r="D6" s="368"/>
      <c r="E6" s="369"/>
      <c r="F6" s="293" t="s">
        <v>357</v>
      </c>
    </row>
    <row r="7" spans="1:6" ht="12.75" customHeight="1">
      <c r="A7" s="292" t="s">
        <v>346</v>
      </c>
      <c r="B7" s="363"/>
      <c r="C7" s="3">
        <f>ROUND(34.96*B59,2)</f>
        <v>38.46</v>
      </c>
      <c r="D7" s="368"/>
      <c r="E7" s="369"/>
      <c r="F7" s="293" t="s">
        <v>358</v>
      </c>
    </row>
    <row r="8" spans="1:6" ht="12.75" customHeight="1">
      <c r="A8" s="292" t="s">
        <v>347</v>
      </c>
      <c r="B8" s="363"/>
      <c r="C8" s="3">
        <f>ROUND(24.06*B59,2)</f>
        <v>26.47</v>
      </c>
      <c r="D8" s="368"/>
      <c r="E8" s="369"/>
      <c r="F8" s="293" t="s">
        <v>359</v>
      </c>
    </row>
    <row r="9" spans="1:6" ht="12.75" customHeight="1">
      <c r="A9" s="292" t="s">
        <v>348</v>
      </c>
      <c r="B9" s="363"/>
      <c r="C9" s="3">
        <f>ROUND(37.74*B59,2)</f>
        <v>41.51</v>
      </c>
      <c r="D9" s="368"/>
      <c r="E9" s="369"/>
      <c r="F9" s="293" t="s">
        <v>360</v>
      </c>
    </row>
    <row r="10" spans="1:6" ht="12.75" customHeight="1">
      <c r="A10" s="292" t="s">
        <v>349</v>
      </c>
      <c r="B10" s="364"/>
      <c r="C10" s="3">
        <f>ROUND(34.29*B59,2)</f>
        <v>37.72</v>
      </c>
      <c r="D10" s="370"/>
      <c r="E10" s="371"/>
      <c r="F10" s="293" t="s">
        <v>361</v>
      </c>
    </row>
    <row r="11" spans="1:2" ht="12.75" customHeight="1">
      <c r="A11" s="8"/>
      <c r="B11" s="4"/>
    </row>
    <row r="12" spans="1:6" ht="38.25" customHeight="1">
      <c r="A12" s="62" t="s">
        <v>47</v>
      </c>
      <c r="B12" s="31" t="s">
        <v>1</v>
      </c>
      <c r="C12" s="32" t="s">
        <v>26</v>
      </c>
      <c r="D12" s="361" t="s">
        <v>0</v>
      </c>
      <c r="E12" s="361"/>
      <c r="F12" s="34" t="s">
        <v>2</v>
      </c>
    </row>
    <row r="13" spans="1:6" ht="25.5" customHeight="1">
      <c r="A13" s="28" t="s">
        <v>48</v>
      </c>
      <c r="B13" s="28" t="s">
        <v>77</v>
      </c>
      <c r="C13" s="64">
        <f>ROUND(55000*B57,2)</f>
        <v>64350</v>
      </c>
      <c r="D13" s="329" t="s">
        <v>61</v>
      </c>
      <c r="E13" s="357"/>
      <c r="F13" s="20"/>
    </row>
    <row r="14" spans="1:6" ht="51.75" customHeight="1">
      <c r="A14" s="28" t="s">
        <v>49</v>
      </c>
      <c r="B14" s="28" t="s">
        <v>11</v>
      </c>
      <c r="C14" s="3">
        <f>ROUND(6*B57,2)</f>
        <v>7.02</v>
      </c>
      <c r="D14" s="329" t="s">
        <v>61</v>
      </c>
      <c r="E14" s="357"/>
      <c r="F14" s="20"/>
    </row>
    <row r="15" spans="1:6" ht="12.75" customHeight="1">
      <c r="A15" s="28" t="s">
        <v>51</v>
      </c>
      <c r="B15" s="28" t="s">
        <v>11</v>
      </c>
      <c r="C15" s="3">
        <f>ROUND(0.5*B57,2)</f>
        <v>0.59</v>
      </c>
      <c r="D15" s="329" t="s">
        <v>61</v>
      </c>
      <c r="E15" s="357"/>
      <c r="F15" s="20"/>
    </row>
    <row r="16" spans="1:6" ht="12.75" customHeight="1">
      <c r="A16" s="98"/>
      <c r="B16" s="98"/>
      <c r="C16" s="58"/>
      <c r="D16" s="99"/>
      <c r="E16" s="99"/>
      <c r="F16" s="99"/>
    </row>
    <row r="17" spans="1:6" ht="51" customHeight="1">
      <c r="A17" s="62" t="s">
        <v>114</v>
      </c>
      <c r="B17" s="31" t="s">
        <v>1</v>
      </c>
      <c r="C17" s="32" t="s">
        <v>26</v>
      </c>
      <c r="D17" s="358" t="s">
        <v>0</v>
      </c>
      <c r="E17" s="358"/>
      <c r="F17" s="34" t="s">
        <v>2</v>
      </c>
    </row>
    <row r="18" spans="1:6" ht="38.25" customHeight="1">
      <c r="A18" s="28" t="s">
        <v>116</v>
      </c>
      <c r="B18" s="27" t="s">
        <v>121</v>
      </c>
      <c r="C18" s="3">
        <f>ROUND(25*B61,2)</f>
        <v>26</v>
      </c>
      <c r="D18" s="329" t="s">
        <v>128</v>
      </c>
      <c r="E18" s="330"/>
      <c r="F18" s="20" t="s">
        <v>147</v>
      </c>
    </row>
    <row r="19" spans="1:6" ht="25.5" customHeight="1">
      <c r="A19" s="28" t="s">
        <v>122</v>
      </c>
      <c r="B19" s="27" t="s">
        <v>125</v>
      </c>
      <c r="C19" s="104">
        <f>(1/(100*D43))/60</f>
        <v>0.053763440860215055</v>
      </c>
      <c r="D19" s="329" t="s">
        <v>133</v>
      </c>
      <c r="E19" s="330"/>
      <c r="F19" s="20" t="s">
        <v>146</v>
      </c>
    </row>
    <row r="20" spans="1:6" ht="25.5" customHeight="1">
      <c r="A20" s="28" t="s">
        <v>118</v>
      </c>
      <c r="B20" s="28" t="s">
        <v>129</v>
      </c>
      <c r="C20" s="3">
        <f>D28</f>
        <v>54.9564</v>
      </c>
      <c r="D20" s="329"/>
      <c r="E20" s="357"/>
      <c r="F20" s="20" t="s">
        <v>144</v>
      </c>
    </row>
    <row r="21" spans="1:6" ht="12.75" customHeight="1">
      <c r="A21" s="28" t="s">
        <v>132</v>
      </c>
      <c r="B21" s="27" t="s">
        <v>77</v>
      </c>
      <c r="C21" s="3">
        <f>ROUND(7999*B61,2)</f>
        <v>8318.96</v>
      </c>
      <c r="D21" s="329" t="s">
        <v>124</v>
      </c>
      <c r="E21" s="357"/>
      <c r="F21" s="20" t="s">
        <v>123</v>
      </c>
    </row>
    <row r="22" spans="1:6" ht="12.75" customHeight="1">
      <c r="A22" s="28" t="s">
        <v>148</v>
      </c>
      <c r="B22" s="27" t="s">
        <v>149</v>
      </c>
      <c r="C22" s="3">
        <f>C32-C19*(C18+C20)</f>
        <v>2.7775053763440853</v>
      </c>
      <c r="D22" s="329" t="s">
        <v>291</v>
      </c>
      <c r="E22" s="357"/>
      <c r="F22" s="20" t="s">
        <v>150</v>
      </c>
    </row>
    <row r="23" spans="1:6" ht="12.75" customHeight="1">
      <c r="A23" s="98"/>
      <c r="B23" s="98"/>
      <c r="C23" s="58"/>
      <c r="D23" s="99"/>
      <c r="E23" s="99"/>
      <c r="F23" s="99"/>
    </row>
    <row r="24" spans="1:6" ht="12.75" customHeight="1">
      <c r="A24" s="62" t="s">
        <v>134</v>
      </c>
      <c r="B24" s="31" t="s">
        <v>135</v>
      </c>
      <c r="C24" s="32" t="s">
        <v>136</v>
      </c>
      <c r="D24" s="103" t="s">
        <v>140</v>
      </c>
      <c r="E24" s="34" t="s">
        <v>34</v>
      </c>
      <c r="F24" s="34" t="s">
        <v>2</v>
      </c>
    </row>
    <row r="25" spans="1:6" ht="31.5" customHeight="1">
      <c r="A25" s="28" t="s">
        <v>137</v>
      </c>
      <c r="B25" s="108">
        <f>256*B61</f>
        <v>266.24</v>
      </c>
      <c r="C25" s="105">
        <v>10</v>
      </c>
      <c r="D25" s="109">
        <f>B25/C25</f>
        <v>26.624000000000002</v>
      </c>
      <c r="E25" s="372" t="s">
        <v>393</v>
      </c>
      <c r="F25" s="20" t="s">
        <v>145</v>
      </c>
    </row>
    <row r="26" spans="1:6" ht="42" customHeight="1">
      <c r="A26" s="28" t="s">
        <v>391</v>
      </c>
      <c r="B26" s="323">
        <f>4.11*6.6</f>
        <v>27.126</v>
      </c>
      <c r="C26" s="105">
        <v>1</v>
      </c>
      <c r="D26" s="109">
        <f>B26/C26</f>
        <v>27.126</v>
      </c>
      <c r="E26" s="373"/>
      <c r="F26" s="20" t="s">
        <v>141</v>
      </c>
    </row>
    <row r="27" spans="1:6" ht="54" customHeight="1">
      <c r="A27" s="28" t="s">
        <v>138</v>
      </c>
      <c r="B27" s="108">
        <f>58*B61</f>
        <v>60.32</v>
      </c>
      <c r="C27" s="105">
        <v>50</v>
      </c>
      <c r="D27" s="109">
        <f>B27/C27</f>
        <v>1.2064</v>
      </c>
      <c r="E27" s="373"/>
      <c r="F27" s="20" t="s">
        <v>142</v>
      </c>
    </row>
    <row r="28" spans="1:6" ht="42" customHeight="1">
      <c r="A28" s="28" t="s">
        <v>139</v>
      </c>
      <c r="B28" s="111" t="s">
        <v>77</v>
      </c>
      <c r="C28" s="3" t="s">
        <v>77</v>
      </c>
      <c r="D28" s="109">
        <f>SUM(D25:D27)</f>
        <v>54.9564</v>
      </c>
      <c r="E28" s="374"/>
      <c r="F28" s="20"/>
    </row>
    <row r="29" spans="1:2" ht="12.75" customHeight="1">
      <c r="A29" s="8"/>
      <c r="B29" s="8"/>
    </row>
    <row r="30" spans="1:6" ht="25.5" customHeight="1">
      <c r="A30" s="30" t="s">
        <v>78</v>
      </c>
      <c r="B30" s="31" t="s">
        <v>1</v>
      </c>
      <c r="C30" s="32" t="s">
        <v>26</v>
      </c>
      <c r="D30" s="361" t="s">
        <v>0</v>
      </c>
      <c r="E30" s="361"/>
      <c r="F30" s="34" t="s">
        <v>2</v>
      </c>
    </row>
    <row r="31" spans="1:6" ht="25.5" customHeight="1">
      <c r="A31" s="28" t="s">
        <v>43</v>
      </c>
      <c r="B31" s="27" t="s">
        <v>42</v>
      </c>
      <c r="C31" s="3">
        <f>ROUND(15*B58,2)</f>
        <v>17.1</v>
      </c>
      <c r="D31" s="329" t="s">
        <v>44</v>
      </c>
      <c r="E31" s="357"/>
      <c r="F31" s="20"/>
    </row>
    <row r="32" spans="1:6" ht="38.25" customHeight="1">
      <c r="A32" s="50" t="s">
        <v>108</v>
      </c>
      <c r="B32" s="27" t="s">
        <v>42</v>
      </c>
      <c r="C32" s="3">
        <f>ROUND(20/3*B60,2)</f>
        <v>7.13</v>
      </c>
      <c r="D32" s="377" t="s">
        <v>112</v>
      </c>
      <c r="E32" s="379"/>
      <c r="F32" s="20" t="s">
        <v>113</v>
      </c>
    </row>
    <row r="33" spans="1:6" ht="38.25" customHeight="1">
      <c r="A33" s="50" t="s">
        <v>35</v>
      </c>
      <c r="B33" s="27" t="s">
        <v>27</v>
      </c>
      <c r="C33" s="3">
        <f>ROUND(0.36*B60,2)</f>
        <v>0.39</v>
      </c>
      <c r="D33" s="377" t="s">
        <v>65</v>
      </c>
      <c r="E33" s="378"/>
      <c r="F33" s="20" t="s">
        <v>66</v>
      </c>
    </row>
    <row r="34" spans="1:6" ht="76.5" customHeight="1">
      <c r="A34" s="26" t="s">
        <v>9</v>
      </c>
      <c r="B34" s="27" t="s">
        <v>38</v>
      </c>
      <c r="C34" s="3">
        <f>ROUND(0.35*B59,2)</f>
        <v>0.39</v>
      </c>
      <c r="D34" s="375" t="s">
        <v>63</v>
      </c>
      <c r="E34" s="376"/>
      <c r="F34" s="20" t="s">
        <v>62</v>
      </c>
    </row>
    <row r="35" spans="1:6" ht="76.5" customHeight="1">
      <c r="A35" s="26" t="s">
        <v>53</v>
      </c>
      <c r="B35" s="27" t="s">
        <v>11</v>
      </c>
      <c r="C35" s="3">
        <f>ROUND(11.14*B60,2)</f>
        <v>11.92</v>
      </c>
      <c r="D35" s="375" t="s">
        <v>64</v>
      </c>
      <c r="E35" s="376"/>
      <c r="F35" s="20"/>
    </row>
    <row r="36" spans="1:3" ht="12.75" customHeight="1">
      <c r="A36" s="11"/>
      <c r="B36" s="11"/>
      <c r="C36" s="12"/>
    </row>
    <row r="37" spans="1:6" ht="38.25" customHeight="1">
      <c r="A37" s="30" t="s">
        <v>29</v>
      </c>
      <c r="B37" s="51" t="s">
        <v>30</v>
      </c>
      <c r="C37" s="51" t="s">
        <v>31</v>
      </c>
      <c r="D37" s="33" t="s">
        <v>33</v>
      </c>
      <c r="E37" s="34" t="s">
        <v>34</v>
      </c>
      <c r="F37" s="34" t="s">
        <v>2</v>
      </c>
    </row>
    <row r="38" spans="1:6" ht="25.5" customHeight="1">
      <c r="A38" s="26" t="s">
        <v>9</v>
      </c>
      <c r="B38" s="50" t="s">
        <v>45</v>
      </c>
      <c r="C38" s="50" t="s">
        <v>32</v>
      </c>
      <c r="D38" s="79">
        <f>4.5/2000</f>
        <v>0.00225</v>
      </c>
      <c r="E38" s="20" t="s">
        <v>67</v>
      </c>
      <c r="F38" s="20" t="s">
        <v>109</v>
      </c>
    </row>
    <row r="39" spans="1:6" ht="38.25" customHeight="1">
      <c r="A39" s="26" t="s">
        <v>213</v>
      </c>
      <c r="B39" s="28" t="s">
        <v>32</v>
      </c>
      <c r="C39" s="50" t="s">
        <v>41</v>
      </c>
      <c r="D39" s="176">
        <v>0.83</v>
      </c>
      <c r="E39" s="20" t="s">
        <v>214</v>
      </c>
      <c r="F39" s="20"/>
    </row>
    <row r="40" spans="1:6" ht="76.5" customHeight="1">
      <c r="A40" s="26" t="s">
        <v>186</v>
      </c>
      <c r="B40" s="50" t="s">
        <v>185</v>
      </c>
      <c r="C40" s="50" t="s">
        <v>339</v>
      </c>
      <c r="D40" s="85">
        <v>3.6667</v>
      </c>
      <c r="E40" s="20" t="s">
        <v>187</v>
      </c>
      <c r="F40" s="20"/>
    </row>
    <row r="41" spans="1:6" ht="51" customHeight="1">
      <c r="A41" s="26" t="s">
        <v>36</v>
      </c>
      <c r="B41" s="50" t="s">
        <v>207</v>
      </c>
      <c r="C41" s="50" t="s">
        <v>208</v>
      </c>
      <c r="D41" s="85">
        <v>1.624</v>
      </c>
      <c r="E41" s="20" t="s">
        <v>209</v>
      </c>
      <c r="F41" s="20"/>
    </row>
    <row r="42" spans="1:6" ht="76.5" customHeight="1">
      <c r="A42" s="26" t="s">
        <v>36</v>
      </c>
      <c r="B42" s="26" t="s">
        <v>46</v>
      </c>
      <c r="C42" s="50" t="s">
        <v>32</v>
      </c>
      <c r="D42" s="85">
        <f>3/2000</f>
        <v>0.0015</v>
      </c>
      <c r="E42" s="20" t="s">
        <v>68</v>
      </c>
      <c r="F42" s="20" t="s">
        <v>110</v>
      </c>
    </row>
    <row r="43" spans="1:6" ht="12.75" customHeight="1">
      <c r="A43" s="26" t="s">
        <v>36</v>
      </c>
      <c r="B43" s="26" t="s">
        <v>46</v>
      </c>
      <c r="C43" s="50" t="s">
        <v>216</v>
      </c>
      <c r="D43" s="85">
        <v>0.0031</v>
      </c>
      <c r="E43" s="20"/>
      <c r="F43" s="20" t="s">
        <v>117</v>
      </c>
    </row>
    <row r="44" spans="1:6" ht="12.75" customHeight="1">
      <c r="A44" s="26" t="s">
        <v>215</v>
      </c>
      <c r="B44" s="26" t="s">
        <v>233</v>
      </c>
      <c r="C44" s="50" t="s">
        <v>234</v>
      </c>
      <c r="D44" s="80">
        <v>3.6</v>
      </c>
      <c r="E44" s="20"/>
      <c r="F44" s="20"/>
    </row>
    <row r="45" spans="1:6" ht="12.75">
      <c r="A45" s="26" t="s">
        <v>215</v>
      </c>
      <c r="B45" s="26" t="s">
        <v>234</v>
      </c>
      <c r="C45" s="50" t="s">
        <v>288</v>
      </c>
      <c r="D45" s="80">
        <v>947.8</v>
      </c>
      <c r="E45" s="20"/>
      <c r="F45" s="20"/>
    </row>
    <row r="46" spans="1:6" ht="12.75">
      <c r="A46" s="26" t="s">
        <v>215</v>
      </c>
      <c r="B46" s="50" t="s">
        <v>188</v>
      </c>
      <c r="C46" s="50" t="s">
        <v>189</v>
      </c>
      <c r="D46" s="85">
        <v>2.2046</v>
      </c>
      <c r="E46" s="20"/>
      <c r="F46" s="20"/>
    </row>
    <row r="47" spans="1:6" ht="12.75">
      <c r="A47" s="26" t="s">
        <v>215</v>
      </c>
      <c r="B47" s="50" t="s">
        <v>376</v>
      </c>
      <c r="C47" s="50" t="s">
        <v>32</v>
      </c>
      <c r="D47" s="85">
        <v>1.1023</v>
      </c>
      <c r="E47" s="20"/>
      <c r="F47" s="20"/>
    </row>
    <row r="48" spans="1:6" ht="12.75">
      <c r="A48" s="26" t="s">
        <v>215</v>
      </c>
      <c r="B48" s="50" t="s">
        <v>378</v>
      </c>
      <c r="C48" s="50" t="s">
        <v>379</v>
      </c>
      <c r="D48" s="85">
        <v>28.3495</v>
      </c>
      <c r="E48" s="20"/>
      <c r="F48" s="20"/>
    </row>
    <row r="49" spans="1:6" ht="15.75">
      <c r="A49" s="26" t="s">
        <v>167</v>
      </c>
      <c r="B49" s="50" t="s">
        <v>381</v>
      </c>
      <c r="C49" s="50" t="s">
        <v>380</v>
      </c>
      <c r="D49" s="85">
        <f>12/44</f>
        <v>0.2727272727272727</v>
      </c>
      <c r="E49" s="20"/>
      <c r="F49" s="20"/>
    </row>
    <row r="50" spans="1:6" ht="12.75">
      <c r="A50" s="26" t="s">
        <v>266</v>
      </c>
      <c r="B50" s="50" t="s">
        <v>267</v>
      </c>
      <c r="C50" s="50" t="s">
        <v>188</v>
      </c>
      <c r="D50" s="176">
        <v>3.79</v>
      </c>
      <c r="E50" s="20"/>
      <c r="F50" s="20"/>
    </row>
    <row r="51" spans="1:6" ht="76.5">
      <c r="A51" s="27" t="s">
        <v>10</v>
      </c>
      <c r="B51" s="28" t="s">
        <v>41</v>
      </c>
      <c r="C51" s="28" t="s">
        <v>32</v>
      </c>
      <c r="D51" s="80">
        <v>0.2</v>
      </c>
      <c r="E51" s="20" t="s">
        <v>69</v>
      </c>
      <c r="F51" s="20" t="s">
        <v>109</v>
      </c>
    </row>
    <row r="52" spans="1:6" ht="51">
      <c r="A52" s="27" t="s">
        <v>50</v>
      </c>
      <c r="B52" s="28" t="s">
        <v>41</v>
      </c>
      <c r="C52" s="28" t="s">
        <v>41</v>
      </c>
      <c r="D52" s="81">
        <f>(0.5+0.25)/2</f>
        <v>0.375</v>
      </c>
      <c r="E52" s="29" t="s">
        <v>70</v>
      </c>
      <c r="F52" s="29" t="s">
        <v>85</v>
      </c>
    </row>
    <row r="53" spans="1:3" ht="12.75">
      <c r="A53" s="11"/>
      <c r="B53" s="11"/>
      <c r="C53" s="12"/>
    </row>
    <row r="54" spans="1:3" ht="12.75">
      <c r="A54" s="11"/>
      <c r="B54" s="11"/>
      <c r="C54" s="12"/>
    </row>
    <row r="55" spans="1:3" ht="12.75">
      <c r="A55" s="346" t="s">
        <v>4</v>
      </c>
      <c r="B55" s="347"/>
      <c r="C55" s="46"/>
    </row>
    <row r="56" spans="1:3" ht="12.75">
      <c r="A56" s="15" t="s">
        <v>5</v>
      </c>
      <c r="B56" s="348" t="s">
        <v>332</v>
      </c>
      <c r="C56" s="349"/>
    </row>
    <row r="57" spans="1:3" ht="12.75">
      <c r="A57" s="16">
        <v>2003</v>
      </c>
      <c r="B57" s="352">
        <v>1.17</v>
      </c>
      <c r="C57" s="353"/>
    </row>
    <row r="58" spans="1:3" ht="12.75">
      <c r="A58" s="16">
        <v>2004</v>
      </c>
      <c r="B58" s="350">
        <v>1.14</v>
      </c>
      <c r="C58" s="351"/>
    </row>
    <row r="59" spans="1:3" ht="12.75">
      <c r="A59" s="16">
        <v>2005</v>
      </c>
      <c r="B59" s="350">
        <v>1.1</v>
      </c>
      <c r="C59" s="351"/>
    </row>
    <row r="60" spans="1:3" ht="12.75">
      <c r="A60" s="16">
        <v>2006</v>
      </c>
      <c r="B60" s="355">
        <v>1.07</v>
      </c>
      <c r="C60" s="356"/>
    </row>
    <row r="61" spans="1:3" ht="12.75">
      <c r="A61" s="16">
        <v>2007</v>
      </c>
      <c r="B61" s="350">
        <v>1.04</v>
      </c>
      <c r="C61" s="354"/>
    </row>
    <row r="62" spans="1:3" ht="12.75">
      <c r="A62" s="345" t="s">
        <v>6</v>
      </c>
      <c r="B62" s="345"/>
      <c r="C62" s="345"/>
    </row>
  </sheetData>
  <sheetProtection sheet="1" objects="1" scenarios="1"/>
  <mergeCells count="29">
    <mergeCell ref="D34:E34"/>
    <mergeCell ref="D33:E33"/>
    <mergeCell ref="D31:E31"/>
    <mergeCell ref="D35:E35"/>
    <mergeCell ref="D32:E32"/>
    <mergeCell ref="D21:E21"/>
    <mergeCell ref="E25:E28"/>
    <mergeCell ref="D30:E30"/>
    <mergeCell ref="D22:E22"/>
    <mergeCell ref="D17:E17"/>
    <mergeCell ref="D18:E18"/>
    <mergeCell ref="A1:D1"/>
    <mergeCell ref="D12:E12"/>
    <mergeCell ref="D13:E13"/>
    <mergeCell ref="D14:E14"/>
    <mergeCell ref="D15:E15"/>
    <mergeCell ref="B4:B10"/>
    <mergeCell ref="D3:E3"/>
    <mergeCell ref="D4:E10"/>
    <mergeCell ref="D19:E19"/>
    <mergeCell ref="A62:C62"/>
    <mergeCell ref="A55:B55"/>
    <mergeCell ref="B56:C56"/>
    <mergeCell ref="B59:C59"/>
    <mergeCell ref="B58:C58"/>
    <mergeCell ref="B57:C57"/>
    <mergeCell ref="B61:C61"/>
    <mergeCell ref="B60:C60"/>
    <mergeCell ref="D20:E20"/>
  </mergeCells>
  <printOptions horizontalCentered="1"/>
  <pageMargins left="0.75" right="0.75" top="1" bottom="1" header="0.5" footer="0.5"/>
  <pageSetup fitToHeight="2" fitToWidth="1" horizontalDpi="600" verticalDpi="600" orientation="landscape" scale="58" r:id="rId3"/>
  <drawing r:id="rId1"/>
  <picture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I21"/>
  <sheetViews>
    <sheetView showGridLines="0" workbookViewId="0" topLeftCell="A13">
      <selection activeCell="A1" sqref="A1:H1"/>
    </sheetView>
  </sheetViews>
  <sheetFormatPr defaultColWidth="9.140625" defaultRowHeight="12.75"/>
  <sheetData>
    <row r="1" spans="1:8" ht="12.75" customHeight="1">
      <c r="A1" s="380" t="s">
        <v>92</v>
      </c>
      <c r="B1" s="380"/>
      <c r="C1" s="380"/>
      <c r="D1" s="381"/>
      <c r="E1" s="381"/>
      <c r="F1" s="381"/>
      <c r="G1" s="381"/>
      <c r="H1" s="381"/>
    </row>
    <row r="2" ht="18.75" customHeight="1"/>
    <row r="21" spans="1:9" ht="12.75">
      <c r="A21" s="45"/>
      <c r="B21" s="5"/>
      <c r="C21" s="5"/>
      <c r="D21" s="5"/>
      <c r="E21" s="5"/>
      <c r="F21" s="5"/>
      <c r="G21" s="5"/>
      <c r="H21" s="5"/>
      <c r="I21" s="5"/>
    </row>
  </sheetData>
  <sheetProtection sheet="1" objects="1" scenarios="1"/>
  <mergeCells count="1">
    <mergeCell ref="A1:H1"/>
  </mergeCells>
  <printOptions horizontalCentered="1"/>
  <pageMargins left="0.75" right="0.75" top="1" bottom="1" header="0.5" footer="0.5"/>
  <pageSetup fitToHeight="1" fitToWidth="1" horizontalDpi="600" verticalDpi="600" orientation="landscape" scale="84" r:id="rId3"/>
  <drawing r:id="rId1"/>
  <picture r:id="rId2"/>
</worksheet>
</file>

<file path=xl/worksheets/sheet6.xml><?xml version="1.0" encoding="utf-8"?>
<worksheet xmlns="http://schemas.openxmlformats.org/spreadsheetml/2006/main" xmlns:r="http://schemas.openxmlformats.org/officeDocument/2006/relationships">
  <sheetPr codeName="Sheet6"/>
  <dimension ref="A1:I23"/>
  <sheetViews>
    <sheetView showGridLines="0" workbookViewId="0" topLeftCell="A1">
      <selection activeCell="A1" sqref="A1:I1"/>
    </sheetView>
  </sheetViews>
  <sheetFormatPr defaultColWidth="9.140625" defaultRowHeight="12.75"/>
  <sheetData>
    <row r="1" spans="1:9" ht="25.5" customHeight="1">
      <c r="A1" s="337" t="s">
        <v>86</v>
      </c>
      <c r="B1" s="338"/>
      <c r="C1" s="338"/>
      <c r="D1" s="338"/>
      <c r="E1" s="338"/>
      <c r="F1" s="338"/>
      <c r="G1" s="338"/>
      <c r="H1" s="338"/>
      <c r="I1" s="382"/>
    </row>
    <row r="2" spans="1:9" ht="12.75">
      <c r="A2" s="18"/>
      <c r="B2" s="19"/>
      <c r="C2" s="19"/>
      <c r="D2" s="19"/>
      <c r="E2" s="19"/>
      <c r="F2" s="19"/>
      <c r="G2" s="19"/>
      <c r="H2" s="19"/>
      <c r="I2" s="21"/>
    </row>
    <row r="3" spans="1:9" ht="25.5" customHeight="1">
      <c r="A3" s="383" t="s">
        <v>87</v>
      </c>
      <c r="B3" s="341"/>
      <c r="C3" s="341"/>
      <c r="D3" s="341"/>
      <c r="E3" s="341"/>
      <c r="F3" s="341"/>
      <c r="G3" s="341"/>
      <c r="H3" s="341"/>
      <c r="I3" s="342"/>
    </row>
    <row r="4" spans="1:9" ht="7.5" customHeight="1">
      <c r="A4" s="25"/>
      <c r="B4" s="23"/>
      <c r="C4" s="23"/>
      <c r="D4" s="23"/>
      <c r="E4" s="23"/>
      <c r="F4" s="23"/>
      <c r="G4" s="23"/>
      <c r="H4" s="23"/>
      <c r="I4" s="24"/>
    </row>
    <row r="5" spans="1:9" ht="23.25" customHeight="1">
      <c r="A5" s="383" t="s">
        <v>88</v>
      </c>
      <c r="B5" s="341"/>
      <c r="C5" s="341"/>
      <c r="D5" s="341"/>
      <c r="E5" s="341"/>
      <c r="F5" s="341"/>
      <c r="G5" s="341"/>
      <c r="H5" s="341"/>
      <c r="I5" s="342"/>
    </row>
    <row r="6" spans="1:9" ht="6" customHeight="1">
      <c r="A6" s="25"/>
      <c r="B6" s="23"/>
      <c r="C6" s="23"/>
      <c r="D6" s="23"/>
      <c r="E6" s="23"/>
      <c r="F6" s="23"/>
      <c r="G6" s="23"/>
      <c r="H6" s="23"/>
      <c r="I6" s="24"/>
    </row>
    <row r="7" spans="1:9" ht="39.75" customHeight="1">
      <c r="A7" s="383" t="s">
        <v>101</v>
      </c>
      <c r="B7" s="341"/>
      <c r="C7" s="341"/>
      <c r="D7" s="341"/>
      <c r="E7" s="341"/>
      <c r="F7" s="341"/>
      <c r="G7" s="341"/>
      <c r="H7" s="341"/>
      <c r="I7" s="342"/>
    </row>
    <row r="8" spans="1:9" ht="12.75" customHeight="1">
      <c r="A8" s="25"/>
      <c r="B8" s="23"/>
      <c r="C8" s="23"/>
      <c r="D8" s="23"/>
      <c r="E8" s="23"/>
      <c r="F8" s="23"/>
      <c r="G8" s="23"/>
      <c r="H8" s="23"/>
      <c r="I8" s="24"/>
    </row>
    <row r="9" spans="1:9" ht="38.25" customHeight="1">
      <c r="A9" s="383" t="s">
        <v>94</v>
      </c>
      <c r="B9" s="341"/>
      <c r="C9" s="341"/>
      <c r="D9" s="341"/>
      <c r="E9" s="341"/>
      <c r="F9" s="341"/>
      <c r="G9" s="341"/>
      <c r="H9" s="341"/>
      <c r="I9" s="342"/>
    </row>
    <row r="10" spans="1:9" ht="9.75" customHeight="1">
      <c r="A10" s="22"/>
      <c r="B10" s="23"/>
      <c r="C10" s="23"/>
      <c r="D10" s="23"/>
      <c r="E10" s="23"/>
      <c r="F10" s="23"/>
      <c r="G10" s="23"/>
      <c r="H10" s="23"/>
      <c r="I10" s="24"/>
    </row>
    <row r="11" spans="1:9" ht="12.75" customHeight="1">
      <c r="A11" s="383" t="s">
        <v>89</v>
      </c>
      <c r="B11" s="341"/>
      <c r="C11" s="341"/>
      <c r="D11" s="341"/>
      <c r="E11" s="341"/>
      <c r="F11" s="341"/>
      <c r="G11" s="341"/>
      <c r="H11" s="341"/>
      <c r="I11" s="342"/>
    </row>
    <row r="12" spans="1:9" ht="12.75" customHeight="1">
      <c r="A12" s="22"/>
      <c r="B12" s="23"/>
      <c r="C12" s="23"/>
      <c r="D12" s="23"/>
      <c r="E12" s="23"/>
      <c r="F12" s="23"/>
      <c r="G12" s="23"/>
      <c r="H12" s="23"/>
      <c r="I12" s="24"/>
    </row>
    <row r="13" spans="1:9" ht="25.5" customHeight="1">
      <c r="A13" s="383" t="s">
        <v>100</v>
      </c>
      <c r="B13" s="332"/>
      <c r="C13" s="332"/>
      <c r="D13" s="332"/>
      <c r="E13" s="332"/>
      <c r="F13" s="332"/>
      <c r="G13" s="332"/>
      <c r="H13" s="332"/>
      <c r="I13" s="333"/>
    </row>
    <row r="14" spans="1:9" ht="12.75" customHeight="1">
      <c r="A14" s="22"/>
      <c r="B14" s="23"/>
      <c r="C14" s="23"/>
      <c r="D14" s="23"/>
      <c r="E14" s="23"/>
      <c r="F14" s="23"/>
      <c r="G14" s="23"/>
      <c r="H14" s="23"/>
      <c r="I14" s="24"/>
    </row>
    <row r="15" spans="1:9" ht="25.5" customHeight="1">
      <c r="A15" s="383" t="s">
        <v>90</v>
      </c>
      <c r="B15" s="332"/>
      <c r="C15" s="332"/>
      <c r="D15" s="332"/>
      <c r="E15" s="332"/>
      <c r="F15" s="332"/>
      <c r="G15" s="332"/>
      <c r="H15" s="332"/>
      <c r="I15" s="333"/>
    </row>
    <row r="16" spans="1:9" ht="12.75" customHeight="1">
      <c r="A16" s="22"/>
      <c r="B16" s="84"/>
      <c r="C16" s="84"/>
      <c r="D16" s="84"/>
      <c r="E16" s="84"/>
      <c r="F16" s="84"/>
      <c r="G16" s="84"/>
      <c r="H16" s="84"/>
      <c r="I16" s="24"/>
    </row>
    <row r="17" spans="1:9" ht="25.5" customHeight="1">
      <c r="A17" s="383" t="s">
        <v>97</v>
      </c>
      <c r="B17" s="332"/>
      <c r="C17" s="332"/>
      <c r="D17" s="332"/>
      <c r="E17" s="332"/>
      <c r="F17" s="332"/>
      <c r="G17" s="332"/>
      <c r="H17" s="332"/>
      <c r="I17" s="333"/>
    </row>
    <row r="18" spans="1:9" ht="12.75" customHeight="1">
      <c r="A18" s="22"/>
      <c r="B18" s="23"/>
      <c r="C18" s="23"/>
      <c r="D18" s="23"/>
      <c r="E18" s="23"/>
      <c r="F18" s="23"/>
      <c r="G18" s="23"/>
      <c r="H18" s="23"/>
      <c r="I18" s="24"/>
    </row>
    <row r="19" spans="1:9" ht="25.5" customHeight="1">
      <c r="A19" s="383" t="s">
        <v>72</v>
      </c>
      <c r="B19" s="332"/>
      <c r="C19" s="332"/>
      <c r="D19" s="332"/>
      <c r="E19" s="332"/>
      <c r="F19" s="332"/>
      <c r="G19" s="332"/>
      <c r="H19" s="332"/>
      <c r="I19" s="333"/>
    </row>
    <row r="20" spans="1:9" ht="12.75" customHeight="1">
      <c r="A20" s="25"/>
      <c r="B20" s="23"/>
      <c r="C20" s="23"/>
      <c r="D20" s="23"/>
      <c r="E20" s="23"/>
      <c r="F20" s="23"/>
      <c r="G20" s="23"/>
      <c r="H20" s="23"/>
      <c r="I20" s="24"/>
    </row>
    <row r="21" spans="1:9" ht="12.75" customHeight="1">
      <c r="A21" s="383" t="s">
        <v>99</v>
      </c>
      <c r="B21" s="387"/>
      <c r="C21" s="387"/>
      <c r="D21" s="387"/>
      <c r="E21" s="387"/>
      <c r="F21" s="387"/>
      <c r="G21" s="387"/>
      <c r="H21" s="387"/>
      <c r="I21" s="388"/>
    </row>
    <row r="22" spans="1:9" ht="12.75" customHeight="1">
      <c r="A22" s="25"/>
      <c r="B22" s="23"/>
      <c r="C22" s="23"/>
      <c r="D22" s="23"/>
      <c r="E22" s="23"/>
      <c r="F22" s="23"/>
      <c r="G22" s="23"/>
      <c r="H22" s="23"/>
      <c r="I22" s="24"/>
    </row>
    <row r="23" spans="1:9" ht="12.75" customHeight="1">
      <c r="A23" s="384" t="s">
        <v>98</v>
      </c>
      <c r="B23" s="385"/>
      <c r="C23" s="385"/>
      <c r="D23" s="385"/>
      <c r="E23" s="385"/>
      <c r="F23" s="385"/>
      <c r="G23" s="385"/>
      <c r="H23" s="385"/>
      <c r="I23" s="386"/>
    </row>
  </sheetData>
  <sheetProtection sheet="1" objects="1" scenarios="1"/>
  <mergeCells count="12">
    <mergeCell ref="A13:I13"/>
    <mergeCell ref="A23:I23"/>
    <mergeCell ref="A15:I15"/>
    <mergeCell ref="A19:I19"/>
    <mergeCell ref="A21:I21"/>
    <mergeCell ref="A17:I17"/>
    <mergeCell ref="A1:I1"/>
    <mergeCell ref="A11:I11"/>
    <mergeCell ref="A5:I5"/>
    <mergeCell ref="A7:I7"/>
    <mergeCell ref="A9:I9"/>
    <mergeCell ref="A3:I3"/>
  </mergeCells>
  <printOptions/>
  <pageMargins left="0.75" right="0.75" top="1" bottom="1" header="0.5" footer="0.5"/>
  <pageSetup horizontalDpi="600" verticalDpi="600" orientation="portrait" r:id="rId3"/>
  <drawing r:id="rId1"/>
  <picture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T211"/>
  <sheetViews>
    <sheetView showGridLines="0" zoomScale="75" zoomScaleNormal="75" workbookViewId="0" topLeftCell="A1">
      <selection activeCell="A1" sqref="A1:C2"/>
    </sheetView>
  </sheetViews>
  <sheetFormatPr defaultColWidth="9.140625" defaultRowHeight="12.75"/>
  <cols>
    <col min="1" max="1" width="26.28125" style="7" customWidth="1"/>
    <col min="2" max="5" width="10.7109375" style="7" customWidth="1"/>
    <col min="6" max="6" width="10.7109375" style="7" hidden="1" customWidth="1"/>
    <col min="7" max="7" width="9.140625" style="7" customWidth="1"/>
    <col min="8" max="8" width="25.7109375" style="7" customWidth="1"/>
    <col min="9" max="12" width="10.7109375" style="7" customWidth="1"/>
    <col min="13" max="13" width="10.7109375" style="7" hidden="1" customWidth="1"/>
    <col min="14" max="14" width="9.140625" style="7" customWidth="1"/>
    <col min="15" max="15" width="26.28125" style="7" customWidth="1"/>
    <col min="16" max="19" width="10.7109375" style="7" customWidth="1"/>
    <col min="20" max="16384" width="9.140625" style="7" customWidth="1"/>
  </cols>
  <sheetData>
    <row r="1" spans="1:19" ht="12.75" customHeight="1">
      <c r="A1" s="327" t="s">
        <v>151</v>
      </c>
      <c r="B1" s="328"/>
      <c r="C1" s="328"/>
      <c r="D1" s="112" t="s">
        <v>292</v>
      </c>
      <c r="E1" s="6"/>
      <c r="F1" s="6"/>
      <c r="G1" s="6"/>
      <c r="H1" s="402"/>
      <c r="I1" s="403"/>
      <c r="J1" s="6"/>
      <c r="K1" s="6"/>
      <c r="L1" s="6"/>
      <c r="M1" s="242"/>
      <c r="O1" s="402"/>
      <c r="P1" s="403"/>
      <c r="Q1" s="6"/>
      <c r="R1" s="6"/>
      <c r="S1" s="6"/>
    </row>
    <row r="2" spans="1:16" ht="12.75">
      <c r="A2" s="328"/>
      <c r="B2" s="328"/>
      <c r="C2" s="328"/>
      <c r="D2" s="112"/>
      <c r="H2" s="403"/>
      <c r="I2" s="403"/>
      <c r="M2" s="57"/>
      <c r="O2" s="403"/>
      <c r="P2" s="403"/>
    </row>
    <row r="3" spans="13:14" ht="12.75">
      <c r="M3" s="57"/>
      <c r="N3" s="57"/>
    </row>
    <row r="4" spans="1:19" s="14" customFormat="1" ht="12.75" customHeight="1">
      <c r="A4" s="261" t="s">
        <v>152</v>
      </c>
      <c r="B4" s="261"/>
      <c r="C4" s="262"/>
      <c r="D4" s="262"/>
      <c r="E4" s="262"/>
      <c r="F4" s="262"/>
      <c r="G4" s="294"/>
      <c r="H4" s="261" t="s">
        <v>75</v>
      </c>
      <c r="I4" s="261"/>
      <c r="J4" s="262"/>
      <c r="K4" s="262"/>
      <c r="L4" s="262"/>
      <c r="M4" s="262"/>
      <c r="N4" s="294"/>
      <c r="O4" s="261" t="s">
        <v>280</v>
      </c>
      <c r="P4" s="261"/>
      <c r="Q4" s="262"/>
      <c r="R4" s="262"/>
      <c r="S4" s="262"/>
    </row>
    <row r="5" spans="1:19" ht="12.75" customHeight="1">
      <c r="A5" s="179" t="s">
        <v>102</v>
      </c>
      <c r="B5" s="180" t="s">
        <v>21</v>
      </c>
      <c r="C5" s="180" t="s">
        <v>18</v>
      </c>
      <c r="D5" s="180" t="s">
        <v>19</v>
      </c>
      <c r="E5" s="181" t="s">
        <v>20</v>
      </c>
      <c r="F5" s="42"/>
      <c r="G5" s="242"/>
      <c r="H5" s="179" t="s">
        <v>102</v>
      </c>
      <c r="I5" s="180" t="s">
        <v>21</v>
      </c>
      <c r="J5" s="180" t="s">
        <v>18</v>
      </c>
      <c r="K5" s="180" t="s">
        <v>19</v>
      </c>
      <c r="L5" s="181" t="s">
        <v>20</v>
      </c>
      <c r="M5" s="42"/>
      <c r="N5" s="57"/>
      <c r="O5" s="179" t="s">
        <v>102</v>
      </c>
      <c r="P5" s="180" t="s">
        <v>21</v>
      </c>
      <c r="Q5" s="180" t="s">
        <v>18</v>
      </c>
      <c r="R5" s="180" t="s">
        <v>19</v>
      </c>
      <c r="S5" s="181" t="s">
        <v>20</v>
      </c>
    </row>
    <row r="6" spans="1:19" ht="12.75">
      <c r="A6" s="36" t="s">
        <v>153</v>
      </c>
      <c r="B6" s="195">
        <f>(Inputs!$B$7*'Cost Data'!$D$51*2000)-(B7+B8)</f>
        <v>14666.666666666666</v>
      </c>
      <c r="C6" s="195">
        <f>(Inputs!$B$7*3*'Cost Data'!$D$51*2000)-(C7+C8)</f>
        <v>44000</v>
      </c>
      <c r="D6" s="195">
        <f>(Inputs!$B$7*6*'Cost Data'!$D$51*2000)-(D7+D8)</f>
        <v>88000</v>
      </c>
      <c r="E6" s="196">
        <f>(Inputs!$B$7*10*'Cost Data'!$D$51*2000)-(E7+E8)</f>
        <v>146666.6666666667</v>
      </c>
      <c r="F6" s="208"/>
      <c r="G6" s="6"/>
      <c r="H6" s="36" t="s">
        <v>153</v>
      </c>
      <c r="I6" s="195">
        <f>B6</f>
        <v>14666.666666666666</v>
      </c>
      <c r="J6" s="195">
        <f>C6</f>
        <v>44000</v>
      </c>
      <c r="K6" s="195">
        <f>D6</f>
        <v>88000</v>
      </c>
      <c r="L6" s="196">
        <f>E6</f>
        <v>146666.6666666667</v>
      </c>
      <c r="M6" s="208"/>
      <c r="O6" s="36" t="s">
        <v>153</v>
      </c>
      <c r="P6" s="195">
        <v>0</v>
      </c>
      <c r="Q6" s="195">
        <v>0</v>
      </c>
      <c r="R6" s="195">
        <v>0</v>
      </c>
      <c r="S6" s="196">
        <v>0</v>
      </c>
    </row>
    <row r="7" spans="1:19" ht="12.75">
      <c r="A7" s="49" t="s">
        <v>154</v>
      </c>
      <c r="B7" s="195">
        <f>IF(Lookup!$E$4="Yes",'Cost Calculator'!B$19/Inputs!$B$13*2000,0)</f>
        <v>9333.333333333334</v>
      </c>
      <c r="C7" s="195">
        <f>IF(Lookup!$E$4="Yes",'Cost Calculator'!C$19/Inputs!$B$13*2000,0)</f>
        <v>28000</v>
      </c>
      <c r="D7" s="195">
        <f>IF(Lookup!$E$4="Yes",'Cost Calculator'!D$19/Inputs!$B$13*2000,0)</f>
        <v>56000</v>
      </c>
      <c r="E7" s="196">
        <f>IF(Lookup!$E$4="Yes",'Cost Calculator'!E$19/Inputs!$B$13*2000,0)</f>
        <v>93333.33333333333</v>
      </c>
      <c r="F7" s="208"/>
      <c r="G7" s="6"/>
      <c r="H7" s="49" t="s">
        <v>154</v>
      </c>
      <c r="I7" s="195">
        <v>0</v>
      </c>
      <c r="J7" s="195">
        <v>0</v>
      </c>
      <c r="K7" s="195">
        <v>0</v>
      </c>
      <c r="L7" s="196">
        <v>0</v>
      </c>
      <c r="M7" s="208"/>
      <c r="O7" s="49" t="s">
        <v>154</v>
      </c>
      <c r="P7" s="195">
        <f>IF(Lookup!$E$4="Yes",SUM(I6:I8),0)</f>
        <v>24000</v>
      </c>
      <c r="Q7" s="195">
        <f>IF(Lookup!$E$4="Yes",SUM(J6:J8),0)</f>
        <v>72000</v>
      </c>
      <c r="R7" s="195">
        <f>IF(Lookup!$E$4="Yes",SUM(K6:K8),0)</f>
        <v>144000</v>
      </c>
      <c r="S7" s="196">
        <f>IF(Lookup!$E$4="Yes",SUM(L6:L8),0)</f>
        <v>240000</v>
      </c>
    </row>
    <row r="8" spans="1:19" ht="12.75">
      <c r="A8" s="113" t="s">
        <v>155</v>
      </c>
      <c r="B8" s="195">
        <f>IF(Lookup!$E$4="No",'Cost Calculator'!B$19/VLOOKUP(Lookup!$I$9,'Cost Data'!$A$4:$C$10,3)*2000,0)</f>
        <v>0</v>
      </c>
      <c r="C8" s="195">
        <f>IF(Lookup!$E$4="No",'Cost Calculator'!C$19/VLOOKUP(Lookup!$I$9,'Cost Data'!$A$4:$C$10,3)*2000,0)</f>
        <v>0</v>
      </c>
      <c r="D8" s="195">
        <f>IF(Lookup!$E$4="No",'Cost Calculator'!D$19/VLOOKUP(Lookup!$I$9,'Cost Data'!$A$4:$C$10,3)*2000,0)</f>
        <v>0</v>
      </c>
      <c r="E8" s="196">
        <f>IF(Lookup!$E$4="No",'Cost Calculator'!E$19/VLOOKUP(Lookup!$I$9,'Cost Data'!$A$4:$C$10,3)*2000,0)</f>
        <v>0</v>
      </c>
      <c r="F8" s="208"/>
      <c r="G8" s="6"/>
      <c r="H8" s="113" t="s">
        <v>155</v>
      </c>
      <c r="I8" s="195">
        <f>B7+B8</f>
        <v>9333.333333333334</v>
      </c>
      <c r="J8" s="195">
        <f>C7+C8</f>
        <v>28000</v>
      </c>
      <c r="K8" s="195">
        <f>D7+D8</f>
        <v>56000</v>
      </c>
      <c r="L8" s="196">
        <f>E7+E8</f>
        <v>93333.33333333333</v>
      </c>
      <c r="M8" s="208"/>
      <c r="O8" s="113" t="s">
        <v>155</v>
      </c>
      <c r="P8" s="195">
        <f>IF(Lookup!$E$4="No",SUM(I6:I8),0)</f>
        <v>0</v>
      </c>
      <c r="Q8" s="195">
        <f>IF(Lookup!$E$4="No",SUM(J6:J8),0)</f>
        <v>0</v>
      </c>
      <c r="R8" s="195">
        <f>IF(Lookup!$E$4="No",SUM(K6:K8),0)</f>
        <v>0</v>
      </c>
      <c r="S8" s="196">
        <f>IF(Lookup!$E$4="No",SUM(L6:L8),0)</f>
        <v>0</v>
      </c>
    </row>
    <row r="9" spans="1:19" ht="12.75" customHeight="1">
      <c r="A9" s="204" t="s">
        <v>28</v>
      </c>
      <c r="B9" s="145" t="s">
        <v>21</v>
      </c>
      <c r="C9" s="145" t="s">
        <v>18</v>
      </c>
      <c r="D9" s="145" t="s">
        <v>19</v>
      </c>
      <c r="E9" s="147" t="s">
        <v>20</v>
      </c>
      <c r="F9" s="239"/>
      <c r="G9" s="9"/>
      <c r="H9" s="204" t="s">
        <v>28</v>
      </c>
      <c r="I9" s="145" t="s">
        <v>21</v>
      </c>
      <c r="J9" s="145" t="s">
        <v>18</v>
      </c>
      <c r="K9" s="145" t="s">
        <v>19</v>
      </c>
      <c r="L9" s="147" t="s">
        <v>20</v>
      </c>
      <c r="M9" s="239"/>
      <c r="O9" s="204" t="s">
        <v>28</v>
      </c>
      <c r="P9" s="145" t="s">
        <v>21</v>
      </c>
      <c r="Q9" s="145" t="s">
        <v>18</v>
      </c>
      <c r="R9" s="145" t="s">
        <v>19</v>
      </c>
      <c r="S9" s="147" t="s">
        <v>20</v>
      </c>
    </row>
    <row r="10" spans="1:19" ht="12.75">
      <c r="A10" s="36" t="s">
        <v>153</v>
      </c>
      <c r="B10" s="195">
        <f>(Inputs!$B$18*'Cost Data'!$D$42*2000)-(B11+B12)</f>
        <v>1500</v>
      </c>
      <c r="C10" s="195">
        <f>(Inputs!$B$19*'Cost Data'!$D$42*2000)-(C11+C12)</f>
        <v>4500</v>
      </c>
      <c r="D10" s="195">
        <f>(Inputs!$B$20*'Cost Data'!$D$42*2000)-(D11+D12)</f>
        <v>9000</v>
      </c>
      <c r="E10" s="196">
        <f>(Inputs!$B$21*'Cost Data'!$D$42*2000)-(E11+E12)</f>
        <v>15000</v>
      </c>
      <c r="F10" s="208"/>
      <c r="G10" s="9"/>
      <c r="H10" s="36" t="s">
        <v>153</v>
      </c>
      <c r="I10" s="195">
        <f>B10</f>
        <v>1500</v>
      </c>
      <c r="J10" s="195">
        <f>C10</f>
        <v>4500</v>
      </c>
      <c r="K10" s="195">
        <f>D10</f>
        <v>9000</v>
      </c>
      <c r="L10" s="196">
        <f>E10</f>
        <v>15000</v>
      </c>
      <c r="M10" s="208"/>
      <c r="O10" s="36" t="s">
        <v>153</v>
      </c>
      <c r="P10" s="195">
        <v>0</v>
      </c>
      <c r="Q10" s="195">
        <v>0</v>
      </c>
      <c r="R10" s="195">
        <v>0</v>
      </c>
      <c r="S10" s="196">
        <v>0</v>
      </c>
    </row>
    <row r="11" spans="1:19" ht="12.75">
      <c r="A11" s="49" t="s">
        <v>154</v>
      </c>
      <c r="B11" s="195">
        <f>IF(Lookup!$D$4="Yes",'Cost Calculator'!B$20/Inputs!$B$28*2000,0)</f>
        <v>1500</v>
      </c>
      <c r="C11" s="195">
        <f>IF(Lookup!$D$4="Yes",'Cost Calculator'!C$20/Inputs!$B$28*2000,0)</f>
        <v>4500</v>
      </c>
      <c r="D11" s="195">
        <f>IF(Lookup!$D$4="Yes",'Cost Calculator'!D$20/Inputs!$B$28*2000,0)</f>
        <v>9000</v>
      </c>
      <c r="E11" s="196">
        <f>IF(Lookup!$D$4="Yes",'Cost Calculator'!E$20/Inputs!$B$28*2000,0)</f>
        <v>15000</v>
      </c>
      <c r="F11" s="208"/>
      <c r="G11" s="9"/>
      <c r="H11" s="49" t="s">
        <v>154</v>
      </c>
      <c r="I11" s="195">
        <v>0</v>
      </c>
      <c r="J11" s="195">
        <v>0</v>
      </c>
      <c r="K11" s="195">
        <v>0</v>
      </c>
      <c r="L11" s="196">
        <v>0</v>
      </c>
      <c r="M11" s="208"/>
      <c r="O11" s="49" t="s">
        <v>154</v>
      </c>
      <c r="P11" s="195">
        <f>IF(Lookup!$D$4="Yes",SUM(I10:I12),0)</f>
        <v>3000</v>
      </c>
      <c r="Q11" s="195">
        <f>IF(Lookup!$D$4="Yes",SUM(J10:J12),0)</f>
        <v>9000</v>
      </c>
      <c r="R11" s="195">
        <f>IF(Lookup!$D$4="Yes",SUM(K10:K12),0)</f>
        <v>18000</v>
      </c>
      <c r="S11" s="196">
        <f>IF(Lookup!$D$4="Yes",SUM(L10:L12),0)</f>
        <v>30000</v>
      </c>
    </row>
    <row r="12" spans="1:19" ht="13.5" thickBot="1">
      <c r="A12" s="113" t="s">
        <v>155</v>
      </c>
      <c r="B12" s="197">
        <f>IF(Lookup!$D$4="No",'Cost Calculator'!B$20/VLOOKUP(Lookup!$I$9,'Cost Data'!$A$4:$C$10,3)*2000,0)</f>
        <v>0</v>
      </c>
      <c r="C12" s="197">
        <f>IF(Lookup!$D$4="No",'Cost Calculator'!C$20/VLOOKUP(Lookup!$I$9,'Cost Data'!$A$4:$C$10,3)*2000,0)</f>
        <v>0</v>
      </c>
      <c r="D12" s="197">
        <f>IF(Lookup!$D$4="No",'Cost Calculator'!D$20/VLOOKUP(Lookup!$I$9,'Cost Data'!$A$4:$C$10,3)*2000,0)</f>
        <v>0</v>
      </c>
      <c r="E12" s="198">
        <f>IF(Lookup!$D$4="No",'Cost Calculator'!E$20/VLOOKUP(Lookup!$I$9,'Cost Data'!$A$4:$C$10,3)*2000,0)</f>
        <v>0</v>
      </c>
      <c r="F12" s="208"/>
      <c r="G12" s="9"/>
      <c r="H12" s="113" t="s">
        <v>155</v>
      </c>
      <c r="I12" s="197">
        <f>B11+B12</f>
        <v>1500</v>
      </c>
      <c r="J12" s="197">
        <f>C11+C12</f>
        <v>4500</v>
      </c>
      <c r="K12" s="197">
        <f>D11+D12</f>
        <v>9000</v>
      </c>
      <c r="L12" s="198">
        <f>E11+E12</f>
        <v>15000</v>
      </c>
      <c r="M12" s="208"/>
      <c r="O12" s="113" t="s">
        <v>155</v>
      </c>
      <c r="P12" s="197">
        <f>IF(Lookup!$D$4="No",SUM(I10:I12),0)</f>
        <v>0</v>
      </c>
      <c r="Q12" s="197">
        <f>IF(Lookup!$D$4="No",SUM(J10:J12),0)</f>
        <v>0</v>
      </c>
      <c r="R12" s="197">
        <f>IF(Lookup!$D$4="No",SUM(K10:K12),0)</f>
        <v>0</v>
      </c>
      <c r="S12" s="198">
        <f>IF(Lookup!$D$4="No",SUM(L10:L12),0)</f>
        <v>0</v>
      </c>
    </row>
    <row r="13" spans="1:19" ht="13.5" hidden="1" thickBot="1">
      <c r="A13" s="168" t="s">
        <v>237</v>
      </c>
      <c r="B13" s="169"/>
      <c r="C13" s="169"/>
      <c r="D13" s="169"/>
      <c r="E13" s="170"/>
      <c r="F13" s="208"/>
      <c r="G13" s="9"/>
      <c r="H13" s="168" t="s">
        <v>237</v>
      </c>
      <c r="I13" s="169"/>
      <c r="J13" s="169"/>
      <c r="K13" s="169"/>
      <c r="L13" s="170"/>
      <c r="M13" s="208"/>
      <c r="O13" s="168" t="s">
        <v>237</v>
      </c>
      <c r="P13" s="169"/>
      <c r="Q13" s="169"/>
      <c r="R13" s="169"/>
      <c r="S13" s="170"/>
    </row>
    <row r="14" spans="1:19" ht="12.75" hidden="1">
      <c r="A14" s="114" t="s">
        <v>178</v>
      </c>
      <c r="B14" s="138">
        <f>(((B$10/2000)/'Cost Data'!$D$42)/1000)*'Env Data'!$H$14+(((B$11/2000)/'Cost Data'!$D$42)/1000)*'Env Data'!$H$24</f>
        <v>3585.615</v>
      </c>
      <c r="C14" s="138">
        <f>(((C$10/2000)/'Cost Data'!$D$42)/1000)*'Env Data'!$H$14+(((C$11/2000)/'Cost Data'!$D$42)/1000)*'Env Data'!$H$24</f>
        <v>10756.845000000001</v>
      </c>
      <c r="D14" s="138">
        <f>(((D$10/2000)/'Cost Data'!$D$42)/1000)*'Env Data'!$H$14+(((D$11/2000)/'Cost Data'!$D$42)/1000)*'Env Data'!$H$24</f>
        <v>21513.690000000002</v>
      </c>
      <c r="E14" s="138">
        <f>(((E$10/2000)/'Cost Data'!$D$42)/1000)*'Env Data'!$H$14+(((E$11/2000)/'Cost Data'!$D$42)/1000)*'Env Data'!$H$24</f>
        <v>35856.15</v>
      </c>
      <c r="F14" s="208"/>
      <c r="G14" s="9"/>
      <c r="H14" s="114" t="s">
        <v>157</v>
      </c>
      <c r="I14" s="138">
        <f>(((I$10/2000)/'Cost Data'!$D$42)/1000)*'Env Data'!$H$14</f>
        <v>1799.25</v>
      </c>
      <c r="J14" s="138">
        <f>(((J$10/2000)/'Cost Data'!$D$42)/1000)*'Env Data'!$H$14</f>
        <v>5397.75</v>
      </c>
      <c r="K14" s="138">
        <f>(((K$10/2000)/'Cost Data'!$D$42)/1000)*'Env Data'!$H$14</f>
        <v>10795.5</v>
      </c>
      <c r="L14" s="144">
        <f>(((L$10/2000)/'Cost Data'!$D$42)/1000)*'Env Data'!$H$14</f>
        <v>17992.5</v>
      </c>
      <c r="M14" s="208"/>
      <c r="O14" s="114" t="s">
        <v>157</v>
      </c>
      <c r="P14" s="138">
        <f>(((P$11/2000)/'Cost Data'!$D$42)/1000)*'Env Data'!$H$24</f>
        <v>3572.73</v>
      </c>
      <c r="Q14" s="138">
        <f>(((Q$11/2000)/'Cost Data'!$D$42)/1000)*'Env Data'!$H$24</f>
        <v>10718.19</v>
      </c>
      <c r="R14" s="138">
        <f>(((R$11/2000)/'Cost Data'!$D$42)/1000)*'Env Data'!$H$24</f>
        <v>21436.38</v>
      </c>
      <c r="S14" s="138">
        <f>(((S$11/2000)/'Cost Data'!$D$42)/1000)*'Env Data'!$H$24</f>
        <v>35727.3</v>
      </c>
    </row>
    <row r="15" spans="1:19" ht="25.5" customHeight="1" hidden="1">
      <c r="A15" s="152" t="s">
        <v>242</v>
      </c>
      <c r="B15" s="139">
        <f>(((B$10/2000)/'Cost Data'!$D$42)/1000)*('Env Data'!$G$14*'Cost Data'!$D$40*'Cost Data'!$D$46)+(((B$11/2000)/'Cost Data'!$D$42)/1000)*('Env Data'!$G$24*'Cost Data'!$D$40*'Cost Data'!$D$46)</f>
        <v>8135.635852986909</v>
      </c>
      <c r="C15" s="139">
        <f>(((C$10/2000)/'Cost Data'!$D$42)/1000)*('Env Data'!$G$14*'Cost Data'!$D$40*'Cost Data'!$D$46)+(((C$11/2000)/'Cost Data'!$D$42)/1000)*('Env Data'!$G$24*'Cost Data'!$D$40*'Cost Data'!$D$46)</f>
        <v>24406.90755896073</v>
      </c>
      <c r="D15" s="139">
        <f>(((D$10/2000)/'Cost Data'!$D$42)/1000)*('Env Data'!$G$14*'Cost Data'!$D$40*'Cost Data'!$D$46)+(((D$11/2000)/'Cost Data'!$D$42)/1000)*('Env Data'!$G$24*'Cost Data'!$D$40*'Cost Data'!$D$46)</f>
        <v>48813.81511792146</v>
      </c>
      <c r="E15" s="139">
        <f>(((E$10/2000)/'Cost Data'!$D$42)/1000)*('Env Data'!$G$14*'Cost Data'!$D$40*'Cost Data'!$D$46)+(((E$11/2000)/'Cost Data'!$D$42)/1000)*('Env Data'!$G$24*'Cost Data'!$D$40*'Cost Data'!$D$46)</f>
        <v>81356.35852986909</v>
      </c>
      <c r="F15" s="208"/>
      <c r="G15" s="9"/>
      <c r="H15" s="152" t="s">
        <v>242</v>
      </c>
      <c r="I15" s="139">
        <f>(((I$10/2000)/'Cost Data'!$D$42)/1000)*('Env Data'!$G$14*'Cost Data'!$D$40*'Cost Data'!$D$46)</f>
        <v>4084.6465261460003</v>
      </c>
      <c r="J15" s="139">
        <f>(((J$10/2000)/'Cost Data'!$D$42)/1000)*('Env Data'!$G$14*'Cost Data'!$D$40*'Cost Data'!$D$46)</f>
        <v>12253.939578438001</v>
      </c>
      <c r="K15" s="139">
        <f>(((K$10/2000)/'Cost Data'!$D$42)/1000)*('Env Data'!$G$14*'Cost Data'!$D$40*'Cost Data'!$D$46)</f>
        <v>24507.879156876003</v>
      </c>
      <c r="L15" s="139">
        <f>(((L$10/2000)/'Cost Data'!$D$42)/1000)*('Env Data'!$G$14*'Cost Data'!$D$40*'Cost Data'!$D$46)</f>
        <v>40846.465261460005</v>
      </c>
      <c r="M15" s="139">
        <f>(((M$10/2000)/'Cost Data'!$D$42)/1000)*('Env Data'!$G$14*'Cost Data'!$D$40*'Cost Data'!$D$46)</f>
        <v>0</v>
      </c>
      <c r="O15" s="152" t="s">
        <v>242</v>
      </c>
      <c r="P15" s="139">
        <f>(((P$11/2000)/'Cost Data'!$D$42)/1000)*('Env Data'!$G$24*'Cost Data'!$D$40*'Cost Data'!$D$46)</f>
        <v>8101.978653681818</v>
      </c>
      <c r="Q15" s="139">
        <f>(((Q$11/2000)/'Cost Data'!$D$42)/1000)*('Env Data'!$G$24*'Cost Data'!$D$40*'Cost Data'!$D$46)</f>
        <v>24305.935961045456</v>
      </c>
      <c r="R15" s="139">
        <f>(((R$11/2000)/'Cost Data'!$D$42)/1000)*('Env Data'!$G$24*'Cost Data'!$D$40*'Cost Data'!$D$46)</f>
        <v>48611.87192209091</v>
      </c>
      <c r="S15" s="139">
        <f>(((S$11/2000)/'Cost Data'!$D$42)/1000)*('Env Data'!$G$24*'Cost Data'!$D$40*'Cost Data'!$D$46)</f>
        <v>81019.78653681818</v>
      </c>
    </row>
    <row r="16" spans="1:19" ht="12.75" hidden="1">
      <c r="A16" s="36" t="s">
        <v>179</v>
      </c>
      <c r="B16" s="139">
        <f>(((B$10/2000)/'Cost Data'!$D$42)/1000)*'Env Data'!$B$14*1000+(((B$11/2000)/'Cost Data'!$D$42)/1000)*'Env Data'!$B$24*1000</f>
        <v>1324.3508438038648</v>
      </c>
      <c r="C16" s="139">
        <f>(((C$10/2000)/'Cost Data'!$D$42)/1000)*'Env Data'!$B$14*1000+(((C$11/2000)/'Cost Data'!$D$42)/1000)*'Env Data'!$B$24*1000</f>
        <v>3973.0525314115944</v>
      </c>
      <c r="D16" s="139">
        <f>(((D$10/2000)/'Cost Data'!$D$42)/1000)*'Env Data'!$B$14*1000+(((D$11/2000)/'Cost Data'!$D$42)/1000)*'Env Data'!$B$24*1000</f>
        <v>7946.105062823189</v>
      </c>
      <c r="E16" s="139">
        <f>(((E$10/2000)/'Cost Data'!$D$42)/1000)*'Env Data'!$B$14*1000+(((E$11/2000)/'Cost Data'!$D$42)/1000)*'Env Data'!$B$24*1000</f>
        <v>13243.508438038649</v>
      </c>
      <c r="F16" s="208"/>
      <c r="G16" s="9"/>
      <c r="H16" s="36" t="s">
        <v>179</v>
      </c>
      <c r="I16" s="139">
        <f>(((I$10/2000)/'Cost Data'!$D$42)/1000)*'Env Data'!$B$14*1000</f>
        <v>1323.5600000000002</v>
      </c>
      <c r="J16" s="139">
        <f>(((J$10/2000)/'Cost Data'!$D$42)/1000)*'Env Data'!$B$14*1000</f>
        <v>3970.6800000000003</v>
      </c>
      <c r="K16" s="139">
        <f>(((K$10/2000)/'Cost Data'!$D$42)/1000)*'Env Data'!$B$14*1000</f>
        <v>7941.360000000001</v>
      </c>
      <c r="L16" s="149">
        <f>(((L$10/2000)/'Cost Data'!$D$42)/1000)*'Env Data'!$B$14*1000</f>
        <v>13235.600000000002</v>
      </c>
      <c r="M16" s="208"/>
      <c r="O16" s="36" t="s">
        <v>179</v>
      </c>
      <c r="P16" s="139">
        <f>(((P$11/2000)/'Cost Data'!$D$42)/1000)*'Env Data'!$B$24*1000</f>
        <v>1.5816876077292945</v>
      </c>
      <c r="Q16" s="139">
        <f>(((Q$11/2000)/'Cost Data'!$D$42)/1000)*'Env Data'!$B$24*1000</f>
        <v>4.745062823187884</v>
      </c>
      <c r="R16" s="139">
        <f>(((R$11/2000)/'Cost Data'!$D$42)/1000)*'Env Data'!$B$24*1000</f>
        <v>9.490125646375768</v>
      </c>
      <c r="S16" s="139">
        <f>(((S$11/2000)/'Cost Data'!$D$42)/1000)*'Env Data'!$B$24*1000</f>
        <v>15.816876077292944</v>
      </c>
    </row>
    <row r="17" spans="1:19" ht="12.75" hidden="1">
      <c r="A17" s="36" t="s">
        <v>212</v>
      </c>
      <c r="B17" s="139">
        <f>(((B$10/2000)/'Cost Data'!$D$42)/1000)*'Env Data'!$C$14*1000+(((B$11/2000)/'Cost Data'!$D$42)/1000)*'Env Data'!$C$24*1000</f>
        <v>232.0615328177447</v>
      </c>
      <c r="C17" s="139">
        <f>(((C$10/2000)/'Cost Data'!$D$42)/1000)*'Env Data'!$C$14*1000+(((C$11/2000)/'Cost Data'!$D$42)/1000)*'Env Data'!$C$24*1000</f>
        <v>696.1845984532341</v>
      </c>
      <c r="D17" s="139">
        <f>(((D$10/2000)/'Cost Data'!$D$42)/1000)*'Env Data'!$C$14*1000+(((D$11/2000)/'Cost Data'!$D$42)/1000)*'Env Data'!$C$24*1000</f>
        <v>1392.3691969064682</v>
      </c>
      <c r="E17" s="139">
        <f>(((E$10/2000)/'Cost Data'!$D$42)/1000)*'Env Data'!$C$14*1000+(((E$11/2000)/'Cost Data'!$D$42)/1000)*'Env Data'!$C$24*1000</f>
        <v>2320.6153281774473</v>
      </c>
      <c r="F17" s="208"/>
      <c r="G17" s="9"/>
      <c r="H17" s="36" t="s">
        <v>235</v>
      </c>
      <c r="I17" s="139">
        <f>(((I$10/2000)/'Cost Data'!$D$42)/1000)*'Env Data'!$C$14*1000</f>
        <v>231.42499999999998</v>
      </c>
      <c r="J17" s="139">
        <f>(((J$10/2000)/'Cost Data'!$D$42)/1000)*'Env Data'!$C$14*1000</f>
        <v>694.275</v>
      </c>
      <c r="K17" s="139">
        <f>(((K$10/2000)/'Cost Data'!$D$42)/1000)*'Env Data'!$C$14*1000</f>
        <v>1388.55</v>
      </c>
      <c r="L17" s="139">
        <f>(((L$10/2000)/'Cost Data'!$D$42)/1000)*'Env Data'!$C$14*1000</f>
        <v>2314.25</v>
      </c>
      <c r="M17" s="208"/>
      <c r="O17" s="36" t="s">
        <v>235</v>
      </c>
      <c r="P17" s="139">
        <f>(((P$11/2000)/'Cost Data'!$D$42)/1000)*'Env Data'!$C$24*1000</f>
        <v>1.2730656354894299</v>
      </c>
      <c r="Q17" s="139">
        <f>(((Q$11/2000)/'Cost Data'!$D$42)/1000)*'Env Data'!$C$24*1000</f>
        <v>3.8191969064682896</v>
      </c>
      <c r="R17" s="139">
        <f>(((R$11/2000)/'Cost Data'!$D$42)/1000)*'Env Data'!$C$24*1000</f>
        <v>7.638393812936579</v>
      </c>
      <c r="S17" s="139">
        <f>(((S$11/2000)/'Cost Data'!$D$42)/1000)*'Env Data'!$C$24*1000</f>
        <v>12.730656354894299</v>
      </c>
    </row>
    <row r="18" spans="1:19" ht="15.75" hidden="1">
      <c r="A18" s="36" t="s">
        <v>340</v>
      </c>
      <c r="B18" s="139">
        <f>(((B$10/2000)/'Cost Data'!$D$42)/1000)*'Env Data'!$D$14*1000+(((B$11/2000)/'Cost Data'!$D$42)/1000)*'Env Data'!$D$24*1000</f>
        <v>535.3469971876985</v>
      </c>
      <c r="C18" s="139">
        <f>(((C$10/2000)/'Cost Data'!$D$42)/1000)*'Env Data'!$D$14*1000+(((C$11/2000)/'Cost Data'!$D$42)/1000)*'Env Data'!$D$24*1000</f>
        <v>1606.0409915630955</v>
      </c>
      <c r="D18" s="139">
        <f>(((D$10/2000)/'Cost Data'!$D$42)/1000)*'Env Data'!$D$14*1000+(((D$11/2000)/'Cost Data'!$D$42)/1000)*'Env Data'!$D$24*1000</f>
        <v>3212.081983126191</v>
      </c>
      <c r="E18" s="139">
        <f>(((E$10/2000)/'Cost Data'!$D$42)/1000)*'Env Data'!$D$14*1000+(((E$11/2000)/'Cost Data'!$D$42)/1000)*'Env Data'!$D$24*1000</f>
        <v>5353.469971876986</v>
      </c>
      <c r="F18" s="208"/>
      <c r="G18" s="9"/>
      <c r="H18" s="36" t="s">
        <v>340</v>
      </c>
      <c r="I18" s="139">
        <f>(((I$10/2000)/'Cost Data'!$D$42)/1000)*'Env Data'!$D$14*1000</f>
        <v>531.8750000000001</v>
      </c>
      <c r="J18" s="139">
        <f>(((J$10/2000)/'Cost Data'!$D$42)/1000)*'Env Data'!$D$14*1000</f>
        <v>1595.6250000000002</v>
      </c>
      <c r="K18" s="139">
        <f>(((K$10/2000)/'Cost Data'!$D$42)/1000)*'Env Data'!$D$14*1000</f>
        <v>3191.2500000000005</v>
      </c>
      <c r="L18" s="139">
        <f>(((L$10/2000)/'Cost Data'!$D$42)/1000)*'Env Data'!$D$14*1000</f>
        <v>5318.750000000002</v>
      </c>
      <c r="M18" s="208"/>
      <c r="O18" s="36" t="s">
        <v>340</v>
      </c>
      <c r="P18" s="139">
        <f>(((P$11/2000)/'Cost Data'!$D$42)/1000)*'Env Data'!$D$24*1000</f>
        <v>6.943994375396887</v>
      </c>
      <c r="Q18" s="139">
        <f>(((Q$11/2000)/'Cost Data'!$D$42)/1000)*'Env Data'!$D$24*1000</f>
        <v>20.83198312619066</v>
      </c>
      <c r="R18" s="139">
        <f>(((R$11/2000)/'Cost Data'!$D$42)/1000)*'Env Data'!$D$24*1000</f>
        <v>41.66396625238132</v>
      </c>
      <c r="S18" s="139">
        <f>(((S$11/2000)/'Cost Data'!$D$42)/1000)*'Env Data'!$D$24*1000</f>
        <v>69.43994375396886</v>
      </c>
    </row>
    <row r="19" spans="1:19" ht="15.75" hidden="1">
      <c r="A19" s="36" t="s">
        <v>338</v>
      </c>
      <c r="B19" s="139">
        <f>(((B$10/2000)/'Cost Data'!$D$42)/1000)*'Env Data'!$E$14*1000+(((B$11/2000)/'Cost Data'!$D$42)/1000)*'Env Data'!$E$24*1000</f>
        <v>593.1743552118298</v>
      </c>
      <c r="C19" s="139">
        <f>(((C$10/2000)/'Cost Data'!$D$42)/1000)*'Env Data'!$E$14*1000+(((C$11/2000)/'Cost Data'!$D$42)/1000)*'Env Data'!$E$24*1000</f>
        <v>1779.5230656354895</v>
      </c>
      <c r="D19" s="139">
        <f>(((D$10/2000)/'Cost Data'!$D$42)/1000)*'Env Data'!$E$14*1000+(((D$11/2000)/'Cost Data'!$D$42)/1000)*'Env Data'!$E$24*1000</f>
        <v>3559.046131270979</v>
      </c>
      <c r="E19" s="139">
        <f>(((E$10/2000)/'Cost Data'!$D$42)/1000)*'Env Data'!$E$14*1000+(((E$11/2000)/'Cost Data'!$D$42)/1000)*'Env Data'!$E$24*1000</f>
        <v>5931.743552118298</v>
      </c>
      <c r="F19" s="139">
        <f>(((F$10/2000)/'Cost Data'!$D$42)/1000)*'Env Data'!$E$14*1000+(((F$11/2000)/'Cost Data'!$D$42)/1000)*'Env Data'!$E$24*1000</f>
        <v>0</v>
      </c>
      <c r="G19" s="9"/>
      <c r="H19" s="36" t="s">
        <v>338</v>
      </c>
      <c r="I19" s="139">
        <f>(((I$10/2000)/'Cost Data'!$D$42)/1000)*'Env Data'!$E$14*1000</f>
        <v>592.75</v>
      </c>
      <c r="J19" s="139">
        <f>(((J$10/2000)/'Cost Data'!$D$42)/1000)*'Env Data'!$E$14*1000</f>
        <v>1778.25</v>
      </c>
      <c r="K19" s="139">
        <f>(((K$10/2000)/'Cost Data'!$D$42)/1000)*'Env Data'!$E$14*1000</f>
        <v>3556.5</v>
      </c>
      <c r="L19" s="139">
        <f>(((L$10/2000)/'Cost Data'!$D$42)/1000)*'Env Data'!$E$14*1000</f>
        <v>5927.5</v>
      </c>
      <c r="M19" s="208"/>
      <c r="O19" s="36" t="s">
        <v>338</v>
      </c>
      <c r="P19" s="139">
        <f>(((P$11/2000)/'Cost Data'!$D$42)/1000)*'Env Data'!$E$24*1000</f>
        <v>0.8487104236596205</v>
      </c>
      <c r="Q19" s="139">
        <f>(((Q$11/2000)/'Cost Data'!$D$42)/1000)*'Env Data'!$E$24*1000</f>
        <v>2.5461312709788615</v>
      </c>
      <c r="R19" s="139">
        <f>(((R$11/2000)/'Cost Data'!$D$42)/1000)*'Env Data'!$E$24*1000</f>
        <v>5.092262541957723</v>
      </c>
      <c r="S19" s="139">
        <f>(((S$11/2000)/'Cost Data'!$D$42)/1000)*'Env Data'!$E$24*1000</f>
        <v>8.487104236596204</v>
      </c>
    </row>
    <row r="20" spans="1:19" ht="13.5" hidden="1" thickBot="1">
      <c r="A20" s="166" t="s">
        <v>174</v>
      </c>
      <c r="B20" s="167">
        <f>(((SUM(B$10)/2000)/'Cost Data'!$D$42)/1000)*'Env Data'!$F$14*1000+(((SUM(B$11)/2000)/'Cost Data'!$D$42)/1000)*'Env Data'!$F$24*1000</f>
        <v>47.543994375396885</v>
      </c>
      <c r="C20" s="167">
        <f>(((SUM(C$10)/2000)/'Cost Data'!$D$42)/1000)*'Env Data'!$F$14*1000+(((SUM(C$11)/2000)/'Cost Data'!$D$42)/1000)*'Env Data'!$F$24*1000</f>
        <v>142.63198312619068</v>
      </c>
      <c r="D20" s="167">
        <f>(((SUM(D$10)/2000)/'Cost Data'!$D$42)/1000)*'Env Data'!$F$14*1000+(((SUM(D$11)/2000)/'Cost Data'!$D$42)/1000)*'Env Data'!$F$24*1000</f>
        <v>285.26396625238135</v>
      </c>
      <c r="E20" s="167">
        <f>(((SUM(E$10)/2000)/'Cost Data'!$D$42)/1000)*'Env Data'!$F$14*1000+(((SUM(E$11)/2000)/'Cost Data'!$D$42)/1000)*'Env Data'!$F$24*1000</f>
        <v>475.4399437539689</v>
      </c>
      <c r="F20" s="208"/>
      <c r="G20" s="9"/>
      <c r="H20" s="166" t="s">
        <v>174</v>
      </c>
      <c r="I20" s="167">
        <f>(((SUM(I$10)/2000)/'Cost Data'!$D$42)/1000)*'Env Data'!$F$14*1000</f>
        <v>40.599999999999994</v>
      </c>
      <c r="J20" s="167">
        <f>(((SUM(J$10)/2000)/'Cost Data'!$D$42)/1000)*'Env Data'!$F$14*1000</f>
        <v>121.8</v>
      </c>
      <c r="K20" s="167">
        <f>(((SUM(K$10)/2000)/'Cost Data'!$D$42)/1000)*'Env Data'!$F$14*1000</f>
        <v>243.6</v>
      </c>
      <c r="L20" s="167">
        <f>(((SUM(L$10)/2000)/'Cost Data'!$D$42)/1000)*'Env Data'!$F$14*1000</f>
        <v>406</v>
      </c>
      <c r="M20" s="167">
        <f>(((SUM(M$10)/2000)/'Cost Data'!$D$42)/1000)*'Env Data'!$F$14*1000</f>
        <v>0</v>
      </c>
      <c r="O20" s="166" t="s">
        <v>158</v>
      </c>
      <c r="P20" s="167">
        <f>(((SUM(P$11)/2000)/'Cost Data'!$D$42)/1000)*'Env Data'!$F$24*1000</f>
        <v>13.887988750793786</v>
      </c>
      <c r="Q20" s="167">
        <f>(((SUM(Q$11)/2000)/'Cost Data'!$D$42)/1000)*'Env Data'!$F$24*1000</f>
        <v>41.663966252381364</v>
      </c>
      <c r="R20" s="167">
        <f>(((SUM(R$11)/2000)/'Cost Data'!$D$42)/1000)*'Env Data'!$F$24*1000</f>
        <v>83.32793250476273</v>
      </c>
      <c r="S20" s="167">
        <f>(((SUM(S$11)/2000)/'Cost Data'!$D$42)/1000)*'Env Data'!$F$24*1000</f>
        <v>138.87988750793787</v>
      </c>
    </row>
    <row r="21" spans="1:19" ht="13.5" hidden="1" thickBot="1">
      <c r="A21" s="173" t="s">
        <v>238</v>
      </c>
      <c r="B21" s="174"/>
      <c r="C21" s="174"/>
      <c r="D21" s="174"/>
      <c r="E21" s="175"/>
      <c r="F21" s="240"/>
      <c r="G21" s="9"/>
      <c r="H21" s="173" t="s">
        <v>238</v>
      </c>
      <c r="I21" s="174"/>
      <c r="J21" s="174"/>
      <c r="K21" s="174"/>
      <c r="L21" s="175"/>
      <c r="M21" s="240"/>
      <c r="O21" s="173" t="s">
        <v>238</v>
      </c>
      <c r="P21" s="174"/>
      <c r="Q21" s="174"/>
      <c r="R21" s="174"/>
      <c r="S21" s="175"/>
    </row>
    <row r="22" spans="1:19" ht="25.5" hidden="1">
      <c r="A22" s="152" t="s">
        <v>242</v>
      </c>
      <c r="B22" s="138">
        <f>ROUNDUP(((B$10/2000)/Inputs!$B$35)/'Env Data'!$H$32,0)*'Env Data'!$G$32/1000*'Cost Data'!$D$46*Inputs!$B$34*Inputs!$B$35</f>
        <v>185.803688</v>
      </c>
      <c r="C22" s="138">
        <f>ROUNDUP(((C$10/2000)/Inputs!$B$36)/'Env Data'!$H$32,0)*'Env Data'!$G$32/1000*'Cost Data'!$D$46*Inputs!$B$34*Inputs!$B$36</f>
        <v>557.411064</v>
      </c>
      <c r="D22" s="138">
        <f>ROUNDUP(((D$10/2000)/Inputs!$B$37)/'Env Data'!$H$32,0)*'Env Data'!$G$32/1000*'Cost Data'!$D$46*Inputs!$B$34*Inputs!$B$37</f>
        <v>1114.822128</v>
      </c>
      <c r="E22" s="144">
        <f>ROUNDUP(((E$10/2000)/Inputs!$B$38)/'Env Data'!$H$32,0)*'Env Data'!$G$32/1000*'Cost Data'!$D$46*Inputs!$B$34*Inputs!$B$38</f>
        <v>1858.0368799999999</v>
      </c>
      <c r="F22" s="208"/>
      <c r="G22" s="9"/>
      <c r="H22" s="152" t="s">
        <v>242</v>
      </c>
      <c r="I22" s="138">
        <f>ROUNDUP(((I$10/2000)/Inputs!$B$35)/'Env Data'!$H$32,0)*'Env Data'!$G$32/1000*'Cost Data'!$D$46*Inputs!$B$34*Inputs!$B$35</f>
        <v>185.803688</v>
      </c>
      <c r="J22" s="138">
        <f>ROUNDUP(((J$10/2000)/Inputs!$B$36)/'Env Data'!$H$32,0)*'Env Data'!$G$32/1000*'Cost Data'!$D$46*Inputs!$B$34*Inputs!$B$36</f>
        <v>557.411064</v>
      </c>
      <c r="K22" s="138">
        <f>ROUNDUP(((K$10/2000)/Inputs!$B$37)/'Env Data'!$H$32,0)*'Env Data'!$G$32/1000*'Cost Data'!$D$46*Inputs!$B$34*Inputs!$B$37</f>
        <v>1114.822128</v>
      </c>
      <c r="L22" s="144">
        <f>ROUNDUP(((L$10/2000)/Inputs!$B$38)/'Env Data'!$H$32,0)*'Env Data'!$G$32/1000*'Cost Data'!$D$46*Inputs!$B$34*Inputs!$B$38</f>
        <v>1858.0368799999999</v>
      </c>
      <c r="M22" s="208"/>
      <c r="O22" s="152" t="s">
        <v>242</v>
      </c>
      <c r="P22" s="397"/>
      <c r="Q22" s="392"/>
      <c r="R22" s="392"/>
      <c r="S22" s="398"/>
    </row>
    <row r="23" spans="1:19" ht="12.75" hidden="1">
      <c r="A23" s="36" t="s">
        <v>179</v>
      </c>
      <c r="B23" s="141">
        <f>ROUNDUP(((B$10/2000)/Inputs!$B$35)/'Env Data'!$H$32,0)*'Env Data'!$B$32*Inputs!$B$34*Inputs!$B$35</f>
        <v>289.2</v>
      </c>
      <c r="C23" s="141">
        <f>ROUNDUP(((C$10/2000)/Inputs!$B$36)/'Env Data'!$H$32,0)*'Env Data'!$B$32*Inputs!$B$34*Inputs!$B$36</f>
        <v>867.5999999999999</v>
      </c>
      <c r="D23" s="141">
        <f>ROUNDUP(((D$10/2000)/Inputs!$B$37)/'Env Data'!$H$32,0)*'Env Data'!$B$32*Inputs!$B$34*Inputs!$B$37</f>
        <v>1735.1999999999998</v>
      </c>
      <c r="E23" s="143">
        <f>ROUNDUP(((E$10/2000)/Inputs!$B$38)/'Env Data'!$H$32,0)*'Env Data'!$B$32*Inputs!$B$34*Inputs!$B$38</f>
        <v>2892</v>
      </c>
      <c r="F23" s="208"/>
      <c r="G23" s="9"/>
      <c r="H23" s="36" t="s">
        <v>179</v>
      </c>
      <c r="I23" s="141">
        <f>ROUNDUP(((I$10/2000)/Inputs!$B$35)/'Env Data'!$H$32,0)*'Env Data'!$B$32*Inputs!$B$34*Inputs!$B$35</f>
        <v>289.2</v>
      </c>
      <c r="J23" s="141">
        <f>ROUNDUP(((J$10/2000)/Inputs!$B$36)/'Env Data'!$H$32,0)*'Env Data'!$B$32*Inputs!$B$34*Inputs!$B$36</f>
        <v>867.5999999999999</v>
      </c>
      <c r="K23" s="141">
        <f>ROUNDUP(((K$10/2000)/Inputs!$B$37)/'Env Data'!$H$32,0)*'Env Data'!$B$32*Inputs!$B$34*Inputs!$B$37</f>
        <v>1735.1999999999998</v>
      </c>
      <c r="L23" s="143">
        <f>ROUNDUP(((L$10/2000)/Inputs!$B$38)/'Env Data'!$H$32,0)*'Env Data'!$B$32*Inputs!$B$34*Inputs!$B$38</f>
        <v>2892</v>
      </c>
      <c r="M23" s="208"/>
      <c r="O23" s="36" t="s">
        <v>179</v>
      </c>
      <c r="P23" s="389"/>
      <c r="Q23" s="389"/>
      <c r="R23" s="389"/>
      <c r="S23" s="399"/>
    </row>
    <row r="24" spans="1:19" ht="12.75" hidden="1">
      <c r="A24" s="36" t="s">
        <v>212</v>
      </c>
      <c r="B24" s="141">
        <f>ROUNDUP(((B$10/2000)/Inputs!$B$35)/'Env Data'!$H$32,0)*'Env Data'!$C$32*Inputs!$B$34*Inputs!$B$35</f>
        <v>50.449999999999996</v>
      </c>
      <c r="C24" s="141">
        <f>ROUNDUP(((C$10/2000)/Inputs!$B$36)/'Env Data'!$H$32,0)*'Env Data'!$C$32*Inputs!$B$34*Inputs!$B$36</f>
        <v>151.35</v>
      </c>
      <c r="D24" s="141">
        <f>ROUNDUP(((D$10/2000)/Inputs!$B$37)/'Env Data'!$H$32,0)*'Env Data'!$C$32*Inputs!$B$34*Inputs!$B$37</f>
        <v>302.7</v>
      </c>
      <c r="E24" s="143">
        <f>ROUNDUP(((E$10/2000)/Inputs!$B$38)/'Env Data'!$H$32,0)*'Env Data'!$C$32*Inputs!$B$34*Inputs!$B$38</f>
        <v>504.49999999999994</v>
      </c>
      <c r="F24" s="208"/>
      <c r="G24" s="9"/>
      <c r="H24" s="36" t="s">
        <v>212</v>
      </c>
      <c r="I24" s="141">
        <f>ROUNDUP(((I$10/2000)/Inputs!$B$35)/'Env Data'!$H$32,0)*'Env Data'!$C$32*Inputs!$B$34*Inputs!$B$35</f>
        <v>50.449999999999996</v>
      </c>
      <c r="J24" s="141">
        <f>ROUNDUP(((J$10/2000)/Inputs!$B$36)/'Env Data'!$H$32,0)*'Env Data'!$C$32*Inputs!$B$34*Inputs!$B$36</f>
        <v>151.35</v>
      </c>
      <c r="K24" s="141">
        <f>ROUNDUP(((K$10/2000)/Inputs!$B$37)/'Env Data'!$H$32,0)*'Env Data'!$C$32*Inputs!$B$34*Inputs!$B$37</f>
        <v>302.7</v>
      </c>
      <c r="L24" s="143">
        <f>ROUNDUP(((L$10/2000)/Inputs!$B$38)/'Env Data'!$H$32,0)*'Env Data'!$C$32*Inputs!$B$34*Inputs!$B$38</f>
        <v>504.49999999999994</v>
      </c>
      <c r="M24" s="208"/>
      <c r="O24" s="36" t="s">
        <v>212</v>
      </c>
      <c r="P24" s="389"/>
      <c r="Q24" s="389"/>
      <c r="R24" s="389"/>
      <c r="S24" s="399"/>
    </row>
    <row r="25" spans="1:19" ht="15.75" hidden="1">
      <c r="A25" s="36" t="s">
        <v>340</v>
      </c>
      <c r="B25" s="141">
        <f>ROUNDUP(((B$10/2000)/Inputs!$B$35)/'Env Data'!$H$32,0)*'Env Data'!$D$32*Inputs!$B$34*Inputs!$B$35</f>
        <v>1235.75</v>
      </c>
      <c r="C25" s="141">
        <f>ROUNDUP(((C$10/2000)/Inputs!$B$36)/'Env Data'!$H$32,0)*'Env Data'!$D$32*Inputs!$B$34*Inputs!$B$36</f>
        <v>3707.25</v>
      </c>
      <c r="D25" s="141">
        <f>ROUNDUP(((D$10/2000)/Inputs!$B$37)/'Env Data'!$H$32,0)*'Env Data'!$D$32*Inputs!$B$34*Inputs!$B$37</f>
        <v>7414.5</v>
      </c>
      <c r="E25" s="143">
        <f>ROUNDUP(((E$10/2000)/Inputs!$B$38)/'Env Data'!$H$32,0)*'Env Data'!$D$32*Inputs!$B$34*Inputs!$B$38</f>
        <v>12357.5</v>
      </c>
      <c r="F25" s="208"/>
      <c r="G25" s="9"/>
      <c r="H25" s="36" t="s">
        <v>340</v>
      </c>
      <c r="I25" s="141">
        <f>ROUNDUP(((I$10/2000)/Inputs!$B$35)/'Env Data'!$H$32,0)*'Env Data'!$D$32*Inputs!$B$34*Inputs!$B$35</f>
        <v>1235.75</v>
      </c>
      <c r="J25" s="141">
        <f>ROUNDUP(((J$10/2000)/Inputs!$B$36)/'Env Data'!$H$32,0)*'Env Data'!$D$32*Inputs!$B$34*Inputs!$B$36</f>
        <v>3707.25</v>
      </c>
      <c r="K25" s="141">
        <f>ROUNDUP(((K$10/2000)/Inputs!$B$37)/'Env Data'!$H$32,0)*'Env Data'!$D$32*Inputs!$B$34*Inputs!$B$37</f>
        <v>7414.5</v>
      </c>
      <c r="L25" s="143">
        <f>ROUNDUP(((L$10/2000)/Inputs!$B$38)/'Env Data'!$H$32,0)*'Env Data'!$D$32*Inputs!$B$34*Inputs!$B$38</f>
        <v>12357.5</v>
      </c>
      <c r="M25" s="208"/>
      <c r="O25" s="36" t="s">
        <v>340</v>
      </c>
      <c r="P25" s="389"/>
      <c r="Q25" s="389"/>
      <c r="R25" s="389"/>
      <c r="S25" s="399"/>
    </row>
    <row r="26" spans="1:19" ht="15.75" hidden="1">
      <c r="A26" s="36" t="s">
        <v>338</v>
      </c>
      <c r="B26" s="141">
        <f>ROUNDUP(((B$10/2000)/Inputs!$B$35)/'Env Data'!$H$32,0)*'Env Data'!$E$32*Inputs!$B$34*Inputs!$B$35</f>
        <v>18.325</v>
      </c>
      <c r="C26" s="141">
        <f>ROUNDUP(((C$10/2000)/Inputs!$B$36)/'Env Data'!$H$32,0)*'Env Data'!$E$32*Inputs!$B$34*Inputs!$B$36</f>
        <v>54.974999999999994</v>
      </c>
      <c r="D26" s="141">
        <f>ROUNDUP(((D$10/2000)/Inputs!$B$37)/'Env Data'!$H$32,0)*'Env Data'!$E$32*Inputs!$B$34*Inputs!$B$37</f>
        <v>109.94999999999999</v>
      </c>
      <c r="E26" s="143">
        <f>ROUNDUP(((E$10/2000)/Inputs!$B$38)/'Env Data'!$H$32,0)*'Env Data'!$E$32*Inputs!$B$34*Inputs!$B$38</f>
        <v>183.25</v>
      </c>
      <c r="F26" s="208"/>
      <c r="G26" s="9"/>
      <c r="H26" s="36" t="s">
        <v>338</v>
      </c>
      <c r="I26" s="141">
        <f>ROUNDUP(((I$10/2000)/Inputs!$B$35)/'Env Data'!$H$32,0)*'Env Data'!$E$32*Inputs!$B$34*Inputs!$B$35</f>
        <v>18.325</v>
      </c>
      <c r="J26" s="141">
        <f>ROUNDUP(((J$10/2000)/Inputs!$B$36)/'Env Data'!$H$32,0)*'Env Data'!$E$32*Inputs!$B$34*Inputs!$B$36</f>
        <v>54.974999999999994</v>
      </c>
      <c r="K26" s="141">
        <f>ROUNDUP(((K$10/2000)/Inputs!$B$37)/'Env Data'!$H$32,0)*'Env Data'!$E$32*Inputs!$B$34*Inputs!$B$37</f>
        <v>109.94999999999999</v>
      </c>
      <c r="L26" s="143">
        <f>ROUNDUP(((L$10/2000)/Inputs!$B$38)/'Env Data'!$H$32,0)*'Env Data'!$E$32*Inputs!$B$34*Inputs!$B$38</f>
        <v>183.25</v>
      </c>
      <c r="M26" s="208"/>
      <c r="O26" s="36" t="s">
        <v>338</v>
      </c>
      <c r="P26" s="389"/>
      <c r="Q26" s="389"/>
      <c r="R26" s="389"/>
      <c r="S26" s="399"/>
    </row>
    <row r="27" spans="1:19" ht="12.75" customHeight="1" hidden="1" thickBot="1">
      <c r="A27" s="113" t="s">
        <v>174</v>
      </c>
      <c r="B27" s="142">
        <f>ROUNDUP(((B$10/2000)/Inputs!$B$35)/'Env Data'!$H$32,0)*'Env Data'!$F$32*Inputs!$B$34*Inputs!$B$35</f>
        <v>33.160000000000004</v>
      </c>
      <c r="C27" s="142">
        <f>ROUNDUP(((C$10/2000)/Inputs!$B$36)/'Env Data'!$H$32,0)*'Env Data'!$F$32*Inputs!$B$34*Inputs!$B$36</f>
        <v>99.48000000000002</v>
      </c>
      <c r="D27" s="142">
        <f>ROUNDUP(((D$10/2000)/Inputs!$B$37)/'Env Data'!$H$32,0)*'Env Data'!$F$32*Inputs!$B$34*Inputs!$B$37</f>
        <v>198.96000000000004</v>
      </c>
      <c r="E27" s="148">
        <f>ROUNDUP(((E$10/2000)/Inputs!$B$38)/'Env Data'!$H$32,0)*'Env Data'!$F$32*Inputs!$B$34*Inputs!$B$38</f>
        <v>331.6</v>
      </c>
      <c r="F27" s="208"/>
      <c r="G27" s="9"/>
      <c r="H27" s="49" t="s">
        <v>174</v>
      </c>
      <c r="I27" s="141">
        <f>ROUNDUP(((I$10/2000)/Inputs!$B$35)/'Env Data'!$H$32,0)*'Env Data'!$F$32*Inputs!$B$34*Inputs!$B$35</f>
        <v>33.160000000000004</v>
      </c>
      <c r="J27" s="141">
        <f>ROUNDUP(((J$10/2000)/Inputs!$B$36)/'Env Data'!$H$32,0)*'Env Data'!$F$32*Inputs!$B$34*Inputs!$B$36</f>
        <v>99.48000000000002</v>
      </c>
      <c r="K27" s="141">
        <f>ROUNDUP(((K$10/2000)/Inputs!$B$37)/'Env Data'!$H$32,0)*'Env Data'!$F$32*Inputs!$B$34*Inputs!$B$37</f>
        <v>198.96000000000004</v>
      </c>
      <c r="L27" s="143">
        <f>ROUNDUP(((L$10/2000)/Inputs!$B$38)/'Env Data'!$H$32,0)*'Env Data'!$F$32*Inputs!$B$34*Inputs!$B$38</f>
        <v>331.6</v>
      </c>
      <c r="M27" s="208"/>
      <c r="O27" s="49" t="s">
        <v>174</v>
      </c>
      <c r="P27" s="400"/>
      <c r="Q27" s="400"/>
      <c r="R27" s="400"/>
      <c r="S27" s="401"/>
    </row>
    <row r="28" spans="1:19" ht="12.75" customHeight="1" hidden="1" thickBot="1">
      <c r="A28" s="168" t="s">
        <v>284</v>
      </c>
      <c r="B28" s="169"/>
      <c r="C28" s="169"/>
      <c r="D28" s="169"/>
      <c r="E28" s="170"/>
      <c r="F28" s="208"/>
      <c r="G28" s="9"/>
      <c r="H28" s="168" t="s">
        <v>284</v>
      </c>
      <c r="I28" s="169"/>
      <c r="J28" s="169"/>
      <c r="K28" s="169"/>
      <c r="L28" s="170"/>
      <c r="M28" s="208"/>
      <c r="O28" s="168" t="s">
        <v>284</v>
      </c>
      <c r="P28" s="169"/>
      <c r="Q28" s="169"/>
      <c r="R28" s="169"/>
      <c r="S28" s="170"/>
    </row>
    <row r="29" spans="1:19" ht="25.5" customHeight="1" hidden="1">
      <c r="A29" s="152" t="s">
        <v>242</v>
      </c>
      <c r="B29" s="139">
        <f>ROUNDUP(((B$10/2000/'Cost Data'!$D$42*'Cost Data'!$D$43)/Inputs!$B$30)/'Env Data'!$H$34,0)*'Env Data'!$G$34/1000*'Cost Data'!$D$46*Inputs!$B$15*Inputs!$B$30</f>
        <v>92.901844</v>
      </c>
      <c r="C29" s="139">
        <f>ROUNDUP(((C$10/2000/'Cost Data'!$D$42*'Cost Data'!$D$43)/Inputs!$B$31)/'Env Data'!$H$34,0)*'Env Data'!$G$34/1000*'Cost Data'!$D$46*Inputs!$B$15*Inputs!$B$31</f>
        <v>278.705532</v>
      </c>
      <c r="D29" s="139">
        <f>ROUNDUP(((D$10/2000/'Cost Data'!$D$42*'Cost Data'!$D$43)/Inputs!$B$32)/'Env Data'!$H$34,0)*'Env Data'!$G$34/1000*'Cost Data'!$D$46*Inputs!$B$15*Inputs!$B$32</f>
        <v>557.411064</v>
      </c>
      <c r="E29" s="149">
        <f>ROUNDUP(((E$10/2000/'Cost Data'!$D$42*'Cost Data'!$D$43)/Inputs!$B$33)/'Env Data'!$H$34,0)*'Env Data'!$G$34/1000*'Cost Data'!$D$46*Inputs!$B$15*Inputs!$B$33</f>
        <v>929.0184399999999</v>
      </c>
      <c r="F29" s="208"/>
      <c r="G29" s="9"/>
      <c r="H29" s="152" t="s">
        <v>242</v>
      </c>
      <c r="I29" s="139">
        <f>ROUNDUP(((I$10/2000/'Cost Data'!$D$42*'Cost Data'!$D$43)/Inputs!$B$30)/'Env Data'!$H$34,0)*'Env Data'!$G$34/1000*'Cost Data'!$D$46*Inputs!$B$15*Inputs!$B$30</f>
        <v>92.901844</v>
      </c>
      <c r="J29" s="139">
        <f>ROUNDUP(((J$10/2000/'Cost Data'!$D$42*'Cost Data'!$D$43)/Inputs!$B$31)/'Env Data'!$H$34,0)*'Env Data'!$G$34/1000*'Cost Data'!$D$46*Inputs!$B$15*Inputs!$B$31</f>
        <v>278.705532</v>
      </c>
      <c r="K29" s="139">
        <f>ROUNDUP(((K$10/2000/'Cost Data'!$D$42*'Cost Data'!$D$43)/Inputs!$B$32)/'Env Data'!$H$34,0)*'Env Data'!$G$34/1000*'Cost Data'!$D$46*Inputs!$B$15*Inputs!$B$32</f>
        <v>557.411064</v>
      </c>
      <c r="L29" s="149">
        <f>ROUNDUP(((L$10/2000/'Cost Data'!$D$42*'Cost Data'!$D$43)/Inputs!$B$33)/'Env Data'!$H$34,0)*'Env Data'!$G$34/1000*'Cost Data'!$D$46*Inputs!$B$15*Inputs!$B$33</f>
        <v>929.0184399999999</v>
      </c>
      <c r="M29" s="208"/>
      <c r="O29" s="152" t="s">
        <v>242</v>
      </c>
      <c r="P29" s="392"/>
      <c r="Q29" s="393"/>
      <c r="R29" s="393"/>
      <c r="S29" s="394"/>
    </row>
    <row r="30" spans="1:19" ht="12.75" customHeight="1" hidden="1">
      <c r="A30" s="36" t="s">
        <v>179</v>
      </c>
      <c r="B30" s="139">
        <f>ROUNDUP(((B$10/2000/'Cost Data'!$D$42*'Cost Data'!$D$43)/Inputs!$B$30)/'Env Data'!$H$34,0)*'Env Data'!$B$34*Inputs!$B$15*Inputs!$B$30</f>
        <v>144.6</v>
      </c>
      <c r="C30" s="139">
        <f>ROUNDUP(((C$10/2000/'Cost Data'!$D$42*'Cost Data'!$D$43)/Inputs!$B$31)/'Env Data'!$H$34,0)*'Env Data'!$B$34*Inputs!$B$15*Inputs!$B$31</f>
        <v>433.79999999999995</v>
      </c>
      <c r="D30" s="139">
        <f>ROUNDUP(((D$10/2000/'Cost Data'!$D$42*'Cost Data'!$D$43)/Inputs!$B$32)/'Env Data'!$H$34,0)*'Env Data'!$B$34*Inputs!$B$15*Inputs!$B$32</f>
        <v>867.5999999999999</v>
      </c>
      <c r="E30" s="149">
        <f>ROUNDUP(((E$10/2000/'Cost Data'!$D$42*'Cost Data'!$D$43)/Inputs!$B$33)/'Env Data'!$H$34,0)*'Env Data'!$B$34*Inputs!$B$15*Inputs!$B$33</f>
        <v>1446</v>
      </c>
      <c r="F30" s="208"/>
      <c r="G30" s="9"/>
      <c r="H30" s="36" t="s">
        <v>179</v>
      </c>
      <c r="I30" s="139">
        <f>ROUNDUP(((I$10/2000/'Cost Data'!$D$42*'Cost Data'!$D$43)/Inputs!$B$30)/'Env Data'!$H$34,0)*'Env Data'!$B$34*Inputs!$B$15*Inputs!$B$30</f>
        <v>144.6</v>
      </c>
      <c r="J30" s="139">
        <f>ROUNDUP(((J$10/2000/'Cost Data'!$D$42*'Cost Data'!$D$43)/Inputs!$B$31)/'Env Data'!$H$34,0)*'Env Data'!$B$34*Inputs!$B$15*Inputs!$B$31</f>
        <v>433.79999999999995</v>
      </c>
      <c r="K30" s="139">
        <f>ROUNDUP(((K$10/2000/'Cost Data'!$D$42*'Cost Data'!$D$43)/Inputs!$B$32)/'Env Data'!$H$34,0)*'Env Data'!$B$34*Inputs!$B$15*Inputs!$B$32</f>
        <v>867.5999999999999</v>
      </c>
      <c r="L30" s="149">
        <f>ROUNDUP(((L$10/2000/'Cost Data'!$D$42*'Cost Data'!$D$43)/Inputs!$B$33)/'Env Data'!$H$34,0)*'Env Data'!$B$34*Inputs!$B$15*Inputs!$B$33</f>
        <v>1446</v>
      </c>
      <c r="M30" s="208"/>
      <c r="O30" s="36" t="s">
        <v>179</v>
      </c>
      <c r="P30" s="390"/>
      <c r="Q30" s="390"/>
      <c r="R30" s="390"/>
      <c r="S30" s="391"/>
    </row>
    <row r="31" spans="1:19" ht="12.75" customHeight="1" hidden="1">
      <c r="A31" s="36" t="s">
        <v>212</v>
      </c>
      <c r="B31" s="139">
        <f>ROUNDUP(((B$10/2000/'Cost Data'!$D$42*'Cost Data'!$D$43)/Inputs!$B$30)/'Env Data'!$H$34,0)*'Env Data'!$C$34*Inputs!$B$15*Inputs!$B$30</f>
        <v>25.224999999999998</v>
      </c>
      <c r="C31" s="139">
        <f>ROUNDUP(((C$10/2000/'Cost Data'!$D$42*'Cost Data'!$D$43)/Inputs!$B$31)/'Env Data'!$H$34,0)*'Env Data'!$C$34*Inputs!$B$15*Inputs!$B$31</f>
        <v>75.675</v>
      </c>
      <c r="D31" s="139">
        <f>ROUNDUP(((D$10/2000/'Cost Data'!$D$42*'Cost Data'!$D$43)/Inputs!$B$32)/'Env Data'!$H$34,0)*'Env Data'!$C$34*Inputs!$B$15*Inputs!$B$32</f>
        <v>151.35</v>
      </c>
      <c r="E31" s="149">
        <f>ROUNDUP(((E$10/2000/'Cost Data'!$D$42*'Cost Data'!$D$43)/Inputs!$B$33)/'Env Data'!$H$34,0)*'Env Data'!$C$34*Inputs!$B$15*Inputs!$B$33</f>
        <v>252.24999999999997</v>
      </c>
      <c r="F31" s="208"/>
      <c r="G31" s="9"/>
      <c r="H31" s="36" t="s">
        <v>212</v>
      </c>
      <c r="I31" s="139">
        <f>ROUNDUP(((I$10/2000/'Cost Data'!$D$42*'Cost Data'!$D$43)/Inputs!$B$30)/'Env Data'!$H$34,0)*'Env Data'!$C$34*Inputs!$B$15*Inputs!$B$30</f>
        <v>25.224999999999998</v>
      </c>
      <c r="J31" s="139">
        <f>ROUNDUP(((J$10/2000/'Cost Data'!$D$42*'Cost Data'!$D$43)/Inputs!$B$31)/'Env Data'!$H$34,0)*'Env Data'!$C$34*Inputs!$B$15*Inputs!$B$31</f>
        <v>75.675</v>
      </c>
      <c r="K31" s="139">
        <f>ROUNDUP(((K$10/2000/'Cost Data'!$D$42*'Cost Data'!$D$43)/Inputs!$B$32)/'Env Data'!$H$34,0)*'Env Data'!$C$34*Inputs!$B$15*Inputs!$B$32</f>
        <v>151.35</v>
      </c>
      <c r="L31" s="149">
        <f>ROUNDUP(((L$10/2000/'Cost Data'!$D$42*'Cost Data'!$D$43)/Inputs!$B$33)/'Env Data'!$H$34,0)*'Env Data'!$C$34*Inputs!$B$15*Inputs!$B$33</f>
        <v>252.24999999999997</v>
      </c>
      <c r="M31" s="208"/>
      <c r="O31" s="36" t="s">
        <v>212</v>
      </c>
      <c r="P31" s="390"/>
      <c r="Q31" s="390"/>
      <c r="R31" s="390"/>
      <c r="S31" s="391"/>
    </row>
    <row r="32" spans="1:19" ht="12.75" customHeight="1" hidden="1">
      <c r="A32" s="36" t="s">
        <v>340</v>
      </c>
      <c r="B32" s="139">
        <f>ROUNDUP(((B$10/2000/'Cost Data'!$D$42*'Cost Data'!$D$43)/Inputs!$B$30)/'Env Data'!$H$34,0)*'Env Data'!$D$34*Inputs!$B$15*Inputs!$B$30</f>
        <v>617.875</v>
      </c>
      <c r="C32" s="139">
        <f>ROUNDUP(((C$10/2000/'Cost Data'!$D$42*'Cost Data'!$D$43)/Inputs!$B$31)/'Env Data'!$H$34,0)*'Env Data'!$D$34*Inputs!$B$15*Inputs!$B$31</f>
        <v>1853.625</v>
      </c>
      <c r="D32" s="139">
        <f>ROUNDUP(((D$10/2000/'Cost Data'!$D$42*'Cost Data'!$D$43)/Inputs!$B$32)/'Env Data'!$H$34,0)*'Env Data'!$D$34*Inputs!$B$15*Inputs!$B$32</f>
        <v>3707.25</v>
      </c>
      <c r="E32" s="149">
        <f>ROUNDUP(((E$10/2000/'Cost Data'!$D$42*'Cost Data'!$D$43)/Inputs!$B$33)/'Env Data'!$H$34,0)*'Env Data'!$D$34*Inputs!$B$15*Inputs!$B$33</f>
        <v>6178.75</v>
      </c>
      <c r="F32" s="208"/>
      <c r="G32" s="9"/>
      <c r="H32" s="36" t="s">
        <v>340</v>
      </c>
      <c r="I32" s="139">
        <f>ROUNDUP(((I$10/2000/'Cost Data'!$D$42*'Cost Data'!$D$43)/Inputs!$B$30)/'Env Data'!$H$34,0)*'Env Data'!$D$34*Inputs!$B$15*Inputs!$B$30</f>
        <v>617.875</v>
      </c>
      <c r="J32" s="139">
        <f>ROUNDUP(((J$10/2000/'Cost Data'!$D$42*'Cost Data'!$D$43)/Inputs!$B$31)/'Env Data'!$H$34,0)*'Env Data'!$D$34*Inputs!$B$15*Inputs!$B$31</f>
        <v>1853.625</v>
      </c>
      <c r="K32" s="139">
        <f>ROUNDUP(((K$10/2000/'Cost Data'!$D$42*'Cost Data'!$D$43)/Inputs!$B$32)/'Env Data'!$H$34,0)*'Env Data'!$D$34*Inputs!$B$15*Inputs!$B$32</f>
        <v>3707.25</v>
      </c>
      <c r="L32" s="149">
        <f>ROUNDUP(((L$10/2000/'Cost Data'!$D$42*'Cost Data'!$D$43)/Inputs!$B$33)/'Env Data'!$H$34,0)*'Env Data'!$D$34*Inputs!$B$15*Inputs!$B$33</f>
        <v>6178.75</v>
      </c>
      <c r="M32" s="208"/>
      <c r="O32" s="36" t="s">
        <v>340</v>
      </c>
      <c r="P32" s="390"/>
      <c r="Q32" s="390"/>
      <c r="R32" s="390"/>
      <c r="S32" s="391"/>
    </row>
    <row r="33" spans="1:19" ht="12.75" customHeight="1" hidden="1">
      <c r="A33" s="36" t="s">
        <v>338</v>
      </c>
      <c r="B33" s="139">
        <f>ROUNDUP(((B$10/2000/'Cost Data'!$D$42*'Cost Data'!$D$43)/Inputs!$B$30)/'Env Data'!$H$34,0)*'Env Data'!$E$34*Inputs!$B$15*Inputs!$B$30</f>
        <v>9.1625</v>
      </c>
      <c r="C33" s="139">
        <f>ROUNDUP(((C$10/2000/'Cost Data'!$D$42*'Cost Data'!$D$43)/Inputs!$B$31)/'Env Data'!$H$34,0)*'Env Data'!$E$34*Inputs!$B$15*Inputs!$B$31</f>
        <v>27.487499999999997</v>
      </c>
      <c r="D33" s="139">
        <f>ROUNDUP(((D$10/2000/'Cost Data'!$D$42*'Cost Data'!$D$43)/Inputs!$B$32)/'Env Data'!$H$34,0)*'Env Data'!$E$34*Inputs!$B$15*Inputs!$B$32</f>
        <v>54.974999999999994</v>
      </c>
      <c r="E33" s="149">
        <f>ROUNDUP(((E$10/2000/'Cost Data'!$D$42*'Cost Data'!$D$43)/Inputs!$B$33)/'Env Data'!$H$34,0)*'Env Data'!$E$34*Inputs!$B$15*Inputs!$B$33</f>
        <v>91.625</v>
      </c>
      <c r="F33" s="208"/>
      <c r="G33" s="9"/>
      <c r="H33" s="36" t="s">
        <v>338</v>
      </c>
      <c r="I33" s="139">
        <f>ROUNDUP(((I$10/2000/'Cost Data'!$D$42*'Cost Data'!$D$43)/Inputs!$B$30)/'Env Data'!$H$34,0)*'Env Data'!$E$34*Inputs!$B$15*Inputs!$B$30</f>
        <v>9.1625</v>
      </c>
      <c r="J33" s="139">
        <f>ROUNDUP(((J$10/2000/'Cost Data'!$D$42*'Cost Data'!$D$43)/Inputs!$B$31)/'Env Data'!$H$34,0)*'Env Data'!$E$34*Inputs!$B$15*Inputs!$B$31</f>
        <v>27.487499999999997</v>
      </c>
      <c r="K33" s="139">
        <f>ROUNDUP(((K$10/2000/'Cost Data'!$D$42*'Cost Data'!$D$43)/Inputs!$B$32)/'Env Data'!$H$34,0)*'Env Data'!$E$34*Inputs!$B$15*Inputs!$B$32</f>
        <v>54.974999999999994</v>
      </c>
      <c r="L33" s="149">
        <f>ROUNDUP(((L$10/2000/'Cost Data'!$D$42*'Cost Data'!$D$43)/Inputs!$B$33)/'Env Data'!$H$34,0)*'Env Data'!$E$34*Inputs!$B$15*Inputs!$B$33</f>
        <v>91.625</v>
      </c>
      <c r="M33" s="208"/>
      <c r="O33" s="36" t="s">
        <v>338</v>
      </c>
      <c r="P33" s="390"/>
      <c r="Q33" s="390"/>
      <c r="R33" s="390"/>
      <c r="S33" s="391"/>
    </row>
    <row r="34" spans="1:19" ht="12.75" customHeight="1" hidden="1" thickBot="1">
      <c r="A34" s="113" t="s">
        <v>174</v>
      </c>
      <c r="B34" s="139">
        <f>ROUNDUP(((B$10/2000/'Cost Data'!$D$42*'Cost Data'!$D$43)/Inputs!$B$30)/'Env Data'!$H$34,0)*'Env Data'!$F$34*Inputs!$B$15*Inputs!$B$30</f>
        <v>16.580000000000002</v>
      </c>
      <c r="C34" s="139">
        <f>ROUNDUP(((C$10/2000/'Cost Data'!$D$42*'Cost Data'!$D$43)/Inputs!$B$31)/'Env Data'!$H$34,0)*'Env Data'!$F$34*Inputs!$B$15*Inputs!$B$31</f>
        <v>49.74000000000001</v>
      </c>
      <c r="D34" s="139">
        <f>ROUNDUP(((D$10/2000/'Cost Data'!$D$42*'Cost Data'!$D$43)/Inputs!$B$32)/'Env Data'!$H$34,0)*'Env Data'!$F$34*Inputs!$B$15*Inputs!$B$32</f>
        <v>99.48000000000002</v>
      </c>
      <c r="E34" s="149">
        <f>ROUNDUP(((E$10/2000/'Cost Data'!$D$42*'Cost Data'!$D$43)/Inputs!$B$33)/'Env Data'!$H$34,0)*'Env Data'!$F$34*Inputs!$B$15*Inputs!$B$33</f>
        <v>165.8</v>
      </c>
      <c r="F34" s="208"/>
      <c r="G34" s="9"/>
      <c r="H34" s="113" t="s">
        <v>174</v>
      </c>
      <c r="I34" s="139">
        <f>ROUNDUP(((I$10/2000/'Cost Data'!$D$42*'Cost Data'!$D$43)/Inputs!$B$30)/'Env Data'!$H$34,0)*'Env Data'!$F$34*Inputs!$B$15*Inputs!$B$30</f>
        <v>16.580000000000002</v>
      </c>
      <c r="J34" s="139">
        <f>ROUNDUP(((J$10/2000/'Cost Data'!$D$42*'Cost Data'!$D$43)/Inputs!$B$31)/'Env Data'!$H$34,0)*'Env Data'!$F$34*Inputs!$B$15*Inputs!$B$31</f>
        <v>49.74000000000001</v>
      </c>
      <c r="K34" s="139">
        <f>ROUNDUP(((K$10/2000/'Cost Data'!$D$42*'Cost Data'!$D$43)/Inputs!$B$32)/'Env Data'!$H$34,0)*'Env Data'!$F$34*Inputs!$B$15*Inputs!$B$32</f>
        <v>99.48000000000002</v>
      </c>
      <c r="L34" s="149">
        <f>ROUNDUP(((L$10/2000/'Cost Data'!$D$42*'Cost Data'!$D$43)/Inputs!$B$33)/'Env Data'!$H$34,0)*'Env Data'!$F$34*Inputs!$B$15*Inputs!$B$33</f>
        <v>165.8</v>
      </c>
      <c r="M34" s="208"/>
      <c r="O34" s="113" t="s">
        <v>174</v>
      </c>
      <c r="P34" s="395"/>
      <c r="Q34" s="395"/>
      <c r="R34" s="395"/>
      <c r="S34" s="396"/>
    </row>
    <row r="35" spans="1:19" ht="12.75" customHeight="1" hidden="1" thickBot="1">
      <c r="A35" s="168" t="s">
        <v>382</v>
      </c>
      <c r="B35" s="169"/>
      <c r="C35" s="169"/>
      <c r="D35" s="169"/>
      <c r="E35" s="170"/>
      <c r="F35" s="208"/>
      <c r="G35" s="9"/>
      <c r="H35" s="168" t="s">
        <v>382</v>
      </c>
      <c r="I35" s="169"/>
      <c r="J35" s="169"/>
      <c r="K35" s="169"/>
      <c r="L35" s="170"/>
      <c r="M35" s="208"/>
      <c r="O35" s="168" t="s">
        <v>382</v>
      </c>
      <c r="P35" s="169"/>
      <c r="Q35" s="169"/>
      <c r="R35" s="169"/>
      <c r="S35" s="170"/>
    </row>
    <row r="36" spans="1:19" ht="25.5" customHeight="1" hidden="1">
      <c r="A36" s="152" t="s">
        <v>242</v>
      </c>
      <c r="B36" s="139">
        <f>ROUNDUP(((B$11/2000/'Cost Data'!$D$42*'Cost Data'!$D$43)/Inputs!$B$30)/'Env Data'!$H$34,0)*'Env Data'!$G$34/1000*'Cost Data'!$D$46*(Inputs!$B$15-Inputs!$B$29)*Inputs!$B$30</f>
        <v>0</v>
      </c>
      <c r="C36" s="139">
        <f>ROUNDUP(((C$11/2000/'Cost Data'!$D$42*'Cost Data'!$D$43)/Inputs!$B$31)/'Env Data'!$H$34,0)*'Env Data'!$G$34/1000*'Cost Data'!$D$46*(Inputs!$B$15-Inputs!$B$29)*Inputs!$B$31</f>
        <v>0</v>
      </c>
      <c r="D36" s="139">
        <f>ROUNDUP(((D$11/2000/'Cost Data'!$D$42*'Cost Data'!$D$43)/Inputs!$B$32)/'Env Data'!$H$34,0)*'Env Data'!$G$34/1000*'Cost Data'!$D$46*(Inputs!$B$15-Inputs!$B$29)*Inputs!$B$32</f>
        <v>0</v>
      </c>
      <c r="E36" s="149">
        <f>ROUNDUP(((E$11/2000/'Cost Data'!$D$42*'Cost Data'!$D$43)/Inputs!$B$33)/'Env Data'!$H$34,0)*'Env Data'!$G$34/1000*'Cost Data'!$D$46*(Inputs!$B$15-Inputs!$B$29)*Inputs!$B$33</f>
        <v>0</v>
      </c>
      <c r="F36" s="208"/>
      <c r="G36" s="9"/>
      <c r="H36" s="152" t="s">
        <v>242</v>
      </c>
      <c r="I36" s="397"/>
      <c r="J36" s="392"/>
      <c r="K36" s="392"/>
      <c r="L36" s="398"/>
      <c r="M36" s="208"/>
      <c r="O36" s="152" t="s">
        <v>242</v>
      </c>
      <c r="P36" s="139">
        <f>ROUNDUP(((P$11/2000/'Cost Data'!$D$42*'Cost Data'!$D$43)/Inputs!$B$30)/'Env Data'!$H$34,0)*'Env Data'!$G$34/1000*'Cost Data'!$D$46*(Inputs!$B$15-Inputs!$B$29)*Inputs!$B$30</f>
        <v>0</v>
      </c>
      <c r="Q36" s="139">
        <f>ROUNDUP(((Q$11/2000/'Cost Data'!$D$42*'Cost Data'!$D$43)/Inputs!$B$31)/'Env Data'!$H$34,0)*'Env Data'!$G$34/1000*'Cost Data'!$D$46*(Inputs!$B$15-Inputs!$B$29)*Inputs!$B$31</f>
        <v>0</v>
      </c>
      <c r="R36" s="139">
        <f>ROUNDUP(((R$11/2000/'Cost Data'!$D$42*'Cost Data'!$D$43)/Inputs!$B$32)/'Env Data'!$H$34,0)*'Env Data'!$G$34/1000*'Cost Data'!$D$46*(Inputs!$B$15-Inputs!$B$29)*Inputs!$B$32</f>
        <v>0</v>
      </c>
      <c r="S36" s="149">
        <f>ROUNDUP(((S$11/2000/'Cost Data'!$D$42*'Cost Data'!$D$43)/Inputs!$B$33)/'Env Data'!$H$34,0)*'Env Data'!$G$34/1000*'Cost Data'!$D$46*(Inputs!$B$15-Inputs!$B$29)*Inputs!$B$33</f>
        <v>0</v>
      </c>
    </row>
    <row r="37" spans="1:19" ht="12.75" customHeight="1" hidden="1">
      <c r="A37" s="36" t="s">
        <v>179</v>
      </c>
      <c r="B37" s="139">
        <f>ROUNDUP(((B$11/2000/'Cost Data'!$D$42*'Cost Data'!$D$43)/Inputs!$B$30)/'Env Data'!$H$34,0)*'Env Data'!$B$34*(Inputs!$B$15-Inputs!$B$29)*Inputs!$B$30</f>
        <v>0</v>
      </c>
      <c r="C37" s="139">
        <f>ROUNDUP(((C$11/2000/'Cost Data'!$D$42*'Cost Data'!$D$43)/Inputs!$B$31)/'Env Data'!$H$34,0)*'Env Data'!$B$34*(Inputs!$B$15-Inputs!$B$29)*Inputs!$B$31</f>
        <v>0</v>
      </c>
      <c r="D37" s="139">
        <f>ROUNDUP(((D$11/2000/'Cost Data'!$D$42*'Cost Data'!$D$43)/Inputs!$B$32)/'Env Data'!$H$34,0)*'Env Data'!$B$34*(Inputs!$B$15-Inputs!$B$29)*Inputs!$B$32</f>
        <v>0</v>
      </c>
      <c r="E37" s="149">
        <f>ROUNDUP(((E$11/2000/'Cost Data'!$D$42*'Cost Data'!$D$43)/Inputs!$B$33)/'Env Data'!$H$34,0)*'Env Data'!$B$34*(Inputs!$B$15-Inputs!$B$29)*Inputs!$B$33</f>
        <v>0</v>
      </c>
      <c r="F37" s="208"/>
      <c r="G37" s="9"/>
      <c r="H37" s="36" t="s">
        <v>179</v>
      </c>
      <c r="I37" s="389"/>
      <c r="J37" s="389"/>
      <c r="K37" s="389"/>
      <c r="L37" s="399"/>
      <c r="M37" s="208"/>
      <c r="O37" s="36" t="s">
        <v>179</v>
      </c>
      <c r="P37" s="139">
        <f>ROUNDUP(((P$11/2000/'Cost Data'!$D$42*'Cost Data'!$D$43)/Inputs!$B$30)/'Env Data'!$H$34,0)*'Env Data'!$B$34*(Inputs!$B$15-Inputs!$B$29)*Inputs!$B$30</f>
        <v>0</v>
      </c>
      <c r="Q37" s="139">
        <f>ROUNDUP(((Q$11/2000/'Cost Data'!$D$42*'Cost Data'!$D$43)/Inputs!$B$31)/'Env Data'!$H$34,0)*'Env Data'!$B$34*(Inputs!$B$15-Inputs!$B$29)*Inputs!$B$31</f>
        <v>0</v>
      </c>
      <c r="R37" s="139">
        <f>ROUNDUP(((R$11/2000/'Cost Data'!$D$42*'Cost Data'!$D$43)/Inputs!$B$32)/'Env Data'!$H$34,0)*'Env Data'!$B$34*(Inputs!$B$15-Inputs!$B$29)*Inputs!$B$32</f>
        <v>0</v>
      </c>
      <c r="S37" s="149">
        <f>ROUNDUP(((S$11/2000/'Cost Data'!$D$42*'Cost Data'!$D$43)/Inputs!$B$33)/'Env Data'!$H$34,0)*'Env Data'!$B$34*(Inputs!$B$15-Inputs!$B$29)*Inputs!$B$33</f>
        <v>0</v>
      </c>
    </row>
    <row r="38" spans="1:19" ht="12.75" customHeight="1" hidden="1">
      <c r="A38" s="36" t="s">
        <v>212</v>
      </c>
      <c r="B38" s="139">
        <f>ROUNDUP(((B$11/2000/'Cost Data'!$D$42*'Cost Data'!$D$43)/Inputs!$B$30)/'Env Data'!$H$34,0)*'Env Data'!$C$34*(Inputs!$B$15-Inputs!$B$29)*Inputs!$B$30</f>
        <v>0</v>
      </c>
      <c r="C38" s="139">
        <f>ROUNDUP(((C$11/2000/'Cost Data'!$D$42*'Cost Data'!$D$43)/Inputs!$B$31)/'Env Data'!$H$34,0)*'Env Data'!$C$34*(Inputs!$B$15-Inputs!$B$29)*Inputs!$B$31</f>
        <v>0</v>
      </c>
      <c r="D38" s="139">
        <f>ROUNDUP(((D$11/2000/'Cost Data'!$D$42*'Cost Data'!$D$43)/Inputs!$B$32)/'Env Data'!$H$34,0)*'Env Data'!$C$34*(Inputs!$B$15-Inputs!$B$29)*Inputs!$B$32</f>
        <v>0</v>
      </c>
      <c r="E38" s="149">
        <f>ROUNDUP(((E$11/2000/'Cost Data'!$D$42*'Cost Data'!$D$43)/Inputs!$B$33)/'Env Data'!$H$34,0)*'Env Data'!$C$34*(Inputs!$B$15-Inputs!$B$29)*Inputs!$B$33</f>
        <v>0</v>
      </c>
      <c r="F38" s="208"/>
      <c r="G38" s="9"/>
      <c r="H38" s="36" t="s">
        <v>212</v>
      </c>
      <c r="I38" s="389"/>
      <c r="J38" s="389"/>
      <c r="K38" s="389"/>
      <c r="L38" s="399"/>
      <c r="M38" s="208"/>
      <c r="O38" s="36" t="s">
        <v>212</v>
      </c>
      <c r="P38" s="139">
        <f>ROUNDUP(((P$11/2000/'Cost Data'!$D$42*'Cost Data'!$D$43)/Inputs!$B$30)/'Env Data'!$H$34,0)*'Env Data'!$C$34*(Inputs!$B$15-Inputs!$B$29)*Inputs!$B$30</f>
        <v>0</v>
      </c>
      <c r="Q38" s="139">
        <f>ROUNDUP(((Q$11/2000/'Cost Data'!$D$42*'Cost Data'!$D$43)/Inputs!$B$31)/'Env Data'!$H$34,0)*'Env Data'!$C$34*(Inputs!$B$15-Inputs!$B$29)*Inputs!$B$31</f>
        <v>0</v>
      </c>
      <c r="R38" s="139">
        <f>ROUNDUP(((R$11/2000/'Cost Data'!$D$42*'Cost Data'!$D$43)/Inputs!$B$32)/'Env Data'!$H$34,0)*'Env Data'!$C$34*(Inputs!$B$15-Inputs!$B$29)*Inputs!$B$32</f>
        <v>0</v>
      </c>
      <c r="S38" s="149">
        <f>ROUNDUP(((S$11/2000/'Cost Data'!$D$42*'Cost Data'!$D$43)/Inputs!$B$33)/'Env Data'!$H$34,0)*'Env Data'!$C$34*(Inputs!$B$15-Inputs!$B$29)*Inputs!$B$33</f>
        <v>0</v>
      </c>
    </row>
    <row r="39" spans="1:19" ht="12.75" customHeight="1" hidden="1">
      <c r="A39" s="36" t="s">
        <v>340</v>
      </c>
      <c r="B39" s="139">
        <f>ROUNDUP(((B$11/2000/'Cost Data'!$D$42*'Cost Data'!$D$43)/Inputs!$B$30)/'Env Data'!$H$34,0)*'Env Data'!$D$34*(Inputs!$B$15-Inputs!$B$29)*Inputs!$B$30</f>
        <v>0</v>
      </c>
      <c r="C39" s="139">
        <f>ROUNDUP(((C$11/2000/'Cost Data'!$D$42*'Cost Data'!$D$43)/Inputs!$B$31)/'Env Data'!$H$34,0)*'Env Data'!$D$34*(Inputs!$B$15-Inputs!$B$29)*Inputs!$B$31</f>
        <v>0</v>
      </c>
      <c r="D39" s="139">
        <f>ROUNDUP(((D$11/2000/'Cost Data'!$D$42*'Cost Data'!$D$43)/Inputs!$B$32)/'Env Data'!$H$34,0)*'Env Data'!$D$34*(Inputs!$B$15-Inputs!$B$29)*Inputs!$B$32</f>
        <v>0</v>
      </c>
      <c r="E39" s="149">
        <f>ROUNDUP(((E$11/2000/'Cost Data'!$D$42*'Cost Data'!$D$43)/Inputs!$B$33)/'Env Data'!$H$34,0)*'Env Data'!$D$34*(Inputs!$B$15-Inputs!$B$29)*Inputs!$B$33</f>
        <v>0</v>
      </c>
      <c r="F39" s="208"/>
      <c r="G39" s="9"/>
      <c r="H39" s="36" t="s">
        <v>340</v>
      </c>
      <c r="I39" s="389"/>
      <c r="J39" s="389"/>
      <c r="K39" s="389"/>
      <c r="L39" s="399"/>
      <c r="M39" s="208"/>
      <c r="O39" s="36" t="s">
        <v>340</v>
      </c>
      <c r="P39" s="139">
        <f>ROUNDUP(((P$11/2000/'Cost Data'!$D$42*'Cost Data'!$D$43)/Inputs!$B$30)/'Env Data'!$H$34,0)*'Env Data'!$D$34*(Inputs!$B$15-Inputs!$B$29)*Inputs!$B$30</f>
        <v>0</v>
      </c>
      <c r="Q39" s="139">
        <f>ROUNDUP(((Q$11/2000/'Cost Data'!$D$42*'Cost Data'!$D$43)/Inputs!$B$31)/'Env Data'!$H$34,0)*'Env Data'!$D$34*(Inputs!$B$15-Inputs!$B$29)*Inputs!$B$31</f>
        <v>0</v>
      </c>
      <c r="R39" s="139">
        <f>ROUNDUP(((R$11/2000/'Cost Data'!$D$42*'Cost Data'!$D$43)/Inputs!$B$32)/'Env Data'!$H$34,0)*'Env Data'!$D$34*(Inputs!$B$15-Inputs!$B$29)*Inputs!$B$32</f>
        <v>0</v>
      </c>
      <c r="S39" s="149">
        <f>ROUNDUP(((S$11/2000/'Cost Data'!$D$42*'Cost Data'!$D$43)/Inputs!$B$33)/'Env Data'!$H$34,0)*'Env Data'!$D$34*(Inputs!$B$15-Inputs!$B$29)*Inputs!$B$33</f>
        <v>0</v>
      </c>
    </row>
    <row r="40" spans="1:19" ht="12.75" customHeight="1" hidden="1">
      <c r="A40" s="36" t="s">
        <v>338</v>
      </c>
      <c r="B40" s="139">
        <f>ROUNDUP(((B$11/2000/'Cost Data'!$D$42*'Cost Data'!$D$43)/Inputs!$B$30)/'Env Data'!$H$34,0)*'Env Data'!$E$34*(Inputs!$B$15-Inputs!$B$29)*Inputs!$B$30</f>
        <v>0</v>
      </c>
      <c r="C40" s="139">
        <f>ROUNDUP(((C$11/2000/'Cost Data'!$D$42*'Cost Data'!$D$43)/Inputs!$B$31)/'Env Data'!$H$34,0)*'Env Data'!$E$34*(Inputs!$B$15-Inputs!$B$29)*Inputs!$B$31</f>
        <v>0</v>
      </c>
      <c r="D40" s="139">
        <f>ROUNDUP(((D$11/2000/'Cost Data'!$D$42*'Cost Data'!$D$43)/Inputs!$B$32)/'Env Data'!$H$34,0)*'Env Data'!$E$34*(Inputs!$B$15-Inputs!$B$29)*Inputs!$B$32</f>
        <v>0</v>
      </c>
      <c r="E40" s="149">
        <f>ROUNDUP(((E$11/2000/'Cost Data'!$D$42*'Cost Data'!$D$43)/Inputs!$B$33)/'Env Data'!$H$34,0)*'Env Data'!$E$34*(Inputs!$B$15-Inputs!$B$29)*Inputs!$B$33</f>
        <v>0</v>
      </c>
      <c r="F40" s="208"/>
      <c r="G40" s="9"/>
      <c r="H40" s="36" t="s">
        <v>338</v>
      </c>
      <c r="I40" s="389"/>
      <c r="J40" s="389"/>
      <c r="K40" s="389"/>
      <c r="L40" s="399"/>
      <c r="M40" s="208"/>
      <c r="O40" s="36" t="s">
        <v>338</v>
      </c>
      <c r="P40" s="139">
        <f>ROUNDUP(((P$11/2000/'Cost Data'!$D$42*'Cost Data'!$D$43)/Inputs!$B$30)/'Env Data'!$H$34,0)*'Env Data'!$E$34*(Inputs!$B$15-Inputs!$B$29)*Inputs!$B$30</f>
        <v>0</v>
      </c>
      <c r="Q40" s="139">
        <f>ROUNDUP(((Q$11/2000/'Cost Data'!$D$42*'Cost Data'!$D$43)/Inputs!$B$31)/'Env Data'!$H$34,0)*'Env Data'!$E$34*(Inputs!$B$15-Inputs!$B$29)*Inputs!$B$31</f>
        <v>0</v>
      </c>
      <c r="R40" s="139">
        <f>ROUNDUP(((R$11/2000/'Cost Data'!$D$42*'Cost Data'!$D$43)/Inputs!$B$32)/'Env Data'!$H$34,0)*'Env Data'!$E$34*(Inputs!$B$15-Inputs!$B$29)*Inputs!$B$32</f>
        <v>0</v>
      </c>
      <c r="S40" s="149">
        <f>ROUNDUP(((S$11/2000/'Cost Data'!$D$42*'Cost Data'!$D$43)/Inputs!$B$33)/'Env Data'!$H$34,0)*'Env Data'!$E$34*(Inputs!$B$15-Inputs!$B$29)*Inputs!$B$33</f>
        <v>0</v>
      </c>
    </row>
    <row r="41" spans="1:19" ht="12.75" customHeight="1" hidden="1" thickBot="1">
      <c r="A41" s="113" t="s">
        <v>174</v>
      </c>
      <c r="B41" s="139">
        <f>ROUNDUP(((B$11/2000/'Cost Data'!$D$42*'Cost Data'!$D$43)/Inputs!$B$30)/'Env Data'!$H$34,0)*'Env Data'!$F$34*(Inputs!$B$15-Inputs!$B$29)*Inputs!$B$30</f>
        <v>0</v>
      </c>
      <c r="C41" s="139">
        <f>ROUNDUP(((C$11/2000/'Cost Data'!$D$42*'Cost Data'!$D$43)/Inputs!$B$31)/'Env Data'!$H$34,0)*'Env Data'!$F$34*(Inputs!$B$15-Inputs!$B$29)*Inputs!$B$31</f>
        <v>0</v>
      </c>
      <c r="D41" s="139">
        <f>ROUNDUP(((D$11/2000/'Cost Data'!$D$42*'Cost Data'!$D$43)/Inputs!$B$32)/'Env Data'!$H$34,0)*'Env Data'!$F$34*(Inputs!$B$15-Inputs!$B$29)*Inputs!$B$32</f>
        <v>0</v>
      </c>
      <c r="E41" s="149">
        <f>ROUNDUP(((E$11/2000/'Cost Data'!$D$42*'Cost Data'!$D$43)/Inputs!$B$33)/'Env Data'!$H$34,0)*'Env Data'!$F$34*(Inputs!$B$15-Inputs!$B$29)*Inputs!$B$33</f>
        <v>0</v>
      </c>
      <c r="F41" s="208"/>
      <c r="G41" s="9"/>
      <c r="H41" s="113" t="s">
        <v>174</v>
      </c>
      <c r="I41" s="400"/>
      <c r="J41" s="400"/>
      <c r="K41" s="400"/>
      <c r="L41" s="401"/>
      <c r="M41" s="208"/>
      <c r="O41" s="113" t="s">
        <v>174</v>
      </c>
      <c r="P41" s="139">
        <f>ROUNDUP(((P$11/2000/'Cost Data'!$D$42*'Cost Data'!$D$43)/Inputs!$B$30)/'Env Data'!$H$34,0)*'Env Data'!$F$34*(Inputs!$B$15-Inputs!$B$29)*Inputs!$B$30</f>
        <v>0</v>
      </c>
      <c r="Q41" s="139">
        <f>ROUNDUP(((Q$11/2000/'Cost Data'!$D$42*'Cost Data'!$D$43)/Inputs!$B$31)/'Env Data'!$H$34,0)*'Env Data'!$F$34*(Inputs!$B$15-Inputs!$B$29)*Inputs!$B$31</f>
        <v>0</v>
      </c>
      <c r="R41" s="139">
        <f>ROUNDUP(((R$11/2000/'Cost Data'!$D$42*'Cost Data'!$D$43)/Inputs!$B$32)/'Env Data'!$H$34,0)*'Env Data'!$F$34*(Inputs!$B$15-Inputs!$B$29)*Inputs!$B$32</f>
        <v>0</v>
      </c>
      <c r="S41" s="149">
        <f>ROUNDUP(((S$11/2000/'Cost Data'!$D$42*'Cost Data'!$D$43)/Inputs!$B$33)/'Env Data'!$H$34,0)*'Env Data'!$F$34*(Inputs!$B$15-Inputs!$B$29)*Inputs!$B$33</f>
        <v>0</v>
      </c>
    </row>
    <row r="42" spans="1:19" ht="12.75" customHeight="1" thickBot="1">
      <c r="A42" s="257" t="s">
        <v>259</v>
      </c>
      <c r="B42" s="169"/>
      <c r="C42" s="169"/>
      <c r="D42" s="169"/>
      <c r="E42" s="170"/>
      <c r="F42" s="208"/>
      <c r="G42" s="9"/>
      <c r="H42" s="257" t="s">
        <v>259</v>
      </c>
      <c r="I42" s="169"/>
      <c r="J42" s="169"/>
      <c r="K42" s="169"/>
      <c r="L42" s="170"/>
      <c r="M42" s="208"/>
      <c r="O42" s="257" t="s">
        <v>259</v>
      </c>
      <c r="P42" s="169"/>
      <c r="Q42" s="169"/>
      <c r="R42" s="169"/>
      <c r="S42" s="170"/>
    </row>
    <row r="43" spans="1:19" ht="12.75" customHeight="1">
      <c r="A43" s="114" t="s">
        <v>178</v>
      </c>
      <c r="B43" s="139">
        <f>SUM(B14)</f>
        <v>3585.615</v>
      </c>
      <c r="C43" s="139">
        <f>SUM(C14)</f>
        <v>10756.845000000001</v>
      </c>
      <c r="D43" s="139">
        <f>SUM(D14)</f>
        <v>21513.690000000002</v>
      </c>
      <c r="E43" s="149">
        <f>SUM(E14)</f>
        <v>35856.15</v>
      </c>
      <c r="F43" s="208"/>
      <c r="G43" s="9"/>
      <c r="H43" s="114" t="s">
        <v>178</v>
      </c>
      <c r="I43" s="139">
        <f>SUM(I14)</f>
        <v>1799.25</v>
      </c>
      <c r="J43" s="139">
        <f>SUM(J14)</f>
        <v>5397.75</v>
      </c>
      <c r="K43" s="139">
        <f>SUM(K14)</f>
        <v>10795.5</v>
      </c>
      <c r="L43" s="149">
        <f>SUM(L14)</f>
        <v>17992.5</v>
      </c>
      <c r="M43" s="208"/>
      <c r="O43" s="114" t="s">
        <v>178</v>
      </c>
      <c r="P43" s="139">
        <f>SUM(P14)</f>
        <v>3572.73</v>
      </c>
      <c r="Q43" s="139">
        <f>SUM(Q14)</f>
        <v>10718.19</v>
      </c>
      <c r="R43" s="139">
        <f>SUM(R14)</f>
        <v>21436.38</v>
      </c>
      <c r="S43" s="149">
        <f>SUM(S14)</f>
        <v>35727.3</v>
      </c>
    </row>
    <row r="44" spans="1:19" ht="25.5" customHeight="1">
      <c r="A44" s="152" t="s">
        <v>242</v>
      </c>
      <c r="B44" s="139">
        <f aca="true" t="shared" si="0" ref="B44:E49">SUM(B15,B22,B29,B36)</f>
        <v>8414.34138498691</v>
      </c>
      <c r="C44" s="139">
        <f t="shared" si="0"/>
        <v>25243.02415496073</v>
      </c>
      <c r="D44" s="139">
        <f t="shared" si="0"/>
        <v>50486.04830992146</v>
      </c>
      <c r="E44" s="149">
        <f t="shared" si="0"/>
        <v>84143.41384986909</v>
      </c>
      <c r="F44" s="208"/>
      <c r="G44" s="9"/>
      <c r="H44" s="152" t="s">
        <v>242</v>
      </c>
      <c r="I44" s="139">
        <f aca="true" t="shared" si="1" ref="I44:L49">SUM(I15,I22,I29,I36)</f>
        <v>4363.352058146001</v>
      </c>
      <c r="J44" s="139">
        <f t="shared" si="1"/>
        <v>13090.056174438001</v>
      </c>
      <c r="K44" s="139">
        <f t="shared" si="1"/>
        <v>26180.112348876002</v>
      </c>
      <c r="L44" s="149">
        <f t="shared" si="1"/>
        <v>43633.520581460005</v>
      </c>
      <c r="M44" s="208"/>
      <c r="O44" s="152" t="s">
        <v>242</v>
      </c>
      <c r="P44" s="139">
        <f aca="true" t="shared" si="2" ref="P44:S49">SUM(P15,P22,P29,P36)</f>
        <v>8101.978653681818</v>
      </c>
      <c r="Q44" s="139">
        <f t="shared" si="2"/>
        <v>24305.935961045456</v>
      </c>
      <c r="R44" s="139">
        <f t="shared" si="2"/>
        <v>48611.87192209091</v>
      </c>
      <c r="S44" s="149">
        <f t="shared" si="2"/>
        <v>81019.78653681818</v>
      </c>
    </row>
    <row r="45" spans="1:19" ht="12.75" customHeight="1">
      <c r="A45" s="36" t="s">
        <v>179</v>
      </c>
      <c r="B45" s="139">
        <f t="shared" si="0"/>
        <v>1758.1508438038647</v>
      </c>
      <c r="C45" s="139">
        <f t="shared" si="0"/>
        <v>5274.4525314115945</v>
      </c>
      <c r="D45" s="139">
        <f t="shared" si="0"/>
        <v>10548.905062823189</v>
      </c>
      <c r="E45" s="149">
        <f t="shared" si="0"/>
        <v>17581.508438038647</v>
      </c>
      <c r="F45" s="208"/>
      <c r="G45" s="9"/>
      <c r="H45" s="36" t="s">
        <v>179</v>
      </c>
      <c r="I45" s="139">
        <f t="shared" si="1"/>
        <v>1757.3600000000001</v>
      </c>
      <c r="J45" s="139">
        <f t="shared" si="1"/>
        <v>5272.080000000001</v>
      </c>
      <c r="K45" s="139">
        <f t="shared" si="1"/>
        <v>10544.160000000002</v>
      </c>
      <c r="L45" s="149">
        <f t="shared" si="1"/>
        <v>17573.600000000002</v>
      </c>
      <c r="M45" s="208"/>
      <c r="O45" s="36" t="s">
        <v>179</v>
      </c>
      <c r="P45" s="139">
        <f t="shared" si="2"/>
        <v>1.5816876077292945</v>
      </c>
      <c r="Q45" s="139">
        <f t="shared" si="2"/>
        <v>4.745062823187884</v>
      </c>
      <c r="R45" s="139">
        <f t="shared" si="2"/>
        <v>9.490125646375768</v>
      </c>
      <c r="S45" s="149">
        <f t="shared" si="2"/>
        <v>15.816876077292944</v>
      </c>
    </row>
    <row r="46" spans="1:19" ht="12.75" customHeight="1">
      <c r="A46" s="36" t="s">
        <v>212</v>
      </c>
      <c r="B46" s="139">
        <f t="shared" si="0"/>
        <v>307.7365328177447</v>
      </c>
      <c r="C46" s="139">
        <f t="shared" si="0"/>
        <v>923.2095984532341</v>
      </c>
      <c r="D46" s="139">
        <f t="shared" si="0"/>
        <v>1846.4191969064682</v>
      </c>
      <c r="E46" s="149">
        <f t="shared" si="0"/>
        <v>3077.3653281774473</v>
      </c>
      <c r="F46" s="208"/>
      <c r="G46" s="9"/>
      <c r="H46" s="36" t="s">
        <v>212</v>
      </c>
      <c r="I46" s="139">
        <f t="shared" si="1"/>
        <v>307.1</v>
      </c>
      <c r="J46" s="139">
        <f t="shared" si="1"/>
        <v>921.3</v>
      </c>
      <c r="K46" s="139">
        <f t="shared" si="1"/>
        <v>1842.6</v>
      </c>
      <c r="L46" s="149">
        <f t="shared" si="1"/>
        <v>3071</v>
      </c>
      <c r="M46" s="208"/>
      <c r="O46" s="36" t="s">
        <v>212</v>
      </c>
      <c r="P46" s="139">
        <f t="shared" si="2"/>
        <v>1.2730656354894299</v>
      </c>
      <c r="Q46" s="139">
        <f t="shared" si="2"/>
        <v>3.8191969064682896</v>
      </c>
      <c r="R46" s="139">
        <f t="shared" si="2"/>
        <v>7.638393812936579</v>
      </c>
      <c r="S46" s="149">
        <f t="shared" si="2"/>
        <v>12.730656354894299</v>
      </c>
    </row>
    <row r="47" spans="1:19" ht="12.75" customHeight="1">
      <c r="A47" s="36" t="s">
        <v>340</v>
      </c>
      <c r="B47" s="139">
        <f t="shared" si="0"/>
        <v>2388.9719971876984</v>
      </c>
      <c r="C47" s="139">
        <f t="shared" si="0"/>
        <v>7166.915991563095</v>
      </c>
      <c r="D47" s="139">
        <f t="shared" si="0"/>
        <v>14333.83198312619</v>
      </c>
      <c r="E47" s="149">
        <f t="shared" si="0"/>
        <v>23889.719971876984</v>
      </c>
      <c r="F47" s="208"/>
      <c r="G47" s="9"/>
      <c r="H47" s="36" t="s">
        <v>340</v>
      </c>
      <c r="I47" s="139">
        <f t="shared" si="1"/>
        <v>2385.5</v>
      </c>
      <c r="J47" s="139">
        <f t="shared" si="1"/>
        <v>7156.5</v>
      </c>
      <c r="K47" s="139">
        <f t="shared" si="1"/>
        <v>14313</v>
      </c>
      <c r="L47" s="149">
        <f t="shared" si="1"/>
        <v>23855</v>
      </c>
      <c r="M47" s="208"/>
      <c r="O47" s="36" t="s">
        <v>340</v>
      </c>
      <c r="P47" s="139">
        <f t="shared" si="2"/>
        <v>6.943994375396887</v>
      </c>
      <c r="Q47" s="139">
        <f t="shared" si="2"/>
        <v>20.83198312619066</v>
      </c>
      <c r="R47" s="139">
        <f t="shared" si="2"/>
        <v>41.66396625238132</v>
      </c>
      <c r="S47" s="149">
        <f t="shared" si="2"/>
        <v>69.43994375396886</v>
      </c>
    </row>
    <row r="48" spans="1:19" ht="12.75" customHeight="1">
      <c r="A48" s="36" t="s">
        <v>338</v>
      </c>
      <c r="B48" s="139">
        <f t="shared" si="0"/>
        <v>620.6618552118299</v>
      </c>
      <c r="C48" s="139">
        <f t="shared" si="0"/>
        <v>1861.9855656354894</v>
      </c>
      <c r="D48" s="139">
        <f t="shared" si="0"/>
        <v>3723.9711312709787</v>
      </c>
      <c r="E48" s="149">
        <f t="shared" si="0"/>
        <v>6206.618552118298</v>
      </c>
      <c r="F48" s="208"/>
      <c r="G48" s="9"/>
      <c r="H48" s="36" t="s">
        <v>338</v>
      </c>
      <c r="I48" s="139">
        <f t="shared" si="1"/>
        <v>620.2375000000001</v>
      </c>
      <c r="J48" s="139">
        <f t="shared" si="1"/>
        <v>1860.7124999999999</v>
      </c>
      <c r="K48" s="139">
        <f t="shared" si="1"/>
        <v>3721.4249999999997</v>
      </c>
      <c r="L48" s="149">
        <f t="shared" si="1"/>
        <v>6202.375</v>
      </c>
      <c r="M48" s="208"/>
      <c r="O48" s="36" t="s">
        <v>338</v>
      </c>
      <c r="P48" s="139">
        <f t="shared" si="2"/>
        <v>0.8487104236596205</v>
      </c>
      <c r="Q48" s="139">
        <f t="shared" si="2"/>
        <v>2.5461312709788615</v>
      </c>
      <c r="R48" s="139">
        <f t="shared" si="2"/>
        <v>5.092262541957723</v>
      </c>
      <c r="S48" s="149">
        <f t="shared" si="2"/>
        <v>8.487104236596204</v>
      </c>
    </row>
    <row r="49" spans="1:19" ht="12.75" customHeight="1">
      <c r="A49" s="166" t="s">
        <v>174</v>
      </c>
      <c r="B49" s="139">
        <f t="shared" si="0"/>
        <v>97.28399437539689</v>
      </c>
      <c r="C49" s="139">
        <f t="shared" si="0"/>
        <v>291.8519831261907</v>
      </c>
      <c r="D49" s="139">
        <f t="shared" si="0"/>
        <v>583.7039662523814</v>
      </c>
      <c r="E49" s="149">
        <f t="shared" si="0"/>
        <v>972.839943753969</v>
      </c>
      <c r="F49" s="208"/>
      <c r="G49" s="9"/>
      <c r="H49" s="166" t="s">
        <v>174</v>
      </c>
      <c r="I49" s="139">
        <f t="shared" si="1"/>
        <v>90.33999999999999</v>
      </c>
      <c r="J49" s="139">
        <f t="shared" si="1"/>
        <v>271.02000000000004</v>
      </c>
      <c r="K49" s="139">
        <f t="shared" si="1"/>
        <v>542.0400000000001</v>
      </c>
      <c r="L49" s="149">
        <f t="shared" si="1"/>
        <v>903.4000000000001</v>
      </c>
      <c r="M49" s="208"/>
      <c r="O49" s="166" t="s">
        <v>174</v>
      </c>
      <c r="P49" s="139">
        <f t="shared" si="2"/>
        <v>13.887988750793786</v>
      </c>
      <c r="Q49" s="139">
        <f t="shared" si="2"/>
        <v>41.663966252381364</v>
      </c>
      <c r="R49" s="139">
        <f t="shared" si="2"/>
        <v>83.32793250476273</v>
      </c>
      <c r="S49" s="149">
        <f t="shared" si="2"/>
        <v>138.87988750793787</v>
      </c>
    </row>
    <row r="50" spans="1:19" ht="12.75" customHeight="1">
      <c r="A50" s="204" t="s">
        <v>9</v>
      </c>
      <c r="B50" s="177" t="s">
        <v>21</v>
      </c>
      <c r="C50" s="177" t="s">
        <v>18</v>
      </c>
      <c r="D50" s="177" t="s">
        <v>19</v>
      </c>
      <c r="E50" s="178" t="s">
        <v>20</v>
      </c>
      <c r="F50" s="238"/>
      <c r="G50" s="9"/>
      <c r="H50" s="204" t="s">
        <v>9</v>
      </c>
      <c r="I50" s="177" t="s">
        <v>21</v>
      </c>
      <c r="J50" s="177" t="s">
        <v>18</v>
      </c>
      <c r="K50" s="177" t="s">
        <v>19</v>
      </c>
      <c r="L50" s="178" t="s">
        <v>20</v>
      </c>
      <c r="M50" s="238"/>
      <c r="O50" s="204" t="s">
        <v>9</v>
      </c>
      <c r="P50" s="177" t="s">
        <v>21</v>
      </c>
      <c r="Q50" s="177" t="s">
        <v>18</v>
      </c>
      <c r="R50" s="177" t="s">
        <v>19</v>
      </c>
      <c r="S50" s="178" t="s">
        <v>20</v>
      </c>
    </row>
    <row r="51" spans="1:19" ht="12.75">
      <c r="A51" s="36" t="s">
        <v>153</v>
      </c>
      <c r="B51" s="199">
        <f>(Inputs!$B$40*'Cost Data'!$D$38*2000)-(B52+B53)</f>
        <v>2250.0000000000005</v>
      </c>
      <c r="C51" s="199">
        <f>(Inputs!$B$41*'Cost Data'!$D$38*2000)-(C52+C53)</f>
        <v>6749.999999999999</v>
      </c>
      <c r="D51" s="199">
        <f>(Inputs!$B$42*'Cost Data'!$D$38*2000)-(D52+D53)</f>
        <v>13499.999999999998</v>
      </c>
      <c r="E51" s="200">
        <f>(Inputs!$B$43*'Cost Data'!$D$38*2000)-(E52+E53)</f>
        <v>22500</v>
      </c>
      <c r="F51" s="241"/>
      <c r="G51" s="9"/>
      <c r="H51" s="36" t="s">
        <v>153</v>
      </c>
      <c r="I51" s="199">
        <f>(Inputs!$B$40*'Cost Data'!$D$38*2000)-(I52+I53)</f>
        <v>2250.0000000000005</v>
      </c>
      <c r="J51" s="199">
        <f>(Inputs!$B$41*'Cost Data'!$D$38*2000)-(J52+J53)</f>
        <v>6749.999999999999</v>
      </c>
      <c r="K51" s="199">
        <f>(Inputs!$B$42*'Cost Data'!$D$38*2000)-(K52+K53)</f>
        <v>13499.999999999998</v>
      </c>
      <c r="L51" s="200">
        <f>(Inputs!$B$43*'Cost Data'!$D$38*2000)-(L52+L53)</f>
        <v>22500</v>
      </c>
      <c r="M51" s="241"/>
      <c r="O51" s="36" t="s">
        <v>153</v>
      </c>
      <c r="P51" s="195">
        <v>0</v>
      </c>
      <c r="Q51" s="195">
        <v>0</v>
      </c>
      <c r="R51" s="195">
        <v>0</v>
      </c>
      <c r="S51" s="196">
        <v>0</v>
      </c>
    </row>
    <row r="52" spans="1:19" ht="12.75">
      <c r="A52" s="49" t="s">
        <v>154</v>
      </c>
      <c r="B52" s="195">
        <f>IF(Lookup!$C$4="Yes",'Cost Calculator'!B$21/Inputs!$B$49*2000,0)</f>
        <v>2249.9999999999995</v>
      </c>
      <c r="C52" s="195">
        <f>IF(Lookup!$C$4="Yes",'Cost Calculator'!C$21/Inputs!$B$49*2000,0)</f>
        <v>6749.999999999999</v>
      </c>
      <c r="D52" s="195">
        <f>IF(Lookup!$C$4="Yes",'Cost Calculator'!D$21/Inputs!$B$49*2000,0)</f>
        <v>13499.999999999998</v>
      </c>
      <c r="E52" s="196">
        <f>IF(Lookup!$C$4="Yes",'Cost Calculator'!E$21/Inputs!$B$49*2000,0)</f>
        <v>22500</v>
      </c>
      <c r="F52" s="208"/>
      <c r="G52" s="9"/>
      <c r="H52" s="49" t="s">
        <v>154</v>
      </c>
      <c r="I52" s="195">
        <v>0</v>
      </c>
      <c r="J52" s="195">
        <v>0</v>
      </c>
      <c r="K52" s="195">
        <v>0</v>
      </c>
      <c r="L52" s="196">
        <v>0</v>
      </c>
      <c r="M52" s="208"/>
      <c r="O52" s="49" t="s">
        <v>154</v>
      </c>
      <c r="P52" s="195">
        <f>IF(Lookup!$C$4="Yes",SUM(I51:I53),0)</f>
        <v>4500</v>
      </c>
      <c r="Q52" s="195">
        <f>IF(Lookup!$C$4="Yes",SUM(J51:J53),0)</f>
        <v>13499.999999999998</v>
      </c>
      <c r="R52" s="195">
        <f>IF(Lookup!$C$4="Yes",SUM(K51:K53),0)</f>
        <v>26999.999999999996</v>
      </c>
      <c r="S52" s="196">
        <f>IF(Lookup!$C$4="Yes",SUM(L51:L53),0)</f>
        <v>45000</v>
      </c>
    </row>
    <row r="53" spans="1:19" ht="13.5" thickBot="1">
      <c r="A53" s="113" t="s">
        <v>155</v>
      </c>
      <c r="B53" s="197">
        <f>IF(Lookup!$C$4="No",'Cost Calculator'!B$21/VLOOKUP(Lookup!$I$9,'Cost Data'!$A$4:$C$10,3)*2000,0)</f>
        <v>0</v>
      </c>
      <c r="C53" s="197">
        <f>IF(Lookup!$C$4="No",'Cost Calculator'!C$21/VLOOKUP(Lookup!$I$9,'Cost Data'!$A$4:$C$10,3)*2000,0)</f>
        <v>0</v>
      </c>
      <c r="D53" s="197">
        <f>IF(Lookup!$C$4="No",'Cost Calculator'!D$21/VLOOKUP(Lookup!$I$9,'Cost Data'!$A$4:$C$10,3)*2000,0)</f>
        <v>0</v>
      </c>
      <c r="E53" s="198">
        <f>IF(Lookup!$C$4="No",'Cost Calculator'!E$21/VLOOKUP(Lookup!$I$9,'Cost Data'!$A$4:$C$10,3)*2000,0)</f>
        <v>0</v>
      </c>
      <c r="F53" s="208"/>
      <c r="G53" s="9"/>
      <c r="H53" s="113" t="s">
        <v>155</v>
      </c>
      <c r="I53" s="197">
        <f>B52+B53</f>
        <v>2249.9999999999995</v>
      </c>
      <c r="J53" s="197">
        <f>C52+C53</f>
        <v>6749.999999999999</v>
      </c>
      <c r="K53" s="197">
        <f>D52+D53</f>
        <v>13499.999999999998</v>
      </c>
      <c r="L53" s="198">
        <f>E52+E53</f>
        <v>22500</v>
      </c>
      <c r="M53" s="208"/>
      <c r="O53" s="113" t="s">
        <v>155</v>
      </c>
      <c r="P53" s="197">
        <f>IF(Lookup!$C$4="No",SUM(I51:I53),0)</f>
        <v>0</v>
      </c>
      <c r="Q53" s="197">
        <f>IF(Lookup!$C$4="No",SUM(J51:J53),0)</f>
        <v>0</v>
      </c>
      <c r="R53" s="197">
        <f>IF(Lookup!$C$4="No",SUM(K51:K53),0)</f>
        <v>0</v>
      </c>
      <c r="S53" s="198">
        <f>IF(Lookup!$C$4="No",SUM(L51:L53),0)</f>
        <v>0</v>
      </c>
    </row>
    <row r="54" spans="1:19" ht="13.5" hidden="1" thickBot="1">
      <c r="A54" s="168" t="s">
        <v>237</v>
      </c>
      <c r="B54" s="169"/>
      <c r="C54" s="169"/>
      <c r="D54" s="169"/>
      <c r="E54" s="170"/>
      <c r="F54" s="208"/>
      <c r="G54" s="9"/>
      <c r="H54" s="168" t="s">
        <v>237</v>
      </c>
      <c r="I54" s="169"/>
      <c r="J54" s="169"/>
      <c r="K54" s="169"/>
      <c r="L54" s="170"/>
      <c r="M54" s="208"/>
      <c r="O54" s="168" t="s">
        <v>237</v>
      </c>
      <c r="P54" s="169"/>
      <c r="Q54" s="169"/>
      <c r="R54" s="169"/>
      <c r="S54" s="170"/>
    </row>
    <row r="55" spans="1:19" ht="12.75" hidden="1">
      <c r="A55" s="229" t="s">
        <v>156</v>
      </c>
      <c r="B55" s="146">
        <f>(SUM(B$51:B$52))*'Env Data'!$J$9/2000</f>
        <v>94.5</v>
      </c>
      <c r="C55" s="146">
        <f>(SUM(C$51:C$52))*'Env Data'!$J$9/2000</f>
        <v>283.49999999999994</v>
      </c>
      <c r="D55" s="146">
        <f>(SUM(D$51:D$52))*'Env Data'!$J$9/2000</f>
        <v>566.9999999999999</v>
      </c>
      <c r="E55" s="151">
        <f>(SUM(E$51:E$52))*'Env Data'!$J$9/2000</f>
        <v>945</v>
      </c>
      <c r="F55" s="240"/>
      <c r="G55" s="9"/>
      <c r="H55" s="114" t="s">
        <v>156</v>
      </c>
      <c r="I55" s="123">
        <f>(SUM(I$51:I$52))*'Env Data'!$J$9/2000</f>
        <v>47.25000000000001</v>
      </c>
      <c r="J55" s="123">
        <f>(SUM(J$51:J$52))*'Env Data'!$J$9/2000</f>
        <v>141.74999999999997</v>
      </c>
      <c r="K55" s="123">
        <f>(SUM(K$51:K$52))*'Env Data'!$J$9/2000</f>
        <v>283.49999999999994</v>
      </c>
      <c r="L55" s="151">
        <f>(SUM(L$51:L$52))*'Env Data'!$J$9/2000</f>
        <v>472.5</v>
      </c>
      <c r="M55" s="240"/>
      <c r="O55" s="114" t="s">
        <v>156</v>
      </c>
      <c r="P55" s="123">
        <f>(SUM(P$51:P$52))*'Env Data'!$J$9/2000</f>
        <v>94.5</v>
      </c>
      <c r="Q55" s="123">
        <f>(SUM(Q$51:Q$52))*'Env Data'!$J$9/2000</f>
        <v>283.49999999999994</v>
      </c>
      <c r="R55" s="123">
        <f>(SUM(R$51:R$52))*'Env Data'!$J$9/2000</f>
        <v>566.9999999999999</v>
      </c>
      <c r="S55" s="151">
        <f>(SUM(S$51:S$52))*'Env Data'!$J$9/2000</f>
        <v>945</v>
      </c>
    </row>
    <row r="56" spans="1:19" ht="12.75" hidden="1">
      <c r="A56" s="36" t="s">
        <v>178</v>
      </c>
      <c r="B56" s="134">
        <f>(SUM(B$51:B$52))*'Env Data'!$H$9/2000</f>
        <v>4738.5</v>
      </c>
      <c r="C56" s="134">
        <f>(SUM(C$51:C$52))*'Env Data'!$H$9/2000</f>
        <v>14215.499999999998</v>
      </c>
      <c r="D56" s="134">
        <f>(SUM(D$51:D$52))*'Env Data'!$H$9/2000</f>
        <v>28430.999999999996</v>
      </c>
      <c r="E56" s="140">
        <f>(SUM(E$51:E$52))*'Env Data'!$H$9/2000</f>
        <v>47385</v>
      </c>
      <c r="F56" s="240"/>
      <c r="G56" s="9"/>
      <c r="H56" s="36" t="s">
        <v>178</v>
      </c>
      <c r="I56" s="134">
        <f>(SUM(I$51:I$52))*'Env Data'!$H$9/2000</f>
        <v>2369.2500000000005</v>
      </c>
      <c r="J56" s="134">
        <f>(SUM(J$51:J$52))*'Env Data'!$H$9/2000</f>
        <v>7107.749999999999</v>
      </c>
      <c r="K56" s="134">
        <f>(SUM(K$51:K$52))*'Env Data'!$H$9/2000</f>
        <v>14215.499999999998</v>
      </c>
      <c r="L56" s="140">
        <f>(SUM(L$51:L$52))*'Env Data'!$H$9/2000</f>
        <v>23692.5</v>
      </c>
      <c r="M56" s="240"/>
      <c r="O56" s="36" t="s">
        <v>178</v>
      </c>
      <c r="P56" s="134">
        <f>(SUM(P$51:P$52))*'Env Data'!$H$9/2000</f>
        <v>4738.5</v>
      </c>
      <c r="Q56" s="134">
        <f>(SUM(Q$51:Q$52))*'Env Data'!$H$9/2000</f>
        <v>14215.499999999998</v>
      </c>
      <c r="R56" s="134">
        <f>(SUM(R$51:R$52))*'Env Data'!$H$9/2000</f>
        <v>28430.999999999996</v>
      </c>
      <c r="S56" s="140">
        <f>(SUM(S$51:S$52))*'Env Data'!$H$9/2000</f>
        <v>47385</v>
      </c>
    </row>
    <row r="57" spans="1:19" ht="25.5" customHeight="1" hidden="1">
      <c r="A57" s="152" t="s">
        <v>242</v>
      </c>
      <c r="B57" s="134">
        <f>((SUM(B$51:B$52))/2000)*'Env Data'!$G$9/1000*'Cost Data'!$D$46</f>
        <v>1000.99863</v>
      </c>
      <c r="C57" s="134">
        <f>((SUM(C$51:C$52))/2000)*'Env Data'!$G$9/1000*'Cost Data'!$D$46</f>
        <v>3002.9958899999997</v>
      </c>
      <c r="D57" s="134">
        <f>((SUM(D$51:D$52))/2000)*'Env Data'!$G$9/1000*'Cost Data'!$D$46</f>
        <v>6005.991779999999</v>
      </c>
      <c r="E57" s="140">
        <f>((SUM(E$51:E$52))/2000)*'Env Data'!$G$9/1000*'Cost Data'!$D$46</f>
        <v>10009.9863</v>
      </c>
      <c r="F57" s="240"/>
      <c r="G57" s="9"/>
      <c r="H57" s="152" t="s">
        <v>242</v>
      </c>
      <c r="I57" s="134">
        <f>((SUM(I$51:I$52))/2000)*'Env Data'!$G$9/1000*'Cost Data'!$D$46</f>
        <v>500.49931500000014</v>
      </c>
      <c r="J57" s="134">
        <f>((SUM(J$51:J$52))/2000)*'Env Data'!$G$9/1000*'Cost Data'!$D$46</f>
        <v>1501.4979449999998</v>
      </c>
      <c r="K57" s="134">
        <f>((SUM(K$51:K$52))/2000)*'Env Data'!$G$9/1000*'Cost Data'!$D$46</f>
        <v>3002.9958899999997</v>
      </c>
      <c r="L57" s="140">
        <f>((SUM(L$51:L$52))/2000)*'Env Data'!$G$9/1000*'Cost Data'!$D$46</f>
        <v>5004.99315</v>
      </c>
      <c r="M57" s="240"/>
      <c r="O57" s="152" t="s">
        <v>242</v>
      </c>
      <c r="P57" s="134">
        <f>((SUM(P$51:P$52))/2000)*'Env Data'!$G$9/1000*'Cost Data'!$D$46</f>
        <v>1000.99863</v>
      </c>
      <c r="Q57" s="134">
        <f>((SUM(Q$51:Q$52))/2000)*'Env Data'!$G$9/1000*'Cost Data'!$D$46</f>
        <v>3002.9958899999997</v>
      </c>
      <c r="R57" s="134">
        <f>((SUM(R$51:R$52))/2000)*'Env Data'!$G$9/1000*'Cost Data'!$D$46</f>
        <v>6005.991779999999</v>
      </c>
      <c r="S57" s="140">
        <f>((SUM(S$51:S$52))/2000)*'Env Data'!$G$9/1000*'Cost Data'!$D$46</f>
        <v>10009.9863</v>
      </c>
    </row>
    <row r="58" spans="1:19" ht="12.75" hidden="1">
      <c r="A58" s="36" t="s">
        <v>179</v>
      </c>
      <c r="B58" s="134">
        <f>(SUM(B$51:B$52))*'Env Data'!$B$9/2000</f>
        <v>101.25</v>
      </c>
      <c r="C58" s="134">
        <f>(SUM(C$51:C$52))*'Env Data'!$B$9/2000</f>
        <v>303.74999999999994</v>
      </c>
      <c r="D58" s="134">
        <f>(SUM(D$51:D$52))*'Env Data'!$B$9/2000</f>
        <v>607.4999999999999</v>
      </c>
      <c r="E58" s="140">
        <f>(SUM(E$51:E$52))*'Env Data'!$B$9/2000</f>
        <v>1012.5</v>
      </c>
      <c r="F58" s="240"/>
      <c r="G58" s="9"/>
      <c r="H58" s="36" t="s">
        <v>179</v>
      </c>
      <c r="I58" s="134">
        <f>(SUM(I$51:I$52))*'Env Data'!$B$9/2000</f>
        <v>50.62500000000001</v>
      </c>
      <c r="J58" s="134">
        <f>(SUM(J$51:J$52))*'Env Data'!$B$9/2000</f>
        <v>151.87499999999997</v>
      </c>
      <c r="K58" s="134">
        <f>(SUM(K$51:K$52))*'Env Data'!$B$9/2000</f>
        <v>303.74999999999994</v>
      </c>
      <c r="L58" s="140">
        <f>(SUM(L$51:L$52))*'Env Data'!$B$9/2000</f>
        <v>506.25</v>
      </c>
      <c r="M58" s="240"/>
      <c r="O58" s="36" t="s">
        <v>179</v>
      </c>
      <c r="P58" s="134">
        <f>(SUM(P$51:P$52))*'Env Data'!$B$9/2000</f>
        <v>101.25</v>
      </c>
      <c r="Q58" s="134">
        <f>(SUM(Q$51:Q$52))*'Env Data'!$B$9/2000</f>
        <v>303.74999999999994</v>
      </c>
      <c r="R58" s="134">
        <f>(SUM(R$51:R$52))*'Env Data'!$B$9/2000</f>
        <v>607.4999999999999</v>
      </c>
      <c r="S58" s="140">
        <f>(SUM(S$51:S$52))*'Env Data'!$B$9/2000</f>
        <v>1012.5</v>
      </c>
    </row>
    <row r="59" spans="1:19" ht="12.75" hidden="1">
      <c r="A59" s="36" t="s">
        <v>212</v>
      </c>
      <c r="B59" s="134">
        <f>(SUM(B$51:B$52))*'Env Data'!$C$9/2000</f>
        <v>51.75</v>
      </c>
      <c r="C59" s="134">
        <f>(SUM(C$51:C$52))*'Env Data'!$C$9/2000</f>
        <v>155.24999999999997</v>
      </c>
      <c r="D59" s="134">
        <f>(SUM(D$51:D$52))*'Env Data'!$C$9/2000</f>
        <v>310.49999999999994</v>
      </c>
      <c r="E59" s="140">
        <f>(SUM(E$51:E$52))*'Env Data'!$C$9/2000</f>
        <v>517.5</v>
      </c>
      <c r="F59" s="240"/>
      <c r="G59" s="9"/>
      <c r="H59" s="36" t="s">
        <v>212</v>
      </c>
      <c r="I59" s="134">
        <f>(SUM(I$51:I$52))*'Env Data'!$C$9/2000</f>
        <v>25.875000000000004</v>
      </c>
      <c r="J59" s="134">
        <f>(SUM(J$51:J$52))*'Env Data'!$C$9/2000</f>
        <v>77.62499999999999</v>
      </c>
      <c r="K59" s="134">
        <f>(SUM(K$51:K$52))*'Env Data'!$C$9/2000</f>
        <v>155.24999999999997</v>
      </c>
      <c r="L59" s="140">
        <f>(SUM(L$51:L$52))*'Env Data'!$C$9/2000</f>
        <v>258.75</v>
      </c>
      <c r="M59" s="240"/>
      <c r="O59" s="36" t="s">
        <v>212</v>
      </c>
      <c r="P59" s="134">
        <f>(SUM(P$51:P$52))*'Env Data'!$C$9/2000</f>
        <v>51.75</v>
      </c>
      <c r="Q59" s="134">
        <f>(SUM(Q$51:Q$52))*'Env Data'!$C$9/2000</f>
        <v>155.24999999999997</v>
      </c>
      <c r="R59" s="134">
        <f>(SUM(R$51:R$52))*'Env Data'!$C$9/2000</f>
        <v>310.49999999999994</v>
      </c>
      <c r="S59" s="140">
        <f>(SUM(S$51:S$52))*'Env Data'!$C$9/2000</f>
        <v>517.5</v>
      </c>
    </row>
    <row r="60" spans="1:19" ht="15.75" hidden="1">
      <c r="A60" s="36" t="s">
        <v>340</v>
      </c>
      <c r="B60" s="134">
        <f>(SUM(B$51:B$52))*'Env Data'!$D$9/2000</f>
        <v>744.75</v>
      </c>
      <c r="C60" s="134">
        <f>(SUM(C$51:C$52))*'Env Data'!$D$9/2000</f>
        <v>2234.2499999999995</v>
      </c>
      <c r="D60" s="134">
        <f>(SUM(D$51:D$52))*'Env Data'!$D$9/2000</f>
        <v>4468.499999999999</v>
      </c>
      <c r="E60" s="140">
        <f>(SUM(E$51:E$52))*'Env Data'!$D$9/2000</f>
        <v>7447.5</v>
      </c>
      <c r="F60" s="240"/>
      <c r="G60" s="9"/>
      <c r="H60" s="36" t="s">
        <v>340</v>
      </c>
      <c r="I60" s="134">
        <f>(SUM(I$51:I$52))*'Env Data'!$D$9/2000</f>
        <v>372.37500000000006</v>
      </c>
      <c r="J60" s="134">
        <f>(SUM(J$51:J$52))*'Env Data'!$D$9/2000</f>
        <v>1117.1249999999998</v>
      </c>
      <c r="K60" s="134">
        <f>(SUM(K$51:K$52))*'Env Data'!$D$9/2000</f>
        <v>2234.2499999999995</v>
      </c>
      <c r="L60" s="140">
        <f>(SUM(L$51:L$52))*'Env Data'!$D$9/2000</f>
        <v>3723.75</v>
      </c>
      <c r="M60" s="240"/>
      <c r="O60" s="36" t="s">
        <v>340</v>
      </c>
      <c r="P60" s="134">
        <f>(SUM(P$51:P$52))*'Env Data'!$D$9/2000</f>
        <v>744.75</v>
      </c>
      <c r="Q60" s="134">
        <f>(SUM(Q$51:Q$52))*'Env Data'!$D$9/2000</f>
        <v>2234.2499999999995</v>
      </c>
      <c r="R60" s="134">
        <f>(SUM(R$51:R$52))*'Env Data'!$D$9/2000</f>
        <v>4468.499999999999</v>
      </c>
      <c r="S60" s="140">
        <f>(SUM(S$51:S$52))*'Env Data'!$D$9/2000</f>
        <v>7447.5</v>
      </c>
    </row>
    <row r="61" spans="1:19" ht="15.75" hidden="1">
      <c r="A61" s="36" t="s">
        <v>338</v>
      </c>
      <c r="B61" s="134">
        <f>(SUM(B$51:B$52))*'Env Data'!$E$9/2000</f>
        <v>4495.5</v>
      </c>
      <c r="C61" s="134">
        <f>(SUM(C$51:C$52))*'Env Data'!$E$9/2000</f>
        <v>13486.499999999998</v>
      </c>
      <c r="D61" s="134">
        <f>(SUM(D$51:D$52))*'Env Data'!$E$9/2000</f>
        <v>26972.999999999996</v>
      </c>
      <c r="E61" s="140">
        <f>(SUM(E$51:E$52))*'Env Data'!$E$9/2000</f>
        <v>44955</v>
      </c>
      <c r="F61" s="240"/>
      <c r="G61" s="9"/>
      <c r="H61" s="36" t="s">
        <v>338</v>
      </c>
      <c r="I61" s="134">
        <f>(SUM(I$51:I$52))*'Env Data'!$E$9/2000</f>
        <v>2247.7500000000005</v>
      </c>
      <c r="J61" s="134">
        <f>(SUM(J$51:J$52))*'Env Data'!$E$9/2000</f>
        <v>6743.249999999999</v>
      </c>
      <c r="K61" s="134">
        <f>(SUM(K$51:K$52))*'Env Data'!$E$9/2000</f>
        <v>13486.499999999998</v>
      </c>
      <c r="L61" s="140">
        <f>(SUM(L$51:L$52))*'Env Data'!$E$9/2000</f>
        <v>22477.5</v>
      </c>
      <c r="M61" s="240"/>
      <c r="O61" s="36" t="s">
        <v>338</v>
      </c>
      <c r="P61" s="134">
        <f>(SUM(P$51:P$52))*'Env Data'!$E$9/2000</f>
        <v>4495.5</v>
      </c>
      <c r="Q61" s="134">
        <f>(SUM(Q$51:Q$52))*'Env Data'!$E$9/2000</f>
        <v>13486.499999999998</v>
      </c>
      <c r="R61" s="134">
        <f>(SUM(R$51:R$52))*'Env Data'!$E$9/2000</f>
        <v>26972.999999999996</v>
      </c>
      <c r="S61" s="140">
        <f>(SUM(S$51:S$52))*'Env Data'!$E$9/2000</f>
        <v>44955</v>
      </c>
    </row>
    <row r="62" spans="1:19" ht="13.5" hidden="1" thickBot="1">
      <c r="A62" s="166" t="s">
        <v>174</v>
      </c>
      <c r="B62" s="171">
        <f>(SUM(B$51:B$52))*'Env Data'!$F$9/2000</f>
        <v>3172.5</v>
      </c>
      <c r="C62" s="171">
        <f>(SUM(C$51:C$52))*'Env Data'!$F$9/2000</f>
        <v>9517.499999999998</v>
      </c>
      <c r="D62" s="171">
        <f>(SUM(D$51:D$52))*'Env Data'!$F$9/2000</f>
        <v>19034.999999999996</v>
      </c>
      <c r="E62" s="172">
        <f>(SUM(E$51:E$52))*'Env Data'!$F$9/2000</f>
        <v>31725</v>
      </c>
      <c r="F62" s="240"/>
      <c r="G62" s="9"/>
      <c r="H62" s="36" t="s">
        <v>174</v>
      </c>
      <c r="I62" s="134">
        <f>(SUM(I$51:I$52))*'Env Data'!$F$9/2000</f>
        <v>1586.2500000000002</v>
      </c>
      <c r="J62" s="134">
        <f>(SUM(J$51:J$52))*'Env Data'!$F$9/2000</f>
        <v>4758.749999999999</v>
      </c>
      <c r="K62" s="134">
        <f>(SUM(K$51:K$52))*'Env Data'!$F$9/2000</f>
        <v>9517.499999999998</v>
      </c>
      <c r="L62" s="140">
        <f>(SUM(L$51:L$52))*'Env Data'!$F$9/2000</f>
        <v>15862.5</v>
      </c>
      <c r="M62" s="240"/>
      <c r="O62" s="36" t="s">
        <v>174</v>
      </c>
      <c r="P62" s="134">
        <f>(SUM(P$51:P$52))*'Env Data'!$F$9/2000</f>
        <v>3172.5</v>
      </c>
      <c r="Q62" s="134">
        <f>(SUM(Q$51:Q$52))*'Env Data'!$F$9/2000</f>
        <v>9517.499999999998</v>
      </c>
      <c r="R62" s="134">
        <f>(SUM(R$51:R$52))*'Env Data'!$F$9/2000</f>
        <v>19034.999999999996</v>
      </c>
      <c r="S62" s="140">
        <f>(SUM(S$51:S$52))*'Env Data'!$F$9/2000</f>
        <v>31725</v>
      </c>
    </row>
    <row r="63" spans="1:19" ht="13.5" hidden="1" thickBot="1">
      <c r="A63" s="173" t="s">
        <v>239</v>
      </c>
      <c r="B63" s="174"/>
      <c r="C63" s="174"/>
      <c r="D63" s="174"/>
      <c r="E63" s="175"/>
      <c r="F63" s="240"/>
      <c r="G63" s="9"/>
      <c r="H63" s="173" t="s">
        <v>239</v>
      </c>
      <c r="I63" s="174"/>
      <c r="J63" s="174"/>
      <c r="K63" s="174"/>
      <c r="L63" s="175"/>
      <c r="M63" s="240"/>
      <c r="O63" s="173" t="s">
        <v>239</v>
      </c>
      <c r="P63" s="174"/>
      <c r="Q63" s="174"/>
      <c r="R63" s="174"/>
      <c r="S63" s="175"/>
    </row>
    <row r="64" spans="1:19" ht="25.5" customHeight="1" hidden="1">
      <c r="A64" s="152" t="s">
        <v>242</v>
      </c>
      <c r="B64" s="138">
        <f>ROUNDUP(((B$51/2000)/Inputs!$B$58)/'Env Data'!$H$34,0)*'Env Data'!$G$31/1000*'Cost Data'!$D$46*Inputs!$B$57*Inputs!$B$58</f>
        <v>185.803688</v>
      </c>
      <c r="C64" s="138">
        <f>ROUNDUP(((C$51/2000)/Inputs!$B$59)/'Env Data'!$H$34,0)*'Env Data'!$G$31/1000*'Cost Data'!$D$46*Inputs!$B$57*Inputs!$B$59</f>
        <v>557.411064</v>
      </c>
      <c r="D64" s="138">
        <f>ROUNDUP(((D$51/2000)/Inputs!$B$60)/'Env Data'!$H$34,0)*'Env Data'!$G$31/1000*'Cost Data'!$D$46*Inputs!$B$57*Inputs!$B$60</f>
        <v>1114.822128</v>
      </c>
      <c r="E64" s="144">
        <f>ROUNDUP(((E$51/2000)/Inputs!$B$61)/'Env Data'!$H$34,0)*'Env Data'!$G$31/1000*'Cost Data'!$D$46*Inputs!$B$57*Inputs!$B$61</f>
        <v>1858.0368799999999</v>
      </c>
      <c r="F64" s="208"/>
      <c r="G64" s="9"/>
      <c r="H64" s="152" t="s">
        <v>242</v>
      </c>
      <c r="I64" s="138">
        <f>ROUNDUP(((I$51/2000)/Inputs!$B$58)/'Env Data'!$H$34,0)*'Env Data'!$G$31/1000*'Cost Data'!$D$46*Inputs!$B$57*Inputs!$B$58</f>
        <v>185.803688</v>
      </c>
      <c r="J64" s="138">
        <f>ROUNDUP(((J$51/2000)/Inputs!$B$59)/'Env Data'!$H$34,0)*'Env Data'!$G$31/1000*'Cost Data'!$D$46*Inputs!$B$57*Inputs!$B$59</f>
        <v>557.411064</v>
      </c>
      <c r="K64" s="138">
        <f>ROUNDUP(((K$51/2000)/Inputs!$B$60)/'Env Data'!$H$34,0)*'Env Data'!$G$31/1000*'Cost Data'!$D$46*Inputs!$B$57*Inputs!$B$60</f>
        <v>1114.822128</v>
      </c>
      <c r="L64" s="144">
        <f>ROUNDUP(((L$51/2000)/Inputs!$B$61)/'Env Data'!$H$34,0)*'Env Data'!$G$31/1000*'Cost Data'!$D$46*Inputs!$B$57*Inputs!$B$61</f>
        <v>1858.0368799999999</v>
      </c>
      <c r="M64" s="208"/>
      <c r="O64" s="152" t="s">
        <v>242</v>
      </c>
      <c r="P64" s="397"/>
      <c r="Q64" s="392"/>
      <c r="R64" s="392"/>
      <c r="S64" s="398"/>
    </row>
    <row r="65" spans="1:19" ht="12.75" hidden="1">
      <c r="A65" s="36" t="s">
        <v>179</v>
      </c>
      <c r="B65" s="141">
        <f>ROUNDUP(((B$51/2000)/Inputs!$B$58)/'Env Data'!$H$34,0)*'Env Data'!$B$31*Inputs!$B$57*Inputs!$B$58</f>
        <v>289.2</v>
      </c>
      <c r="C65" s="141">
        <f>ROUNDUP(((C$51/2000)/Inputs!$B$59)/'Env Data'!$H$34,0)*'Env Data'!$B$31*Inputs!$B$57*Inputs!$B$59</f>
        <v>867.5999999999999</v>
      </c>
      <c r="D65" s="141">
        <f>ROUNDUP(((D$51/2000)/Inputs!$B$60)/'Env Data'!$H$34,0)*'Env Data'!$B$31*Inputs!$B$57*Inputs!$B$60</f>
        <v>1735.1999999999998</v>
      </c>
      <c r="E65" s="143">
        <f>ROUNDUP(((E$51/2000)/Inputs!$B$61)/'Env Data'!$H$34,0)*'Env Data'!$B$31*Inputs!$B$57*Inputs!$B$61</f>
        <v>2892</v>
      </c>
      <c r="F65" s="208"/>
      <c r="G65" s="9"/>
      <c r="H65" s="36" t="s">
        <v>179</v>
      </c>
      <c r="I65" s="141">
        <f>ROUNDUP(((I$51/2000)/Inputs!$B$58)/'Env Data'!$H$34,0)*'Env Data'!$B$31*Inputs!$B$57*Inputs!$B$58</f>
        <v>289.2</v>
      </c>
      <c r="J65" s="141">
        <f>ROUNDUP(((J$51/2000)/Inputs!$B$59)/'Env Data'!$H$34,0)*'Env Data'!$B$31*Inputs!$B$57*Inputs!$B$59</f>
        <v>867.5999999999999</v>
      </c>
      <c r="K65" s="141">
        <f>ROUNDUP(((K$51/2000)/Inputs!$B$60)/'Env Data'!$H$34,0)*'Env Data'!$B$31*Inputs!$B$57*Inputs!$B$60</f>
        <v>1735.1999999999998</v>
      </c>
      <c r="L65" s="143">
        <f>ROUNDUP(((L$51/2000)/Inputs!$B$61)/'Env Data'!$H$34,0)*'Env Data'!$B$31*Inputs!$B$57*Inputs!$B$61</f>
        <v>2892</v>
      </c>
      <c r="M65" s="208"/>
      <c r="O65" s="36" t="s">
        <v>179</v>
      </c>
      <c r="P65" s="389"/>
      <c r="Q65" s="389"/>
      <c r="R65" s="389"/>
      <c r="S65" s="399"/>
    </row>
    <row r="66" spans="1:19" ht="12.75" hidden="1">
      <c r="A66" s="36" t="s">
        <v>212</v>
      </c>
      <c r="B66" s="141">
        <f>ROUNDUP(((B$51/2000)/Inputs!$B$58)/'Env Data'!$H$34,0)*'Env Data'!$C$31*Inputs!$B$57*Inputs!$B$58</f>
        <v>50.449999999999996</v>
      </c>
      <c r="C66" s="141">
        <f>ROUNDUP(((C$51/2000)/Inputs!$B$59)/'Env Data'!$H$34,0)*'Env Data'!$C$31*Inputs!$B$57*Inputs!$B$59</f>
        <v>151.35</v>
      </c>
      <c r="D66" s="141">
        <f>ROUNDUP(((D$51/2000)/Inputs!$B$60)/'Env Data'!$H$34,0)*'Env Data'!$C$31*Inputs!$B$57*Inputs!$B$60</f>
        <v>302.7</v>
      </c>
      <c r="E66" s="143">
        <f>ROUNDUP(((E$51/2000)/Inputs!$B$61)/'Env Data'!$H$34,0)*'Env Data'!$C$31*Inputs!$B$57*Inputs!$B$61</f>
        <v>504.49999999999994</v>
      </c>
      <c r="F66" s="208"/>
      <c r="G66" s="9"/>
      <c r="H66" s="36" t="s">
        <v>212</v>
      </c>
      <c r="I66" s="141">
        <f>ROUNDUP(((I$51/2000)/Inputs!$B$58)/'Env Data'!$H$34,0)*'Env Data'!$C$31*Inputs!$B$57*Inputs!$B$58</f>
        <v>50.449999999999996</v>
      </c>
      <c r="J66" s="141">
        <f>ROUNDUP(((J$51/2000)/Inputs!$B$59)/'Env Data'!$H$34,0)*'Env Data'!$C$31*Inputs!$B$57*Inputs!$B$59</f>
        <v>151.35</v>
      </c>
      <c r="K66" s="141">
        <f>ROUNDUP(((K$51/2000)/Inputs!$B$60)/'Env Data'!$H$34,0)*'Env Data'!$C$31*Inputs!$B$57*Inputs!$B$60</f>
        <v>302.7</v>
      </c>
      <c r="L66" s="143">
        <f>ROUNDUP(((L$51/2000)/Inputs!$B$61)/'Env Data'!$H$34,0)*'Env Data'!$C$31*Inputs!$B$57*Inputs!$B$61</f>
        <v>504.49999999999994</v>
      </c>
      <c r="M66" s="208"/>
      <c r="O66" s="36" t="s">
        <v>212</v>
      </c>
      <c r="P66" s="389"/>
      <c r="Q66" s="389"/>
      <c r="R66" s="389"/>
      <c r="S66" s="399"/>
    </row>
    <row r="67" spans="1:19" ht="15.75" hidden="1">
      <c r="A67" s="36" t="s">
        <v>340</v>
      </c>
      <c r="B67" s="141">
        <f>ROUNDUP(((B$51/2000)/Inputs!$B$58)/'Env Data'!$H$34,0)*'Env Data'!$D$31*Inputs!$B$57*Inputs!$B$58</f>
        <v>1235.75</v>
      </c>
      <c r="C67" s="141">
        <f>ROUNDUP(((C$51/2000)/Inputs!$B$59)/'Env Data'!$H$34,0)*'Env Data'!$D$31*Inputs!$B$57*Inputs!$B$59</f>
        <v>3707.25</v>
      </c>
      <c r="D67" s="141">
        <f>ROUNDUP(((D$51/2000)/Inputs!$B$60)/'Env Data'!$H$34,0)*'Env Data'!$D$31*Inputs!$B$57*Inputs!$B$60</f>
        <v>7414.5</v>
      </c>
      <c r="E67" s="143">
        <f>ROUNDUP(((E$51/2000)/Inputs!$B$61)/'Env Data'!$H$34,0)*'Env Data'!$D$31*Inputs!$B$57*Inputs!$B$61</f>
        <v>12357.5</v>
      </c>
      <c r="F67" s="208"/>
      <c r="G67" s="9"/>
      <c r="H67" s="36" t="s">
        <v>340</v>
      </c>
      <c r="I67" s="141">
        <f>ROUNDUP(((I$51/2000)/Inputs!$B$58)/'Env Data'!$H$34,0)*'Env Data'!$D$31*Inputs!$B$57*Inputs!$B$58</f>
        <v>1235.75</v>
      </c>
      <c r="J67" s="141">
        <f>ROUNDUP(((J$51/2000)/Inputs!$B$59)/'Env Data'!$H$34,0)*'Env Data'!$D$31*Inputs!$B$57*Inputs!$B$59</f>
        <v>3707.25</v>
      </c>
      <c r="K67" s="141">
        <f>ROUNDUP(((K$51/2000)/Inputs!$B$60)/'Env Data'!$H$34,0)*'Env Data'!$D$31*Inputs!$B$57*Inputs!$B$60</f>
        <v>7414.5</v>
      </c>
      <c r="L67" s="143">
        <f>ROUNDUP(((L$51/2000)/Inputs!$B$61)/'Env Data'!$H$34,0)*'Env Data'!$D$31*Inputs!$B$57*Inputs!$B$61</f>
        <v>12357.5</v>
      </c>
      <c r="M67" s="208"/>
      <c r="O67" s="36" t="s">
        <v>340</v>
      </c>
      <c r="P67" s="389"/>
      <c r="Q67" s="389"/>
      <c r="R67" s="389"/>
      <c r="S67" s="399"/>
    </row>
    <row r="68" spans="1:19" ht="15.75" hidden="1">
      <c r="A68" s="36" t="s">
        <v>338</v>
      </c>
      <c r="B68" s="141">
        <f>ROUNDUP(((B$51/2000)/Inputs!$B$58)/'Env Data'!$H$34,0)*'Env Data'!$E$31*Inputs!$B$57*Inputs!$B$58</f>
        <v>18.325</v>
      </c>
      <c r="C68" s="141">
        <f>ROUNDUP(((C$51/2000)/Inputs!$B$59)/'Env Data'!$H$34,0)*'Env Data'!$E$31*Inputs!$B$57*Inputs!$B$59</f>
        <v>54.974999999999994</v>
      </c>
      <c r="D68" s="141">
        <f>ROUNDUP(((D$51/2000)/Inputs!$B$60)/'Env Data'!$H$34,0)*'Env Data'!$E$31*Inputs!$B$57*Inputs!$B$60</f>
        <v>109.94999999999999</v>
      </c>
      <c r="E68" s="143">
        <f>ROUNDUP(((E$51/2000)/Inputs!$B$61)/'Env Data'!$H$34,0)*'Env Data'!$E$31*Inputs!$B$57*Inputs!$B$61</f>
        <v>183.25</v>
      </c>
      <c r="F68" s="208"/>
      <c r="G68" s="9"/>
      <c r="H68" s="36" t="s">
        <v>338</v>
      </c>
      <c r="I68" s="141">
        <f>ROUNDUP(((I$51/2000)/Inputs!$B$58)/'Env Data'!$H$34,0)*'Env Data'!$E$31*Inputs!$B$57*Inputs!$B$58</f>
        <v>18.325</v>
      </c>
      <c r="J68" s="141">
        <f>ROUNDUP(((J$51/2000)/Inputs!$B$59)/'Env Data'!$H$34,0)*'Env Data'!$E$31*Inputs!$B$57*Inputs!$B$59</f>
        <v>54.974999999999994</v>
      </c>
      <c r="K68" s="141">
        <f>ROUNDUP(((K$51/2000)/Inputs!$B$60)/'Env Data'!$H$34,0)*'Env Data'!$E$31*Inputs!$B$57*Inputs!$B$60</f>
        <v>109.94999999999999</v>
      </c>
      <c r="L68" s="143">
        <f>ROUNDUP(((L$51/2000)/Inputs!$B$61)/'Env Data'!$H$34,0)*'Env Data'!$E$31*Inputs!$B$57*Inputs!$B$61</f>
        <v>183.25</v>
      </c>
      <c r="M68" s="208"/>
      <c r="O68" s="36" t="s">
        <v>338</v>
      </c>
      <c r="P68" s="389"/>
      <c r="Q68" s="389"/>
      <c r="R68" s="389"/>
      <c r="S68" s="399"/>
    </row>
    <row r="69" spans="1:19" ht="13.5" hidden="1" thickBot="1">
      <c r="A69" s="113" t="s">
        <v>174</v>
      </c>
      <c r="B69" s="141">
        <f>ROUNDUP(((B$51/2000)/Inputs!$B$58)/'Env Data'!$H$34,0)*'Env Data'!$F$31*Inputs!$B$57*Inputs!$B$58</f>
        <v>33.160000000000004</v>
      </c>
      <c r="C69" s="141">
        <f>ROUNDUP(((C$51/2000)/Inputs!$B$59)/'Env Data'!$H$34,0)*'Env Data'!$F$31*Inputs!$B$57*Inputs!$B$59</f>
        <v>99.48000000000002</v>
      </c>
      <c r="D69" s="141">
        <f>ROUNDUP(((D$51/2000)/Inputs!$B$60)/'Env Data'!$H$34,0)*'Env Data'!$F$31*Inputs!$B$57*Inputs!$B$60</f>
        <v>198.96000000000004</v>
      </c>
      <c r="E69" s="143">
        <f>ROUNDUP(((E$51/2000)/Inputs!$B$61)/'Env Data'!$H$34,0)*'Env Data'!$F$31*Inputs!$B$57*Inputs!$B$61</f>
        <v>331.6</v>
      </c>
      <c r="F69" s="208"/>
      <c r="G69" s="9"/>
      <c r="H69" s="113" t="s">
        <v>174</v>
      </c>
      <c r="I69" s="141">
        <f>ROUNDUP(((I$51/2000)/Inputs!$B$58)/'Env Data'!$H$34,0)*'Env Data'!$F$31*Inputs!$B$57*Inputs!$B$58</f>
        <v>33.160000000000004</v>
      </c>
      <c r="J69" s="141">
        <f>ROUNDUP(((J$51/2000)/Inputs!$B$59)/'Env Data'!$H$34,0)*'Env Data'!$F$31*Inputs!$B$57*Inputs!$B$59</f>
        <v>99.48000000000002</v>
      </c>
      <c r="K69" s="141">
        <f>ROUNDUP(((K$51/2000)/Inputs!$B$60)/'Env Data'!$H$34,0)*'Env Data'!$F$31*Inputs!$B$57*Inputs!$B$60</f>
        <v>198.96000000000004</v>
      </c>
      <c r="L69" s="143">
        <f>ROUNDUP(((L$51/2000)/Inputs!$B$61)/'Env Data'!$H$34,0)*'Env Data'!$F$31*Inputs!$B$57*Inputs!$B$61</f>
        <v>331.6</v>
      </c>
      <c r="M69" s="208"/>
      <c r="O69" s="113" t="s">
        <v>174</v>
      </c>
      <c r="P69" s="404"/>
      <c r="Q69" s="404"/>
      <c r="R69" s="404"/>
      <c r="S69" s="405"/>
    </row>
    <row r="70" spans="1:19" ht="12.75" customHeight="1" hidden="1" thickBot="1">
      <c r="A70" s="168" t="s">
        <v>284</v>
      </c>
      <c r="B70" s="169"/>
      <c r="C70" s="169"/>
      <c r="D70" s="169"/>
      <c r="E70" s="170"/>
      <c r="F70" s="208"/>
      <c r="G70" s="9"/>
      <c r="H70" s="168" t="s">
        <v>284</v>
      </c>
      <c r="I70" s="169"/>
      <c r="J70" s="169"/>
      <c r="K70" s="169"/>
      <c r="L70" s="170"/>
      <c r="M70" s="208"/>
      <c r="O70" s="168" t="s">
        <v>284</v>
      </c>
      <c r="P70" s="205"/>
      <c r="Q70" s="205"/>
      <c r="R70" s="205"/>
      <c r="S70" s="206"/>
    </row>
    <row r="71" spans="1:19" ht="25.5" customHeight="1" hidden="1">
      <c r="A71" s="152" t="s">
        <v>242</v>
      </c>
      <c r="B71" s="139">
        <f>ROUNDUP(((B$51/2000/'Cost Data'!$D$39)/Inputs!$B$53)/'Env Data'!$H$34,0)*'Env Data'!$G$34/1000*'Cost Data'!$D$46*Inputs!$B$15*Inputs!$B$53</f>
        <v>92.901844</v>
      </c>
      <c r="C71" s="139">
        <f>ROUNDUP(((C$51/2000/'Cost Data'!$D$39)/Inputs!$B$54)/'Env Data'!$H$34,0)*'Env Data'!$G$34/1000*'Cost Data'!$D$46*Inputs!$B$15*Inputs!$B$54</f>
        <v>278.705532</v>
      </c>
      <c r="D71" s="139">
        <f>ROUNDUP(((D$51/2000/'Cost Data'!$D$39)/Inputs!$B$55)/'Env Data'!$H$34,0)*'Env Data'!$G$34/1000*'Cost Data'!$D$46*Inputs!$B$15*Inputs!$B$55</f>
        <v>557.411064</v>
      </c>
      <c r="E71" s="144">
        <f>ROUNDUP(((E$51/2000/'Cost Data'!$D$39)/Inputs!$B$56)/'Env Data'!$H$34,0)*'Env Data'!$G$34/1000*'Cost Data'!$D$46*Inputs!$B$15*Inputs!$B$56</f>
        <v>929.0184399999999</v>
      </c>
      <c r="F71" s="208"/>
      <c r="G71" s="9"/>
      <c r="H71" s="152" t="s">
        <v>242</v>
      </c>
      <c r="I71" s="139">
        <f>ROUNDUP(((I$51/2000/'Cost Data'!$D$39)/Inputs!$B$53)/'Env Data'!$H$34,0)*'Env Data'!$G$34/1000*'Cost Data'!$D$46*Inputs!$B$15*Inputs!$B$53</f>
        <v>92.901844</v>
      </c>
      <c r="J71" s="139">
        <f>ROUNDUP(((J$51/2000/'Cost Data'!$D$39)/Inputs!$B$54)/'Env Data'!$H$34,0)*'Env Data'!$G$34/1000*'Cost Data'!$D$46*Inputs!$B$15*Inputs!$B$54</f>
        <v>278.705532</v>
      </c>
      <c r="K71" s="139">
        <f>ROUNDUP(((K$51/2000/'Cost Data'!$D$39)/Inputs!$B$55)/'Env Data'!$H$34,0)*'Env Data'!$G$34/1000*'Cost Data'!$D$46*Inputs!$B$15*Inputs!$B$55</f>
        <v>557.411064</v>
      </c>
      <c r="L71" s="144">
        <f>ROUNDUP(((L$51/2000/'Cost Data'!$D$39)/Inputs!$B$56)/'Env Data'!$H$34,0)*'Env Data'!$G$34/1000*'Cost Data'!$D$46*Inputs!$B$15*Inputs!$B$56</f>
        <v>929.0184399999999</v>
      </c>
      <c r="M71" s="208"/>
      <c r="O71" s="152" t="s">
        <v>242</v>
      </c>
      <c r="P71" s="389"/>
      <c r="Q71" s="390"/>
      <c r="R71" s="390"/>
      <c r="S71" s="391"/>
    </row>
    <row r="72" spans="1:19" ht="12.75" customHeight="1" hidden="1">
      <c r="A72" s="36" t="s">
        <v>179</v>
      </c>
      <c r="B72" s="139">
        <f>ROUNDUP(((B$51/2000/'Cost Data'!$D$42*'Cost Data'!$D$43)/Inputs!$B$30)/'Env Data'!$H$34,0)*'Env Data'!$B$34*Inputs!$B$15*Inputs!$B$53</f>
        <v>144.6</v>
      </c>
      <c r="C72" s="139">
        <f>ROUNDUP(((C$51/2000/'Cost Data'!$D$42*'Cost Data'!$D$43)/Inputs!$B$31)/'Env Data'!$H$34,0)*'Env Data'!$B$34*Inputs!$B$15*Inputs!$B$54</f>
        <v>433.79999999999995</v>
      </c>
      <c r="D72" s="139">
        <f>ROUNDUP(((D$51/2000/'Cost Data'!$D$42*'Cost Data'!$D$43)/Inputs!$B$32)/'Env Data'!$H$34,0)*'Env Data'!$B$34*Inputs!$B$15*Inputs!$B$55</f>
        <v>867.5999999999999</v>
      </c>
      <c r="E72" s="149">
        <f>ROUNDUP(((E$51/2000/'Cost Data'!$D$42*'Cost Data'!$D$43)/Inputs!$B$33)/'Env Data'!$H$34,0)*'Env Data'!$B$34*Inputs!$B$15*Inputs!$B$56</f>
        <v>1446</v>
      </c>
      <c r="F72" s="208"/>
      <c r="G72" s="9"/>
      <c r="H72" s="36" t="s">
        <v>179</v>
      </c>
      <c r="I72" s="139">
        <f>ROUNDUP(((I$51/2000/'Cost Data'!$D$42*'Cost Data'!$D$43)/Inputs!$B$30)/'Env Data'!$H$34,0)*'Env Data'!$B$34*Inputs!$B$15*Inputs!$B$53</f>
        <v>144.6</v>
      </c>
      <c r="J72" s="139">
        <f>ROUNDUP(((J$51/2000/'Cost Data'!$D$42*'Cost Data'!$D$43)/Inputs!$B$31)/'Env Data'!$H$34,0)*'Env Data'!$B$34*Inputs!$B$15*Inputs!$B$54</f>
        <v>433.79999999999995</v>
      </c>
      <c r="K72" s="139">
        <f>ROUNDUP(((K$51/2000/'Cost Data'!$D$42*'Cost Data'!$D$43)/Inputs!$B$32)/'Env Data'!$H$34,0)*'Env Data'!$B$34*Inputs!$B$15*Inputs!$B$55</f>
        <v>867.5999999999999</v>
      </c>
      <c r="L72" s="149">
        <f>ROUNDUP(((L$51/2000/'Cost Data'!$D$42*'Cost Data'!$D$43)/Inputs!$B$33)/'Env Data'!$H$34,0)*'Env Data'!$B$34*Inputs!$B$15*Inputs!$B$56</f>
        <v>1446</v>
      </c>
      <c r="M72" s="208"/>
      <c r="O72" s="36" t="s">
        <v>179</v>
      </c>
      <c r="P72" s="390"/>
      <c r="Q72" s="390"/>
      <c r="R72" s="390"/>
      <c r="S72" s="391"/>
    </row>
    <row r="73" spans="1:19" ht="12.75" customHeight="1" hidden="1">
      <c r="A73" s="36" t="s">
        <v>212</v>
      </c>
      <c r="B73" s="139">
        <f>ROUNDUP(((B$51/2000/'Cost Data'!$D$42*'Cost Data'!$D$43)/Inputs!$B$30)/'Env Data'!$H$34,0)*'Env Data'!$C$34*Inputs!$B$15*Inputs!$B$53</f>
        <v>25.224999999999998</v>
      </c>
      <c r="C73" s="139">
        <f>ROUNDUP(((C$51/2000/'Cost Data'!$D$42*'Cost Data'!$D$43)/Inputs!$B$31)/'Env Data'!$H$34,0)*'Env Data'!$C$34*Inputs!$B$15*Inputs!$B$54</f>
        <v>75.675</v>
      </c>
      <c r="D73" s="139">
        <f>ROUNDUP(((D$51/2000/'Cost Data'!$D$42*'Cost Data'!$D$43)/Inputs!$B$32)/'Env Data'!$H$34,0)*'Env Data'!$C$34*Inputs!$B$15*Inputs!$B$55</f>
        <v>151.35</v>
      </c>
      <c r="E73" s="149">
        <f>ROUNDUP(((E$51/2000/'Cost Data'!$D$42*'Cost Data'!$D$43)/Inputs!$B$33)/'Env Data'!$H$34,0)*'Env Data'!$C$34*Inputs!$B$15*Inputs!$B$56</f>
        <v>252.24999999999997</v>
      </c>
      <c r="F73" s="208"/>
      <c r="G73" s="9"/>
      <c r="H73" s="36" t="s">
        <v>212</v>
      </c>
      <c r="I73" s="139">
        <f>ROUNDUP(((I$51/2000/'Cost Data'!$D$42*'Cost Data'!$D$43)/Inputs!$B$30)/'Env Data'!$H$34,0)*'Env Data'!$C$34*Inputs!$B$15*Inputs!$B$53</f>
        <v>25.224999999999998</v>
      </c>
      <c r="J73" s="139">
        <f>ROUNDUP(((J$51/2000/'Cost Data'!$D$42*'Cost Data'!$D$43)/Inputs!$B$31)/'Env Data'!$H$34,0)*'Env Data'!$C$34*Inputs!$B$15*Inputs!$B$54</f>
        <v>75.675</v>
      </c>
      <c r="K73" s="139">
        <f>ROUNDUP(((K$51/2000/'Cost Data'!$D$42*'Cost Data'!$D$43)/Inputs!$B$32)/'Env Data'!$H$34,0)*'Env Data'!$C$34*Inputs!$B$15*Inputs!$B$55</f>
        <v>151.35</v>
      </c>
      <c r="L73" s="149">
        <f>ROUNDUP(((L$51/2000/'Cost Data'!$D$42*'Cost Data'!$D$43)/Inputs!$B$33)/'Env Data'!$H$34,0)*'Env Data'!$C$34*Inputs!$B$15*Inputs!$B$56</f>
        <v>252.24999999999997</v>
      </c>
      <c r="M73" s="208"/>
      <c r="O73" s="36" t="s">
        <v>212</v>
      </c>
      <c r="P73" s="390"/>
      <c r="Q73" s="390"/>
      <c r="R73" s="390"/>
      <c r="S73" s="391"/>
    </row>
    <row r="74" spans="1:19" ht="12.75" customHeight="1" hidden="1">
      <c r="A74" s="36" t="s">
        <v>340</v>
      </c>
      <c r="B74" s="139">
        <f>ROUNDUP(((B$51/2000/'Cost Data'!$D$42*'Cost Data'!$D$43)/Inputs!$B$30)/'Env Data'!$H$34,0)*'Env Data'!$D$34*Inputs!$B$15*Inputs!$B$53</f>
        <v>617.875</v>
      </c>
      <c r="C74" s="139">
        <f>ROUNDUP(((C$51/2000/'Cost Data'!$D$42*'Cost Data'!$D$43)/Inputs!$B$31)/'Env Data'!$H$34,0)*'Env Data'!$D$34*Inputs!$B$15*Inputs!$B$54</f>
        <v>1853.625</v>
      </c>
      <c r="D74" s="139">
        <f>ROUNDUP(((D$51/2000/'Cost Data'!$D$42*'Cost Data'!$D$43)/Inputs!$B$32)/'Env Data'!$H$34,0)*'Env Data'!$D$34*Inputs!$B$15*Inputs!$B$55</f>
        <v>3707.25</v>
      </c>
      <c r="E74" s="149">
        <f>ROUNDUP(((E$51/2000/'Cost Data'!$D$42*'Cost Data'!$D$43)/Inputs!$B$33)/'Env Data'!$H$34,0)*'Env Data'!$D$34*Inputs!$B$15*Inputs!$B$56</f>
        <v>6178.75</v>
      </c>
      <c r="F74" s="208"/>
      <c r="G74" s="9"/>
      <c r="H74" s="36" t="s">
        <v>340</v>
      </c>
      <c r="I74" s="139">
        <f>ROUNDUP(((I$51/2000/'Cost Data'!$D$42*'Cost Data'!$D$43)/Inputs!$B$30)/'Env Data'!$H$34,0)*'Env Data'!$D$34*Inputs!$B$15*Inputs!$B$53</f>
        <v>617.875</v>
      </c>
      <c r="J74" s="139">
        <f>ROUNDUP(((J$51/2000/'Cost Data'!$D$42*'Cost Data'!$D$43)/Inputs!$B$31)/'Env Data'!$H$34,0)*'Env Data'!$D$34*Inputs!$B$15*Inputs!$B$54</f>
        <v>1853.625</v>
      </c>
      <c r="K74" s="139">
        <f>ROUNDUP(((K$51/2000/'Cost Data'!$D$42*'Cost Data'!$D$43)/Inputs!$B$32)/'Env Data'!$H$34,0)*'Env Data'!$D$34*Inputs!$B$15*Inputs!$B$55</f>
        <v>3707.25</v>
      </c>
      <c r="L74" s="149">
        <f>ROUNDUP(((L$51/2000/'Cost Data'!$D$42*'Cost Data'!$D$43)/Inputs!$B$33)/'Env Data'!$H$34,0)*'Env Data'!$D$34*Inputs!$B$15*Inputs!$B$56</f>
        <v>6178.75</v>
      </c>
      <c r="M74" s="208"/>
      <c r="O74" s="36" t="s">
        <v>340</v>
      </c>
      <c r="P74" s="390"/>
      <c r="Q74" s="390"/>
      <c r="R74" s="390"/>
      <c r="S74" s="391"/>
    </row>
    <row r="75" spans="1:19" ht="12.75" customHeight="1" hidden="1">
      <c r="A75" s="36" t="s">
        <v>338</v>
      </c>
      <c r="B75" s="139">
        <f>ROUNDUP(((B$51/2000/'Cost Data'!$D$42*'Cost Data'!$D$43)/Inputs!$B$30)/'Env Data'!$H$34,0)*'Env Data'!$E$34*Inputs!$B$15*Inputs!$B$53</f>
        <v>9.1625</v>
      </c>
      <c r="C75" s="139">
        <f>ROUNDUP(((C$51/2000/'Cost Data'!$D$42*'Cost Data'!$D$43)/Inputs!$B$31)/'Env Data'!$H$34,0)*'Env Data'!$E$34*Inputs!$B$15*Inputs!$B$54</f>
        <v>27.487499999999997</v>
      </c>
      <c r="D75" s="139">
        <f>ROUNDUP(((D$51/2000/'Cost Data'!$D$42*'Cost Data'!$D$43)/Inputs!$B$32)/'Env Data'!$H$34,0)*'Env Data'!$E$34*Inputs!$B$15*Inputs!$B$55</f>
        <v>54.974999999999994</v>
      </c>
      <c r="E75" s="149">
        <f>ROUNDUP(((E$51/2000/'Cost Data'!$D$42*'Cost Data'!$D$43)/Inputs!$B$33)/'Env Data'!$H$34,0)*'Env Data'!$E$34*Inputs!$B$15*Inputs!$B$56</f>
        <v>91.625</v>
      </c>
      <c r="F75" s="208"/>
      <c r="G75" s="9"/>
      <c r="H75" s="36" t="s">
        <v>338</v>
      </c>
      <c r="I75" s="139">
        <f>ROUNDUP(((I$51/2000/'Cost Data'!$D$42*'Cost Data'!$D$43)/Inputs!$B$30)/'Env Data'!$H$34,0)*'Env Data'!$E$34*Inputs!$B$15*Inputs!$B$53</f>
        <v>9.1625</v>
      </c>
      <c r="J75" s="139">
        <f>ROUNDUP(((J$51/2000/'Cost Data'!$D$42*'Cost Data'!$D$43)/Inputs!$B$31)/'Env Data'!$H$34,0)*'Env Data'!$E$34*Inputs!$B$15*Inputs!$B$54</f>
        <v>27.487499999999997</v>
      </c>
      <c r="K75" s="139">
        <f>ROUNDUP(((K$51/2000/'Cost Data'!$D$42*'Cost Data'!$D$43)/Inputs!$B$32)/'Env Data'!$H$34,0)*'Env Data'!$E$34*Inputs!$B$15*Inputs!$B$55</f>
        <v>54.974999999999994</v>
      </c>
      <c r="L75" s="149">
        <f>ROUNDUP(((L$51/2000/'Cost Data'!$D$42*'Cost Data'!$D$43)/Inputs!$B$33)/'Env Data'!$H$34,0)*'Env Data'!$E$34*Inputs!$B$15*Inputs!$B$56</f>
        <v>91.625</v>
      </c>
      <c r="M75" s="208"/>
      <c r="O75" s="36" t="s">
        <v>338</v>
      </c>
      <c r="P75" s="390"/>
      <c r="Q75" s="390"/>
      <c r="R75" s="390"/>
      <c r="S75" s="391"/>
    </row>
    <row r="76" spans="1:19" ht="12.75" customHeight="1" hidden="1" thickBot="1">
      <c r="A76" s="113" t="s">
        <v>174</v>
      </c>
      <c r="B76" s="139">
        <f>ROUNDUP(((B$51/2000/'Cost Data'!$D$42*'Cost Data'!$D$43)/Inputs!$B$30)/'Env Data'!$H$34,0)*'Env Data'!$F$34*Inputs!$B$15*Inputs!$B$53</f>
        <v>16.580000000000002</v>
      </c>
      <c r="C76" s="139">
        <f>ROUNDUP(((C$51/2000/'Cost Data'!$D$42*'Cost Data'!$D$43)/Inputs!$B$31)/'Env Data'!$H$34,0)*'Env Data'!$F$34*Inputs!$B$15*Inputs!$B$54</f>
        <v>49.74000000000001</v>
      </c>
      <c r="D76" s="139">
        <f>ROUNDUP(((D$51/2000/'Cost Data'!$D$42*'Cost Data'!$D$43)/Inputs!$B$32)/'Env Data'!$H$34,0)*'Env Data'!$F$34*Inputs!$B$15*Inputs!$B$55</f>
        <v>99.48000000000002</v>
      </c>
      <c r="E76" s="149">
        <f>ROUNDUP(((E$51/2000/'Cost Data'!$D$42*'Cost Data'!$D$43)/Inputs!$B$33)/'Env Data'!$H$34,0)*'Env Data'!$F$34*Inputs!$B$15*Inputs!$B$56</f>
        <v>165.8</v>
      </c>
      <c r="F76" s="208"/>
      <c r="G76" s="9"/>
      <c r="H76" s="113" t="s">
        <v>174</v>
      </c>
      <c r="I76" s="139">
        <f>ROUNDUP(((I$51/2000/'Cost Data'!$D$42*'Cost Data'!$D$43)/Inputs!$B$30)/'Env Data'!$H$34,0)*'Env Data'!$F$34*Inputs!$B$15*Inputs!$B$53</f>
        <v>16.580000000000002</v>
      </c>
      <c r="J76" s="139">
        <f>ROUNDUP(((J$51/2000/'Cost Data'!$D$42*'Cost Data'!$D$43)/Inputs!$B$31)/'Env Data'!$H$34,0)*'Env Data'!$F$34*Inputs!$B$15*Inputs!$B$54</f>
        <v>49.74000000000001</v>
      </c>
      <c r="K76" s="139">
        <f>ROUNDUP(((K$51/2000/'Cost Data'!$D$42*'Cost Data'!$D$43)/Inputs!$B$32)/'Env Data'!$H$34,0)*'Env Data'!$F$34*Inputs!$B$15*Inputs!$B$55</f>
        <v>99.48000000000002</v>
      </c>
      <c r="L76" s="149">
        <f>ROUNDUP(((L$51/2000/'Cost Data'!$D$42*'Cost Data'!$D$43)/Inputs!$B$33)/'Env Data'!$H$34,0)*'Env Data'!$F$34*Inputs!$B$15*Inputs!$B$56</f>
        <v>165.8</v>
      </c>
      <c r="M76" s="208"/>
      <c r="O76" s="113" t="s">
        <v>174</v>
      </c>
      <c r="P76" s="390"/>
      <c r="Q76" s="390"/>
      <c r="R76" s="390"/>
      <c r="S76" s="391"/>
    </row>
    <row r="77" spans="1:19" ht="12.75" customHeight="1" hidden="1" thickBot="1">
      <c r="A77" s="168" t="s">
        <v>382</v>
      </c>
      <c r="B77" s="169"/>
      <c r="C77" s="169"/>
      <c r="D77" s="169"/>
      <c r="E77" s="170"/>
      <c r="F77" s="208"/>
      <c r="G77" s="9"/>
      <c r="H77" s="168" t="s">
        <v>382</v>
      </c>
      <c r="I77" s="169"/>
      <c r="J77" s="169"/>
      <c r="K77" s="169"/>
      <c r="L77" s="170"/>
      <c r="M77" s="208"/>
      <c r="O77" s="168" t="s">
        <v>382</v>
      </c>
      <c r="P77" s="205"/>
      <c r="Q77" s="205"/>
      <c r="R77" s="205"/>
      <c r="S77" s="206"/>
    </row>
    <row r="78" spans="1:19" ht="25.5" customHeight="1" hidden="1">
      <c r="A78" s="152" t="s">
        <v>242</v>
      </c>
      <c r="B78" s="139">
        <f>ROUNDUP(((B$52/2000/'Cost Data'!$D$39)/Inputs!$B$53)/'Env Data'!$H$34,0)*'Env Data'!$G$34/1000*'Cost Data'!$D$46*(Inputs!$B$15-Inputs!$B$50)*Inputs!$B$53</f>
        <v>0</v>
      </c>
      <c r="C78" s="139">
        <f>ROUNDUP(((C$52/2000/'Cost Data'!$D$39)/Inputs!$B$54)/'Env Data'!$H$34,0)*'Env Data'!$G$34/1000*'Cost Data'!$D$46*(Inputs!$B$15-Inputs!$B$50)*Inputs!$B$54</f>
        <v>0</v>
      </c>
      <c r="D78" s="139">
        <f>ROUNDUP(((D$52/2000/'Cost Data'!$D$39)/Inputs!$B$55)/'Env Data'!$H$34,0)*'Env Data'!$G$34/1000*'Cost Data'!$D$46*(Inputs!$B$15-Inputs!$B$50)*Inputs!$B$55</f>
        <v>0</v>
      </c>
      <c r="E78" s="144">
        <f>ROUNDUP(((E$52/2000/'Cost Data'!$D$39)/Inputs!$B$56)/'Env Data'!$H$34,0)*'Env Data'!$G$34/1000*'Cost Data'!$D$46*(Inputs!$B$15-Inputs!$B$50)*Inputs!$B$56</f>
        <v>0</v>
      </c>
      <c r="F78" s="208"/>
      <c r="G78" s="9"/>
      <c r="H78" s="152" t="s">
        <v>242</v>
      </c>
      <c r="I78" s="389"/>
      <c r="J78" s="390"/>
      <c r="K78" s="390"/>
      <c r="L78" s="391"/>
      <c r="M78" s="208"/>
      <c r="O78" s="152" t="s">
        <v>242</v>
      </c>
      <c r="P78" s="139">
        <f>ROUNDUP(((P$52/2000/'Cost Data'!$D$39)/Inputs!$B$53)/'Env Data'!$H$34,0)*'Env Data'!$G$34/1000*'Cost Data'!$D$46*(Inputs!$B$15-Inputs!$B$50)*Inputs!$B$53</f>
        <v>0</v>
      </c>
      <c r="Q78" s="139">
        <f>ROUNDUP(((Q$52/2000/'Cost Data'!$D$39)/Inputs!$B$54)/'Env Data'!$H$34,0)*'Env Data'!$G$34/1000*'Cost Data'!$D$46*(Inputs!$B$15-Inputs!$B$50)*Inputs!$B$54</f>
        <v>0</v>
      </c>
      <c r="R78" s="139">
        <f>ROUNDUP(((R$52/2000/'Cost Data'!$D$39)/Inputs!$B$55)/'Env Data'!$H$34,0)*'Env Data'!$G$34/1000*'Cost Data'!$D$46*(Inputs!$B$15-Inputs!$B$50)*Inputs!$B$55</f>
        <v>0</v>
      </c>
      <c r="S78" s="144">
        <f>ROUNDUP(((S$52/2000/'Cost Data'!$D$39)/Inputs!$B$56)/'Env Data'!$H$34,0)*'Env Data'!$G$34/1000*'Cost Data'!$D$46*(Inputs!$B$15-Inputs!$B$50)*Inputs!$B$56</f>
        <v>0</v>
      </c>
    </row>
    <row r="79" spans="1:19" ht="12.75" customHeight="1" hidden="1">
      <c r="A79" s="36" t="s">
        <v>179</v>
      </c>
      <c r="B79" s="139">
        <f>ROUNDUP(((B$52/2000/'Cost Data'!$D$42*'Cost Data'!$D$43)/Inputs!$B$30)/'Env Data'!$H$34,0)*'Env Data'!$B$34*(Inputs!$B$15-Inputs!$B$50)*Inputs!$B$53</f>
        <v>0</v>
      </c>
      <c r="C79" s="139">
        <f>ROUNDUP(((C$52/2000/'Cost Data'!$D$42*'Cost Data'!$D$43)/Inputs!$B$31)/'Env Data'!$H$34,0)*'Env Data'!$B$34*(Inputs!$B$15-Inputs!$B$50)*Inputs!$B$54</f>
        <v>0</v>
      </c>
      <c r="D79" s="139">
        <f>ROUNDUP(((D$52/2000/'Cost Data'!$D$42*'Cost Data'!$D$43)/Inputs!$B$32)/'Env Data'!$H$34,0)*'Env Data'!$B$34*(Inputs!$B$15-Inputs!$B$50)*Inputs!$B$55</f>
        <v>0</v>
      </c>
      <c r="E79" s="149">
        <f>ROUNDUP(((E$52/2000/'Cost Data'!$D$42*'Cost Data'!$D$43)/Inputs!$B$33)/'Env Data'!$H$34,0)*'Env Data'!$B$34*(Inputs!$B$15-Inputs!$B$50)*Inputs!$B$56</f>
        <v>0</v>
      </c>
      <c r="F79" s="208"/>
      <c r="G79" s="9"/>
      <c r="H79" s="36" t="s">
        <v>179</v>
      </c>
      <c r="I79" s="390"/>
      <c r="J79" s="390"/>
      <c r="K79" s="390"/>
      <c r="L79" s="391"/>
      <c r="M79" s="208"/>
      <c r="O79" s="36" t="s">
        <v>179</v>
      </c>
      <c r="P79" s="139">
        <f>ROUNDUP(((P$52/2000/'Cost Data'!$D$42*'Cost Data'!$D$43)/Inputs!$B$30)/'Env Data'!$H$34,0)*'Env Data'!$B$34*(Inputs!$B$15-Inputs!$B$50)*Inputs!$B$53</f>
        <v>0</v>
      </c>
      <c r="Q79" s="139">
        <f>ROUNDUP(((Q$52/2000/'Cost Data'!$D$42*'Cost Data'!$D$43)/Inputs!$B$31)/'Env Data'!$H$34,0)*'Env Data'!$B$34*(Inputs!$B$15-Inputs!$B$50)*Inputs!$B$54</f>
        <v>0</v>
      </c>
      <c r="R79" s="139">
        <f>ROUNDUP(((R$52/2000/'Cost Data'!$D$42*'Cost Data'!$D$43)/Inputs!$B$32)/'Env Data'!$H$34,0)*'Env Data'!$B$34*(Inputs!$B$15-Inputs!$B$50)*Inputs!$B$55</f>
        <v>0</v>
      </c>
      <c r="S79" s="149">
        <f>ROUNDUP(((S$52/2000/'Cost Data'!$D$42*'Cost Data'!$D$43)/Inputs!$B$33)/'Env Data'!$H$34,0)*'Env Data'!$B$34*(Inputs!$B$15-Inputs!$B$50)*Inputs!$B$56</f>
        <v>0</v>
      </c>
    </row>
    <row r="80" spans="1:19" ht="12.75" customHeight="1" hidden="1">
      <c r="A80" s="36" t="s">
        <v>212</v>
      </c>
      <c r="B80" s="139">
        <f>ROUNDUP(((B$52/2000/'Cost Data'!$D$42*'Cost Data'!$D$43)/Inputs!$B$30)/'Env Data'!$H$34,0)*'Env Data'!$C$34*(Inputs!$B$15-Inputs!$B$50)*Inputs!$B$53</f>
        <v>0</v>
      </c>
      <c r="C80" s="139">
        <f>ROUNDUP(((C$52/2000/'Cost Data'!$D$42*'Cost Data'!$D$43)/Inputs!$B$31)/'Env Data'!$H$34,0)*'Env Data'!$C$34*(Inputs!$B$15-Inputs!$B$50)*Inputs!$B$54</f>
        <v>0</v>
      </c>
      <c r="D80" s="139">
        <f>ROUNDUP(((D$52/2000/'Cost Data'!$D$42*'Cost Data'!$D$43)/Inputs!$B$32)/'Env Data'!$H$34,0)*'Env Data'!$C$34*(Inputs!$B$15-Inputs!$B$50)*Inputs!$B$55</f>
        <v>0</v>
      </c>
      <c r="E80" s="149">
        <f>ROUNDUP(((E$52/2000/'Cost Data'!$D$42*'Cost Data'!$D$43)/Inputs!$B$33)/'Env Data'!$H$34,0)*'Env Data'!$C$34*(Inputs!$B$15-Inputs!$B$50)*Inputs!$B$56</f>
        <v>0</v>
      </c>
      <c r="F80" s="208"/>
      <c r="G80" s="9"/>
      <c r="H80" s="36" t="s">
        <v>212</v>
      </c>
      <c r="I80" s="390"/>
      <c r="J80" s="390"/>
      <c r="K80" s="390"/>
      <c r="L80" s="391"/>
      <c r="M80" s="208"/>
      <c r="O80" s="36" t="s">
        <v>212</v>
      </c>
      <c r="P80" s="139">
        <f>ROUNDUP(((P$52/2000/'Cost Data'!$D$42*'Cost Data'!$D$43)/Inputs!$B$30)/'Env Data'!$H$34,0)*'Env Data'!$C$34*(Inputs!$B$15-Inputs!$B$50)*Inputs!$B$53</f>
        <v>0</v>
      </c>
      <c r="Q80" s="139">
        <f>ROUNDUP(((Q$52/2000/'Cost Data'!$D$42*'Cost Data'!$D$43)/Inputs!$B$31)/'Env Data'!$H$34,0)*'Env Data'!$C$34*(Inputs!$B$15-Inputs!$B$50)*Inputs!$B$54</f>
        <v>0</v>
      </c>
      <c r="R80" s="139">
        <f>ROUNDUP(((R$52/2000/'Cost Data'!$D$42*'Cost Data'!$D$43)/Inputs!$B$32)/'Env Data'!$H$34,0)*'Env Data'!$C$34*(Inputs!$B$15-Inputs!$B$50)*Inputs!$B$55</f>
        <v>0</v>
      </c>
      <c r="S80" s="149">
        <f>ROUNDUP(((S$52/2000/'Cost Data'!$D$42*'Cost Data'!$D$43)/Inputs!$B$33)/'Env Data'!$H$34,0)*'Env Data'!$C$34*(Inputs!$B$15-Inputs!$B$50)*Inputs!$B$56</f>
        <v>0</v>
      </c>
    </row>
    <row r="81" spans="1:19" ht="12.75" customHeight="1" hidden="1">
      <c r="A81" s="36" t="s">
        <v>340</v>
      </c>
      <c r="B81" s="139">
        <f>ROUNDUP(((B$52/2000/'Cost Data'!$D$42*'Cost Data'!$D$43)/Inputs!$B$30)/'Env Data'!$H$34,0)*'Env Data'!$D$34*(Inputs!$B$15-Inputs!$B$50)*Inputs!$B$53</f>
        <v>0</v>
      </c>
      <c r="C81" s="139">
        <f>ROUNDUP(((C$52/2000/'Cost Data'!$D$42*'Cost Data'!$D$43)/Inputs!$B$31)/'Env Data'!$H$34,0)*'Env Data'!$D$34*(Inputs!$B$15-Inputs!$B$50)*Inputs!$B$54</f>
        <v>0</v>
      </c>
      <c r="D81" s="139">
        <f>ROUNDUP(((D$52/2000/'Cost Data'!$D$42*'Cost Data'!$D$43)/Inputs!$B$32)/'Env Data'!$H$34,0)*'Env Data'!$D$34*(Inputs!$B$15-Inputs!$B$50)*Inputs!$B$55</f>
        <v>0</v>
      </c>
      <c r="E81" s="149">
        <f>ROUNDUP(((E$52/2000/'Cost Data'!$D$42*'Cost Data'!$D$43)/Inputs!$B$33)/'Env Data'!$H$34,0)*'Env Data'!$D$34*(Inputs!$B$15-Inputs!$B$50)*Inputs!$B$56</f>
        <v>0</v>
      </c>
      <c r="F81" s="208"/>
      <c r="G81" s="9"/>
      <c r="H81" s="36" t="s">
        <v>340</v>
      </c>
      <c r="I81" s="390"/>
      <c r="J81" s="390"/>
      <c r="K81" s="390"/>
      <c r="L81" s="391"/>
      <c r="M81" s="208"/>
      <c r="O81" s="36" t="s">
        <v>340</v>
      </c>
      <c r="P81" s="139">
        <f>ROUNDUP(((P$52/2000/'Cost Data'!$D$42*'Cost Data'!$D$43)/Inputs!$B$30)/'Env Data'!$H$34,0)*'Env Data'!$D$34*(Inputs!$B$15-Inputs!$B$50)*Inputs!$B$53</f>
        <v>0</v>
      </c>
      <c r="Q81" s="139">
        <f>ROUNDUP(((Q$52/2000/'Cost Data'!$D$42*'Cost Data'!$D$43)/Inputs!$B$31)/'Env Data'!$H$34,0)*'Env Data'!$D$34*(Inputs!$B$15-Inputs!$B$50)*Inputs!$B$54</f>
        <v>0</v>
      </c>
      <c r="R81" s="139">
        <f>ROUNDUP(((R$52/2000/'Cost Data'!$D$42*'Cost Data'!$D$43)/Inputs!$B$32)/'Env Data'!$H$34,0)*'Env Data'!$D$34*(Inputs!$B$15-Inputs!$B$50)*Inputs!$B$55</f>
        <v>0</v>
      </c>
      <c r="S81" s="149">
        <f>ROUNDUP(((S$52/2000/'Cost Data'!$D$42*'Cost Data'!$D$43)/Inputs!$B$33)/'Env Data'!$H$34,0)*'Env Data'!$D$34*(Inputs!$B$15-Inputs!$B$50)*Inputs!$B$56</f>
        <v>0</v>
      </c>
    </row>
    <row r="82" spans="1:19" ht="12.75" customHeight="1" hidden="1">
      <c r="A82" s="36" t="s">
        <v>338</v>
      </c>
      <c r="B82" s="139">
        <f>ROUNDUP(((B$52/2000/'Cost Data'!$D$42*'Cost Data'!$D$43)/Inputs!$B$30)/'Env Data'!$H$34,0)*'Env Data'!$E$34*(Inputs!$B$15-Inputs!$B$50)*Inputs!$B$53</f>
        <v>0</v>
      </c>
      <c r="C82" s="139">
        <f>ROUNDUP(((C$52/2000/'Cost Data'!$D$42*'Cost Data'!$D$43)/Inputs!$B$31)/'Env Data'!$H$34,0)*'Env Data'!$E$34*(Inputs!$B$15-Inputs!$B$50)*Inputs!$B$54</f>
        <v>0</v>
      </c>
      <c r="D82" s="139">
        <f>ROUNDUP(((D$52/2000/'Cost Data'!$D$42*'Cost Data'!$D$43)/Inputs!$B$32)/'Env Data'!$H$34,0)*'Env Data'!$E$34*(Inputs!$B$15-Inputs!$B$50)*Inputs!$B$55</f>
        <v>0</v>
      </c>
      <c r="E82" s="149">
        <f>ROUNDUP(((E$52/2000/'Cost Data'!$D$42*'Cost Data'!$D$43)/Inputs!$B$33)/'Env Data'!$H$34,0)*'Env Data'!$E$34*(Inputs!$B$15-Inputs!$B$50)*Inputs!$B$56</f>
        <v>0</v>
      </c>
      <c r="F82" s="208"/>
      <c r="G82" s="9"/>
      <c r="H82" s="36" t="s">
        <v>338</v>
      </c>
      <c r="I82" s="390"/>
      <c r="J82" s="390"/>
      <c r="K82" s="390"/>
      <c r="L82" s="391"/>
      <c r="M82" s="208"/>
      <c r="O82" s="36" t="s">
        <v>338</v>
      </c>
      <c r="P82" s="139">
        <f>ROUNDUP(((P$52/2000/'Cost Data'!$D$42*'Cost Data'!$D$43)/Inputs!$B$30)/'Env Data'!$H$34,0)*'Env Data'!$E$34*(Inputs!$B$15-Inputs!$B$50)*Inputs!$B$53</f>
        <v>0</v>
      </c>
      <c r="Q82" s="139">
        <f>ROUNDUP(((Q$52/2000/'Cost Data'!$D$42*'Cost Data'!$D$43)/Inputs!$B$31)/'Env Data'!$H$34,0)*'Env Data'!$E$34*(Inputs!$B$15-Inputs!$B$50)*Inputs!$B$54</f>
        <v>0</v>
      </c>
      <c r="R82" s="139">
        <f>ROUNDUP(((R$52/2000/'Cost Data'!$D$42*'Cost Data'!$D$43)/Inputs!$B$32)/'Env Data'!$H$34,0)*'Env Data'!$E$34*(Inputs!$B$15-Inputs!$B$50)*Inputs!$B$55</f>
        <v>0</v>
      </c>
      <c r="S82" s="149">
        <f>ROUNDUP(((S$52/2000/'Cost Data'!$D$42*'Cost Data'!$D$43)/Inputs!$B$33)/'Env Data'!$H$34,0)*'Env Data'!$E$34*(Inputs!$B$15-Inputs!$B$50)*Inputs!$B$56</f>
        <v>0</v>
      </c>
    </row>
    <row r="83" spans="1:19" ht="12.75" customHeight="1" hidden="1" thickBot="1">
      <c r="A83" s="113" t="s">
        <v>174</v>
      </c>
      <c r="B83" s="139">
        <f>ROUNDUP(((B$52/2000/'Cost Data'!$D$42*'Cost Data'!$D$43)/Inputs!$B$30)/'Env Data'!$H$34,0)*'Env Data'!$F$34*(Inputs!$B$15-Inputs!$B$50)*Inputs!$B$53</f>
        <v>0</v>
      </c>
      <c r="C83" s="139">
        <f>ROUNDUP(((C$52/2000/'Cost Data'!$D$42*'Cost Data'!$D$43)/Inputs!$B$31)/'Env Data'!$H$34,0)*'Env Data'!$F$34*(Inputs!$B$15-Inputs!$B$50)*Inputs!$B$54</f>
        <v>0</v>
      </c>
      <c r="D83" s="139">
        <f>ROUNDUP(((D$52/2000/'Cost Data'!$D$42*'Cost Data'!$D$43)/Inputs!$B$32)/'Env Data'!$H$34,0)*'Env Data'!$F$34*(Inputs!$B$15-Inputs!$B$50)*Inputs!$B$55</f>
        <v>0</v>
      </c>
      <c r="E83" s="149">
        <f>ROUNDUP(((E$52/2000/'Cost Data'!$D$42*'Cost Data'!$D$43)/Inputs!$B$33)/'Env Data'!$H$34,0)*'Env Data'!$F$34*(Inputs!$B$15-Inputs!$B$50)*Inputs!$B$56</f>
        <v>0</v>
      </c>
      <c r="F83" s="208"/>
      <c r="G83" s="9"/>
      <c r="H83" s="113" t="s">
        <v>174</v>
      </c>
      <c r="I83" s="390"/>
      <c r="J83" s="390"/>
      <c r="K83" s="390"/>
      <c r="L83" s="391"/>
      <c r="M83" s="208"/>
      <c r="O83" s="113" t="s">
        <v>174</v>
      </c>
      <c r="P83" s="139">
        <f>ROUNDUP(((P$52/2000/'Cost Data'!$D$42*'Cost Data'!$D$43)/Inputs!$B$30)/'Env Data'!$H$34,0)*'Env Data'!$F$34*(Inputs!$B$15-Inputs!$B$50)*Inputs!$B$53</f>
        <v>0</v>
      </c>
      <c r="Q83" s="139">
        <f>ROUNDUP(((Q$52/2000/'Cost Data'!$D$42*'Cost Data'!$D$43)/Inputs!$B$31)/'Env Data'!$H$34,0)*'Env Data'!$F$34*(Inputs!$B$15-Inputs!$B$50)*Inputs!$B$54</f>
        <v>0</v>
      </c>
      <c r="R83" s="139">
        <f>ROUNDUP(((R$52/2000/'Cost Data'!$D$42*'Cost Data'!$D$43)/Inputs!$B$32)/'Env Data'!$H$34,0)*'Env Data'!$F$34*(Inputs!$B$15-Inputs!$B$50)*Inputs!$B$55</f>
        <v>0</v>
      </c>
      <c r="S83" s="149">
        <f>ROUNDUP(((S$52/2000/'Cost Data'!$D$42*'Cost Data'!$D$43)/Inputs!$B$33)/'Env Data'!$H$34,0)*'Env Data'!$F$34*(Inputs!$B$15-Inputs!$B$50)*Inputs!$B$56</f>
        <v>0</v>
      </c>
    </row>
    <row r="84" spans="1:19" s="14" customFormat="1" ht="12.75" customHeight="1" thickBot="1">
      <c r="A84" s="257" t="s">
        <v>259</v>
      </c>
      <c r="B84" s="258"/>
      <c r="C84" s="258"/>
      <c r="D84" s="258"/>
      <c r="E84" s="259"/>
      <c r="F84" s="260"/>
      <c r="G84" s="13"/>
      <c r="H84" s="257" t="s">
        <v>259</v>
      </c>
      <c r="I84" s="258"/>
      <c r="J84" s="258"/>
      <c r="K84" s="258"/>
      <c r="L84" s="259"/>
      <c r="M84" s="260"/>
      <c r="O84" s="257" t="s">
        <v>259</v>
      </c>
      <c r="P84" s="258"/>
      <c r="Q84" s="258"/>
      <c r="R84" s="258"/>
      <c r="S84" s="259"/>
    </row>
    <row r="85" spans="1:19" ht="12.75" customHeight="1">
      <c r="A85" s="114" t="s">
        <v>156</v>
      </c>
      <c r="B85" s="139">
        <f>SUM(B55)</f>
        <v>94.5</v>
      </c>
      <c r="C85" s="139">
        <f>SUM(C55)</f>
        <v>283.49999999999994</v>
      </c>
      <c r="D85" s="139">
        <f>SUM(D55)</f>
        <v>566.9999999999999</v>
      </c>
      <c r="E85" s="149">
        <f>SUM(E55)</f>
        <v>945</v>
      </c>
      <c r="F85" s="208"/>
      <c r="G85" s="9"/>
      <c r="H85" s="114" t="s">
        <v>156</v>
      </c>
      <c r="I85" s="139">
        <f>SUM(I55)</f>
        <v>47.25000000000001</v>
      </c>
      <c r="J85" s="139">
        <f>SUM(J55)</f>
        <v>141.74999999999997</v>
      </c>
      <c r="K85" s="139">
        <f>SUM(K55)</f>
        <v>283.49999999999994</v>
      </c>
      <c r="L85" s="149">
        <f>SUM(L55)</f>
        <v>472.5</v>
      </c>
      <c r="M85" s="208"/>
      <c r="O85" s="114" t="s">
        <v>156</v>
      </c>
      <c r="P85" s="139">
        <f>SUM(P55)</f>
        <v>94.5</v>
      </c>
      <c r="Q85" s="139">
        <f>SUM(Q55)</f>
        <v>283.49999999999994</v>
      </c>
      <c r="R85" s="139">
        <f>SUM(R55)</f>
        <v>566.9999999999999</v>
      </c>
      <c r="S85" s="149">
        <f>SUM(S55)</f>
        <v>945</v>
      </c>
    </row>
    <row r="86" spans="1:19" ht="12.75" customHeight="1">
      <c r="A86" s="36" t="s">
        <v>178</v>
      </c>
      <c r="B86" s="139">
        <f>B56</f>
        <v>4738.5</v>
      </c>
      <c r="C86" s="139">
        <f>C56</f>
        <v>14215.499999999998</v>
      </c>
      <c r="D86" s="139">
        <f>D56</f>
        <v>28430.999999999996</v>
      </c>
      <c r="E86" s="143">
        <f>E56</f>
        <v>47385</v>
      </c>
      <c r="F86" s="208"/>
      <c r="G86" s="9"/>
      <c r="H86" s="36" t="s">
        <v>178</v>
      </c>
      <c r="I86" s="139">
        <f>I56</f>
        <v>2369.2500000000005</v>
      </c>
      <c r="J86" s="139">
        <f>J56</f>
        <v>7107.749999999999</v>
      </c>
      <c r="K86" s="139">
        <f>K56</f>
        <v>14215.499999999998</v>
      </c>
      <c r="L86" s="143">
        <f>L56</f>
        <v>23692.5</v>
      </c>
      <c r="M86" s="208"/>
      <c r="O86" s="36" t="s">
        <v>178</v>
      </c>
      <c r="P86" s="139">
        <f>P56</f>
        <v>4738.5</v>
      </c>
      <c r="Q86" s="139">
        <f>Q56</f>
        <v>14215.499999999998</v>
      </c>
      <c r="R86" s="139">
        <f>R56</f>
        <v>28430.999999999996</v>
      </c>
      <c r="S86" s="143">
        <f>S56</f>
        <v>47385</v>
      </c>
    </row>
    <row r="87" spans="1:19" ht="25.5" customHeight="1">
      <c r="A87" s="152" t="s">
        <v>242</v>
      </c>
      <c r="B87" s="139">
        <f aca="true" t="shared" si="3" ref="B87:E88">SUM(B57,B64,B71,B78)</f>
        <v>1279.704162</v>
      </c>
      <c r="C87" s="139">
        <f t="shared" si="3"/>
        <v>3839.1124859999995</v>
      </c>
      <c r="D87" s="139">
        <f t="shared" si="3"/>
        <v>7678.224971999999</v>
      </c>
      <c r="E87" s="149">
        <f t="shared" si="3"/>
        <v>12797.04162</v>
      </c>
      <c r="F87" s="208"/>
      <c r="G87" s="9"/>
      <c r="H87" s="152" t="s">
        <v>242</v>
      </c>
      <c r="I87" s="139">
        <f aca="true" t="shared" si="4" ref="I87:L88">SUM(I57,I64,I71,I78)</f>
        <v>779.2048470000001</v>
      </c>
      <c r="J87" s="139">
        <f t="shared" si="4"/>
        <v>2337.614541</v>
      </c>
      <c r="K87" s="139">
        <f t="shared" si="4"/>
        <v>4675.229082</v>
      </c>
      <c r="L87" s="149">
        <f t="shared" si="4"/>
        <v>7792.04847</v>
      </c>
      <c r="M87" s="208"/>
      <c r="O87" s="152" t="s">
        <v>242</v>
      </c>
      <c r="P87" s="139">
        <f aca="true" t="shared" si="5" ref="P87:S88">SUM(P57,P64,P71,P78)</f>
        <v>1000.99863</v>
      </c>
      <c r="Q87" s="139">
        <f t="shared" si="5"/>
        <v>3002.9958899999997</v>
      </c>
      <c r="R87" s="139">
        <f t="shared" si="5"/>
        <v>6005.991779999999</v>
      </c>
      <c r="S87" s="149">
        <f t="shared" si="5"/>
        <v>10009.9863</v>
      </c>
    </row>
    <row r="88" spans="1:19" ht="12.75" customHeight="1">
      <c r="A88" s="36" t="s">
        <v>179</v>
      </c>
      <c r="B88" s="139">
        <f t="shared" si="3"/>
        <v>535.05</v>
      </c>
      <c r="C88" s="139">
        <f t="shared" si="3"/>
        <v>1605.1499999999999</v>
      </c>
      <c r="D88" s="139">
        <f t="shared" si="3"/>
        <v>3210.2999999999997</v>
      </c>
      <c r="E88" s="149">
        <f t="shared" si="3"/>
        <v>5350.5</v>
      </c>
      <c r="F88" s="208"/>
      <c r="G88" s="9"/>
      <c r="H88" s="36" t="s">
        <v>179</v>
      </c>
      <c r="I88" s="139">
        <f t="shared" si="4"/>
        <v>484.42499999999995</v>
      </c>
      <c r="J88" s="139">
        <f t="shared" si="4"/>
        <v>1453.2749999999999</v>
      </c>
      <c r="K88" s="139">
        <f t="shared" si="4"/>
        <v>2906.5499999999997</v>
      </c>
      <c r="L88" s="149">
        <f t="shared" si="4"/>
        <v>4844.25</v>
      </c>
      <c r="M88" s="208"/>
      <c r="O88" s="36" t="s">
        <v>179</v>
      </c>
      <c r="P88" s="139">
        <f t="shared" si="5"/>
        <v>101.25</v>
      </c>
      <c r="Q88" s="139">
        <f t="shared" si="5"/>
        <v>303.74999999999994</v>
      </c>
      <c r="R88" s="139">
        <f t="shared" si="5"/>
        <v>607.4999999999999</v>
      </c>
      <c r="S88" s="149">
        <f t="shared" si="5"/>
        <v>1012.5</v>
      </c>
    </row>
    <row r="89" spans="1:19" ht="12.75" customHeight="1">
      <c r="A89" s="36" t="s">
        <v>212</v>
      </c>
      <c r="B89" s="139">
        <f>SUM(B59,B66,B73,B80)</f>
        <v>127.42499999999998</v>
      </c>
      <c r="C89" s="139">
        <f>SUM(C59,C66,C73,C80)</f>
        <v>382.275</v>
      </c>
      <c r="D89" s="139">
        <f>SUM(D59,D66,D73,D80)</f>
        <v>764.55</v>
      </c>
      <c r="E89" s="149">
        <f>SUM(E59,E66,E73,E80)</f>
        <v>1274.25</v>
      </c>
      <c r="F89" s="208"/>
      <c r="G89" s="9"/>
      <c r="H89" s="36" t="s">
        <v>212</v>
      </c>
      <c r="I89" s="139">
        <f>SUM(I59,I66,I73,I80)</f>
        <v>101.55</v>
      </c>
      <c r="J89" s="139">
        <f>SUM(J59,J66,J73,J80)</f>
        <v>304.65</v>
      </c>
      <c r="K89" s="139">
        <f>SUM(K59,K66,K73,K80)</f>
        <v>609.3</v>
      </c>
      <c r="L89" s="149">
        <f>SUM(L59,L66,L73,L80)</f>
        <v>1015.5</v>
      </c>
      <c r="M89" s="208"/>
      <c r="O89" s="36" t="s">
        <v>212</v>
      </c>
      <c r="P89" s="139">
        <f>SUM(P59,P66,P73,P80)</f>
        <v>51.75</v>
      </c>
      <c r="Q89" s="139">
        <f>SUM(Q59,Q66,Q73,Q80)</f>
        <v>155.24999999999997</v>
      </c>
      <c r="R89" s="139">
        <f>SUM(R59,R66,R73,R80)</f>
        <v>310.49999999999994</v>
      </c>
      <c r="S89" s="149">
        <f>SUM(S59,S66,S73,S80)</f>
        <v>517.5</v>
      </c>
    </row>
    <row r="90" spans="1:19" ht="12.75" customHeight="1">
      <c r="A90" s="36" t="s">
        <v>340</v>
      </c>
      <c r="B90" s="139">
        <f aca="true" t="shared" si="6" ref="B90:E92">SUM(B60,B67,B74,B81)</f>
        <v>2598.375</v>
      </c>
      <c r="C90" s="139">
        <f t="shared" si="6"/>
        <v>7795.125</v>
      </c>
      <c r="D90" s="139">
        <f t="shared" si="6"/>
        <v>15590.25</v>
      </c>
      <c r="E90" s="149">
        <f t="shared" si="6"/>
        <v>25983.75</v>
      </c>
      <c r="F90" s="208"/>
      <c r="G90" s="9"/>
      <c r="H90" s="36" t="s">
        <v>340</v>
      </c>
      <c r="I90" s="139">
        <f aca="true" t="shared" si="7" ref="I90:L92">SUM(I60,I67,I74,I81)</f>
        <v>2226</v>
      </c>
      <c r="J90" s="139">
        <f t="shared" si="7"/>
        <v>6678</v>
      </c>
      <c r="K90" s="139">
        <f t="shared" si="7"/>
        <v>13356</v>
      </c>
      <c r="L90" s="149">
        <f t="shared" si="7"/>
        <v>22260</v>
      </c>
      <c r="M90" s="208"/>
      <c r="O90" s="36" t="s">
        <v>340</v>
      </c>
      <c r="P90" s="139">
        <f aca="true" t="shared" si="8" ref="P90:S92">SUM(P60,P67,P74,P81)</f>
        <v>744.75</v>
      </c>
      <c r="Q90" s="139">
        <f t="shared" si="8"/>
        <v>2234.2499999999995</v>
      </c>
      <c r="R90" s="139">
        <f t="shared" si="8"/>
        <v>4468.499999999999</v>
      </c>
      <c r="S90" s="149">
        <f t="shared" si="8"/>
        <v>7447.5</v>
      </c>
    </row>
    <row r="91" spans="1:19" ht="12.75" customHeight="1">
      <c r="A91" s="36" t="s">
        <v>338</v>
      </c>
      <c r="B91" s="139">
        <f t="shared" si="6"/>
        <v>4522.9875</v>
      </c>
      <c r="C91" s="139">
        <f t="shared" si="6"/>
        <v>13568.962499999998</v>
      </c>
      <c r="D91" s="139">
        <f t="shared" si="6"/>
        <v>27137.924999999996</v>
      </c>
      <c r="E91" s="149">
        <f t="shared" si="6"/>
        <v>45229.875</v>
      </c>
      <c r="F91" s="208"/>
      <c r="G91" s="9"/>
      <c r="H91" s="36" t="s">
        <v>338</v>
      </c>
      <c r="I91" s="139">
        <f t="shared" si="7"/>
        <v>2275.2375</v>
      </c>
      <c r="J91" s="139">
        <f t="shared" si="7"/>
        <v>6825.7125</v>
      </c>
      <c r="K91" s="139">
        <f t="shared" si="7"/>
        <v>13651.425</v>
      </c>
      <c r="L91" s="149">
        <f t="shared" si="7"/>
        <v>22752.375</v>
      </c>
      <c r="M91" s="208"/>
      <c r="O91" s="36" t="s">
        <v>338</v>
      </c>
      <c r="P91" s="139">
        <f t="shared" si="8"/>
        <v>4495.5</v>
      </c>
      <c r="Q91" s="139">
        <f t="shared" si="8"/>
        <v>13486.499999999998</v>
      </c>
      <c r="R91" s="139">
        <f t="shared" si="8"/>
        <v>26972.999999999996</v>
      </c>
      <c r="S91" s="149">
        <f t="shared" si="8"/>
        <v>44955</v>
      </c>
    </row>
    <row r="92" spans="1:19" ht="12.75" customHeight="1">
      <c r="A92" s="166" t="s">
        <v>174</v>
      </c>
      <c r="B92" s="139">
        <f t="shared" si="6"/>
        <v>3222.24</v>
      </c>
      <c r="C92" s="139">
        <f t="shared" si="6"/>
        <v>9666.719999999998</v>
      </c>
      <c r="D92" s="139">
        <f t="shared" si="6"/>
        <v>19333.439999999995</v>
      </c>
      <c r="E92" s="149">
        <f t="shared" si="6"/>
        <v>32222.399999999998</v>
      </c>
      <c r="F92" s="208"/>
      <c r="G92" s="9"/>
      <c r="H92" s="166" t="s">
        <v>174</v>
      </c>
      <c r="I92" s="139">
        <f t="shared" si="7"/>
        <v>1635.9900000000002</v>
      </c>
      <c r="J92" s="139">
        <f t="shared" si="7"/>
        <v>4907.969999999999</v>
      </c>
      <c r="K92" s="139">
        <f t="shared" si="7"/>
        <v>9815.939999999999</v>
      </c>
      <c r="L92" s="149">
        <f t="shared" si="7"/>
        <v>16359.9</v>
      </c>
      <c r="M92" s="208"/>
      <c r="O92" s="166" t="s">
        <v>174</v>
      </c>
      <c r="P92" s="139">
        <f t="shared" si="8"/>
        <v>3172.5</v>
      </c>
      <c r="Q92" s="139">
        <f t="shared" si="8"/>
        <v>9517.499999999998</v>
      </c>
      <c r="R92" s="139">
        <f t="shared" si="8"/>
        <v>19034.999999999996</v>
      </c>
      <c r="S92" s="149">
        <f t="shared" si="8"/>
        <v>31725</v>
      </c>
    </row>
    <row r="93" spans="1:19" ht="12.75">
      <c r="A93" s="207" t="s">
        <v>7</v>
      </c>
      <c r="B93" s="42" t="s">
        <v>21</v>
      </c>
      <c r="C93" s="42" t="s">
        <v>18</v>
      </c>
      <c r="D93" s="42" t="s">
        <v>19</v>
      </c>
      <c r="E93" s="150" t="s">
        <v>20</v>
      </c>
      <c r="F93" s="238"/>
      <c r="G93" s="9"/>
      <c r="H93" s="207" t="s">
        <v>7</v>
      </c>
      <c r="I93" s="42" t="s">
        <v>21</v>
      </c>
      <c r="J93" s="42" t="s">
        <v>18</v>
      </c>
      <c r="K93" s="42" t="s">
        <v>19</v>
      </c>
      <c r="L93" s="150" t="s">
        <v>20</v>
      </c>
      <c r="M93" s="238"/>
      <c r="O93" s="207" t="s">
        <v>7</v>
      </c>
      <c r="P93" s="177" t="s">
        <v>21</v>
      </c>
      <c r="Q93" s="177" t="s">
        <v>18</v>
      </c>
      <c r="R93" s="177" t="s">
        <v>19</v>
      </c>
      <c r="S93" s="178" t="s">
        <v>20</v>
      </c>
    </row>
    <row r="94" spans="1:19" ht="12.75">
      <c r="A94" s="36" t="s">
        <v>153</v>
      </c>
      <c r="B94" s="199">
        <f>Inputs!$B$63*2000-(B95+B96)</f>
        <v>0</v>
      </c>
      <c r="C94" s="199">
        <f>Inputs!$B$64*2000-(C95+C96)</f>
        <v>0</v>
      </c>
      <c r="D94" s="199">
        <f>Inputs!$B$65*2000-(D95+D96)</f>
        <v>0</v>
      </c>
      <c r="E94" s="200">
        <f>Inputs!$B$66*2000-(E95+E96)</f>
        <v>0</v>
      </c>
      <c r="F94" s="241"/>
      <c r="G94" s="9"/>
      <c r="H94" s="36" t="s">
        <v>153</v>
      </c>
      <c r="I94" s="199">
        <f>B94</f>
        <v>0</v>
      </c>
      <c r="J94" s="199">
        <f>C94</f>
        <v>0</v>
      </c>
      <c r="K94" s="199">
        <f>D94</f>
        <v>0</v>
      </c>
      <c r="L94" s="200">
        <f>E94</f>
        <v>0</v>
      </c>
      <c r="M94" s="241"/>
      <c r="O94" s="36" t="s">
        <v>153</v>
      </c>
      <c r="P94" s="195">
        <v>0</v>
      </c>
      <c r="Q94" s="195">
        <v>0</v>
      </c>
      <c r="R94" s="195">
        <v>0</v>
      </c>
      <c r="S94" s="196">
        <v>0</v>
      </c>
    </row>
    <row r="95" spans="1:19" ht="25.5" customHeight="1">
      <c r="A95" s="49" t="s">
        <v>154</v>
      </c>
      <c r="B95" s="195">
        <f>IF(Lookup!$A$4="Yes",'Cost Calculator'!B$23/Inputs!$B$77*2000,0)</f>
        <v>2000</v>
      </c>
      <c r="C95" s="195">
        <f>IF(Lookup!$A$4="Yes",'Cost Calculator'!C$23/Inputs!$B$77*2000,0)</f>
        <v>6000</v>
      </c>
      <c r="D95" s="195">
        <f>IF(Lookup!$A$4="Yes",'Cost Calculator'!D$23/Inputs!$B$77*2000,0)</f>
        <v>12000</v>
      </c>
      <c r="E95" s="196">
        <f>IF(Lookup!$A$4="Yes",'Cost Calculator'!E$23/Inputs!$B$77*2000,0)</f>
        <v>20000</v>
      </c>
      <c r="F95" s="208"/>
      <c r="G95" s="9"/>
      <c r="H95" s="49" t="s">
        <v>154</v>
      </c>
      <c r="I95" s="195">
        <v>0</v>
      </c>
      <c r="J95" s="195">
        <v>0</v>
      </c>
      <c r="K95" s="195">
        <v>0</v>
      </c>
      <c r="L95" s="196">
        <v>0</v>
      </c>
      <c r="M95" s="208"/>
      <c r="O95" s="49" t="s">
        <v>154</v>
      </c>
      <c r="P95" s="195">
        <f>IF(Lookup!$A$4="Yes",SUM(I94:I96),0)</f>
        <v>2000</v>
      </c>
      <c r="Q95" s="195">
        <f>IF(Lookup!$A$4="Yes",SUM(J94:J96),0)</f>
        <v>6000</v>
      </c>
      <c r="R95" s="195">
        <f>IF(Lookup!$A$4="Yes",SUM(K94:K96),0)</f>
        <v>12000</v>
      </c>
      <c r="S95" s="196">
        <f>IF(Lookup!$A$4="Yes",SUM(L94:L96),0)</f>
        <v>20000</v>
      </c>
    </row>
    <row r="96" spans="1:19" ht="13.5" thickBot="1">
      <c r="A96" s="113" t="s">
        <v>155</v>
      </c>
      <c r="B96" s="197">
        <f>IF(Lookup!$B$4="No",'Cost Calculator'!B$23/VLOOKUP(Lookup!$I$9,'Cost Data'!$A$4:$C$10,3)*2000,0)</f>
        <v>0</v>
      </c>
      <c r="C96" s="197">
        <f>IF(Lookup!$B$4="No",'Cost Calculator'!C$23/VLOOKUP(Lookup!$I$9,'Cost Data'!$A$4:$C$10,3)*2000,0)</f>
        <v>0</v>
      </c>
      <c r="D96" s="197">
        <f>IF(Lookup!$B$4="No",'Cost Calculator'!D$23/VLOOKUP(Lookup!$I$9,'Cost Data'!$A$4:$C$10,3)*2000,0)</f>
        <v>0</v>
      </c>
      <c r="E96" s="198">
        <f>IF(Lookup!$B$4="No",'Cost Calculator'!E$23/VLOOKUP(Lookup!$I$9,'Cost Data'!$A$4:$C$10,3)*2000,0)</f>
        <v>0</v>
      </c>
      <c r="F96" s="208"/>
      <c r="G96" s="9"/>
      <c r="H96" s="113" t="s">
        <v>155</v>
      </c>
      <c r="I96" s="197">
        <f>B96+B95</f>
        <v>2000</v>
      </c>
      <c r="J96" s="197">
        <f>C96+C95</f>
        <v>6000</v>
      </c>
      <c r="K96" s="197">
        <f>D96+D95</f>
        <v>12000</v>
      </c>
      <c r="L96" s="198">
        <f>E96+E95</f>
        <v>20000</v>
      </c>
      <c r="M96" s="208"/>
      <c r="O96" s="113" t="s">
        <v>155</v>
      </c>
      <c r="P96" s="197">
        <f>IF(Lookup!$A$4="No",SUM(I94:I96),0)</f>
        <v>0</v>
      </c>
      <c r="Q96" s="197">
        <f>IF(Lookup!$A$4="No",SUM(J94:J96),0)</f>
        <v>0</v>
      </c>
      <c r="R96" s="197">
        <f>IF(Lookup!$A$4="No",SUM(K94:K96),0)</f>
        <v>0</v>
      </c>
      <c r="S96" s="198">
        <f>IF(Lookup!$A$4="No",SUM(L94:L96),0)</f>
        <v>0</v>
      </c>
    </row>
    <row r="97" spans="1:19" ht="13.5" hidden="1" thickBot="1">
      <c r="A97" s="168" t="s">
        <v>237</v>
      </c>
      <c r="B97" s="169"/>
      <c r="C97" s="169"/>
      <c r="D97" s="169"/>
      <c r="E97" s="170"/>
      <c r="F97" s="208"/>
      <c r="G97" s="9"/>
      <c r="H97" s="168" t="s">
        <v>237</v>
      </c>
      <c r="I97" s="169"/>
      <c r="J97" s="169"/>
      <c r="K97" s="169"/>
      <c r="L97" s="170"/>
      <c r="M97" s="208"/>
      <c r="O97" s="168" t="s">
        <v>237</v>
      </c>
      <c r="P97" s="169"/>
      <c r="Q97" s="169"/>
      <c r="R97" s="169"/>
      <c r="S97" s="170"/>
    </row>
    <row r="98" spans="1:19" s="14" customFormat="1" ht="12.75" hidden="1">
      <c r="A98" s="114" t="s">
        <v>156</v>
      </c>
      <c r="B98" s="146">
        <f>B$94*'Env Data'!$J$8/2000+B$95*'Env Data'!$J$21/2000</f>
        <v>113.21973221259361</v>
      </c>
      <c r="C98" s="146">
        <f>C$94*'Env Data'!$J$8/2000+C$95*'Env Data'!$J$21/2000</f>
        <v>339.65919663778084</v>
      </c>
      <c r="D98" s="146">
        <f>D$94*'Env Data'!$J$8/2000+D$95*'Env Data'!$J$21/2000</f>
        <v>679.3183932755617</v>
      </c>
      <c r="E98" s="146">
        <f>E$94*'Env Data'!$J$8/2000+E$95*'Env Data'!$J$21/2000</f>
        <v>1132.1973221259361</v>
      </c>
      <c r="F98" s="240"/>
      <c r="G98" s="13"/>
      <c r="H98" s="114" t="s">
        <v>156</v>
      </c>
      <c r="I98" s="146">
        <f>I$94*'Env Data'!$J$8/2000</f>
        <v>0</v>
      </c>
      <c r="J98" s="146">
        <f>J$94*'Env Data'!$J$8/2000</f>
        <v>0</v>
      </c>
      <c r="K98" s="146">
        <f>K$94*'Env Data'!$J$8/2000</f>
        <v>0</v>
      </c>
      <c r="L98" s="146">
        <f>L$94*'Env Data'!$J$8/2000</f>
        <v>0</v>
      </c>
      <c r="M98" s="240"/>
      <c r="O98" s="114" t="s">
        <v>156</v>
      </c>
      <c r="P98" s="146">
        <f>P$95*'Env Data'!$J$21/2000</f>
        <v>113.21973221259361</v>
      </c>
      <c r="Q98" s="146">
        <f>Q$95*'Env Data'!$J$21/2000</f>
        <v>339.65919663778084</v>
      </c>
      <c r="R98" s="146">
        <f>R$95*'Env Data'!$J$21/2000</f>
        <v>679.3183932755617</v>
      </c>
      <c r="S98" s="146">
        <f>S$95*'Env Data'!$J$21/2000</f>
        <v>1132.1973221259361</v>
      </c>
    </row>
    <row r="99" spans="1:19" ht="12.75" hidden="1">
      <c r="A99" s="36" t="s">
        <v>178</v>
      </c>
      <c r="B99" s="134">
        <f>B$94*'Env Data'!$H$8/2000+B$95*'Env Data'!$H$21/2000</f>
        <v>65.31797151410686</v>
      </c>
      <c r="C99" s="134">
        <f>C$94*'Env Data'!$H$8/2000+C$95*'Env Data'!$H$21/2000</f>
        <v>195.95391454232058</v>
      </c>
      <c r="D99" s="134">
        <f>D$94*'Env Data'!$H$8/2000+D$95*'Env Data'!$H$21/2000</f>
        <v>391.90782908464115</v>
      </c>
      <c r="E99" s="134">
        <f>E$94*'Env Data'!$H$8/2000+E$95*'Env Data'!$H$21/2000</f>
        <v>653.1797151410685</v>
      </c>
      <c r="F99" s="240"/>
      <c r="G99" s="9"/>
      <c r="H99" s="36" t="s">
        <v>178</v>
      </c>
      <c r="I99" s="134">
        <f>I$94*'Env Data'!$H$8/2000</f>
        <v>0</v>
      </c>
      <c r="J99" s="134">
        <f>J$94*'Env Data'!$H$8/2000</f>
        <v>0</v>
      </c>
      <c r="K99" s="134">
        <f>K$94*'Env Data'!$H$8/2000</f>
        <v>0</v>
      </c>
      <c r="L99" s="134">
        <f>L$94*'Env Data'!$H$8/2000</f>
        <v>0</v>
      </c>
      <c r="M99" s="134">
        <f>M$94*'Env Data'!$H$8/2000</f>
        <v>0</v>
      </c>
      <c r="O99" s="36" t="s">
        <v>178</v>
      </c>
      <c r="P99" s="134">
        <f>P$95*'Env Data'!$H$21/2000</f>
        <v>65.31797151410686</v>
      </c>
      <c r="Q99" s="134">
        <f>Q$95*'Env Data'!$H$21/2000</f>
        <v>195.95391454232058</v>
      </c>
      <c r="R99" s="134">
        <f>R$95*'Env Data'!$H$21/2000</f>
        <v>391.90782908464115</v>
      </c>
      <c r="S99" s="134">
        <f>S$95*'Env Data'!$H$21/2000</f>
        <v>653.1797151410685</v>
      </c>
    </row>
    <row r="100" spans="1:19" ht="25.5" customHeight="1" hidden="1">
      <c r="A100" s="152" t="s">
        <v>258</v>
      </c>
      <c r="B100" s="134">
        <f>B$94*'Env Data'!$I$8/2000+B$95*'Env Data'!$I$21/2000</f>
        <v>0</v>
      </c>
      <c r="C100" s="134">
        <f>C$94*'Env Data'!$I$8/2000+C$95*'Env Data'!$I$21/2000</f>
        <v>0</v>
      </c>
      <c r="D100" s="134">
        <f>D$94*'Env Data'!$I$8/2000+D$95*'Env Data'!$I$21/2000</f>
        <v>0</v>
      </c>
      <c r="E100" s="134">
        <f>E$94*'Env Data'!$I$8/2000+E$95*'Env Data'!$I$21/2000</f>
        <v>0</v>
      </c>
      <c r="F100" s="240"/>
      <c r="H100" s="152" t="s">
        <v>258</v>
      </c>
      <c r="I100" s="134">
        <f>I$94*'Env Data'!$I$8/2000</f>
        <v>0</v>
      </c>
      <c r="J100" s="134">
        <f>J$94*'Env Data'!$I$8/2000</f>
        <v>0</v>
      </c>
      <c r="K100" s="134">
        <f>K$94*'Env Data'!$I$8/2000</f>
        <v>0</v>
      </c>
      <c r="L100" s="134">
        <f>L$94*'Env Data'!$I$8/2000</f>
        <v>0</v>
      </c>
      <c r="M100" s="240"/>
      <c r="O100" s="152" t="s">
        <v>258</v>
      </c>
      <c r="P100" s="134">
        <f>P$95*'Env Data'!$I$21/2000</f>
        <v>0</v>
      </c>
      <c r="Q100" s="134">
        <f>Q$95*'Env Data'!$I$21/2000</f>
        <v>0</v>
      </c>
      <c r="R100" s="134">
        <f>R$95*'Env Data'!$I$21/2000</f>
        <v>0</v>
      </c>
      <c r="S100" s="134">
        <f>S$95*'Env Data'!$I$21/2000</f>
        <v>0</v>
      </c>
    </row>
    <row r="101" spans="1:19" ht="25.5" customHeight="1" hidden="1">
      <c r="A101" s="152" t="s">
        <v>242</v>
      </c>
      <c r="B101" s="134">
        <f>(B$94/2000)*'Env Data'!$G$8/1000*'Cost Data'!$D$46+(B$95/2000)*'Env Data'!$G$21/1000*'Cost Data'!$D$46</f>
        <v>22.046</v>
      </c>
      <c r="C101" s="134">
        <f>(C$94/2000)*'Env Data'!$G$8/1000*'Cost Data'!$D$46+(C$95/2000)*'Env Data'!$G$21/1000*'Cost Data'!$D$46</f>
        <v>66.138</v>
      </c>
      <c r="D101" s="134">
        <f>(D$94/2000)*'Env Data'!$G$8/1000*'Cost Data'!$D$46+(D$95/2000)*'Env Data'!$G$21/1000*'Cost Data'!$D$46</f>
        <v>132.276</v>
      </c>
      <c r="E101" s="134">
        <f>(E$94/2000)*'Env Data'!$G$8/1000*'Cost Data'!$D$46+(E$95/2000)*'Env Data'!$G$21/1000*'Cost Data'!$D$46</f>
        <v>220.46</v>
      </c>
      <c r="F101" s="240"/>
      <c r="G101" s="9"/>
      <c r="H101" s="152" t="s">
        <v>242</v>
      </c>
      <c r="I101" s="134">
        <f>(I$94/2000)*'Env Data'!$G$8/1000*'Cost Data'!$D$46</f>
        <v>0</v>
      </c>
      <c r="J101" s="134">
        <f>(J$94/2000)*'Env Data'!$G$8/1000*'Cost Data'!$D$46</f>
        <v>0</v>
      </c>
      <c r="K101" s="134">
        <f>(K$94/2000)*'Env Data'!$G$8/1000*'Cost Data'!$D$46</f>
        <v>0</v>
      </c>
      <c r="L101" s="134">
        <f>(L$94/2000)*'Env Data'!$G$8/1000*'Cost Data'!$D$46</f>
        <v>0</v>
      </c>
      <c r="M101" s="240"/>
      <c r="O101" s="152" t="s">
        <v>242</v>
      </c>
      <c r="P101" s="134">
        <f>(P$95/2000)*'Env Data'!$G$21/1000*'Cost Data'!$D$46</f>
        <v>22.046</v>
      </c>
      <c r="Q101" s="134">
        <f>(Q$95/2000)*'Env Data'!$G$21/1000*'Cost Data'!$D$46</f>
        <v>66.138</v>
      </c>
      <c r="R101" s="134">
        <f>(R$95/2000)*'Env Data'!$G$21/1000*'Cost Data'!$D$46</f>
        <v>132.276</v>
      </c>
      <c r="S101" s="134">
        <f>(S$95/2000)*'Env Data'!$G$21/1000*'Cost Data'!$D$46</f>
        <v>220.46</v>
      </c>
    </row>
    <row r="102" spans="1:19" ht="12.75" hidden="1">
      <c r="A102" s="36" t="s">
        <v>179</v>
      </c>
      <c r="B102" s="134">
        <f>B$94*'Env Data'!$B$8/2000+B$95*'Env Data'!$B$21/2000</f>
        <v>10.541594847137803</v>
      </c>
      <c r="C102" s="134">
        <f>C$94*'Env Data'!$B$8/2000+C$95*'Env Data'!$B$21/2000</f>
        <v>31.62478454141341</v>
      </c>
      <c r="D102" s="134">
        <f>D$94*'Env Data'!$B$8/2000+D$95*'Env Data'!$B$21/2000</f>
        <v>63.24956908282682</v>
      </c>
      <c r="E102" s="134">
        <f>E$94*'Env Data'!$B$8/2000+E$95*'Env Data'!$B$21/2000</f>
        <v>105.41594847137804</v>
      </c>
      <c r="F102" s="240"/>
      <c r="H102" s="36" t="s">
        <v>179</v>
      </c>
      <c r="I102" s="134">
        <f>I$94*'Env Data'!$B$8/2000</f>
        <v>0</v>
      </c>
      <c r="J102" s="134">
        <f>J$94*'Env Data'!$B$8/2000</f>
        <v>0</v>
      </c>
      <c r="K102" s="134">
        <f>K$94*'Env Data'!$B$8/2000</f>
        <v>0</v>
      </c>
      <c r="L102" s="134">
        <f>L$94*'Env Data'!$B$8/2000</f>
        <v>0</v>
      </c>
      <c r="M102" s="240"/>
      <c r="O102" s="36" t="s">
        <v>179</v>
      </c>
      <c r="P102" s="134">
        <f>P$95*'Env Data'!$B$21/2000</f>
        <v>10.541594847137803</v>
      </c>
      <c r="Q102" s="134">
        <f>Q$95*'Env Data'!$B$21/2000</f>
        <v>31.62478454141341</v>
      </c>
      <c r="R102" s="134">
        <f>R$95*'Env Data'!$B$21/2000</f>
        <v>63.24956908282682</v>
      </c>
      <c r="S102" s="134">
        <f>S$95*'Env Data'!$B$21/2000</f>
        <v>105.41594847137804</v>
      </c>
    </row>
    <row r="103" spans="1:19" ht="15.75" hidden="1">
      <c r="A103" s="36" t="s">
        <v>340</v>
      </c>
      <c r="B103" s="134">
        <f>B$94*'Env Data'!$D$8/2000+B$95*'Env Data'!$D$21/2000</f>
        <v>25.038555747074298</v>
      </c>
      <c r="C103" s="134">
        <f>C$94*'Env Data'!$D$8/2000+C$95*'Env Data'!$D$21/2000</f>
        <v>75.1156672412229</v>
      </c>
      <c r="D103" s="134">
        <f>D$94*'Env Data'!$D$8/2000+D$95*'Env Data'!$D$21/2000</f>
        <v>150.2313344824458</v>
      </c>
      <c r="E103" s="134">
        <f>E$94*'Env Data'!$D$8/2000+E$95*'Env Data'!$D$21/2000</f>
        <v>250.38555747074298</v>
      </c>
      <c r="F103" s="240"/>
      <c r="H103" s="36" t="s">
        <v>340</v>
      </c>
      <c r="I103" s="134">
        <f>I$94*'Env Data'!$D$8/2000</f>
        <v>0</v>
      </c>
      <c r="J103" s="134">
        <f>J$94*'Env Data'!$D$8/2000</f>
        <v>0</v>
      </c>
      <c r="K103" s="134">
        <f>K$94*'Env Data'!$D$8/2000</f>
        <v>0</v>
      </c>
      <c r="L103" s="134">
        <f>L$94*'Env Data'!$D$8/2000</f>
        <v>0</v>
      </c>
      <c r="M103" s="240"/>
      <c r="O103" s="36" t="s">
        <v>340</v>
      </c>
      <c r="P103" s="134">
        <f>P$95*'Env Data'!$D$21/2000</f>
        <v>25.038555747074298</v>
      </c>
      <c r="Q103" s="134">
        <f>Q$95*'Env Data'!$D$21/2000</f>
        <v>75.1156672412229</v>
      </c>
      <c r="R103" s="134">
        <f>R$95*'Env Data'!$D$21/2000</f>
        <v>150.2313344824458</v>
      </c>
      <c r="S103" s="134">
        <f>S$95*'Env Data'!$D$21/2000</f>
        <v>250.38555747074298</v>
      </c>
    </row>
    <row r="104" spans="1:19" ht="15.75" hidden="1">
      <c r="A104" s="36" t="s">
        <v>338</v>
      </c>
      <c r="B104" s="134">
        <f>B$94*'Env Data'!$E$8/2000+B$95*'Env Data'!$E$21/2000</f>
        <v>22.135534790891768</v>
      </c>
      <c r="C104" s="134">
        <f>C$94*'Env Data'!$E$8/2000+C$95*'Env Data'!$E$21/2000</f>
        <v>66.4066043726753</v>
      </c>
      <c r="D104" s="134">
        <f>D$94*'Env Data'!$E$8/2000+D$95*'Env Data'!$E$21/2000</f>
        <v>132.8132087453506</v>
      </c>
      <c r="E104" s="134">
        <f>E$94*'Env Data'!$E$8/2000+E$95*'Env Data'!$E$21/2000</f>
        <v>221.35534790891768</v>
      </c>
      <c r="F104" s="240"/>
      <c r="H104" s="36" t="s">
        <v>338</v>
      </c>
      <c r="I104" s="134">
        <f>I$94*'Env Data'!$E$8/2000</f>
        <v>0</v>
      </c>
      <c r="J104" s="134">
        <f>J$94*'Env Data'!$E$8/2000+J$95*'Env Data'!$E$21/2000</f>
        <v>0</v>
      </c>
      <c r="K104" s="134">
        <f>K$94*'Env Data'!$E$8/2000+K$95*'Env Data'!$E$21/2000</f>
        <v>0</v>
      </c>
      <c r="L104" s="134">
        <f>L$94*'Env Data'!$E$8/2000+L$95*'Env Data'!$E$21/2000</f>
        <v>0</v>
      </c>
      <c r="M104" s="240"/>
      <c r="O104" s="36" t="s">
        <v>338</v>
      </c>
      <c r="P104" s="134">
        <f>P$95*'Env Data'!$E$21/2000</f>
        <v>22.135534790891768</v>
      </c>
      <c r="Q104" s="134">
        <f>Q$95*'Env Data'!$E$21/2000</f>
        <v>66.4066043726753</v>
      </c>
      <c r="R104" s="134">
        <f>R$95*'Env Data'!$E$21/2000</f>
        <v>132.8132087453506</v>
      </c>
      <c r="S104" s="134">
        <f>S$95*'Env Data'!$E$21/2000</f>
        <v>221.35534790891768</v>
      </c>
    </row>
    <row r="105" spans="1:19" ht="13.5" hidden="1" thickBot="1">
      <c r="A105" s="36" t="s">
        <v>174</v>
      </c>
      <c r="B105" s="134">
        <f>B$94*'Env Data'!$F$8/2000+B$95*'Env Data'!$F$21/2000</f>
        <v>1.7599564546856572</v>
      </c>
      <c r="C105" s="134">
        <f>C$94*'Env Data'!$F$8/2000+C$95*'Env Data'!$F$21/2000</f>
        <v>5.279869364056972</v>
      </c>
      <c r="D105" s="134">
        <f>D$94*'Env Data'!$F$8/2000+D$95*'Env Data'!$F$21/2000</f>
        <v>10.559738728113944</v>
      </c>
      <c r="E105" s="134">
        <f>E$94*'Env Data'!$F$8/2000+E$95*'Env Data'!$F$21/2000</f>
        <v>17.59956454685657</v>
      </c>
      <c r="F105" s="240"/>
      <c r="H105" s="36" t="s">
        <v>174</v>
      </c>
      <c r="I105" s="134">
        <f>I$94*'Env Data'!$F$8/2000</f>
        <v>0</v>
      </c>
      <c r="J105" s="134">
        <f>J$94*'Env Data'!$F$8/2000</f>
        <v>0</v>
      </c>
      <c r="K105" s="134">
        <f>K$94*'Env Data'!$F$8/2000</f>
        <v>0</v>
      </c>
      <c r="L105" s="134">
        <f>L$94*'Env Data'!$F$8/2000</f>
        <v>0</v>
      </c>
      <c r="M105" s="240"/>
      <c r="O105" s="36" t="s">
        <v>174</v>
      </c>
      <c r="P105" s="134">
        <f>P$95*'Env Data'!$F$21/2000</f>
        <v>1.7599564546856572</v>
      </c>
      <c r="Q105" s="134">
        <f>Q$95*'Env Data'!$F$21/2000</f>
        <v>5.279869364056972</v>
      </c>
      <c r="R105" s="134">
        <f>R$95*'Env Data'!$F$21/2000</f>
        <v>10.559738728113944</v>
      </c>
      <c r="S105" s="134">
        <f>S$95*'Env Data'!$F$21/2000</f>
        <v>17.59956454685657</v>
      </c>
    </row>
    <row r="106" spans="1:19" ht="13.5" hidden="1" thickBot="1">
      <c r="A106" s="173" t="s">
        <v>240</v>
      </c>
      <c r="B106" s="174"/>
      <c r="C106" s="174"/>
      <c r="D106" s="174"/>
      <c r="E106" s="175"/>
      <c r="F106" s="240"/>
      <c r="H106" s="173" t="s">
        <v>240</v>
      </c>
      <c r="I106" s="174"/>
      <c r="J106" s="174"/>
      <c r="K106" s="174"/>
      <c r="L106" s="175"/>
      <c r="M106" s="240"/>
      <c r="O106" s="173" t="s">
        <v>240</v>
      </c>
      <c r="P106" s="174"/>
      <c r="Q106" s="174"/>
      <c r="R106" s="174"/>
      <c r="S106" s="175"/>
    </row>
    <row r="107" spans="1:19" ht="25.5" hidden="1">
      <c r="A107" s="152" t="s">
        <v>242</v>
      </c>
      <c r="B107" s="138">
        <f>ROUNDUP(((B$94/2000)/Inputs!$B$84)/'Env Data'!$H$29,0)*'Env Data'!$G$29/1000*'Cost Data'!$D$46*Inputs!$B$83*Inputs!$B$84</f>
        <v>0</v>
      </c>
      <c r="C107" s="138">
        <f>ROUNDUP(((C$94/2000)/Inputs!$B$85)/'Env Data'!$H$29,0)*'Env Data'!$G$29/1000*'Cost Data'!$D$46*Inputs!$B$83*Inputs!$B$85</f>
        <v>0</v>
      </c>
      <c r="D107" s="138">
        <f>ROUNDUP(((D$94/2000)/Inputs!$B$86)/'Env Data'!$H$29,0)*'Env Data'!$G$29/1000*'Cost Data'!$D$46*Inputs!$B$83*Inputs!$B$86</f>
        <v>0</v>
      </c>
      <c r="E107" s="144">
        <f>ROUNDUP(((E$94/2000)/Inputs!$B$87)/'Env Data'!$H$29,0)*'Env Data'!$G$29/1000*'Cost Data'!$D$46*Inputs!$B$83*Inputs!$B$87</f>
        <v>0</v>
      </c>
      <c r="F107" s="208"/>
      <c r="H107" s="152" t="s">
        <v>242</v>
      </c>
      <c r="I107" s="138">
        <f>ROUNDUP(((I$94/2000)/Inputs!$B$84)/'Env Data'!$H$29,0)*'Env Data'!$G$29/1000*'Cost Data'!$D$46*Inputs!$B$83*Inputs!$B$84</f>
        <v>0</v>
      </c>
      <c r="J107" s="138">
        <f>ROUNDUP(((J$94/2000)/Inputs!$B$85)/'Env Data'!$H$29,0)*'Env Data'!$G$29/1000*'Cost Data'!$D$46*Inputs!$B$83*Inputs!$B$85</f>
        <v>0</v>
      </c>
      <c r="K107" s="138">
        <f>ROUNDUP(((K$94/2000)/Inputs!$B$86)/'Env Data'!$H$29,0)*'Env Data'!$G$29/1000*'Cost Data'!$D$46*Inputs!$B$83*Inputs!$B$86</f>
        <v>0</v>
      </c>
      <c r="L107" s="144">
        <f>ROUNDUP(((L$94/2000)/Inputs!$B$87)/'Env Data'!$H$29,0)*'Env Data'!$G$29/1000*'Cost Data'!$D$46*Inputs!$B$83*Inputs!$B$87</f>
        <v>0</v>
      </c>
      <c r="M107" s="208"/>
      <c r="O107" s="152" t="s">
        <v>242</v>
      </c>
      <c r="P107" s="397"/>
      <c r="Q107" s="392"/>
      <c r="R107" s="392"/>
      <c r="S107" s="398"/>
    </row>
    <row r="108" spans="1:19" ht="12.75" hidden="1">
      <c r="A108" s="36" t="s">
        <v>179</v>
      </c>
      <c r="B108" s="141">
        <f>ROUNDUP(((B$94/2000)/Inputs!$B$84)/'Env Data'!$H$29,0)*'Env Data'!$B$29*Inputs!$B$83*Inputs!$B$84</f>
        <v>0</v>
      </c>
      <c r="C108" s="141">
        <f>ROUNDUP(((C$94/2000)/Inputs!$B$85)/'Env Data'!$H$29,0)*'Env Data'!$B$29*Inputs!$B$83*Inputs!$B$85</f>
        <v>0</v>
      </c>
      <c r="D108" s="141">
        <f>ROUNDUP(((D$94/2000)/Inputs!$B$86)/'Env Data'!$H$29,0)*'Env Data'!$B$29*Inputs!$B$83*Inputs!$B$86</f>
        <v>0</v>
      </c>
      <c r="E108" s="143">
        <f>ROUNDUP(((E$94/2000)/Inputs!$B$87)/'Env Data'!$H$29,0)*'Env Data'!$B$29*Inputs!$B$83*Inputs!$B$87</f>
        <v>0</v>
      </c>
      <c r="F108" s="208"/>
      <c r="H108" s="36" t="s">
        <v>179</v>
      </c>
      <c r="I108" s="141">
        <f>ROUNDUP(((I$94/2000)/Inputs!$B$84)/'Env Data'!$H$29,0)*'Env Data'!$B$29*Inputs!$B$83*Inputs!$B$84</f>
        <v>0</v>
      </c>
      <c r="J108" s="141">
        <f>ROUNDUP(((J$94/2000)/Inputs!$B$85)/'Env Data'!$H$29,0)*'Env Data'!$B$29*Inputs!$B$83*Inputs!$B$85</f>
        <v>0</v>
      </c>
      <c r="K108" s="141">
        <f>ROUNDUP(((K$94/2000)/Inputs!$B$86)/'Env Data'!$H$29,0)*'Env Data'!$B$29*Inputs!$B$83*Inputs!$B$86</f>
        <v>0</v>
      </c>
      <c r="L108" s="143">
        <f>ROUNDUP(((L$94/2000)/Inputs!$B$87)/'Env Data'!$H$29,0)*'Env Data'!$B$29*Inputs!$B$83*Inputs!$B$87</f>
        <v>0</v>
      </c>
      <c r="M108" s="208"/>
      <c r="O108" s="36" t="s">
        <v>179</v>
      </c>
      <c r="P108" s="389"/>
      <c r="Q108" s="389"/>
      <c r="R108" s="389"/>
      <c r="S108" s="399"/>
    </row>
    <row r="109" spans="1:19" ht="12.75" hidden="1">
      <c r="A109" s="36" t="s">
        <v>212</v>
      </c>
      <c r="B109" s="141">
        <f>ROUNDUP(((B$94/2000)/Inputs!$B$84)/'Env Data'!$H$29,0)*'Env Data'!$C$29*Inputs!$B$83*Inputs!$B$84</f>
        <v>0</v>
      </c>
      <c r="C109" s="141">
        <f>ROUNDUP(((C$94/2000)/Inputs!$B$85)/'Env Data'!$H$29,0)*'Env Data'!$C$29*Inputs!$B$83*Inputs!$B$85</f>
        <v>0</v>
      </c>
      <c r="D109" s="141">
        <f>ROUNDUP(((D$94/2000)/Inputs!$B$86)/'Env Data'!$H$29,0)*'Env Data'!$C$29*Inputs!$B$83*Inputs!$B$86</f>
        <v>0</v>
      </c>
      <c r="E109" s="143">
        <f>ROUNDUP(((E$94/2000)/Inputs!$B$87)/'Env Data'!$H$29,0)*'Env Data'!$C$29*Inputs!$B$83*Inputs!$B$87</f>
        <v>0</v>
      </c>
      <c r="F109" s="208"/>
      <c r="H109" s="36" t="s">
        <v>212</v>
      </c>
      <c r="I109" s="141">
        <f>ROUNDUP(((I$94/2000)/Inputs!$B$84)/'Env Data'!$H$29,0)*'Env Data'!$C$29*Inputs!$B$83*Inputs!$B$84</f>
        <v>0</v>
      </c>
      <c r="J109" s="141">
        <f>ROUNDUP(((J$94/2000)/Inputs!$B$85)/'Env Data'!$H$29,0)*'Env Data'!$C$29*Inputs!$B$83*Inputs!$B$85</f>
        <v>0</v>
      </c>
      <c r="K109" s="141">
        <f>ROUNDUP(((K$94/2000)/Inputs!$B$86)/'Env Data'!$H$29,0)*'Env Data'!$C$29*Inputs!$B$83*Inputs!$B$86</f>
        <v>0</v>
      </c>
      <c r="L109" s="143">
        <f>ROUNDUP(((L$94/2000)/Inputs!$B$87)/'Env Data'!$H$29,0)*'Env Data'!$C$29*Inputs!$B$83*Inputs!$B$87</f>
        <v>0</v>
      </c>
      <c r="M109" s="208"/>
      <c r="O109" s="36" t="s">
        <v>212</v>
      </c>
      <c r="P109" s="389"/>
      <c r="Q109" s="389"/>
      <c r="R109" s="389"/>
      <c r="S109" s="399"/>
    </row>
    <row r="110" spans="1:19" ht="15.75" hidden="1">
      <c r="A110" s="36" t="s">
        <v>340</v>
      </c>
      <c r="B110" s="141">
        <f>ROUNDUP(((B$94/2000)/Inputs!$B$84)/'Env Data'!$H$29,0)*'Env Data'!$D$29*Inputs!$B$83*Inputs!$B$84</f>
        <v>0</v>
      </c>
      <c r="C110" s="141">
        <f>ROUNDUP(((C$94/2000)/Inputs!$B$85)/'Env Data'!$H$29,0)*'Env Data'!$D$29*Inputs!$B$83*Inputs!$B$85</f>
        <v>0</v>
      </c>
      <c r="D110" s="141">
        <f>ROUNDUP(((D$94/2000)/Inputs!$B$86)/'Env Data'!$H$29,0)*'Env Data'!$D$29*Inputs!$B$83*Inputs!$B$86</f>
        <v>0</v>
      </c>
      <c r="E110" s="143">
        <f>ROUNDUP(((E$94/2000)/Inputs!$B$87)/'Env Data'!$H$29,0)*'Env Data'!$D$29*Inputs!$B$83*Inputs!$B$87</f>
        <v>0</v>
      </c>
      <c r="F110" s="208"/>
      <c r="H110" s="36" t="s">
        <v>340</v>
      </c>
      <c r="I110" s="141">
        <f>ROUNDUP(((I$94/2000)/Inputs!$B$84)/'Env Data'!$H$29,0)*'Env Data'!$D$29*Inputs!$B$83*Inputs!$B$84</f>
        <v>0</v>
      </c>
      <c r="J110" s="141">
        <f>ROUNDUP(((J$94/2000)/Inputs!$B$85)/'Env Data'!$H$29,0)*'Env Data'!$D$29*Inputs!$B$83*Inputs!$B$85</f>
        <v>0</v>
      </c>
      <c r="K110" s="141">
        <f>ROUNDUP(((K$94/2000)/Inputs!$B$86)/'Env Data'!$H$29,0)*'Env Data'!$D$29*Inputs!$B$83*Inputs!$B$86</f>
        <v>0</v>
      </c>
      <c r="L110" s="143">
        <f>ROUNDUP(((L$94/2000)/Inputs!$B$87)/'Env Data'!$H$29,0)*'Env Data'!$D$29*Inputs!$B$83*Inputs!$B$87</f>
        <v>0</v>
      </c>
      <c r="M110" s="208"/>
      <c r="O110" s="36" t="s">
        <v>340</v>
      </c>
      <c r="P110" s="389"/>
      <c r="Q110" s="389"/>
      <c r="R110" s="389"/>
      <c r="S110" s="399"/>
    </row>
    <row r="111" spans="1:19" ht="15.75" hidden="1">
      <c r="A111" s="36" t="s">
        <v>338</v>
      </c>
      <c r="B111" s="141">
        <f>ROUNDUP(((B$94/2000)/Inputs!$B$84)/'Env Data'!$H$29,0)*'Env Data'!$E$29*Inputs!$B$83*Inputs!$B$84</f>
        <v>0</v>
      </c>
      <c r="C111" s="141">
        <f>ROUNDUP(((C$94/2000)/Inputs!$B$85)/'Env Data'!$H$29,0)*'Env Data'!$E$29*Inputs!$B$83*Inputs!$B$85</f>
        <v>0</v>
      </c>
      <c r="D111" s="141">
        <f>ROUNDUP(((D$94/2000)/Inputs!$B$86)/'Env Data'!$H$29,0)*'Env Data'!$E$29*Inputs!$B$83*Inputs!$B$86</f>
        <v>0</v>
      </c>
      <c r="E111" s="143">
        <f>ROUNDUP(((E$94/2000)/Inputs!$B$87)/'Env Data'!$H$29,0)*'Env Data'!$E$29*Inputs!$B$83*Inputs!$B$87</f>
        <v>0</v>
      </c>
      <c r="F111" s="208"/>
      <c r="H111" s="36" t="s">
        <v>338</v>
      </c>
      <c r="I111" s="141">
        <f>ROUNDUP(((I$94/2000)/Inputs!$B$84)/'Env Data'!$H$29,0)*'Env Data'!$E$29*Inputs!$B$83*Inputs!$B$84</f>
        <v>0</v>
      </c>
      <c r="J111" s="141">
        <f>ROUNDUP(((J$94/2000)/Inputs!$B$85)/'Env Data'!$H$29,0)*'Env Data'!$E$29*Inputs!$B$83*Inputs!$B$85</f>
        <v>0</v>
      </c>
      <c r="K111" s="141">
        <f>ROUNDUP(((K$94/2000)/Inputs!$B$86)/'Env Data'!$H$29,0)*'Env Data'!$E$29*Inputs!$B$83*Inputs!$B$86</f>
        <v>0</v>
      </c>
      <c r="L111" s="143">
        <f>ROUNDUP(((L$94/2000)/Inputs!$B$87)/'Env Data'!$H$29,0)*'Env Data'!$E$29*Inputs!$B$83*Inputs!$B$87</f>
        <v>0</v>
      </c>
      <c r="M111" s="208"/>
      <c r="O111" s="36" t="s">
        <v>338</v>
      </c>
      <c r="P111" s="389"/>
      <c r="Q111" s="389"/>
      <c r="R111" s="389"/>
      <c r="S111" s="399"/>
    </row>
    <row r="112" spans="1:19" s="14" customFormat="1" ht="13.5" hidden="1" thickBot="1">
      <c r="A112" s="49" t="s">
        <v>174</v>
      </c>
      <c r="B112" s="141">
        <f>ROUNDUP(((B$94/2000)/Inputs!$B$84)/'Env Data'!$H$29,0)*'Env Data'!$F$29*Inputs!$B$83*Inputs!$B$84</f>
        <v>0</v>
      </c>
      <c r="C112" s="141">
        <f>ROUNDUP(((C$94/2000)/Inputs!$B$85)/'Env Data'!$H$29,0)*'Env Data'!$F$29*Inputs!$B$83*Inputs!$B$85</f>
        <v>0</v>
      </c>
      <c r="D112" s="141">
        <f>ROUNDUP(((D$94/2000)/Inputs!$B$86)/'Env Data'!$H$29,0)*'Env Data'!$F$29*Inputs!$B$83*Inputs!$B$86</f>
        <v>0</v>
      </c>
      <c r="E112" s="143">
        <f>ROUNDUP(((E$94/2000)/Inputs!$B$87)/'Env Data'!$H$29,0)*'Env Data'!$F$29*Inputs!$B$83*Inputs!$B$87</f>
        <v>0</v>
      </c>
      <c r="F112" s="208"/>
      <c r="G112" s="13"/>
      <c r="H112" s="49" t="s">
        <v>174</v>
      </c>
      <c r="I112" s="141">
        <f>ROUNDUP(((I$94/2000)/Inputs!$B$84)/'Env Data'!$H$29,0)*'Env Data'!$F$29*Inputs!$B$83*Inputs!$B$84</f>
        <v>0</v>
      </c>
      <c r="J112" s="141">
        <f>ROUNDUP(((J$94/2000)/Inputs!$B$85)/'Env Data'!$H$29,0)*'Env Data'!$F$29*Inputs!$B$83*Inputs!$B$85</f>
        <v>0</v>
      </c>
      <c r="K112" s="141">
        <f>ROUNDUP(((K$94/2000)/Inputs!$B$86)/'Env Data'!$H$29,0)*'Env Data'!$F$29*Inputs!$B$83*Inputs!$B$86</f>
        <v>0</v>
      </c>
      <c r="L112" s="143">
        <f>ROUNDUP(((L$94/2000)/Inputs!$B$87)/'Env Data'!$H$29,0)*'Env Data'!$F$29*Inputs!$B$83*Inputs!$B$87</f>
        <v>0</v>
      </c>
      <c r="M112" s="208"/>
      <c r="O112" s="49" t="s">
        <v>174</v>
      </c>
      <c r="P112" s="400"/>
      <c r="Q112" s="400"/>
      <c r="R112" s="400"/>
      <c r="S112" s="401"/>
    </row>
    <row r="113" spans="1:19" ht="12.75" customHeight="1" hidden="1" thickBot="1">
      <c r="A113" s="168" t="s">
        <v>284</v>
      </c>
      <c r="B113" s="169"/>
      <c r="C113" s="169"/>
      <c r="D113" s="169"/>
      <c r="E113" s="170"/>
      <c r="F113" s="208"/>
      <c r="G113" s="9"/>
      <c r="H113" s="168" t="s">
        <v>284</v>
      </c>
      <c r="I113" s="169"/>
      <c r="J113" s="169"/>
      <c r="K113" s="169"/>
      <c r="L113" s="170"/>
      <c r="M113" s="208"/>
      <c r="O113" s="168" t="s">
        <v>284</v>
      </c>
      <c r="P113" s="205"/>
      <c r="Q113" s="205"/>
      <c r="R113" s="205"/>
      <c r="S113" s="206"/>
    </row>
    <row r="114" spans="1:19" ht="25.5" customHeight="1" hidden="1">
      <c r="A114" s="152" t="s">
        <v>242</v>
      </c>
      <c r="B114" s="139">
        <f>ROUNDUP(((B$94/2000/'Cost Data'!$D$39)/Inputs!$B$84)/'Env Data'!$H$34,0)*'Env Data'!$G$34/1000*'Cost Data'!$D$46*Inputs!$B$15*Inputs!$B$84</f>
        <v>0</v>
      </c>
      <c r="C114" s="139">
        <f>ROUNDUP(((C$94/2000/'Cost Data'!$D$39)/Inputs!$B$85)/'Env Data'!$H$34,0)*'Env Data'!$G$34/1000*'Cost Data'!$D$46*Inputs!$B$15*Inputs!$B$85</f>
        <v>0</v>
      </c>
      <c r="D114" s="139">
        <f>ROUNDUP(((D$94/2000/'Cost Data'!$D$39)/Inputs!$B$86)/'Env Data'!$H$34,0)*'Env Data'!$G$34/1000*'Cost Data'!$D$46*Inputs!$B$15*Inputs!$B$86</f>
        <v>0</v>
      </c>
      <c r="E114" s="144">
        <f>ROUNDUP(((E$94/2000/'Cost Data'!$D$39)/Inputs!$B$87)/'Env Data'!$H$34,0)*'Env Data'!$G$34/1000*'Cost Data'!$D$46*Inputs!$B$15*Inputs!$B$87</f>
        <v>0</v>
      </c>
      <c r="F114" s="208"/>
      <c r="G114" s="9"/>
      <c r="H114" s="152" t="s">
        <v>242</v>
      </c>
      <c r="I114" s="139">
        <f>ROUNDUP(((I$94/2000/'Cost Data'!$D$39)/Inputs!$B$84)/'Env Data'!$H$34,0)*'Env Data'!$G$34/1000*'Cost Data'!$D$46*Inputs!$B$15*Inputs!$B$84</f>
        <v>0</v>
      </c>
      <c r="J114" s="139">
        <f>ROUNDUP(((J$94/2000/'Cost Data'!$D$39)/Inputs!$B$85)/'Env Data'!$H$34,0)*'Env Data'!$G$34/1000*'Cost Data'!$D$46*Inputs!$B$15*Inputs!$B$85</f>
        <v>0</v>
      </c>
      <c r="K114" s="139">
        <f>ROUNDUP(((K$94/2000/'Cost Data'!$D$39)/Inputs!$B$86)/'Env Data'!$H$34,0)*'Env Data'!$G$34/1000*'Cost Data'!$D$46*Inputs!$B$15*Inputs!$B$86</f>
        <v>0</v>
      </c>
      <c r="L114" s="144">
        <f>ROUNDUP(((L$94/2000/'Cost Data'!$D$39)/Inputs!$B$87)/'Env Data'!$H$34,0)*'Env Data'!$G$34/1000*'Cost Data'!$D$46*Inputs!$B$15*Inputs!$B$87</f>
        <v>0</v>
      </c>
      <c r="M114" s="208"/>
      <c r="O114" s="152" t="s">
        <v>242</v>
      </c>
      <c r="P114" s="389"/>
      <c r="Q114" s="390"/>
      <c r="R114" s="390"/>
      <c r="S114" s="391"/>
    </row>
    <row r="115" spans="1:19" ht="12.75" customHeight="1" hidden="1">
      <c r="A115" s="36" t="s">
        <v>179</v>
      </c>
      <c r="B115" s="139">
        <f>ROUNDUP(((B$94/2000/'Cost Data'!$D$39)/Inputs!$B$84)/'Env Data'!$H$34,0)*'Env Data'!$B$34*Inputs!$B$15*Inputs!$B$84</f>
        <v>0</v>
      </c>
      <c r="C115" s="139">
        <f>ROUNDUP(((C$94/2000/'Cost Data'!$D$39)/Inputs!$B$85)/'Env Data'!$H$34,0)*'Env Data'!$B$34*Inputs!$B$15*Inputs!$B$85</f>
        <v>0</v>
      </c>
      <c r="D115" s="139">
        <f>ROUNDUP(((D$94/2000/'Cost Data'!$D$39)/Inputs!$B$86)/'Env Data'!$H$34,0)*'Env Data'!$B$34*Inputs!$B$15*Inputs!$B$86</f>
        <v>0</v>
      </c>
      <c r="E115" s="149">
        <f>ROUNDUP(((E$94/2000/'Cost Data'!$D$39)/Inputs!$B$87)/'Env Data'!$H$34,0)*'Env Data'!$B$34*Inputs!$B$15*Inputs!$B$87</f>
        <v>0</v>
      </c>
      <c r="F115" s="208"/>
      <c r="G115" s="9"/>
      <c r="H115" s="36" t="s">
        <v>179</v>
      </c>
      <c r="I115" s="139">
        <f>ROUNDUP(((I$94/2000/'Cost Data'!$D$39)/Inputs!$B$84)/'Env Data'!$H$34,0)*'Env Data'!$B$34*Inputs!$B$15*Inputs!$B$84</f>
        <v>0</v>
      </c>
      <c r="J115" s="139">
        <f>ROUNDUP(((J$94/2000/'Cost Data'!$D$39)/Inputs!$B$85)/'Env Data'!$H$34,0)*'Env Data'!$B$34*Inputs!$B$15*Inputs!$B$85</f>
        <v>0</v>
      </c>
      <c r="K115" s="139">
        <f>ROUNDUP(((K$94/2000/'Cost Data'!$D$39)/Inputs!$B$86)/'Env Data'!$H$34,0)*'Env Data'!$B$34*Inputs!$B$15*Inputs!$B$86</f>
        <v>0</v>
      </c>
      <c r="L115" s="149">
        <f>ROUNDUP(((L$94/2000/'Cost Data'!$D$39)/Inputs!$B$87)/'Env Data'!$H$34,0)*'Env Data'!$B$34*Inputs!$B$15*Inputs!$B$87</f>
        <v>0</v>
      </c>
      <c r="M115" s="208"/>
      <c r="O115" s="36" t="s">
        <v>179</v>
      </c>
      <c r="P115" s="390"/>
      <c r="Q115" s="390"/>
      <c r="R115" s="390"/>
      <c r="S115" s="391"/>
    </row>
    <row r="116" spans="1:19" ht="12.75" customHeight="1" hidden="1">
      <c r="A116" s="36" t="s">
        <v>212</v>
      </c>
      <c r="B116" s="139">
        <f>ROUNDUP(((B$94/2000/'Cost Data'!$D$39)/Inputs!$B$84)/'Env Data'!$H$34,0)*'Env Data'!$C$34*Inputs!$B$15*Inputs!$B$84</f>
        <v>0</v>
      </c>
      <c r="C116" s="139">
        <f>ROUNDUP(((C$94/2000/'Cost Data'!$D$39)/Inputs!$B$85)/'Env Data'!$H$34,0)*'Env Data'!$C$34*Inputs!$B$15*Inputs!$B$85</f>
        <v>0</v>
      </c>
      <c r="D116" s="139">
        <f>ROUNDUP(((D$94/2000/'Cost Data'!$D$39)/Inputs!$B$86)/'Env Data'!$H$34,0)*'Env Data'!$C$34*Inputs!$B$15*Inputs!$B$86</f>
        <v>0</v>
      </c>
      <c r="E116" s="149">
        <f>ROUNDUP(((E$94/2000/'Cost Data'!$D$39)/Inputs!$B$87)/'Env Data'!$H$34,0)*'Env Data'!$C$34*Inputs!$B$15*Inputs!$B$87</f>
        <v>0</v>
      </c>
      <c r="F116" s="208"/>
      <c r="G116" s="9"/>
      <c r="H116" s="36" t="s">
        <v>212</v>
      </c>
      <c r="I116" s="139">
        <f>ROUNDUP(((I$94/2000/'Cost Data'!$D$39)/Inputs!$B$84)/'Env Data'!$H$34,0)*'Env Data'!$C$34*Inputs!$B$15*Inputs!$B$84</f>
        <v>0</v>
      </c>
      <c r="J116" s="139">
        <f>ROUNDUP(((J$94/2000/'Cost Data'!$D$39)/Inputs!$B$85)/'Env Data'!$H$34,0)*'Env Data'!$C$34*Inputs!$B$15*Inputs!$B$85</f>
        <v>0</v>
      </c>
      <c r="K116" s="139">
        <f>ROUNDUP(((K$94/2000/'Cost Data'!$D$39)/Inputs!$B$86)/'Env Data'!$H$34,0)*'Env Data'!$C$34*Inputs!$B$15*Inputs!$B$86</f>
        <v>0</v>
      </c>
      <c r="L116" s="149">
        <f>ROUNDUP(((L$94/2000/'Cost Data'!$D$39)/Inputs!$B$87)/'Env Data'!$H$34,0)*'Env Data'!$C$34*Inputs!$B$15*Inputs!$B$87</f>
        <v>0</v>
      </c>
      <c r="M116" s="208"/>
      <c r="O116" s="36" t="s">
        <v>212</v>
      </c>
      <c r="P116" s="390"/>
      <c r="Q116" s="390"/>
      <c r="R116" s="390"/>
      <c r="S116" s="391"/>
    </row>
    <row r="117" spans="1:19" ht="12.75" customHeight="1" hidden="1">
      <c r="A117" s="36" t="s">
        <v>340</v>
      </c>
      <c r="B117" s="139">
        <f>ROUNDUP(((B$94/2000/'Cost Data'!$D$39)/Inputs!$B$84)/'Env Data'!$H$34,0)*'Env Data'!$D$34*Inputs!$B$15*Inputs!$B$84</f>
        <v>0</v>
      </c>
      <c r="C117" s="139">
        <f>ROUNDUP(((C$94/2000/'Cost Data'!$D$39)/Inputs!$B$85)/'Env Data'!$H$34,0)*'Env Data'!$D$34*Inputs!$B$15*Inputs!$B$85</f>
        <v>0</v>
      </c>
      <c r="D117" s="139">
        <f>ROUNDUP(((D$94/2000/'Cost Data'!$D$39)/Inputs!$B$86)/'Env Data'!$H$34,0)*'Env Data'!$D$34*Inputs!$B$15*Inputs!$B$86</f>
        <v>0</v>
      </c>
      <c r="E117" s="149">
        <f>ROUNDUP(((E$94/2000/'Cost Data'!$D$39)/Inputs!$B$87)/'Env Data'!$H$34,0)*'Env Data'!$D$34*Inputs!$B$15*Inputs!$B$87</f>
        <v>0</v>
      </c>
      <c r="F117" s="208"/>
      <c r="G117" s="9"/>
      <c r="H117" s="36" t="s">
        <v>340</v>
      </c>
      <c r="I117" s="139">
        <f>ROUNDUP(((I$94/2000/'Cost Data'!$D$39)/Inputs!$B$84)/'Env Data'!$H$34,0)*'Env Data'!$D$34*Inputs!$B$15*Inputs!$B$84</f>
        <v>0</v>
      </c>
      <c r="J117" s="139">
        <f>ROUNDUP(((J$94/2000/'Cost Data'!$D$39)/Inputs!$B$85)/'Env Data'!$H$34,0)*'Env Data'!$D$34*Inputs!$B$15*Inputs!$B$85</f>
        <v>0</v>
      </c>
      <c r="K117" s="139">
        <f>ROUNDUP(((K$94/2000/'Cost Data'!$D$39)/Inputs!$B$86)/'Env Data'!$H$34,0)*'Env Data'!$D$34*Inputs!$B$15*Inputs!$B$86</f>
        <v>0</v>
      </c>
      <c r="L117" s="149">
        <f>ROUNDUP(((L$94/2000/'Cost Data'!$D$39)/Inputs!$B$87)/'Env Data'!$H$34,0)*'Env Data'!$D$34*Inputs!$B$15*Inputs!$B$87</f>
        <v>0</v>
      </c>
      <c r="M117" s="208"/>
      <c r="O117" s="36" t="s">
        <v>340</v>
      </c>
      <c r="P117" s="390"/>
      <c r="Q117" s="390"/>
      <c r="R117" s="390"/>
      <c r="S117" s="391"/>
    </row>
    <row r="118" spans="1:19" ht="12.75" customHeight="1" hidden="1">
      <c r="A118" s="36" t="s">
        <v>338</v>
      </c>
      <c r="B118" s="139">
        <f>ROUNDUP(((B$94/2000/'Cost Data'!$D$39)/Inputs!$B$84)/'Env Data'!$H$34,0)*'Env Data'!$E$34*Inputs!$B$15*Inputs!$B$84</f>
        <v>0</v>
      </c>
      <c r="C118" s="139">
        <f>ROUNDUP(((C$94/2000/'Cost Data'!$D$39)/Inputs!$B$85)/'Env Data'!$H$34,0)*'Env Data'!$E$34*Inputs!$B$15*Inputs!$B$85</f>
        <v>0</v>
      </c>
      <c r="D118" s="139">
        <f>ROUNDUP(((D$94/2000/'Cost Data'!$D$39)/Inputs!$B$86)/'Env Data'!$H$34,0)*'Env Data'!$E$34*Inputs!$B$15*Inputs!$B$86</f>
        <v>0</v>
      </c>
      <c r="E118" s="149">
        <f>ROUNDUP(((E$94/2000/'Cost Data'!$D$39)/Inputs!$B$87)/'Env Data'!$H$34,0)*'Env Data'!$E$34*Inputs!$B$15*Inputs!$B$87</f>
        <v>0</v>
      </c>
      <c r="F118" s="208"/>
      <c r="G118" s="9"/>
      <c r="H118" s="36" t="s">
        <v>338</v>
      </c>
      <c r="I118" s="139">
        <f>ROUNDUP(((I$94/2000/'Cost Data'!$D$39)/Inputs!$B$84)/'Env Data'!$H$34,0)*'Env Data'!$E$34*Inputs!$B$15*Inputs!$B$84</f>
        <v>0</v>
      </c>
      <c r="J118" s="139">
        <f>ROUNDUP(((J$94/2000/'Cost Data'!$D$39)/Inputs!$B$85)/'Env Data'!$H$34,0)*'Env Data'!$E$34*Inputs!$B$15*Inputs!$B$85</f>
        <v>0</v>
      </c>
      <c r="K118" s="139">
        <f>ROUNDUP(((K$94/2000/'Cost Data'!$D$39)/Inputs!$B$86)/'Env Data'!$H$34,0)*'Env Data'!$E$34*Inputs!$B$15*Inputs!$B$86</f>
        <v>0</v>
      </c>
      <c r="L118" s="149">
        <f>ROUNDUP(((L$94/2000/'Cost Data'!$D$39)/Inputs!$B$87)/'Env Data'!$H$34,0)*'Env Data'!$E$34*Inputs!$B$15*Inputs!$B$87</f>
        <v>0</v>
      </c>
      <c r="M118" s="208"/>
      <c r="O118" s="36" t="s">
        <v>338</v>
      </c>
      <c r="P118" s="390"/>
      <c r="Q118" s="390"/>
      <c r="R118" s="390"/>
      <c r="S118" s="391"/>
    </row>
    <row r="119" spans="1:19" ht="12.75" customHeight="1" hidden="1" thickBot="1">
      <c r="A119" s="113" t="s">
        <v>174</v>
      </c>
      <c r="B119" s="139">
        <f>ROUNDUP(((B$94/2000/'Cost Data'!$D$39)/Inputs!$B$84)/'Env Data'!$H$34,0)*'Env Data'!$F$34*Inputs!$B$15*Inputs!$B$84</f>
        <v>0</v>
      </c>
      <c r="C119" s="139">
        <f>ROUNDUP(((C$94/2000/'Cost Data'!$D$39)/Inputs!$B$85)/'Env Data'!$H$34,0)*'Env Data'!$F$34*Inputs!$B$15*Inputs!$B$85</f>
        <v>0</v>
      </c>
      <c r="D119" s="139">
        <f>ROUNDUP(((D$94/2000/'Cost Data'!$D$39)/Inputs!$B$86)/'Env Data'!$H$34,0)*'Env Data'!$F$34*Inputs!$B$15*Inputs!$B$86</f>
        <v>0</v>
      </c>
      <c r="E119" s="149">
        <f>ROUNDUP(((E$94/2000/'Cost Data'!$D$39)/Inputs!$B$87)/'Env Data'!$H$34,0)*'Env Data'!$F$34*Inputs!$B$15*Inputs!$B$87</f>
        <v>0</v>
      </c>
      <c r="F119" s="208"/>
      <c r="G119" s="9"/>
      <c r="H119" s="113" t="s">
        <v>174</v>
      </c>
      <c r="I119" s="139">
        <f>ROUNDUP(((I$94/2000/'Cost Data'!$D$39)/Inputs!$B$84)/'Env Data'!$H$34,0)*'Env Data'!$F$34*Inputs!$B$15*Inputs!$B$84</f>
        <v>0</v>
      </c>
      <c r="J119" s="139">
        <f>ROUNDUP(((J$94/2000/'Cost Data'!$D$39)/Inputs!$B$85)/'Env Data'!$H$34,0)*'Env Data'!$F$34*Inputs!$B$15*Inputs!$B$85</f>
        <v>0</v>
      </c>
      <c r="K119" s="139">
        <f>ROUNDUP(((K$94/2000/'Cost Data'!$D$39)/Inputs!$B$86)/'Env Data'!$H$34,0)*'Env Data'!$F$34*Inputs!$B$15*Inputs!$B$86</f>
        <v>0</v>
      </c>
      <c r="L119" s="149">
        <f>ROUNDUP(((L$94/2000/'Cost Data'!$D$39)/Inputs!$B$87)/'Env Data'!$H$34,0)*'Env Data'!$F$34*Inputs!$B$15*Inputs!$B$87</f>
        <v>0</v>
      </c>
      <c r="M119" s="208"/>
      <c r="O119" s="113" t="s">
        <v>174</v>
      </c>
      <c r="P119" s="390"/>
      <c r="Q119" s="390"/>
      <c r="R119" s="390"/>
      <c r="S119" s="391"/>
    </row>
    <row r="120" spans="1:19" ht="12.75" customHeight="1" hidden="1" thickBot="1">
      <c r="A120" s="168" t="s">
        <v>382</v>
      </c>
      <c r="B120" s="169"/>
      <c r="C120" s="169"/>
      <c r="D120" s="169"/>
      <c r="E120" s="170"/>
      <c r="F120" s="208"/>
      <c r="G120" s="9"/>
      <c r="H120" s="168" t="s">
        <v>382</v>
      </c>
      <c r="I120" s="169"/>
      <c r="J120" s="169"/>
      <c r="K120" s="169"/>
      <c r="L120" s="170"/>
      <c r="M120" s="208"/>
      <c r="O120" s="168" t="s">
        <v>382</v>
      </c>
      <c r="P120" s="205"/>
      <c r="Q120" s="205"/>
      <c r="R120" s="205"/>
      <c r="S120" s="206"/>
    </row>
    <row r="121" spans="1:19" ht="25.5" customHeight="1" hidden="1">
      <c r="A121" s="152" t="s">
        <v>242</v>
      </c>
      <c r="B121" s="139">
        <f>ROUNDUP(((B$95/2000/'Cost Data'!$D$39)/Inputs!$B$84)/'Env Data'!$H$34,0)*'Env Data'!$G$34/1000*'Cost Data'!$D$46*(Inputs!$B$15-Inputs!$B$78)*Inputs!$B$84</f>
        <v>0</v>
      </c>
      <c r="C121" s="139">
        <f>ROUNDUP(((C$95/2000/'Cost Data'!$D$39)/Inputs!$B$85)/'Env Data'!$H$34,0)*'Env Data'!$G$34/1000*'Cost Data'!$D$46*(Inputs!$B$15-Inputs!$B$78)*Inputs!$B$85</f>
        <v>0</v>
      </c>
      <c r="D121" s="139">
        <f>ROUNDUP(((D$95/2000/'Cost Data'!$D$39)/Inputs!$B$86)/'Env Data'!$H$34,0)*'Env Data'!$G$34/1000*'Cost Data'!$D$46*(Inputs!$B$15-Inputs!$B$78)*Inputs!$B$86</f>
        <v>0</v>
      </c>
      <c r="E121" s="144">
        <f>ROUNDUP(((E$95/2000/'Cost Data'!$D$39)/Inputs!$B$87)/'Env Data'!$H$34,0)*'Env Data'!$G$34/1000*'Cost Data'!$D$46*(Inputs!$B$15-Inputs!$B$78)*Inputs!$B$87</f>
        <v>0</v>
      </c>
      <c r="F121" s="208"/>
      <c r="G121" s="9"/>
      <c r="H121" s="152" t="s">
        <v>242</v>
      </c>
      <c r="I121" s="389"/>
      <c r="J121" s="390"/>
      <c r="K121" s="390"/>
      <c r="L121" s="391"/>
      <c r="M121" s="208"/>
      <c r="O121" s="152" t="s">
        <v>242</v>
      </c>
      <c r="P121" s="139">
        <f>ROUNDUP(((P$95/2000/'Cost Data'!$D$39)/Inputs!$B$84)/'Env Data'!$H$34,0)*'Env Data'!$G$34/1000*'Cost Data'!$D$46*(Inputs!$B$15-Inputs!$B$78)*Inputs!$B$84</f>
        <v>0</v>
      </c>
      <c r="Q121" s="139">
        <f>ROUNDUP(((Q$95/2000/'Cost Data'!$D$39)/Inputs!$B$85)/'Env Data'!$H$34,0)*'Env Data'!$G$34/1000*'Cost Data'!$D$46*(Inputs!$B$15-Inputs!$B$78)*Inputs!$B$85</f>
        <v>0</v>
      </c>
      <c r="R121" s="139">
        <f>ROUNDUP(((R$95/2000/'Cost Data'!$D$39)/Inputs!$B$86)/'Env Data'!$H$34,0)*'Env Data'!$G$34/1000*'Cost Data'!$D$46*(Inputs!$B$15-Inputs!$B$78)*Inputs!$B$86</f>
        <v>0</v>
      </c>
      <c r="S121" s="144">
        <f>ROUNDUP(((S$95/2000/'Cost Data'!$D$39)/Inputs!$B$87)/'Env Data'!$H$34,0)*'Env Data'!$G$34/1000*'Cost Data'!$D$46*(Inputs!$B$15-Inputs!$B$78)*Inputs!$B$87</f>
        <v>0</v>
      </c>
    </row>
    <row r="122" spans="1:19" ht="12.75" customHeight="1" hidden="1">
      <c r="A122" s="36" t="s">
        <v>179</v>
      </c>
      <c r="B122" s="139">
        <f>ROUNDUP(((B$95/2000/'Cost Data'!$D$39)/Inputs!$B$84)/'Env Data'!$H$34,0)*'Env Data'!$B$34*(Inputs!$B$15-Inputs!$B$78)*Inputs!$B$84</f>
        <v>0</v>
      </c>
      <c r="C122" s="139">
        <f>ROUNDUP(((C$95/2000/'Cost Data'!$D$39)/Inputs!$B$85)/'Env Data'!$H$34,0)*'Env Data'!$B$34*(Inputs!$B$15-Inputs!$B$78)*Inputs!$B$85</f>
        <v>0</v>
      </c>
      <c r="D122" s="139">
        <f>ROUNDUP(((D$95/2000/'Cost Data'!$D$39)/Inputs!$B$86)/'Env Data'!$H$34,0)*'Env Data'!$B$34*(Inputs!$B$15-Inputs!$B$78)*Inputs!$B$86</f>
        <v>0</v>
      </c>
      <c r="E122" s="149">
        <f>ROUNDUP(((E$95/2000/'Cost Data'!$D$39)/Inputs!$B$87)/'Env Data'!$H$34,0)*'Env Data'!$B$34*(Inputs!$B$15-Inputs!$B$78)*Inputs!$B$87</f>
        <v>0</v>
      </c>
      <c r="F122" s="208"/>
      <c r="G122" s="9"/>
      <c r="H122" s="36" t="s">
        <v>179</v>
      </c>
      <c r="I122" s="390"/>
      <c r="J122" s="390"/>
      <c r="K122" s="390"/>
      <c r="L122" s="391"/>
      <c r="M122" s="208"/>
      <c r="O122" s="36" t="s">
        <v>179</v>
      </c>
      <c r="P122" s="139">
        <f>ROUNDUP(((P$95/2000/'Cost Data'!$D$39)/Inputs!$B$84)/'Env Data'!$H$34,0)*'Env Data'!$B$34*(Inputs!$B$15-Inputs!$B$78)*Inputs!$B$84</f>
        <v>0</v>
      </c>
      <c r="Q122" s="139">
        <f>ROUNDUP(((Q$95/2000/'Cost Data'!$D$39)/Inputs!$B$85)/'Env Data'!$H$34,0)*'Env Data'!$B$34*(Inputs!$B$15-Inputs!$B$78)*Inputs!$B$85</f>
        <v>0</v>
      </c>
      <c r="R122" s="139">
        <f>ROUNDUP(((R$95/2000/'Cost Data'!$D$39)/Inputs!$B$86)/'Env Data'!$H$34,0)*'Env Data'!$B$34*(Inputs!$B$15-Inputs!$B$78)*Inputs!$B$86</f>
        <v>0</v>
      </c>
      <c r="S122" s="149">
        <f>ROUNDUP(((S$95/2000/'Cost Data'!$D$39)/Inputs!$B$87)/'Env Data'!$H$34,0)*'Env Data'!$B$34*(Inputs!$B$15-Inputs!$B$78)*Inputs!$B$87</f>
        <v>0</v>
      </c>
    </row>
    <row r="123" spans="1:19" ht="12.75" customHeight="1" hidden="1">
      <c r="A123" s="36" t="s">
        <v>212</v>
      </c>
      <c r="B123" s="139">
        <f>ROUNDUP(((B$95/2000/'Cost Data'!$D$39)/Inputs!$B$84)/'Env Data'!$H$34,0)*'Env Data'!$C$34*(Inputs!$B$15-Inputs!$B$78)*Inputs!$B$84</f>
        <v>0</v>
      </c>
      <c r="C123" s="139">
        <f>ROUNDUP(((C$95/2000/'Cost Data'!$D$39)/Inputs!$B$85)/'Env Data'!$H$34,0)*'Env Data'!$C$34*(Inputs!$B$15-Inputs!$B$78)*Inputs!$B$85</f>
        <v>0</v>
      </c>
      <c r="D123" s="139">
        <f>ROUNDUP(((D$95/2000/'Cost Data'!$D$39)/Inputs!$B$86)/'Env Data'!$H$34,0)*'Env Data'!$C$34*(Inputs!$B$15-Inputs!$B$78)*Inputs!$B$86</f>
        <v>0</v>
      </c>
      <c r="E123" s="149">
        <f>ROUNDUP(((E$95/2000/'Cost Data'!$D$39)/Inputs!$B$87)/'Env Data'!$H$34,0)*'Env Data'!$C$34*(Inputs!$B$15-Inputs!$B$78)*Inputs!$B$87</f>
        <v>0</v>
      </c>
      <c r="F123" s="208"/>
      <c r="G123" s="9"/>
      <c r="H123" s="36" t="s">
        <v>212</v>
      </c>
      <c r="I123" s="390"/>
      <c r="J123" s="390"/>
      <c r="K123" s="390"/>
      <c r="L123" s="391"/>
      <c r="M123" s="208"/>
      <c r="O123" s="36" t="s">
        <v>212</v>
      </c>
      <c r="P123" s="139">
        <f>ROUNDUP(((P$95/2000/'Cost Data'!$D$39)/Inputs!$B$84)/'Env Data'!$H$34,0)*'Env Data'!$C$34*(Inputs!$B$15-Inputs!$B$78)*Inputs!$B$84</f>
        <v>0</v>
      </c>
      <c r="Q123" s="139">
        <f>ROUNDUP(((Q$95/2000/'Cost Data'!$D$39)/Inputs!$B$85)/'Env Data'!$H$34,0)*'Env Data'!$C$34*(Inputs!$B$15-Inputs!$B$78)*Inputs!$B$85</f>
        <v>0</v>
      </c>
      <c r="R123" s="139">
        <f>ROUNDUP(((R$95/2000/'Cost Data'!$D$39)/Inputs!$B$86)/'Env Data'!$H$34,0)*'Env Data'!$C$34*(Inputs!$B$15-Inputs!$B$78)*Inputs!$B$86</f>
        <v>0</v>
      </c>
      <c r="S123" s="149">
        <f>ROUNDUP(((S$95/2000/'Cost Data'!$D$39)/Inputs!$B$87)/'Env Data'!$H$34,0)*'Env Data'!$C$34*(Inputs!$B$15-Inputs!$B$78)*Inputs!$B$87</f>
        <v>0</v>
      </c>
    </row>
    <row r="124" spans="1:19" ht="12.75" customHeight="1" hidden="1">
      <c r="A124" s="36" t="s">
        <v>340</v>
      </c>
      <c r="B124" s="139">
        <f>ROUNDUP(((B$95/2000/'Cost Data'!$D$39)/Inputs!$B$84)/'Env Data'!$H$34,0)*'Env Data'!$D$34*(Inputs!$B$15-Inputs!$B$78)*Inputs!$B$84</f>
        <v>0</v>
      </c>
      <c r="C124" s="139">
        <f>ROUNDUP(((C$95/2000/'Cost Data'!$D$39)/Inputs!$B$85)/'Env Data'!$H$34,0)*'Env Data'!$D$34*(Inputs!$B$15-Inputs!$B$78)*Inputs!$B$85</f>
        <v>0</v>
      </c>
      <c r="D124" s="139">
        <f>ROUNDUP(((D$95/2000/'Cost Data'!$D$39)/Inputs!$B$86)/'Env Data'!$H$34,0)*'Env Data'!$D$34*(Inputs!$B$15-Inputs!$B$78)*Inputs!$B$86</f>
        <v>0</v>
      </c>
      <c r="E124" s="149">
        <f>ROUNDUP(((E$95/2000/'Cost Data'!$D$39)/Inputs!$B$87)/'Env Data'!$H$34,0)*'Env Data'!$D$34*(Inputs!$B$15-Inputs!$B$78)*Inputs!$B$87</f>
        <v>0</v>
      </c>
      <c r="F124" s="208"/>
      <c r="G124" s="9"/>
      <c r="H124" s="36" t="s">
        <v>340</v>
      </c>
      <c r="I124" s="390"/>
      <c r="J124" s="390"/>
      <c r="K124" s="390"/>
      <c r="L124" s="391"/>
      <c r="M124" s="208"/>
      <c r="O124" s="36" t="s">
        <v>340</v>
      </c>
      <c r="P124" s="139">
        <f>ROUNDUP(((P$95/2000/'Cost Data'!$D$39)/Inputs!$B$84)/'Env Data'!$H$34,0)*'Env Data'!$D$34*(Inputs!$B$15-Inputs!$B$78)*Inputs!$B$84</f>
        <v>0</v>
      </c>
      <c r="Q124" s="139">
        <f>ROUNDUP(((Q$95/2000/'Cost Data'!$D$39)/Inputs!$B$85)/'Env Data'!$H$34,0)*'Env Data'!$D$34*(Inputs!$B$15-Inputs!$B$78)*Inputs!$B$85</f>
        <v>0</v>
      </c>
      <c r="R124" s="139">
        <f>ROUNDUP(((R$95/2000/'Cost Data'!$D$39)/Inputs!$B$86)/'Env Data'!$H$34,0)*'Env Data'!$D$34*(Inputs!$B$15-Inputs!$B$78)*Inputs!$B$86</f>
        <v>0</v>
      </c>
      <c r="S124" s="149">
        <f>ROUNDUP(((S$95/2000/'Cost Data'!$D$39)/Inputs!$B$87)/'Env Data'!$H$34,0)*'Env Data'!$D$34*(Inputs!$B$15-Inputs!$B$78)*Inputs!$B$87</f>
        <v>0</v>
      </c>
    </row>
    <row r="125" spans="1:19" ht="12.75" customHeight="1" hidden="1">
      <c r="A125" s="36" t="s">
        <v>338</v>
      </c>
      <c r="B125" s="139">
        <f>ROUNDUP(((B$95/2000/'Cost Data'!$D$39)/Inputs!$B$84)/'Env Data'!$H$34,0)*'Env Data'!$E$34*(Inputs!$B$15-Inputs!$B$78)*Inputs!$B$84</f>
        <v>0</v>
      </c>
      <c r="C125" s="139">
        <f>ROUNDUP(((C$95/2000/'Cost Data'!$D$39)/Inputs!$B$85)/'Env Data'!$H$34,0)*'Env Data'!$E$34*(Inputs!$B$15-Inputs!$B$78)*Inputs!$B$85</f>
        <v>0</v>
      </c>
      <c r="D125" s="139">
        <f>ROUNDUP(((D$95/2000/'Cost Data'!$D$39)/Inputs!$B$86)/'Env Data'!$H$34,0)*'Env Data'!$E$34*(Inputs!$B$15-Inputs!$B$78)*Inputs!$B$86</f>
        <v>0</v>
      </c>
      <c r="E125" s="149">
        <f>ROUNDUP(((E$95/2000/'Cost Data'!$D$39)/Inputs!$B$87)/'Env Data'!$H$34,0)*'Env Data'!$E$34*(Inputs!$B$15-Inputs!$B$78)*Inputs!$B$87</f>
        <v>0</v>
      </c>
      <c r="F125" s="208"/>
      <c r="G125" s="9"/>
      <c r="H125" s="36" t="s">
        <v>338</v>
      </c>
      <c r="I125" s="390"/>
      <c r="J125" s="390"/>
      <c r="K125" s="390"/>
      <c r="L125" s="391"/>
      <c r="M125" s="208"/>
      <c r="O125" s="36" t="s">
        <v>338</v>
      </c>
      <c r="P125" s="139">
        <f>ROUNDUP(((P$95/2000/'Cost Data'!$D$39)/Inputs!$B$84)/'Env Data'!$H$34,0)*'Env Data'!$E$34*(Inputs!$B$15-Inputs!$B$78)*Inputs!$B$84</f>
        <v>0</v>
      </c>
      <c r="Q125" s="139">
        <f>ROUNDUP(((Q$95/2000/'Cost Data'!$D$39)/Inputs!$B$85)/'Env Data'!$H$34,0)*'Env Data'!$E$34*(Inputs!$B$15-Inputs!$B$78)*Inputs!$B$85</f>
        <v>0</v>
      </c>
      <c r="R125" s="139">
        <f>ROUNDUP(((R$95/2000/'Cost Data'!$D$39)/Inputs!$B$86)/'Env Data'!$H$34,0)*'Env Data'!$E$34*(Inputs!$B$15-Inputs!$B$78)*Inputs!$B$86</f>
        <v>0</v>
      </c>
      <c r="S125" s="149">
        <f>ROUNDUP(((S$95/2000/'Cost Data'!$D$39)/Inputs!$B$87)/'Env Data'!$H$34,0)*'Env Data'!$E$34*(Inputs!$B$15-Inputs!$B$78)*Inputs!$B$87</f>
        <v>0</v>
      </c>
    </row>
    <row r="126" spans="1:19" ht="12.75" customHeight="1" hidden="1" thickBot="1">
      <c r="A126" s="113" t="s">
        <v>174</v>
      </c>
      <c r="B126" s="139">
        <f>ROUNDUP(((B$95/2000/'Cost Data'!$D$39)/Inputs!$B$84)/'Env Data'!$H$34,0)*'Env Data'!$F$34*(Inputs!$B$15-Inputs!$B$78)*Inputs!$B$84</f>
        <v>0</v>
      </c>
      <c r="C126" s="139">
        <f>ROUNDUP(((C$95/2000/'Cost Data'!$D$39)/Inputs!$B$85)/'Env Data'!$H$34,0)*'Env Data'!$F$34*(Inputs!$B$15-Inputs!$B$78)*Inputs!$B$85</f>
        <v>0</v>
      </c>
      <c r="D126" s="139">
        <f>ROUNDUP(((D$95/2000/'Cost Data'!$D$39)/Inputs!$B$86)/'Env Data'!$H$34,0)*'Env Data'!$F$34*(Inputs!$B$15-Inputs!$B$78)*Inputs!$B$86</f>
        <v>0</v>
      </c>
      <c r="E126" s="149">
        <f>ROUNDUP(((E$95/2000/'Cost Data'!$D$39)/Inputs!$B$87)/'Env Data'!$H$34,0)*'Env Data'!$F$34*(Inputs!$B$15-Inputs!$B$78)*Inputs!$B$87</f>
        <v>0</v>
      </c>
      <c r="F126" s="208"/>
      <c r="G126" s="9"/>
      <c r="H126" s="113" t="s">
        <v>174</v>
      </c>
      <c r="I126" s="390"/>
      <c r="J126" s="390"/>
      <c r="K126" s="390"/>
      <c r="L126" s="391"/>
      <c r="M126" s="208"/>
      <c r="O126" s="113" t="s">
        <v>174</v>
      </c>
      <c r="P126" s="139">
        <f>ROUNDUP(((P$95/2000/'Cost Data'!$D$39)/Inputs!$B$84)/'Env Data'!$H$34,0)*'Env Data'!$F$34*(Inputs!$B$15-Inputs!$B$78)*Inputs!$B$84</f>
        <v>0</v>
      </c>
      <c r="Q126" s="139">
        <f>ROUNDUP(((Q$95/2000/'Cost Data'!$D$39)/Inputs!$B$85)/'Env Data'!$H$34,0)*'Env Data'!$F$34*(Inputs!$B$15-Inputs!$B$78)*Inputs!$B$85</f>
        <v>0</v>
      </c>
      <c r="R126" s="139">
        <f>ROUNDUP(((R$95/2000/'Cost Data'!$D$39)/Inputs!$B$86)/'Env Data'!$H$34,0)*'Env Data'!$F$34*(Inputs!$B$15-Inputs!$B$78)*Inputs!$B$86</f>
        <v>0</v>
      </c>
      <c r="S126" s="149">
        <f>ROUNDUP(((S$95/2000/'Cost Data'!$D$39)/Inputs!$B$87)/'Env Data'!$H$34,0)*'Env Data'!$F$34*(Inputs!$B$15-Inputs!$B$78)*Inputs!$B$87</f>
        <v>0</v>
      </c>
    </row>
    <row r="127" spans="1:19" s="14" customFormat="1" ht="12.75" customHeight="1" thickBot="1">
      <c r="A127" s="257" t="s">
        <v>259</v>
      </c>
      <c r="B127" s="258"/>
      <c r="C127" s="258"/>
      <c r="D127" s="258"/>
      <c r="E127" s="259"/>
      <c r="F127" s="260"/>
      <c r="G127" s="13"/>
      <c r="H127" s="257" t="s">
        <v>259</v>
      </c>
      <c r="I127" s="258"/>
      <c r="J127" s="258"/>
      <c r="K127" s="258"/>
      <c r="L127" s="259"/>
      <c r="M127" s="260"/>
      <c r="O127" s="257" t="s">
        <v>259</v>
      </c>
      <c r="P127" s="258"/>
      <c r="Q127" s="258"/>
      <c r="R127" s="258"/>
      <c r="S127" s="259"/>
    </row>
    <row r="128" spans="1:19" ht="12.75" customHeight="1">
      <c r="A128" s="114" t="s">
        <v>156</v>
      </c>
      <c r="B128" s="139">
        <f aca="true" t="shared" si="9" ref="B128:E130">B98</f>
        <v>113.21973221259361</v>
      </c>
      <c r="C128" s="139">
        <f t="shared" si="9"/>
        <v>339.65919663778084</v>
      </c>
      <c r="D128" s="139">
        <f t="shared" si="9"/>
        <v>679.3183932755617</v>
      </c>
      <c r="E128" s="149">
        <f t="shared" si="9"/>
        <v>1132.1973221259361</v>
      </c>
      <c r="F128" s="208"/>
      <c r="G128" s="9"/>
      <c r="H128" s="114" t="s">
        <v>156</v>
      </c>
      <c r="I128" s="139">
        <f aca="true" t="shared" si="10" ref="I128:L130">I98</f>
        <v>0</v>
      </c>
      <c r="J128" s="139">
        <f t="shared" si="10"/>
        <v>0</v>
      </c>
      <c r="K128" s="139">
        <f t="shared" si="10"/>
        <v>0</v>
      </c>
      <c r="L128" s="149">
        <f t="shared" si="10"/>
        <v>0</v>
      </c>
      <c r="M128" s="208"/>
      <c r="O128" s="114" t="s">
        <v>156</v>
      </c>
      <c r="P128" s="139">
        <f aca="true" t="shared" si="11" ref="P128:S130">P98</f>
        <v>113.21973221259361</v>
      </c>
      <c r="Q128" s="139">
        <f t="shared" si="11"/>
        <v>339.65919663778084</v>
      </c>
      <c r="R128" s="139">
        <f t="shared" si="11"/>
        <v>679.3183932755617</v>
      </c>
      <c r="S128" s="149">
        <f t="shared" si="11"/>
        <v>1132.1973221259361</v>
      </c>
    </row>
    <row r="129" spans="1:19" ht="12.75" customHeight="1">
      <c r="A129" s="36" t="s">
        <v>178</v>
      </c>
      <c r="B129" s="139">
        <f t="shared" si="9"/>
        <v>65.31797151410686</v>
      </c>
      <c r="C129" s="139">
        <f t="shared" si="9"/>
        <v>195.95391454232058</v>
      </c>
      <c r="D129" s="139">
        <f t="shared" si="9"/>
        <v>391.90782908464115</v>
      </c>
      <c r="E129" s="149">
        <f t="shared" si="9"/>
        <v>653.1797151410685</v>
      </c>
      <c r="F129" s="208"/>
      <c r="G129" s="9"/>
      <c r="H129" s="36" t="s">
        <v>178</v>
      </c>
      <c r="I129" s="139">
        <f t="shared" si="10"/>
        <v>0</v>
      </c>
      <c r="J129" s="139">
        <f t="shared" si="10"/>
        <v>0</v>
      </c>
      <c r="K129" s="139">
        <f t="shared" si="10"/>
        <v>0</v>
      </c>
      <c r="L129" s="149">
        <f t="shared" si="10"/>
        <v>0</v>
      </c>
      <c r="M129" s="208"/>
      <c r="O129" s="36" t="s">
        <v>178</v>
      </c>
      <c r="P129" s="139">
        <f t="shared" si="11"/>
        <v>65.31797151410686</v>
      </c>
      <c r="Q129" s="139">
        <f t="shared" si="11"/>
        <v>195.95391454232058</v>
      </c>
      <c r="R129" s="139">
        <f t="shared" si="11"/>
        <v>391.90782908464115</v>
      </c>
      <c r="S129" s="149">
        <f t="shared" si="11"/>
        <v>653.1797151410685</v>
      </c>
    </row>
    <row r="130" spans="1:19" ht="25.5" customHeight="1">
      <c r="A130" s="152" t="s">
        <v>258</v>
      </c>
      <c r="B130" s="139">
        <f t="shared" si="9"/>
        <v>0</v>
      </c>
      <c r="C130" s="139">
        <f t="shared" si="9"/>
        <v>0</v>
      </c>
      <c r="D130" s="139">
        <f t="shared" si="9"/>
        <v>0</v>
      </c>
      <c r="E130" s="149">
        <f t="shared" si="9"/>
        <v>0</v>
      </c>
      <c r="F130" s="208"/>
      <c r="G130" s="9"/>
      <c r="H130" s="152" t="s">
        <v>258</v>
      </c>
      <c r="I130" s="139">
        <f t="shared" si="10"/>
        <v>0</v>
      </c>
      <c r="J130" s="139">
        <f t="shared" si="10"/>
        <v>0</v>
      </c>
      <c r="K130" s="139">
        <f t="shared" si="10"/>
        <v>0</v>
      </c>
      <c r="L130" s="149">
        <f t="shared" si="10"/>
        <v>0</v>
      </c>
      <c r="M130" s="208"/>
      <c r="O130" s="152" t="s">
        <v>258</v>
      </c>
      <c r="P130" s="139">
        <f t="shared" si="11"/>
        <v>0</v>
      </c>
      <c r="Q130" s="139">
        <f t="shared" si="11"/>
        <v>0</v>
      </c>
      <c r="R130" s="139">
        <f t="shared" si="11"/>
        <v>0</v>
      </c>
      <c r="S130" s="149">
        <f t="shared" si="11"/>
        <v>0</v>
      </c>
    </row>
    <row r="131" spans="1:19" ht="25.5" customHeight="1">
      <c r="A131" s="152" t="s">
        <v>242</v>
      </c>
      <c r="B131" s="139">
        <f aca="true" t="shared" si="12" ref="B131:E132">B101+B107+B114+B121</f>
        <v>22.046</v>
      </c>
      <c r="C131" s="139">
        <f t="shared" si="12"/>
        <v>66.138</v>
      </c>
      <c r="D131" s="139">
        <f t="shared" si="12"/>
        <v>132.276</v>
      </c>
      <c r="E131" s="143">
        <f t="shared" si="12"/>
        <v>220.46</v>
      </c>
      <c r="F131" s="208"/>
      <c r="G131" s="9"/>
      <c r="H131" s="152" t="s">
        <v>242</v>
      </c>
      <c r="I131" s="139">
        <f aca="true" t="shared" si="13" ref="I131:L132">I101+I107+I114+I121</f>
        <v>0</v>
      </c>
      <c r="J131" s="139">
        <f t="shared" si="13"/>
        <v>0</v>
      </c>
      <c r="K131" s="139">
        <f t="shared" si="13"/>
        <v>0</v>
      </c>
      <c r="L131" s="143">
        <f t="shared" si="13"/>
        <v>0</v>
      </c>
      <c r="M131" s="208"/>
      <c r="O131" s="152" t="s">
        <v>242</v>
      </c>
      <c r="P131" s="139">
        <f aca="true" t="shared" si="14" ref="P131:S132">P101+P107+P114+P121</f>
        <v>22.046</v>
      </c>
      <c r="Q131" s="139">
        <f t="shared" si="14"/>
        <v>66.138</v>
      </c>
      <c r="R131" s="139">
        <f t="shared" si="14"/>
        <v>132.276</v>
      </c>
      <c r="S131" s="143">
        <f t="shared" si="14"/>
        <v>220.46</v>
      </c>
    </row>
    <row r="132" spans="1:19" ht="12.75" customHeight="1">
      <c r="A132" s="36" t="s">
        <v>179</v>
      </c>
      <c r="B132" s="139">
        <f t="shared" si="12"/>
        <v>10.541594847137803</v>
      </c>
      <c r="C132" s="139">
        <f t="shared" si="12"/>
        <v>31.62478454141341</v>
      </c>
      <c r="D132" s="139">
        <f t="shared" si="12"/>
        <v>63.24956908282682</v>
      </c>
      <c r="E132" s="149">
        <f t="shared" si="12"/>
        <v>105.41594847137804</v>
      </c>
      <c r="F132" s="208"/>
      <c r="G132" s="9"/>
      <c r="H132" s="36" t="s">
        <v>179</v>
      </c>
      <c r="I132" s="139">
        <f t="shared" si="13"/>
        <v>0</v>
      </c>
      <c r="J132" s="139">
        <f t="shared" si="13"/>
        <v>0</v>
      </c>
      <c r="K132" s="139">
        <f t="shared" si="13"/>
        <v>0</v>
      </c>
      <c r="L132" s="149">
        <f t="shared" si="13"/>
        <v>0</v>
      </c>
      <c r="M132" s="208"/>
      <c r="O132" s="36" t="s">
        <v>179</v>
      </c>
      <c r="P132" s="139">
        <f t="shared" si="14"/>
        <v>10.541594847137803</v>
      </c>
      <c r="Q132" s="139">
        <f t="shared" si="14"/>
        <v>31.62478454141341</v>
      </c>
      <c r="R132" s="139">
        <f t="shared" si="14"/>
        <v>63.24956908282682</v>
      </c>
      <c r="S132" s="149">
        <f t="shared" si="14"/>
        <v>105.41594847137804</v>
      </c>
    </row>
    <row r="133" spans="1:19" ht="12.75" customHeight="1">
      <c r="A133" s="36" t="s">
        <v>212</v>
      </c>
      <c r="B133" s="139">
        <f>B116+B116+B123</f>
        <v>0</v>
      </c>
      <c r="C133" s="139">
        <f>C116+C116+C123</f>
        <v>0</v>
      </c>
      <c r="D133" s="139">
        <f>D116+D116+D123</f>
        <v>0</v>
      </c>
      <c r="E133" s="149">
        <f>E116+E116+E123</f>
        <v>0</v>
      </c>
      <c r="F133" s="208"/>
      <c r="G133" s="9"/>
      <c r="H133" s="36" t="s">
        <v>212</v>
      </c>
      <c r="I133" s="139">
        <f>I116+I116+I123</f>
        <v>0</v>
      </c>
      <c r="J133" s="139">
        <f>J116+J116+J123</f>
        <v>0</v>
      </c>
      <c r="K133" s="139">
        <f>K116+K116+K123</f>
        <v>0</v>
      </c>
      <c r="L133" s="149">
        <f>L116+L116+L123</f>
        <v>0</v>
      </c>
      <c r="M133" s="208"/>
      <c r="O133" s="36" t="s">
        <v>212</v>
      </c>
      <c r="P133" s="139">
        <f>P116+P116+P123</f>
        <v>0</v>
      </c>
      <c r="Q133" s="139">
        <f>Q116+Q116+Q123</f>
        <v>0</v>
      </c>
      <c r="R133" s="139">
        <f>R116+R116+R123</f>
        <v>0</v>
      </c>
      <c r="S133" s="149">
        <f>S116+S116+S123</f>
        <v>0</v>
      </c>
    </row>
    <row r="134" spans="1:19" ht="12.75" customHeight="1">
      <c r="A134" s="36" t="s">
        <v>340</v>
      </c>
      <c r="B134" s="139">
        <f aca="true" t="shared" si="15" ref="B134:E136">B103+B110+B117+B124</f>
        <v>25.038555747074298</v>
      </c>
      <c r="C134" s="139">
        <f t="shared" si="15"/>
        <v>75.1156672412229</v>
      </c>
      <c r="D134" s="139">
        <f t="shared" si="15"/>
        <v>150.2313344824458</v>
      </c>
      <c r="E134" s="149">
        <f t="shared" si="15"/>
        <v>250.38555747074298</v>
      </c>
      <c r="F134" s="208"/>
      <c r="G134" s="9"/>
      <c r="H134" s="36" t="s">
        <v>340</v>
      </c>
      <c r="I134" s="139">
        <f aca="true" t="shared" si="16" ref="I134:L136">I103+I110+I117+I124</f>
        <v>0</v>
      </c>
      <c r="J134" s="139">
        <f t="shared" si="16"/>
        <v>0</v>
      </c>
      <c r="K134" s="139">
        <f t="shared" si="16"/>
        <v>0</v>
      </c>
      <c r="L134" s="149">
        <f t="shared" si="16"/>
        <v>0</v>
      </c>
      <c r="M134" s="208"/>
      <c r="O134" s="36" t="s">
        <v>340</v>
      </c>
      <c r="P134" s="139">
        <f aca="true" t="shared" si="17" ref="P134:S136">P103+P110+P117+P124</f>
        <v>25.038555747074298</v>
      </c>
      <c r="Q134" s="139">
        <f t="shared" si="17"/>
        <v>75.1156672412229</v>
      </c>
      <c r="R134" s="139">
        <f t="shared" si="17"/>
        <v>150.2313344824458</v>
      </c>
      <c r="S134" s="149">
        <f t="shared" si="17"/>
        <v>250.38555747074298</v>
      </c>
    </row>
    <row r="135" spans="1:19" ht="12.75" customHeight="1">
      <c r="A135" s="36" t="s">
        <v>338</v>
      </c>
      <c r="B135" s="139">
        <f t="shared" si="15"/>
        <v>22.135534790891768</v>
      </c>
      <c r="C135" s="139">
        <f t="shared" si="15"/>
        <v>66.4066043726753</v>
      </c>
      <c r="D135" s="139">
        <f t="shared" si="15"/>
        <v>132.8132087453506</v>
      </c>
      <c r="E135" s="149">
        <f t="shared" si="15"/>
        <v>221.35534790891768</v>
      </c>
      <c r="F135" s="208"/>
      <c r="G135" s="9"/>
      <c r="H135" s="36" t="s">
        <v>338</v>
      </c>
      <c r="I135" s="139">
        <f t="shared" si="16"/>
        <v>0</v>
      </c>
      <c r="J135" s="139">
        <f t="shared" si="16"/>
        <v>0</v>
      </c>
      <c r="K135" s="139">
        <f t="shared" si="16"/>
        <v>0</v>
      </c>
      <c r="L135" s="149">
        <f t="shared" si="16"/>
        <v>0</v>
      </c>
      <c r="M135" s="208"/>
      <c r="O135" s="36" t="s">
        <v>338</v>
      </c>
      <c r="P135" s="139">
        <f t="shared" si="17"/>
        <v>22.135534790891768</v>
      </c>
      <c r="Q135" s="139">
        <f t="shared" si="17"/>
        <v>66.4066043726753</v>
      </c>
      <c r="R135" s="139">
        <f t="shared" si="17"/>
        <v>132.8132087453506</v>
      </c>
      <c r="S135" s="149">
        <f t="shared" si="17"/>
        <v>221.35534790891768</v>
      </c>
    </row>
    <row r="136" spans="1:19" ht="12.75" customHeight="1">
      <c r="A136" s="36" t="s">
        <v>174</v>
      </c>
      <c r="B136" s="139">
        <f t="shared" si="15"/>
        <v>1.7599564546856572</v>
      </c>
      <c r="C136" s="139">
        <f t="shared" si="15"/>
        <v>5.279869364056972</v>
      </c>
      <c r="D136" s="139">
        <f t="shared" si="15"/>
        <v>10.559738728113944</v>
      </c>
      <c r="E136" s="149">
        <f t="shared" si="15"/>
        <v>17.59956454685657</v>
      </c>
      <c r="F136" s="208"/>
      <c r="G136" s="9"/>
      <c r="H136" s="36" t="s">
        <v>174</v>
      </c>
      <c r="I136" s="139">
        <f t="shared" si="16"/>
        <v>0</v>
      </c>
      <c r="J136" s="139">
        <f t="shared" si="16"/>
        <v>0</v>
      </c>
      <c r="K136" s="139">
        <f t="shared" si="16"/>
        <v>0</v>
      </c>
      <c r="L136" s="149">
        <f t="shared" si="16"/>
        <v>0</v>
      </c>
      <c r="M136" s="208"/>
      <c r="O136" s="36" t="s">
        <v>174</v>
      </c>
      <c r="P136" s="139">
        <f t="shared" si="17"/>
        <v>1.7599564546856572</v>
      </c>
      <c r="Q136" s="139">
        <f t="shared" si="17"/>
        <v>5.279869364056972</v>
      </c>
      <c r="R136" s="139">
        <f t="shared" si="17"/>
        <v>10.559738728113944</v>
      </c>
      <c r="S136" s="149">
        <f t="shared" si="17"/>
        <v>17.59956454685657</v>
      </c>
    </row>
    <row r="137" spans="1:19" ht="12.75">
      <c r="A137" s="207" t="s">
        <v>8</v>
      </c>
      <c r="B137" s="42" t="s">
        <v>21</v>
      </c>
      <c r="C137" s="42" t="s">
        <v>18</v>
      </c>
      <c r="D137" s="42" t="s">
        <v>19</v>
      </c>
      <c r="E137" s="150" t="s">
        <v>20</v>
      </c>
      <c r="F137" s="238"/>
      <c r="H137" s="207" t="s">
        <v>8</v>
      </c>
      <c r="I137" s="42" t="s">
        <v>21</v>
      </c>
      <c r="J137" s="42" t="s">
        <v>18</v>
      </c>
      <c r="K137" s="42" t="s">
        <v>19</v>
      </c>
      <c r="L137" s="150" t="s">
        <v>20</v>
      </c>
      <c r="M137" s="238"/>
      <c r="O137" s="207" t="s">
        <v>8</v>
      </c>
      <c r="P137" s="177" t="s">
        <v>21</v>
      </c>
      <c r="Q137" s="177" t="s">
        <v>18</v>
      </c>
      <c r="R137" s="177" t="s">
        <v>19</v>
      </c>
      <c r="S137" s="178" t="s">
        <v>20</v>
      </c>
    </row>
    <row r="138" spans="1:19" ht="12.75">
      <c r="A138" s="36" t="s">
        <v>153</v>
      </c>
      <c r="B138" s="199">
        <f>Inputs!$B$68*2000-(B139+B140)</f>
        <v>0</v>
      </c>
      <c r="C138" s="199">
        <f>Inputs!$B$69*2000-(C139+C140)</f>
        <v>0</v>
      </c>
      <c r="D138" s="199">
        <f>Inputs!$B$70*2000-(D139+D140)</f>
        <v>0</v>
      </c>
      <c r="E138" s="200">
        <f>Inputs!$B$71*2000-(E139+E140)</f>
        <v>0</v>
      </c>
      <c r="F138" s="241"/>
      <c r="H138" s="36" t="s">
        <v>153</v>
      </c>
      <c r="I138" s="199">
        <f>B138</f>
        <v>0</v>
      </c>
      <c r="J138" s="199">
        <f>C138</f>
        <v>0</v>
      </c>
      <c r="K138" s="199">
        <f>D138</f>
        <v>0</v>
      </c>
      <c r="L138" s="200">
        <f>E138</f>
        <v>0</v>
      </c>
      <c r="M138" s="241"/>
      <c r="O138" s="36" t="s">
        <v>153</v>
      </c>
      <c r="P138" s="195">
        <v>0</v>
      </c>
      <c r="Q138" s="195">
        <v>0</v>
      </c>
      <c r="R138" s="195">
        <v>0</v>
      </c>
      <c r="S138" s="196">
        <v>0</v>
      </c>
    </row>
    <row r="139" spans="1:19" ht="12.75">
      <c r="A139" s="49" t="s">
        <v>154</v>
      </c>
      <c r="B139" s="195">
        <f>IF(Lookup!$B$4="Yes",'Cost Calculator'!B$22/Inputs!$B$89*2000,0)</f>
        <v>2000</v>
      </c>
      <c r="C139" s="195">
        <f>IF(Lookup!$B$4="Yes",'Cost Calculator'!C$22/Inputs!$B$89*2000,0)</f>
        <v>6000</v>
      </c>
      <c r="D139" s="195">
        <f>IF(Lookup!$B$4="Yes",'Cost Calculator'!D$22/Inputs!$B$89*2000,0)</f>
        <v>12000</v>
      </c>
      <c r="E139" s="196">
        <f>IF(Lookup!$B$4="Yes",'Cost Calculator'!E$22/Inputs!$B$89*2000,0)</f>
        <v>20000</v>
      </c>
      <c r="F139" s="208"/>
      <c r="H139" s="49" t="s">
        <v>154</v>
      </c>
      <c r="I139" s="195">
        <v>0</v>
      </c>
      <c r="J139" s="195">
        <v>0</v>
      </c>
      <c r="K139" s="195">
        <v>0</v>
      </c>
      <c r="L139" s="196">
        <v>0</v>
      </c>
      <c r="M139" s="208"/>
      <c r="O139" s="49" t="s">
        <v>154</v>
      </c>
      <c r="P139" s="195">
        <f>IF(Lookup!$B$4="Yes",SUM(I138:I140),0)</f>
        <v>2000</v>
      </c>
      <c r="Q139" s="195">
        <f>IF(Lookup!$B$4="Yes",SUM(J138:J140),0)</f>
        <v>6000</v>
      </c>
      <c r="R139" s="195">
        <f>IF(Lookup!$B$4="Yes",SUM(K138:K140),0)</f>
        <v>12000</v>
      </c>
      <c r="S139" s="196">
        <f>IF(Lookup!$B$4="Yes",SUM(L138:L140),0)</f>
        <v>20000</v>
      </c>
    </row>
    <row r="140" spans="1:19" ht="13.5" thickBot="1">
      <c r="A140" s="113" t="s">
        <v>155</v>
      </c>
      <c r="B140" s="197">
        <f>IF(Lookup!$B$4="No",'Cost Calculator'!B$22/VLOOKUP(Lookup!$I$9,'Cost Data'!$A$4:$C$10,3)*2000,0)</f>
        <v>0</v>
      </c>
      <c r="C140" s="197">
        <f>IF(Lookup!$B$4="No",'Cost Calculator'!C$22/VLOOKUP(Lookup!$I$9,'Cost Data'!$A$4:$C$10,3)*2000,0)</f>
        <v>0</v>
      </c>
      <c r="D140" s="197">
        <f>IF(Lookup!$B$4="No",'Cost Calculator'!D$22/VLOOKUP(Lookup!$I$9,'Cost Data'!$A$4:$C$10,3)*2000,0)</f>
        <v>0</v>
      </c>
      <c r="E140" s="198">
        <f>IF(Lookup!$B$4="No",'Cost Calculator'!E$22/VLOOKUP(Lookup!$I$9,'Cost Data'!$A$4:$C$10,3)*2000,0)</f>
        <v>0</v>
      </c>
      <c r="F140" s="208"/>
      <c r="H140" s="113" t="s">
        <v>155</v>
      </c>
      <c r="I140" s="197">
        <f>B139+B140</f>
        <v>2000</v>
      </c>
      <c r="J140" s="197">
        <f>C139+C140</f>
        <v>6000</v>
      </c>
      <c r="K140" s="197">
        <f>D139+D140</f>
        <v>12000</v>
      </c>
      <c r="L140" s="198">
        <f>E139+E140</f>
        <v>20000</v>
      </c>
      <c r="M140" s="208"/>
      <c r="O140" s="113" t="s">
        <v>155</v>
      </c>
      <c r="P140" s="197">
        <f>IF(Lookup!$B$4="No",SUM(I138:I140),0)</f>
        <v>0</v>
      </c>
      <c r="Q140" s="197">
        <f>IF(Lookup!$B$4="No",SUM(J138:J140),0)</f>
        <v>0</v>
      </c>
      <c r="R140" s="197">
        <f>IF(Lookup!$B$4="No",SUM(K138:K140),0)</f>
        <v>0</v>
      </c>
      <c r="S140" s="198">
        <f>IF(Lookup!$B$4="No",SUM(L138:L140),0)</f>
        <v>0</v>
      </c>
    </row>
    <row r="141" spans="1:19" ht="13.5" hidden="1" thickBot="1">
      <c r="A141" s="168" t="s">
        <v>237</v>
      </c>
      <c r="B141" s="169"/>
      <c r="C141" s="169"/>
      <c r="D141" s="169"/>
      <c r="E141" s="170"/>
      <c r="F141" s="208"/>
      <c r="H141" s="168" t="s">
        <v>237</v>
      </c>
      <c r="I141" s="169"/>
      <c r="J141" s="169"/>
      <c r="K141" s="169"/>
      <c r="L141" s="170"/>
      <c r="M141" s="208"/>
      <c r="O141" s="168" t="s">
        <v>237</v>
      </c>
      <c r="P141" s="169"/>
      <c r="Q141" s="169"/>
      <c r="R141" s="169"/>
      <c r="S141" s="170"/>
    </row>
    <row r="142" spans="1:19" ht="12.75" hidden="1">
      <c r="A142" s="114" t="s">
        <v>156</v>
      </c>
      <c r="B142" s="146">
        <f>B$138*'Env Data'!$J$7/2000+B$139*'Env Data'!$J$20/2000</f>
        <v>113.21973221259361</v>
      </c>
      <c r="C142" s="146">
        <f>C$138*'Env Data'!$J$7/2000+C$139*'Env Data'!$J$20/2000</f>
        <v>339.65919663778084</v>
      </c>
      <c r="D142" s="146">
        <f>D$138*'Env Data'!$J$7/2000+D$139*'Env Data'!$J$20/2000</f>
        <v>679.3183932755617</v>
      </c>
      <c r="E142" s="146">
        <f>E$138*'Env Data'!$J$7/2000+E$139*'Env Data'!$J$20/2000</f>
        <v>1132.1973221259361</v>
      </c>
      <c r="F142" s="240"/>
      <c r="H142" s="114" t="s">
        <v>156</v>
      </c>
      <c r="I142" s="146">
        <f>I$138*'Env Data'!$J$7/2000</f>
        <v>0</v>
      </c>
      <c r="J142" s="146">
        <f>J$138*'Env Data'!$J$7/2000</f>
        <v>0</v>
      </c>
      <c r="K142" s="146">
        <f>K$138*'Env Data'!$J$7/2000</f>
        <v>0</v>
      </c>
      <c r="L142" s="146">
        <f>L$138*'Env Data'!$J$7/2000</f>
        <v>0</v>
      </c>
      <c r="M142" s="240"/>
      <c r="O142" s="114" t="s">
        <v>156</v>
      </c>
      <c r="P142" s="146">
        <f>P$139*'Env Data'!$J$20/2000</f>
        <v>113.21973221259361</v>
      </c>
      <c r="Q142" s="146">
        <f>Q$139*'Env Data'!$J$20/2000</f>
        <v>339.65919663778084</v>
      </c>
      <c r="R142" s="146">
        <f>R$139*'Env Data'!$J$20/2000</f>
        <v>679.3183932755617</v>
      </c>
      <c r="S142" s="146">
        <f>S$139*'Env Data'!$J$20/2000</f>
        <v>1132.1973221259361</v>
      </c>
    </row>
    <row r="143" spans="1:19" ht="12.75" hidden="1">
      <c r="A143" s="36" t="s">
        <v>178</v>
      </c>
      <c r="B143" s="134">
        <f>B$138*'Env Data'!$H$7/2000+B$139*'Env Data'!$H$20/2000</f>
        <v>65.31797151410686</v>
      </c>
      <c r="C143" s="134">
        <f>C$138*'Env Data'!$H$7/2000+C$139*'Env Data'!$H$20/2000</f>
        <v>195.95391454232058</v>
      </c>
      <c r="D143" s="134">
        <f>D$138*'Env Data'!$H$7/2000+D$139*'Env Data'!$H$20/2000</f>
        <v>391.90782908464115</v>
      </c>
      <c r="E143" s="134">
        <f>E$138*'Env Data'!$H$7/2000+E$139*'Env Data'!$H$20/2000</f>
        <v>653.1797151410685</v>
      </c>
      <c r="F143" s="240"/>
      <c r="H143" s="36" t="s">
        <v>157</v>
      </c>
      <c r="I143" s="134">
        <f>I$138*'Env Data'!$H$7/2000</f>
        <v>0</v>
      </c>
      <c r="J143" s="134">
        <f>J$138*'Env Data'!$H$7/2000</f>
        <v>0</v>
      </c>
      <c r="K143" s="134">
        <f>K$138*'Env Data'!$H$7/2000</f>
        <v>0</v>
      </c>
      <c r="L143" s="134">
        <f>L$138*'Env Data'!$H$7/2000</f>
        <v>0</v>
      </c>
      <c r="M143" s="240"/>
      <c r="O143" s="36" t="s">
        <v>157</v>
      </c>
      <c r="P143" s="134">
        <f>P$139*'Env Data'!$H$20/2000</f>
        <v>65.31797151410686</v>
      </c>
      <c r="Q143" s="134">
        <f>Q$139*'Env Data'!$H$20/2000</f>
        <v>195.95391454232058</v>
      </c>
      <c r="R143" s="134">
        <f>R$139*'Env Data'!$H$20/2000</f>
        <v>391.90782908464115</v>
      </c>
      <c r="S143" s="134">
        <f>S$139*'Env Data'!$H$20/2000</f>
        <v>653.1797151410685</v>
      </c>
    </row>
    <row r="144" spans="1:19" ht="25.5" customHeight="1" hidden="1">
      <c r="A144" s="152" t="s">
        <v>258</v>
      </c>
      <c r="B144" s="134">
        <f>B$138*'Env Data'!$I$7/2000+B$139*'Env Data'!$I$20/2000</f>
        <v>0</v>
      </c>
      <c r="C144" s="134">
        <f>C$138*'Env Data'!$I$7/2000+C$139*'Env Data'!$I$20/2000</f>
        <v>0</v>
      </c>
      <c r="D144" s="134">
        <f>D$138*'Env Data'!$I$7/2000+D$139*'Env Data'!$I$20/2000</f>
        <v>0</v>
      </c>
      <c r="E144" s="134">
        <f>E$138*'Env Data'!$I$7/2000+E$139*'Env Data'!$I$20/2000</f>
        <v>0</v>
      </c>
      <c r="F144" s="240"/>
      <c r="H144" s="152" t="s">
        <v>258</v>
      </c>
      <c r="I144" s="134">
        <f>I$138*'Env Data'!$I$7/2000</f>
        <v>0</v>
      </c>
      <c r="J144" s="134">
        <f>J$138*'Env Data'!$I$7/2000</f>
        <v>0</v>
      </c>
      <c r="K144" s="134">
        <f>K$138*'Env Data'!$I$7/2000</f>
        <v>0</v>
      </c>
      <c r="L144" s="134">
        <f>L$138*'Env Data'!$I$7/2000</f>
        <v>0</v>
      </c>
      <c r="M144" s="240"/>
      <c r="O144" s="152" t="s">
        <v>258</v>
      </c>
      <c r="P144" s="134">
        <f>P$139*'Env Data'!$I$20/2000</f>
        <v>0</v>
      </c>
      <c r="Q144" s="134">
        <f>Q$139*'Env Data'!$I$20/2000</f>
        <v>0</v>
      </c>
      <c r="R144" s="134">
        <f>R$139*'Env Data'!$I$20/2000</f>
        <v>0</v>
      </c>
      <c r="S144" s="134">
        <f>S$139*'Env Data'!$I$20/2000</f>
        <v>0</v>
      </c>
    </row>
    <row r="145" spans="1:19" ht="25.5" hidden="1">
      <c r="A145" s="152" t="s">
        <v>242</v>
      </c>
      <c r="B145" s="134">
        <f>(B$138/2000)*'Env Data'!$G$7/1000*'Cost Data'!$D$46+(B$139/2000)*'Env Data'!$G$20/1000*'Cost Data'!$D$46</f>
        <v>22.046</v>
      </c>
      <c r="C145" s="134">
        <f>(C$138/2000)*'Env Data'!$G$7/1000*'Cost Data'!$D$46+(C$139/2000)*'Env Data'!$G$20/1000*'Cost Data'!$D$46</f>
        <v>66.138</v>
      </c>
      <c r="D145" s="134">
        <f>(D$138/2000)*'Env Data'!$G$7/1000*'Cost Data'!$D$46+(D$139/2000)*'Env Data'!$G$20/1000*'Cost Data'!$D$46</f>
        <v>132.276</v>
      </c>
      <c r="E145" s="134">
        <f>(E$138/2000)*'Env Data'!$G$7/1000*'Cost Data'!$D$46+(E$139/2000)*'Env Data'!$G$20/1000*'Cost Data'!$D$46</f>
        <v>220.46</v>
      </c>
      <c r="F145" s="240"/>
      <c r="H145" s="152" t="s">
        <v>242</v>
      </c>
      <c r="I145" s="134">
        <f>(I$138/2000)*'Env Data'!$G$7/1000*'Cost Data'!$D$46</f>
        <v>0</v>
      </c>
      <c r="J145" s="134">
        <f>(J$138/2000)*'Env Data'!$G$7/1000*'Cost Data'!$D$46</f>
        <v>0</v>
      </c>
      <c r="K145" s="134">
        <f>(K$138/2000)*'Env Data'!$G$7/1000*'Cost Data'!$D$46</f>
        <v>0</v>
      </c>
      <c r="L145" s="134">
        <f>(L$138/2000)*'Env Data'!$G$7/1000*'Cost Data'!$D$46</f>
        <v>0</v>
      </c>
      <c r="M145" s="240"/>
      <c r="O145" s="152" t="s">
        <v>242</v>
      </c>
      <c r="P145" s="134">
        <f>(P$139/2000)*'Env Data'!$G$20/1000*'Cost Data'!$D$46</f>
        <v>22.046</v>
      </c>
      <c r="Q145" s="134">
        <f>(Q$139/2000)*'Env Data'!$G$20/1000*'Cost Data'!$D$46</f>
        <v>66.138</v>
      </c>
      <c r="R145" s="134">
        <f>(R$139/2000)*'Env Data'!$G$20/1000*'Cost Data'!$D$46</f>
        <v>132.276</v>
      </c>
      <c r="S145" s="134">
        <f>(S$139/2000)*'Env Data'!$G$20/1000*'Cost Data'!$D$46</f>
        <v>220.46</v>
      </c>
    </row>
    <row r="146" spans="1:19" ht="12.75" hidden="1">
      <c r="A146" s="36" t="s">
        <v>179</v>
      </c>
      <c r="B146" s="134">
        <f>B$138*'Env Data'!$B$7/2000+B$139*'Env Data'!$B$20/2000</f>
        <v>10.541594847137803</v>
      </c>
      <c r="C146" s="134">
        <f>C$138*'Env Data'!$B$7/2000+C$139*'Env Data'!$B$20/2000</f>
        <v>31.62478454141341</v>
      </c>
      <c r="D146" s="134">
        <f>D$138*'Env Data'!$B$7/2000+D$139*'Env Data'!$B$20/2000</f>
        <v>63.24956908282682</v>
      </c>
      <c r="E146" s="134">
        <f>E$138*'Env Data'!$B$7/2000+E$139*'Env Data'!$B$20/2000</f>
        <v>105.41594847137804</v>
      </c>
      <c r="F146" s="240"/>
      <c r="H146" s="36" t="s">
        <v>179</v>
      </c>
      <c r="I146" s="134">
        <f>I$138*'Env Data'!$B$7/2000</f>
        <v>0</v>
      </c>
      <c r="J146" s="134">
        <f>J$138*'Env Data'!$B$7/2000</f>
        <v>0</v>
      </c>
      <c r="K146" s="134">
        <f>K$138*'Env Data'!$B$7/2000</f>
        <v>0</v>
      </c>
      <c r="L146" s="134">
        <f>L$138*'Env Data'!$B$7/2000</f>
        <v>0</v>
      </c>
      <c r="M146" s="240"/>
      <c r="O146" s="36" t="s">
        <v>176</v>
      </c>
      <c r="P146" s="134">
        <f>P$139*'Env Data'!$B$20/2000</f>
        <v>10.541594847137803</v>
      </c>
      <c r="Q146" s="134">
        <f>Q$139*'Env Data'!$B$20/2000</f>
        <v>31.62478454141341</v>
      </c>
      <c r="R146" s="134">
        <f>R$139*'Env Data'!$B$20/2000</f>
        <v>63.24956908282682</v>
      </c>
      <c r="S146" s="134">
        <f>S$139*'Env Data'!$B$20/2000</f>
        <v>105.41594847137804</v>
      </c>
    </row>
    <row r="147" spans="1:19" ht="15.75" hidden="1">
      <c r="A147" s="36" t="s">
        <v>340</v>
      </c>
      <c r="B147" s="134">
        <f>B$138*'Env Data'!$D$7/2000+B$139*'Env Data'!$D$20/2000</f>
        <v>25.038555747074298</v>
      </c>
      <c r="C147" s="134">
        <f>C$138*'Env Data'!$D$7/2000+C$139*'Env Data'!$D$20/2000</f>
        <v>75.1156672412229</v>
      </c>
      <c r="D147" s="134">
        <f>D$138*'Env Data'!$D$7/2000+D$139*'Env Data'!$D$20/2000</f>
        <v>150.2313344824458</v>
      </c>
      <c r="E147" s="134">
        <f>E$138*'Env Data'!$D$7/2000+E$139*'Env Data'!$D$20/2000</f>
        <v>250.38555747074298</v>
      </c>
      <c r="F147" s="240"/>
      <c r="H147" s="36" t="s">
        <v>340</v>
      </c>
      <c r="I147" s="134">
        <f>I$138*'Env Data'!$D$7/2000</f>
        <v>0</v>
      </c>
      <c r="J147" s="134">
        <f>J$138*'Env Data'!$D$7/2000</f>
        <v>0</v>
      </c>
      <c r="K147" s="134">
        <f>K$138*'Env Data'!$D$7/2000</f>
        <v>0</v>
      </c>
      <c r="L147" s="134">
        <f>L$138*'Env Data'!$D$7/2000</f>
        <v>0</v>
      </c>
      <c r="M147" s="134">
        <f>M$138*'Env Data'!$D$7/2000</f>
        <v>0</v>
      </c>
      <c r="O147" s="36" t="s">
        <v>340</v>
      </c>
      <c r="P147" s="134">
        <f>P$139*'Env Data'!$D$20/2000</f>
        <v>25.038555747074298</v>
      </c>
      <c r="Q147" s="134">
        <f>Q$139*'Env Data'!$D$20/2000</f>
        <v>75.1156672412229</v>
      </c>
      <c r="R147" s="134">
        <f>R$139*'Env Data'!$D$20/2000</f>
        <v>150.2313344824458</v>
      </c>
      <c r="S147" s="134">
        <f>S$139*'Env Data'!$D$20/2000</f>
        <v>250.38555747074298</v>
      </c>
    </row>
    <row r="148" spans="1:19" ht="15.75" hidden="1">
      <c r="A148" s="36" t="s">
        <v>338</v>
      </c>
      <c r="B148" s="134">
        <f>B$138*'Env Data'!$E$7/2000+B$139*'Env Data'!$E$20/2000</f>
        <v>22.135534790891768</v>
      </c>
      <c r="C148" s="134">
        <f>C$138*'Env Data'!$E$7/2000+C$139*'Env Data'!$E$20/2000</f>
        <v>66.4066043726753</v>
      </c>
      <c r="D148" s="134">
        <f>D$138*'Env Data'!$E$7/2000+D$139*'Env Data'!$E$20/2000</f>
        <v>132.8132087453506</v>
      </c>
      <c r="E148" s="134">
        <f>E$138*'Env Data'!$E$7/2000+E$139*'Env Data'!$E$20/2000</f>
        <v>221.35534790891768</v>
      </c>
      <c r="F148" s="240"/>
      <c r="H148" s="36" t="s">
        <v>338</v>
      </c>
      <c r="I148" s="134">
        <f>I$138*'Env Data'!$E$7/2000</f>
        <v>0</v>
      </c>
      <c r="J148" s="134">
        <f>J$138*'Env Data'!$E$7/2000</f>
        <v>0</v>
      </c>
      <c r="K148" s="134">
        <f>K$138*'Env Data'!$E$7/2000</f>
        <v>0</v>
      </c>
      <c r="L148" s="134">
        <f>L$138*'Env Data'!$E$7/2000</f>
        <v>0</v>
      </c>
      <c r="M148" s="240"/>
      <c r="O148" s="36" t="s">
        <v>338</v>
      </c>
      <c r="P148" s="134">
        <f>P$139*'Env Data'!$E$20/2000</f>
        <v>22.135534790891768</v>
      </c>
      <c r="Q148" s="134">
        <f>Q$139*'Env Data'!$E$20/2000</f>
        <v>66.4066043726753</v>
      </c>
      <c r="R148" s="134">
        <f>R$139*'Env Data'!$E$20/2000</f>
        <v>132.8132087453506</v>
      </c>
      <c r="S148" s="134">
        <f>S$139*'Env Data'!$E$20/2000</f>
        <v>221.35534790891768</v>
      </c>
    </row>
    <row r="149" spans="1:19" ht="13.5" hidden="1" thickBot="1">
      <c r="A149" s="36" t="s">
        <v>174</v>
      </c>
      <c r="B149" s="134">
        <f>B$138*'Env Data'!$F$7/2000+B$139*'Env Data'!$F$20/2000</f>
        <v>1.7599564546856572</v>
      </c>
      <c r="C149" s="134">
        <f>C$138*'Env Data'!$F$7/2000+C$139*'Env Data'!$F$20/2000</f>
        <v>5.279869364056972</v>
      </c>
      <c r="D149" s="134">
        <f>D$138*'Env Data'!$F$7/2000+D$139*'Env Data'!$F$20/2000</f>
        <v>10.559738728113944</v>
      </c>
      <c r="E149" s="134">
        <f>E$138*'Env Data'!$F$7/2000+E$139*'Env Data'!$F$20/2000</f>
        <v>17.59956454685657</v>
      </c>
      <c r="F149" s="240"/>
      <c r="H149" s="36" t="s">
        <v>158</v>
      </c>
      <c r="I149" s="134">
        <f>I$138*'Env Data'!$F$7/2000</f>
        <v>0</v>
      </c>
      <c r="J149" s="134">
        <f>J$138*'Env Data'!$F$7/2000</f>
        <v>0</v>
      </c>
      <c r="K149" s="134">
        <f>K$138*'Env Data'!$F$7/2000</f>
        <v>0</v>
      </c>
      <c r="L149" s="134">
        <f>L$138*'Env Data'!$F$7/2000</f>
        <v>0</v>
      </c>
      <c r="M149" s="240"/>
      <c r="O149" s="36" t="s">
        <v>158</v>
      </c>
      <c r="P149" s="134">
        <f>P$139*'Env Data'!$F$20/2000</f>
        <v>1.7599564546856572</v>
      </c>
      <c r="Q149" s="134">
        <f>Q$139*'Env Data'!$F$20/2000</f>
        <v>5.279869364056972</v>
      </c>
      <c r="R149" s="134">
        <f>R$139*'Env Data'!$F$20/2000</f>
        <v>10.559738728113944</v>
      </c>
      <c r="S149" s="134">
        <f>S$139*'Env Data'!$F$20/2000</f>
        <v>17.59956454685657</v>
      </c>
    </row>
    <row r="150" spans="1:19" ht="13.5" hidden="1" thickBot="1">
      <c r="A150" s="173" t="s">
        <v>241</v>
      </c>
      <c r="B150" s="174"/>
      <c r="C150" s="174"/>
      <c r="D150" s="174"/>
      <c r="E150" s="175"/>
      <c r="F150" s="240"/>
      <c r="H150" s="173" t="s">
        <v>241</v>
      </c>
      <c r="I150" s="174"/>
      <c r="J150" s="174"/>
      <c r="K150" s="174"/>
      <c r="L150" s="175"/>
      <c r="M150" s="240"/>
      <c r="O150" s="173" t="s">
        <v>241</v>
      </c>
      <c r="P150" s="174"/>
      <c r="Q150" s="174"/>
      <c r="R150" s="174"/>
      <c r="S150" s="175"/>
    </row>
    <row r="151" spans="1:19" ht="25.5" hidden="1">
      <c r="A151" s="152" t="s">
        <v>242</v>
      </c>
      <c r="B151" s="138">
        <f>ROUNDUP(((B$138/2000)/Inputs!$B$96)/'Env Data'!$H$30,0)*'Env Data'!$G$30/1000*'Cost Data'!$D$46*Inputs!$B$95*Inputs!$B$96</f>
        <v>0</v>
      </c>
      <c r="C151" s="138">
        <f>ROUNDUP(((C$138/2000)/Inputs!$B$97)/'Env Data'!$H$30,0)*'Env Data'!$G$30/1000*'Cost Data'!$D$46*Inputs!$B$95*Inputs!$B$97</f>
        <v>0</v>
      </c>
      <c r="D151" s="138">
        <f>ROUNDUP(((D$138/2000)/Inputs!$B$98)/'Env Data'!$H$30,0)*'Env Data'!$G$30/1000*'Cost Data'!$D$46*Inputs!$B$95*Inputs!$B$98</f>
        <v>0</v>
      </c>
      <c r="E151" s="144">
        <f>ROUNDUP(((E$138/2000)/Inputs!$B$99)/'Env Data'!$H$30,0)*'Env Data'!$G$30/1000*'Cost Data'!$D$46*Inputs!$B$95*Inputs!$B$99</f>
        <v>0</v>
      </c>
      <c r="F151" s="208"/>
      <c r="H151" s="152" t="s">
        <v>242</v>
      </c>
      <c r="I151" s="138">
        <f>ROUNDUP(((I$138/2000)/Inputs!$B$96)/'Env Data'!$H$30,0)*'Env Data'!$G$30/1000*'Cost Data'!$D$46*Inputs!$B$95*Inputs!$B$96</f>
        <v>0</v>
      </c>
      <c r="J151" s="138">
        <f>ROUNDUP(((J$138/2000)/Inputs!$B$97)/'Env Data'!$H$30,0)*'Env Data'!$G$30/1000*'Cost Data'!$D$46*Inputs!$B$95*Inputs!$B$97</f>
        <v>0</v>
      </c>
      <c r="K151" s="138">
        <f>ROUNDUP(((K$138/2000)/Inputs!$B$98)/'Env Data'!$H$30,0)*'Env Data'!$G$30/1000*'Cost Data'!$D$46*Inputs!$B$95*Inputs!$B$98</f>
        <v>0</v>
      </c>
      <c r="L151" s="144">
        <f>ROUNDUP(((L$138/2000)/Inputs!$B$99)/'Env Data'!$H$30,0)*'Env Data'!$G$30/1000*'Cost Data'!$D$46*Inputs!$B$95*Inputs!$B$99</f>
        <v>0</v>
      </c>
      <c r="M151" s="208"/>
      <c r="O151" s="152" t="s">
        <v>242</v>
      </c>
      <c r="P151" s="397"/>
      <c r="Q151" s="392"/>
      <c r="R151" s="392"/>
      <c r="S151" s="398"/>
    </row>
    <row r="152" spans="1:19" ht="12.75" hidden="1">
      <c r="A152" s="36" t="s">
        <v>179</v>
      </c>
      <c r="B152" s="141">
        <f>ROUNDUP(((B$138/2000)/Inputs!$B$96)/'Env Data'!$H$30,0)*'Env Data'!$B$30*Inputs!$B$95*Inputs!$B$96</f>
        <v>0</v>
      </c>
      <c r="C152" s="141">
        <f>ROUNDUP(((C$138/2000)/Inputs!$B$97)/'Env Data'!$H$30,0)*'Env Data'!$B$30*Inputs!$B$95*Inputs!$B$97</f>
        <v>0</v>
      </c>
      <c r="D152" s="141">
        <f>ROUNDUP(((D$138/2000)/Inputs!$B$98)/'Env Data'!$H$30,0)*'Env Data'!$B$30*Inputs!$B$95*Inputs!$B$98</f>
        <v>0</v>
      </c>
      <c r="E152" s="143">
        <f>ROUNDUP(((E$138/2000)/Inputs!$B$99)/'Env Data'!$H$30,0)*'Env Data'!$B$30*Inputs!$B$95*Inputs!$B$99</f>
        <v>0</v>
      </c>
      <c r="F152" s="208"/>
      <c r="H152" s="36" t="s">
        <v>179</v>
      </c>
      <c r="I152" s="141">
        <f>ROUNDUP(((I$138/2000)/Inputs!$B$96)/'Env Data'!$H$30,0)*'Env Data'!$B$30*Inputs!$B$95*Inputs!$B$96</f>
        <v>0</v>
      </c>
      <c r="J152" s="141">
        <f>ROUNDUP(((J$138/2000)/Inputs!$B$97)/'Env Data'!$H$30,0)*'Env Data'!$B$30*Inputs!$B$95*Inputs!$B$97</f>
        <v>0</v>
      </c>
      <c r="K152" s="141">
        <f>ROUNDUP(((K$138/2000)/Inputs!$B$98)/'Env Data'!$H$30,0)*'Env Data'!$B$30*Inputs!$B$95*Inputs!$B$98</f>
        <v>0</v>
      </c>
      <c r="L152" s="143">
        <f>ROUNDUP(((L$138/2000)/Inputs!$B$99)/'Env Data'!$H$30,0)*'Env Data'!$B$30*Inputs!$B$95*Inputs!$B$99</f>
        <v>0</v>
      </c>
      <c r="M152" s="208"/>
      <c r="O152" s="36" t="s">
        <v>179</v>
      </c>
      <c r="P152" s="389"/>
      <c r="Q152" s="389"/>
      <c r="R152" s="389"/>
      <c r="S152" s="399"/>
    </row>
    <row r="153" spans="1:19" ht="12.75" hidden="1">
      <c r="A153" s="36" t="s">
        <v>212</v>
      </c>
      <c r="B153" s="141">
        <f>ROUNDUP(((B$138/2000)/Inputs!$B$96)/'Env Data'!$H$30,0)*'Env Data'!$C$30*Inputs!$B$95*Inputs!$B$96</f>
        <v>0</v>
      </c>
      <c r="C153" s="141">
        <f>ROUNDUP(((C$138/2000)/Inputs!$B$97)/'Env Data'!$H$30,0)*'Env Data'!$C$30*Inputs!$B$95*Inputs!$B$97</f>
        <v>0</v>
      </c>
      <c r="D153" s="141">
        <f>ROUNDUP(((D$138/2000)/Inputs!$B$98)/'Env Data'!$H$30,0)*'Env Data'!$C$30*Inputs!$B$95*Inputs!$B$98</f>
        <v>0</v>
      </c>
      <c r="E153" s="143">
        <f>ROUNDUP(((E$138/2000)/Inputs!$B$99)/'Env Data'!$H$30,0)*'Env Data'!$C$30*Inputs!$B$95*Inputs!$B$99</f>
        <v>0</v>
      </c>
      <c r="F153" s="208"/>
      <c r="H153" s="36" t="s">
        <v>212</v>
      </c>
      <c r="I153" s="141">
        <f>ROUNDUP(((I$138/2000)/Inputs!$B$96)/'Env Data'!$H$30,0)*'Env Data'!$C$30*Inputs!$B$95*Inputs!$B$96</f>
        <v>0</v>
      </c>
      <c r="J153" s="141">
        <f>ROUNDUP(((J$138/2000)/Inputs!$B$97)/'Env Data'!$H$30,0)*'Env Data'!$C$30*Inputs!$B$95*Inputs!$B$97</f>
        <v>0</v>
      </c>
      <c r="K153" s="141">
        <f>ROUNDUP(((K$138/2000)/Inputs!$B$98)/'Env Data'!$H$30,0)*'Env Data'!$C$30*Inputs!$B$95*Inputs!$B$98</f>
        <v>0</v>
      </c>
      <c r="L153" s="143">
        <f>ROUNDUP(((L$138/2000)/Inputs!$B$99)/'Env Data'!$H$30,0)*'Env Data'!$C$30*Inputs!$B$95*Inputs!$B$99</f>
        <v>0</v>
      </c>
      <c r="M153" s="208"/>
      <c r="O153" s="36" t="s">
        <v>212</v>
      </c>
      <c r="P153" s="389"/>
      <c r="Q153" s="389"/>
      <c r="R153" s="389"/>
      <c r="S153" s="399"/>
    </row>
    <row r="154" spans="1:19" ht="15.75" hidden="1">
      <c r="A154" s="36" t="s">
        <v>340</v>
      </c>
      <c r="B154" s="141">
        <f>ROUNDUP(((B$138/2000)/Inputs!$B$96)/'Env Data'!$H$30,0)*'Env Data'!$D$30*Inputs!$B$95*Inputs!$B$96</f>
        <v>0</v>
      </c>
      <c r="C154" s="141">
        <f>ROUNDUP(((C$138/2000)/Inputs!$B$97)/'Env Data'!$H$30,0)*'Env Data'!$C$30*Inputs!$B$95*Inputs!$B$97</f>
        <v>0</v>
      </c>
      <c r="D154" s="141">
        <f>ROUNDUP(((D$138/2000)/Inputs!$B$98)/'Env Data'!$H$30,0)*'Env Data'!$D$30*Inputs!$B$95*Inputs!$B$98</f>
        <v>0</v>
      </c>
      <c r="E154" s="143">
        <f>ROUNDUP(((E$138/2000)/Inputs!$B$99)/'Env Data'!$H$30,0)*'Env Data'!$D$30*Inputs!$B$95*Inputs!$B$99</f>
        <v>0</v>
      </c>
      <c r="F154" s="208"/>
      <c r="H154" s="36" t="s">
        <v>340</v>
      </c>
      <c r="I154" s="141">
        <f>ROUNDUP(((I$138/2000)/Inputs!$B$96)/'Env Data'!$H$30,0)*'Env Data'!$D$30*Inputs!$B$95*Inputs!$B$96</f>
        <v>0</v>
      </c>
      <c r="J154" s="141">
        <f>ROUNDUP(((J$138/2000)/Inputs!$B$97)/'Env Data'!$H$30,0)*'Env Data'!$C$30*Inputs!$B$95*Inputs!$B$97</f>
        <v>0</v>
      </c>
      <c r="K154" s="141">
        <f>ROUNDUP(((K$138/2000)/Inputs!$B$98)/'Env Data'!$H$30,0)*'Env Data'!$D$30*Inputs!$B$95*Inputs!$B$98</f>
        <v>0</v>
      </c>
      <c r="L154" s="143">
        <f>ROUNDUP(((L$138/2000)/Inputs!$B$99)/'Env Data'!$H$30,0)*'Env Data'!$D$30*Inputs!$B$95*Inputs!$B$99</f>
        <v>0</v>
      </c>
      <c r="M154" s="208"/>
      <c r="O154" s="36" t="s">
        <v>340</v>
      </c>
      <c r="P154" s="389"/>
      <c r="Q154" s="389"/>
      <c r="R154" s="389"/>
      <c r="S154" s="399"/>
    </row>
    <row r="155" spans="1:19" ht="15.75" hidden="1">
      <c r="A155" s="36" t="s">
        <v>338</v>
      </c>
      <c r="B155" s="141">
        <f>ROUNDUP(((B$138/2000)/Inputs!$B$96)/'Env Data'!$H$30,0)*'Env Data'!$E$30*Inputs!$B$95*Inputs!$B$96</f>
        <v>0</v>
      </c>
      <c r="C155" s="141">
        <f>ROUNDUP(((C$138/2000)/Inputs!$B$97)/'Env Data'!$H$30,0)*'Env Data'!$D$30*Inputs!$B$95*Inputs!$B$97</f>
        <v>0</v>
      </c>
      <c r="D155" s="141">
        <f>ROUNDUP(((D$138/2000)/Inputs!$B$98)/'Env Data'!$H$30,0)*'Env Data'!$E$30*Inputs!$B$95*Inputs!$B$98</f>
        <v>0</v>
      </c>
      <c r="E155" s="143">
        <f>ROUNDUP(((E$138/2000)/Inputs!$B$99)/'Env Data'!$H$30,0)*'Env Data'!$E$30*Inputs!$B$95*Inputs!$B$99</f>
        <v>0</v>
      </c>
      <c r="F155" s="208"/>
      <c r="H155" s="36" t="s">
        <v>338</v>
      </c>
      <c r="I155" s="141">
        <f>ROUNDUP(((I$138/2000)/Inputs!$B$96)/'Env Data'!$H$30,0)*'Env Data'!$E$30*Inputs!$B$95*Inputs!$B$96</f>
        <v>0</v>
      </c>
      <c r="J155" s="141">
        <f>ROUNDUP(((J$138/2000)/Inputs!$B$97)/'Env Data'!$H$30,0)*'Env Data'!$D$30*Inputs!$B$95*Inputs!$B$97</f>
        <v>0</v>
      </c>
      <c r="K155" s="141">
        <f>ROUNDUP(((K$138/2000)/Inputs!$B$98)/'Env Data'!$H$30,0)*'Env Data'!$E$30*Inputs!$B$95*Inputs!$B$98</f>
        <v>0</v>
      </c>
      <c r="L155" s="143">
        <f>ROUNDUP(((L$138/2000)/Inputs!$B$99)/'Env Data'!$H$30,0)*'Env Data'!$E$30*Inputs!$B$95*Inputs!$B$99</f>
        <v>0</v>
      </c>
      <c r="M155" s="208"/>
      <c r="O155" s="36" t="s">
        <v>338</v>
      </c>
      <c r="P155" s="389"/>
      <c r="Q155" s="389"/>
      <c r="R155" s="389"/>
      <c r="S155" s="399"/>
    </row>
    <row r="156" spans="1:19" ht="13.5" hidden="1" thickBot="1">
      <c r="A156" s="49" t="s">
        <v>174</v>
      </c>
      <c r="B156" s="141">
        <f>ROUNDUP(((B$138/2000)/Inputs!$B$96)/'Env Data'!$H$30,0)*'Env Data'!$F$30*Inputs!$B$95*Inputs!$B$96</f>
        <v>0</v>
      </c>
      <c r="C156" s="141">
        <f>ROUNDUP(((C$138/2000)/Inputs!$B$97)/'Env Data'!$H$30,0)*'Env Data'!$E$30*Inputs!$B$95*Inputs!$B$97</f>
        <v>0</v>
      </c>
      <c r="D156" s="141">
        <f>ROUNDUP(((D$138/2000)/Inputs!$B$98)/'Env Data'!$H$30,0)*'Env Data'!$F$30*Inputs!$B$95*Inputs!$B$98</f>
        <v>0</v>
      </c>
      <c r="E156" s="143">
        <f>ROUNDUP(((E$138/2000)/Inputs!$B$99)/'Env Data'!$H$30,0)*'Env Data'!$F$30*Inputs!$B$95*Inputs!$B$99</f>
        <v>0</v>
      </c>
      <c r="F156" s="208"/>
      <c r="H156" s="49" t="s">
        <v>174</v>
      </c>
      <c r="I156" s="141">
        <f>ROUNDUP(((I$138/2000)/Inputs!$B$96)/'Env Data'!$H$30,0)*'Env Data'!$F$30*Inputs!$B$95*Inputs!$B$96</f>
        <v>0</v>
      </c>
      <c r="J156" s="141">
        <f>ROUNDUP(((J$138/2000)/Inputs!$B$97)/'Env Data'!$H$30,0)*'Env Data'!$E$30*Inputs!$B$95*Inputs!$B$97</f>
        <v>0</v>
      </c>
      <c r="K156" s="141">
        <f>ROUNDUP(((K$138/2000)/Inputs!$B$98)/'Env Data'!$H$30,0)*'Env Data'!$F$30*Inputs!$B$95*Inputs!$B$98</f>
        <v>0</v>
      </c>
      <c r="L156" s="143">
        <f>ROUNDUP(((L$138/2000)/Inputs!$B$99)/'Env Data'!$H$30,0)*'Env Data'!$F$30*Inputs!$B$95*Inputs!$B$99</f>
        <v>0</v>
      </c>
      <c r="M156" s="208"/>
      <c r="O156" s="49" t="s">
        <v>174</v>
      </c>
      <c r="P156" s="400"/>
      <c r="Q156" s="400"/>
      <c r="R156" s="400"/>
      <c r="S156" s="401"/>
    </row>
    <row r="157" spans="1:19" ht="12.75" customHeight="1" hidden="1" thickBot="1">
      <c r="A157" s="168" t="s">
        <v>284</v>
      </c>
      <c r="B157" s="169"/>
      <c r="C157" s="169"/>
      <c r="D157" s="169"/>
      <c r="E157" s="170"/>
      <c r="F157" s="208"/>
      <c r="G157" s="9"/>
      <c r="H157" s="168" t="s">
        <v>284</v>
      </c>
      <c r="I157" s="169"/>
      <c r="J157" s="169"/>
      <c r="K157" s="169"/>
      <c r="L157" s="170"/>
      <c r="M157" s="208"/>
      <c r="O157" s="168" t="s">
        <v>284</v>
      </c>
      <c r="P157" s="205"/>
      <c r="Q157" s="205"/>
      <c r="R157" s="205"/>
      <c r="S157" s="206"/>
    </row>
    <row r="158" spans="1:19" ht="25.5" customHeight="1" hidden="1">
      <c r="A158" s="152" t="s">
        <v>242</v>
      </c>
      <c r="B158" s="139">
        <f>ROUNDUP(((B$138/2000/'Cost Data'!$D$39)/Inputs!$B$91)/'Env Data'!$H$34,0)*'Env Data'!$G$34/1000*'Cost Data'!$D$46*Inputs!$B$15*Inputs!$B$91</f>
        <v>0</v>
      </c>
      <c r="C158" s="139">
        <f>ROUNDUP(((C$138/2000/'Cost Data'!$D$39)/Inputs!$B$92)/'Env Data'!$H$34,0)*'Env Data'!$G$34/1000*'Cost Data'!$D$46*Inputs!$B$15*Inputs!$B$92</f>
        <v>0</v>
      </c>
      <c r="D158" s="139">
        <f>ROUNDUP(((D$138/2000/'Cost Data'!$D$39)/Inputs!$B$93)/'Env Data'!$H$34,0)*'Env Data'!$G$34/1000*'Cost Data'!$D$46*Inputs!$B$15*Inputs!$B$93</f>
        <v>0</v>
      </c>
      <c r="E158" s="149">
        <f>ROUNDUP(((E$138/2000/'Cost Data'!$D$39)/Inputs!$B$94)/'Env Data'!$H$34,0)*'Env Data'!$G$34/1000*'Cost Data'!$D$46*Inputs!$B$15*Inputs!$B$94</f>
        <v>0</v>
      </c>
      <c r="F158" s="208"/>
      <c r="G158" s="9"/>
      <c r="H158" s="152" t="s">
        <v>242</v>
      </c>
      <c r="I158" s="139">
        <f>ROUNDUP(((I$138/2000/'Cost Data'!$D$39)/Inputs!$B$91)/'Env Data'!$H$34,0)*'Env Data'!$G$34/1000*'Cost Data'!$D$46*Inputs!$B$15*Inputs!$B$91</f>
        <v>0</v>
      </c>
      <c r="J158" s="139">
        <f>ROUNDUP(((J$138/2000/'Cost Data'!$D$39)/Inputs!$B$92)/'Env Data'!$H$34,0)*'Env Data'!$G$34/1000*'Cost Data'!$D$46*Inputs!$B$15*Inputs!$B$92</f>
        <v>0</v>
      </c>
      <c r="K158" s="139">
        <f>ROUNDUP(((K$138/2000/'Cost Data'!$D$39)/Inputs!$B$93)/'Env Data'!$H$34,0)*'Env Data'!$G$34/1000*'Cost Data'!$D$46*Inputs!$B$15*Inputs!$B$93</f>
        <v>0</v>
      </c>
      <c r="L158" s="149">
        <f>ROUNDUP(((L$138/2000/'Cost Data'!$D$39)/Inputs!$B$94)/'Env Data'!$H$34,0)*'Env Data'!$G$34/1000*'Cost Data'!$D$46*Inputs!$B$15*Inputs!$B$94</f>
        <v>0</v>
      </c>
      <c r="M158" s="208"/>
      <c r="O158" s="152" t="s">
        <v>242</v>
      </c>
      <c r="P158" s="389"/>
      <c r="Q158" s="390"/>
      <c r="R158" s="390"/>
      <c r="S158" s="391"/>
    </row>
    <row r="159" spans="1:19" ht="12.75" customHeight="1" hidden="1">
      <c r="A159" s="36" t="s">
        <v>179</v>
      </c>
      <c r="B159" s="139">
        <f>ROUNDUP(((B$138/2000/'Cost Data'!$D$39)/Inputs!$B$91)/'Env Data'!$H$34,0)*'Env Data'!$B$34*Inputs!$B$15*Inputs!$B$91</f>
        <v>0</v>
      </c>
      <c r="C159" s="139">
        <f>ROUNDUP(((C$138/2000/'Cost Data'!$D$39)/Inputs!$B$92)/'Env Data'!$H$34,0)*'Env Data'!$B$34*Inputs!$B$15*Inputs!$B$92</f>
        <v>0</v>
      </c>
      <c r="D159" s="139">
        <f>ROUNDUP(((D$138/2000/'Cost Data'!$D$39)/Inputs!$B$93)/'Env Data'!$H$34,0)*'Env Data'!$B$34*Inputs!$B$15*Inputs!$B$93</f>
        <v>0</v>
      </c>
      <c r="E159" s="149">
        <f>ROUNDUP(((E$138/2000/'Cost Data'!$D$39)/Inputs!$B$94)/'Env Data'!$H$34,0)*'Env Data'!$B$34*Inputs!$B$15*Inputs!$B$94</f>
        <v>0</v>
      </c>
      <c r="F159" s="208"/>
      <c r="G159" s="9"/>
      <c r="H159" s="36" t="s">
        <v>179</v>
      </c>
      <c r="I159" s="139">
        <f>ROUNDUP(((I$138/2000/'Cost Data'!$D$39)/Inputs!$B$91)/'Env Data'!$H$34,0)*'Env Data'!$B$34*Inputs!$B$15*Inputs!$B$91</f>
        <v>0</v>
      </c>
      <c r="J159" s="139">
        <f>ROUNDUP(((J$138/2000/'Cost Data'!$D$39)/Inputs!$B$92)/'Env Data'!$H$34,0)*'Env Data'!$B$34*Inputs!$B$15*Inputs!$B$92</f>
        <v>0</v>
      </c>
      <c r="K159" s="139">
        <f>ROUNDUP(((K$138/2000/'Cost Data'!$D$39)/Inputs!$B$93)/'Env Data'!$H$34,0)*'Env Data'!$B$34*Inputs!$B$15*Inputs!$B$93</f>
        <v>0</v>
      </c>
      <c r="L159" s="149">
        <f>ROUNDUP(((L$138/2000/'Cost Data'!$D$39)/Inputs!$B$94)/'Env Data'!$H$34,0)*'Env Data'!$B$34*Inputs!$B$15*Inputs!$B$94</f>
        <v>0</v>
      </c>
      <c r="M159" s="208"/>
      <c r="O159" s="36" t="s">
        <v>179</v>
      </c>
      <c r="P159" s="390"/>
      <c r="Q159" s="390"/>
      <c r="R159" s="390"/>
      <c r="S159" s="391"/>
    </row>
    <row r="160" spans="1:19" ht="12.75" customHeight="1" hidden="1">
      <c r="A160" s="36" t="s">
        <v>212</v>
      </c>
      <c r="B160" s="139">
        <f>ROUNDUP(((B$138/2000/'Cost Data'!$D$39)/Inputs!$B$91)/'Env Data'!$H$34,0)*'Env Data'!$C$34*Inputs!$B$15*Inputs!$B$91</f>
        <v>0</v>
      </c>
      <c r="C160" s="139">
        <f>ROUNDUP(((C$138/2000/'Cost Data'!$D$39)/Inputs!$B$92)/'Env Data'!$H$34,0)*'Env Data'!$C$34*Inputs!$B$15*Inputs!$B$92</f>
        <v>0</v>
      </c>
      <c r="D160" s="139">
        <f>ROUNDUP(((D$138/2000/'Cost Data'!$D$39)/Inputs!$B$93)/'Env Data'!$H$34,0)*'Env Data'!$C$34*Inputs!$B$15*Inputs!$B$93</f>
        <v>0</v>
      </c>
      <c r="E160" s="149">
        <f>ROUNDUP(((E$138/2000/'Cost Data'!$D$39)/Inputs!$B$94)/'Env Data'!$H$34,0)*'Env Data'!$C$34*Inputs!$B$15*Inputs!$B$94</f>
        <v>0</v>
      </c>
      <c r="F160" s="208"/>
      <c r="G160" s="9"/>
      <c r="H160" s="36" t="s">
        <v>212</v>
      </c>
      <c r="I160" s="139">
        <f>ROUNDUP(((I$138/2000/'Cost Data'!$D$39)/Inputs!$B$91)/'Env Data'!$H$34,0)*'Env Data'!$C$34*Inputs!$B$15*Inputs!$B$91</f>
        <v>0</v>
      </c>
      <c r="J160" s="139">
        <f>ROUNDUP(((J$138/2000/'Cost Data'!$D$39)/Inputs!$B$92)/'Env Data'!$H$34,0)*'Env Data'!$C$34*Inputs!$B$15*Inputs!$B$92</f>
        <v>0</v>
      </c>
      <c r="K160" s="139">
        <f>ROUNDUP(((K$138/2000/'Cost Data'!$D$39)/Inputs!$B$93)/'Env Data'!$H$34,0)*'Env Data'!$C$34*Inputs!$B$15*Inputs!$B$93</f>
        <v>0</v>
      </c>
      <c r="L160" s="149">
        <f>ROUNDUP(((L$138/2000/'Cost Data'!$D$39)/Inputs!$B$94)/'Env Data'!$H$34,0)*'Env Data'!$C$34*Inputs!$B$15*Inputs!$B$94</f>
        <v>0</v>
      </c>
      <c r="M160" s="208"/>
      <c r="O160" s="36" t="s">
        <v>212</v>
      </c>
      <c r="P160" s="390"/>
      <c r="Q160" s="390"/>
      <c r="R160" s="390"/>
      <c r="S160" s="391"/>
    </row>
    <row r="161" spans="1:19" ht="12.75" customHeight="1" hidden="1">
      <c r="A161" s="36" t="s">
        <v>340</v>
      </c>
      <c r="B161" s="139">
        <f>ROUNDUP(((B$138/2000/'Cost Data'!$D$39)/Inputs!$B$91)/'Env Data'!$H$34,0)*'Env Data'!$D$34*Inputs!$B$15*Inputs!$B$91</f>
        <v>0</v>
      </c>
      <c r="C161" s="139">
        <f>ROUNDUP(((C$138/2000/'Cost Data'!$D$39)/Inputs!$B$92)/'Env Data'!$H$34,0)*'Env Data'!$D$34*Inputs!$B$15*Inputs!$B$92</f>
        <v>0</v>
      </c>
      <c r="D161" s="139">
        <f>ROUNDUP(((D$138/2000/'Cost Data'!$D$39)/Inputs!$B$93)/'Env Data'!$H$34,0)*'Env Data'!$D$34*Inputs!$B$15*Inputs!$B$93</f>
        <v>0</v>
      </c>
      <c r="E161" s="149">
        <f>ROUNDUP(((E$138/2000/'Cost Data'!$D$39)/Inputs!$B$94)/'Env Data'!$H$34,0)*'Env Data'!$D$34*Inputs!$B$15*Inputs!$B$94</f>
        <v>0</v>
      </c>
      <c r="F161" s="208"/>
      <c r="G161" s="9"/>
      <c r="H161" s="36" t="s">
        <v>340</v>
      </c>
      <c r="I161" s="139">
        <f>ROUNDUP(((I$138/2000/'Cost Data'!$D$39)/Inputs!$B$91)/'Env Data'!$H$34,0)*'Env Data'!$D$34*Inputs!$B$15*Inputs!$B$91</f>
        <v>0</v>
      </c>
      <c r="J161" s="139">
        <f>ROUNDUP(((J$138/2000/'Cost Data'!$D$39)/Inputs!$B$92)/'Env Data'!$H$34,0)*'Env Data'!$D$34*Inputs!$B$15*Inputs!$B$92</f>
        <v>0</v>
      </c>
      <c r="K161" s="139">
        <f>ROUNDUP(((K$138/2000/'Cost Data'!$D$39)/Inputs!$B$93)/'Env Data'!$H$34,0)*'Env Data'!$D$34*Inputs!$B$15*Inputs!$B$93</f>
        <v>0</v>
      </c>
      <c r="L161" s="149">
        <f>ROUNDUP(((L$138/2000/'Cost Data'!$D$39)/Inputs!$B$94)/'Env Data'!$H$34,0)*'Env Data'!$D$34*Inputs!$B$15*Inputs!$B$94</f>
        <v>0</v>
      </c>
      <c r="M161" s="208"/>
      <c r="O161" s="36" t="s">
        <v>340</v>
      </c>
      <c r="P161" s="390"/>
      <c r="Q161" s="390"/>
      <c r="R161" s="390"/>
      <c r="S161" s="391"/>
    </row>
    <row r="162" spans="1:19" ht="12.75" customHeight="1" hidden="1">
      <c r="A162" s="36" t="s">
        <v>338</v>
      </c>
      <c r="B162" s="139">
        <f>ROUNDUP(((B$138/2000/'Cost Data'!$D$39)/Inputs!$B$91)/'Env Data'!$H$34,0)*'Env Data'!$E$34*Inputs!$B$15*Inputs!$B$91</f>
        <v>0</v>
      </c>
      <c r="C162" s="139">
        <f>ROUNDUP(((C$138/2000/'Cost Data'!$D$39)/Inputs!$B$92)/'Env Data'!$H$34,0)*'Env Data'!$E$34*Inputs!$B$15*Inputs!$B$92</f>
        <v>0</v>
      </c>
      <c r="D162" s="139">
        <f>ROUNDUP(((D$138/2000/'Cost Data'!$D$39)/Inputs!$B$93)/'Env Data'!$H$34,0)*'Env Data'!$E$34*Inputs!$B$15*Inputs!$B$93</f>
        <v>0</v>
      </c>
      <c r="E162" s="149">
        <f>ROUNDUP(((E$138/2000/'Cost Data'!$D$39)/Inputs!$B$94)/'Env Data'!$H$34,0)*'Env Data'!$E$34*Inputs!$B$15*Inputs!$B$94</f>
        <v>0</v>
      </c>
      <c r="F162" s="208"/>
      <c r="G162" s="9"/>
      <c r="H162" s="36" t="s">
        <v>338</v>
      </c>
      <c r="I162" s="139">
        <f>ROUNDUP(((I$138/2000/'Cost Data'!$D$39)/Inputs!$B$91)/'Env Data'!$H$34,0)*'Env Data'!$E$34*Inputs!$B$15*Inputs!$B$91</f>
        <v>0</v>
      </c>
      <c r="J162" s="139">
        <f>ROUNDUP(((J$138/2000/'Cost Data'!$D$39)/Inputs!$B$92)/'Env Data'!$H$34,0)*'Env Data'!$E$34*Inputs!$B$15*Inputs!$B$92</f>
        <v>0</v>
      </c>
      <c r="K162" s="139">
        <f>ROUNDUP(((K$138/2000/'Cost Data'!$D$39)/Inputs!$B$93)/'Env Data'!$H$34,0)*'Env Data'!$E$34*Inputs!$B$15*Inputs!$B$93</f>
        <v>0</v>
      </c>
      <c r="L162" s="149">
        <f>ROUNDUP(((L$138/2000/'Cost Data'!$D$39)/Inputs!$B$94)/'Env Data'!$H$34,0)*'Env Data'!$E$34*Inputs!$B$15*Inputs!$B$94</f>
        <v>0</v>
      </c>
      <c r="M162" s="208"/>
      <c r="O162" s="36" t="s">
        <v>338</v>
      </c>
      <c r="P162" s="390"/>
      <c r="Q162" s="390"/>
      <c r="R162" s="390"/>
      <c r="S162" s="391"/>
    </row>
    <row r="163" spans="1:19" ht="12.75" customHeight="1" hidden="1" thickBot="1">
      <c r="A163" s="113" t="s">
        <v>174</v>
      </c>
      <c r="B163" s="139">
        <f>ROUNDUP(((B$138/2000/'Cost Data'!$D$39)/Inputs!$B$91)/'Env Data'!$H$34,0)*'Env Data'!$F$34*Inputs!$B$15*Inputs!$B$91</f>
        <v>0</v>
      </c>
      <c r="C163" s="139">
        <f>ROUNDUP(((C$138/2000/'Cost Data'!$D$39)/Inputs!$B$92)/'Env Data'!$H$34,0)*'Env Data'!$F$34*Inputs!$B$15*Inputs!$B$92</f>
        <v>0</v>
      </c>
      <c r="D163" s="139">
        <f>ROUNDUP(((D$138/2000/'Cost Data'!$D$39)/Inputs!$B$93)/'Env Data'!$H$34,0)*'Env Data'!$F$34*Inputs!$B$15*Inputs!$B$93</f>
        <v>0</v>
      </c>
      <c r="E163" s="149">
        <f>ROUNDUP(((E$138/2000/'Cost Data'!$D$39)/Inputs!$B$94)/'Env Data'!$H$34,0)*'Env Data'!$F$34*Inputs!$B$15*Inputs!$B$94</f>
        <v>0</v>
      </c>
      <c r="F163" s="208"/>
      <c r="G163" s="9"/>
      <c r="H163" s="113" t="s">
        <v>174</v>
      </c>
      <c r="I163" s="139">
        <f>ROUNDUP(((I$138/2000/'Cost Data'!$D$39)/Inputs!$B$91)/'Env Data'!$H$34,0)*'Env Data'!$F$34*Inputs!$B$15*Inputs!$B$91</f>
        <v>0</v>
      </c>
      <c r="J163" s="139">
        <f>ROUNDUP(((J$138/2000/'Cost Data'!$D$39)/Inputs!$B$92)/'Env Data'!$H$34,0)*'Env Data'!$F$34*Inputs!$B$15*Inputs!$B$92</f>
        <v>0</v>
      </c>
      <c r="K163" s="139">
        <f>ROUNDUP(((K$138/2000/'Cost Data'!$D$39)/Inputs!$B$93)/'Env Data'!$H$34,0)*'Env Data'!$F$34*Inputs!$B$15*Inputs!$B$93</f>
        <v>0</v>
      </c>
      <c r="L163" s="149">
        <f>ROUNDUP(((L$138/2000/'Cost Data'!$D$39)/Inputs!$B$94)/'Env Data'!$H$34,0)*'Env Data'!$F$34*Inputs!$B$15*Inputs!$B$94</f>
        <v>0</v>
      </c>
      <c r="M163" s="208"/>
      <c r="O163" s="113" t="s">
        <v>174</v>
      </c>
      <c r="P163" s="390"/>
      <c r="Q163" s="390"/>
      <c r="R163" s="390"/>
      <c r="S163" s="391"/>
    </row>
    <row r="164" spans="1:19" ht="12.75" customHeight="1" hidden="1" thickBot="1">
      <c r="A164" s="168" t="s">
        <v>382</v>
      </c>
      <c r="B164" s="169"/>
      <c r="C164" s="169"/>
      <c r="D164" s="169"/>
      <c r="E164" s="170"/>
      <c r="F164" s="208"/>
      <c r="G164" s="9"/>
      <c r="H164" s="168" t="s">
        <v>382</v>
      </c>
      <c r="I164" s="169"/>
      <c r="J164" s="169"/>
      <c r="K164" s="169"/>
      <c r="L164" s="170"/>
      <c r="M164" s="208"/>
      <c r="O164" s="168" t="s">
        <v>382</v>
      </c>
      <c r="P164" s="205"/>
      <c r="Q164" s="205"/>
      <c r="R164" s="205"/>
      <c r="S164" s="206"/>
    </row>
    <row r="165" spans="1:19" ht="25.5" customHeight="1" hidden="1">
      <c r="A165" s="152" t="s">
        <v>242</v>
      </c>
      <c r="B165" s="139">
        <f>ROUNDUP(((B$139/2000/'Cost Data'!$D$39)/Inputs!$B$91)/'Env Data'!$H$34,0)*'Env Data'!$G$34/1000*'Cost Data'!$D$46*(Inputs!$B$15-Inputs!$B$90)*Inputs!$B$91</f>
        <v>0</v>
      </c>
      <c r="C165" s="139">
        <f>ROUNDUP(((C$139/2000/'Cost Data'!$D$39)/Inputs!$B$92)/'Env Data'!$H$34,0)*'Env Data'!$G$34/1000*'Cost Data'!$D$46*(Inputs!$B$15-Inputs!$B$90)*Inputs!$B$92</f>
        <v>0</v>
      </c>
      <c r="D165" s="139">
        <f>ROUNDUP(((D$139/2000/'Cost Data'!$D$39)/Inputs!$B$93)/'Env Data'!$H$34,0)*'Env Data'!$G$34/1000*'Cost Data'!$D$46*(Inputs!$B$15-Inputs!$B$90)*Inputs!$B$93</f>
        <v>0</v>
      </c>
      <c r="E165" s="149">
        <f>ROUNDUP(((E$139/2000/'Cost Data'!$D$39)/Inputs!$B$94)/'Env Data'!$H$34,0)*'Env Data'!$G$34/1000*'Cost Data'!$D$46*(Inputs!$B$15-Inputs!$B$90)*Inputs!$B$94</f>
        <v>0</v>
      </c>
      <c r="F165" s="208"/>
      <c r="G165" s="9"/>
      <c r="H165" s="152" t="s">
        <v>242</v>
      </c>
      <c r="I165" s="397"/>
      <c r="J165" s="393"/>
      <c r="K165" s="393"/>
      <c r="L165" s="394"/>
      <c r="M165" s="208"/>
      <c r="O165" s="152" t="s">
        <v>242</v>
      </c>
      <c r="P165" s="139">
        <f>ROUNDUP(((P$139/2000/'Cost Data'!$D$39)/Inputs!$B$91)/'Env Data'!$H$34,0)*'Env Data'!$G$34/1000*'Cost Data'!$D$46*(Inputs!$B$15-Inputs!$B$90)*Inputs!$B$91</f>
        <v>0</v>
      </c>
      <c r="Q165" s="139">
        <f>ROUNDUP(((Q$139/2000/'Cost Data'!$D$39)/Inputs!$B$92)/'Env Data'!$H$34,0)*'Env Data'!$G$34/1000*'Cost Data'!$D$46*(Inputs!$B$15-Inputs!$B$90)*Inputs!$B$92</f>
        <v>0</v>
      </c>
      <c r="R165" s="139">
        <f>ROUNDUP(((R$139/2000/'Cost Data'!$D$39)/Inputs!$B$93)/'Env Data'!$H$34,0)*'Env Data'!$G$34/1000*'Cost Data'!$D$46*(Inputs!$B$15-Inputs!$B$90)*Inputs!$B$93</f>
        <v>0</v>
      </c>
      <c r="S165" s="149">
        <f>ROUNDUP(((S$139/2000/'Cost Data'!$D$39)/Inputs!$B$94)/'Env Data'!$H$34,0)*'Env Data'!$G$34/1000*'Cost Data'!$D$46*(Inputs!$B$15-Inputs!$B$90)*Inputs!$B$94</f>
        <v>0</v>
      </c>
    </row>
    <row r="166" spans="1:19" ht="12.75" customHeight="1" hidden="1">
      <c r="A166" s="36" t="s">
        <v>179</v>
      </c>
      <c r="B166" s="139">
        <f>ROUNDUP(((B$139/2000/'Cost Data'!$D$39)/Inputs!$B$91)/'Env Data'!$H$34,0)*'Env Data'!$B$34*(Inputs!$B$15-Inputs!$B$90)*Inputs!$B$91</f>
        <v>0</v>
      </c>
      <c r="C166" s="139">
        <f>ROUNDUP(((C$139/2000/'Cost Data'!$D$39)/Inputs!$B$92)/'Env Data'!$H$34,0)*'Env Data'!$B$34*(Inputs!$B$15-Inputs!$B$90)*Inputs!$B$92</f>
        <v>0</v>
      </c>
      <c r="D166" s="139">
        <f>ROUNDUP(((D$139/2000/'Cost Data'!$D$39)/Inputs!$B$93)/'Env Data'!$H$34,0)*'Env Data'!$B$34*(Inputs!$B$15-Inputs!$B$90)*Inputs!$B$93</f>
        <v>0</v>
      </c>
      <c r="E166" s="149">
        <f>ROUNDUP(((E$139/2000/'Cost Data'!$D$39)/Inputs!$B$94)/'Env Data'!$H$34,0)*'Env Data'!$B$34*(Inputs!$B$15-Inputs!$B$90)*Inputs!$B$94</f>
        <v>0</v>
      </c>
      <c r="F166" s="208"/>
      <c r="G166" s="9"/>
      <c r="H166" s="36" t="s">
        <v>179</v>
      </c>
      <c r="I166" s="390"/>
      <c r="J166" s="390"/>
      <c r="K166" s="390"/>
      <c r="L166" s="391"/>
      <c r="M166" s="208"/>
      <c r="O166" s="36" t="s">
        <v>179</v>
      </c>
      <c r="P166" s="139">
        <f>ROUNDUP(((P$139/2000/'Cost Data'!$D$39)/Inputs!$B$91)/'Env Data'!$H$34,0)*'Env Data'!$B$34*(Inputs!$B$15-Inputs!$B$90)*Inputs!$B$91</f>
        <v>0</v>
      </c>
      <c r="Q166" s="139">
        <f>ROUNDUP(((Q$139/2000/'Cost Data'!$D$39)/Inputs!$B$92)/'Env Data'!$H$34,0)*'Env Data'!$B$34*(Inputs!$B$15-Inputs!$B$90)*Inputs!$B$92</f>
        <v>0</v>
      </c>
      <c r="R166" s="139">
        <f>ROUNDUP(((R$139/2000/'Cost Data'!$D$39)/Inputs!$B$93)/'Env Data'!$H$34,0)*'Env Data'!$B$34*(Inputs!$B$15-Inputs!$B$90)*Inputs!$B$93</f>
        <v>0</v>
      </c>
      <c r="S166" s="149">
        <f>ROUNDUP(((S$139/2000/'Cost Data'!$D$39)/Inputs!$B$94)/'Env Data'!$H$34,0)*'Env Data'!$B$34*(Inputs!$B$15-Inputs!$B$90)*Inputs!$B$94</f>
        <v>0</v>
      </c>
    </row>
    <row r="167" spans="1:19" ht="12.75" customHeight="1" hidden="1">
      <c r="A167" s="36" t="s">
        <v>212</v>
      </c>
      <c r="B167" s="139">
        <f>ROUNDUP(((B$139/2000/'Cost Data'!$D$39)/Inputs!$B$91)/'Env Data'!$H$34,0)*'Env Data'!$C$34*(Inputs!$B$15-Inputs!$B$90)*Inputs!$B$91</f>
        <v>0</v>
      </c>
      <c r="C167" s="139">
        <f>ROUNDUP(((C$139/2000/'Cost Data'!$D$39)/Inputs!$B$92)/'Env Data'!$H$34,0)*'Env Data'!$C$34*(Inputs!$B$15-Inputs!$B$90)*Inputs!$B$92</f>
        <v>0</v>
      </c>
      <c r="D167" s="139">
        <f>ROUNDUP(((D$139/2000/'Cost Data'!$D$39)/Inputs!$B$93)/'Env Data'!$H$34,0)*'Env Data'!$C$34*(Inputs!$B$15-Inputs!$B$90)*Inputs!$B$93</f>
        <v>0</v>
      </c>
      <c r="E167" s="149">
        <f>ROUNDUP(((E$139/2000/'Cost Data'!$D$39)/Inputs!$B$94)/'Env Data'!$H$34,0)*'Env Data'!$C$34*(Inputs!$B$15-Inputs!$B$90)*Inputs!$B$94</f>
        <v>0</v>
      </c>
      <c r="F167" s="208"/>
      <c r="G167" s="9"/>
      <c r="H167" s="36" t="s">
        <v>212</v>
      </c>
      <c r="I167" s="390"/>
      <c r="J167" s="390"/>
      <c r="K167" s="390"/>
      <c r="L167" s="391"/>
      <c r="M167" s="208"/>
      <c r="O167" s="36" t="s">
        <v>212</v>
      </c>
      <c r="P167" s="139">
        <f>ROUNDUP(((P$139/2000/'Cost Data'!$D$39)/Inputs!$B$91)/'Env Data'!$H$34,0)*'Env Data'!$C$34*(Inputs!$B$15-Inputs!$B$90)*Inputs!$B$91</f>
        <v>0</v>
      </c>
      <c r="Q167" s="139">
        <f>ROUNDUP(((Q$139/2000/'Cost Data'!$D$39)/Inputs!$B$92)/'Env Data'!$H$34,0)*'Env Data'!$C$34*(Inputs!$B$15-Inputs!$B$90)*Inputs!$B$92</f>
        <v>0</v>
      </c>
      <c r="R167" s="139">
        <f>ROUNDUP(((R$139/2000/'Cost Data'!$D$39)/Inputs!$B$93)/'Env Data'!$H$34,0)*'Env Data'!$C$34*(Inputs!$B$15-Inputs!$B$90)*Inputs!$B$93</f>
        <v>0</v>
      </c>
      <c r="S167" s="149">
        <f>ROUNDUP(((S$139/2000/'Cost Data'!$D$39)/Inputs!$B$94)/'Env Data'!$H$34,0)*'Env Data'!$C$34*(Inputs!$B$15-Inputs!$B$90)*Inputs!$B$94</f>
        <v>0</v>
      </c>
    </row>
    <row r="168" spans="1:19" ht="12.75" customHeight="1" hidden="1">
      <c r="A168" s="36" t="s">
        <v>340</v>
      </c>
      <c r="B168" s="139">
        <f>ROUNDUP(((B$139/2000/'Cost Data'!$D$39)/Inputs!$B$91)/'Env Data'!$H$34,0)*'Env Data'!$D$34*(Inputs!$B$15-Inputs!$B$90)*Inputs!$B$91</f>
        <v>0</v>
      </c>
      <c r="C168" s="139">
        <f>ROUNDUP(((C$139/2000/'Cost Data'!$D$39)/Inputs!$B$92)/'Env Data'!$H$34,0)*'Env Data'!$D$34*(Inputs!$B$15-Inputs!$B$90)*Inputs!$B$92</f>
        <v>0</v>
      </c>
      <c r="D168" s="139">
        <f>ROUNDUP(((D$139/2000/'Cost Data'!$D$39)/Inputs!$B$93)/'Env Data'!$H$34,0)*'Env Data'!$D$34*(Inputs!$B$15-Inputs!$B$90)*Inputs!$B$93</f>
        <v>0</v>
      </c>
      <c r="E168" s="149">
        <f>ROUNDUP(((E$139/2000/'Cost Data'!$D$39)/Inputs!$B$94)/'Env Data'!$H$34,0)*'Env Data'!$D$34*(Inputs!$B$15-Inputs!$B$90)*Inputs!$B$94</f>
        <v>0</v>
      </c>
      <c r="F168" s="208"/>
      <c r="G168" s="9"/>
      <c r="H168" s="36" t="s">
        <v>340</v>
      </c>
      <c r="I168" s="390"/>
      <c r="J168" s="390"/>
      <c r="K168" s="390"/>
      <c r="L168" s="391"/>
      <c r="M168" s="208"/>
      <c r="O168" s="36" t="s">
        <v>340</v>
      </c>
      <c r="P168" s="139">
        <f>ROUNDUP(((P$139/2000/'Cost Data'!$D$39)/Inputs!$B$91)/'Env Data'!$H$34,0)*'Env Data'!$D$34*(Inputs!$B$15-Inputs!$B$90)*Inputs!$B$91</f>
        <v>0</v>
      </c>
      <c r="Q168" s="139">
        <f>ROUNDUP(((Q$139/2000/'Cost Data'!$D$39)/Inputs!$B$92)/'Env Data'!$H$34,0)*'Env Data'!$D$34*(Inputs!$B$15-Inputs!$B$90)*Inputs!$B$92</f>
        <v>0</v>
      </c>
      <c r="R168" s="139">
        <f>ROUNDUP(((R$139/2000/'Cost Data'!$D$39)/Inputs!$B$93)/'Env Data'!$H$34,0)*'Env Data'!$D$34*(Inputs!$B$15-Inputs!$B$90)*Inputs!$B$93</f>
        <v>0</v>
      </c>
      <c r="S168" s="149">
        <f>ROUNDUP(((S$139/2000/'Cost Data'!$D$39)/Inputs!$B$94)/'Env Data'!$H$34,0)*'Env Data'!$D$34*(Inputs!$B$15-Inputs!$B$90)*Inputs!$B$94</f>
        <v>0</v>
      </c>
    </row>
    <row r="169" spans="1:19" ht="12.75" customHeight="1" hidden="1">
      <c r="A169" s="36" t="s">
        <v>338</v>
      </c>
      <c r="B169" s="139">
        <f>ROUNDUP(((B$139/2000/'Cost Data'!$D$39)/Inputs!$B$91)/'Env Data'!$H$34,0)*'Env Data'!$E$34*(Inputs!$B$15-Inputs!$B$90)*Inputs!$B$91</f>
        <v>0</v>
      </c>
      <c r="C169" s="139">
        <f>ROUNDUP(((C$139/2000/'Cost Data'!$D$39)/Inputs!$B$92)/'Env Data'!$H$34,0)*'Env Data'!$E$34*(Inputs!$B$15-Inputs!$B$90)*Inputs!$B$92</f>
        <v>0</v>
      </c>
      <c r="D169" s="139">
        <f>ROUNDUP(((D$139/2000/'Cost Data'!$D$39)/Inputs!$B$93)/'Env Data'!$H$34,0)*'Env Data'!$E$34*(Inputs!$B$15-Inputs!$B$90)*Inputs!$B$93</f>
        <v>0</v>
      </c>
      <c r="E169" s="149">
        <f>ROUNDUP(((E$139/2000/'Cost Data'!$D$39)/Inputs!$B$94)/'Env Data'!$H$34,0)*'Env Data'!$E$34*(Inputs!$B$15-Inputs!$B$90)*Inputs!$B$94</f>
        <v>0</v>
      </c>
      <c r="F169" s="208"/>
      <c r="G169" s="9"/>
      <c r="H169" s="36" t="s">
        <v>338</v>
      </c>
      <c r="I169" s="390"/>
      <c r="J169" s="390"/>
      <c r="K169" s="390"/>
      <c r="L169" s="391"/>
      <c r="M169" s="208"/>
      <c r="O169" s="36" t="s">
        <v>338</v>
      </c>
      <c r="P169" s="139">
        <f>ROUNDUP(((P$139/2000/'Cost Data'!$D$39)/Inputs!$B$91)/'Env Data'!$H$34,0)*'Env Data'!$E$34*(Inputs!$B$15-Inputs!$B$90)*Inputs!$B$91</f>
        <v>0</v>
      </c>
      <c r="Q169" s="139">
        <f>ROUNDUP(((Q$139/2000/'Cost Data'!$D$39)/Inputs!$B$92)/'Env Data'!$H$34,0)*'Env Data'!$E$34*(Inputs!$B$15-Inputs!$B$90)*Inputs!$B$92</f>
        <v>0</v>
      </c>
      <c r="R169" s="139">
        <f>ROUNDUP(((R$139/2000/'Cost Data'!$D$39)/Inputs!$B$93)/'Env Data'!$H$34,0)*'Env Data'!$E$34*(Inputs!$B$15-Inputs!$B$90)*Inputs!$B$93</f>
        <v>0</v>
      </c>
      <c r="S169" s="149">
        <f>ROUNDUP(((S$139/2000/'Cost Data'!$D$39)/Inputs!$B$94)/'Env Data'!$H$34,0)*'Env Data'!$E$34*(Inputs!$B$15-Inputs!$B$90)*Inputs!$B$94</f>
        <v>0</v>
      </c>
    </row>
    <row r="170" spans="1:19" ht="12.75" customHeight="1" hidden="1" thickBot="1">
      <c r="A170" s="113" t="s">
        <v>174</v>
      </c>
      <c r="B170" s="139">
        <f>ROUNDUP(((B$139/2000/'Cost Data'!$D$39)/Inputs!$B$91)/'Env Data'!$H$34,0)*'Env Data'!$F$34*(Inputs!$B$15-Inputs!$B$90)*Inputs!$B$91</f>
        <v>0</v>
      </c>
      <c r="C170" s="139">
        <f>ROUNDUP(((C$139/2000/'Cost Data'!$D$39)/Inputs!$B$92)/'Env Data'!$H$34,0)*'Env Data'!$F$34*(Inputs!$B$15-Inputs!$B$90)*Inputs!$B$92</f>
        <v>0</v>
      </c>
      <c r="D170" s="139">
        <f>ROUNDUP(((D$139/2000/'Cost Data'!$D$39)/Inputs!$B$93)/'Env Data'!$H$34,0)*'Env Data'!$F$34*(Inputs!$B$15-Inputs!$B$90)*Inputs!$B$93</f>
        <v>0</v>
      </c>
      <c r="E170" s="149">
        <f>ROUNDUP(((E$139/2000/'Cost Data'!$D$39)/Inputs!$B$94)/'Env Data'!$H$34,0)*'Env Data'!$F$34*(Inputs!$B$15-Inputs!$B$90)*Inputs!$B$94</f>
        <v>0</v>
      </c>
      <c r="F170" s="208"/>
      <c r="G170" s="9"/>
      <c r="H170" s="113" t="s">
        <v>174</v>
      </c>
      <c r="I170" s="395"/>
      <c r="J170" s="395"/>
      <c r="K170" s="395"/>
      <c r="L170" s="396"/>
      <c r="M170" s="208"/>
      <c r="O170" s="113" t="s">
        <v>174</v>
      </c>
      <c r="P170" s="139">
        <f>ROUNDUP(((P$139/2000/'Cost Data'!$D$39)/Inputs!$B$91)/'Env Data'!$H$34,0)*'Env Data'!$F$34*(Inputs!$B$15-Inputs!$B$90)*Inputs!$B$91</f>
        <v>0</v>
      </c>
      <c r="Q170" s="139">
        <f>ROUNDUP(((Q$139/2000/'Cost Data'!$D$39)/Inputs!$B$92)/'Env Data'!$H$34,0)*'Env Data'!$F$34*(Inputs!$B$15-Inputs!$B$90)*Inputs!$B$92</f>
        <v>0</v>
      </c>
      <c r="R170" s="139">
        <f>ROUNDUP(((R$139/2000/'Cost Data'!$D$39)/Inputs!$B$93)/'Env Data'!$H$34,0)*'Env Data'!$F$34*(Inputs!$B$15-Inputs!$B$90)*Inputs!$B$93</f>
        <v>0</v>
      </c>
      <c r="S170" s="149">
        <f>ROUNDUP(((S$139/2000/'Cost Data'!$D$39)/Inputs!$B$94)/'Env Data'!$H$34,0)*'Env Data'!$F$34*(Inputs!$B$15-Inputs!$B$90)*Inputs!$B$94</f>
        <v>0</v>
      </c>
    </row>
    <row r="171" spans="1:19" s="14" customFormat="1" ht="12.75" customHeight="1" thickBot="1">
      <c r="A171" s="257" t="s">
        <v>259</v>
      </c>
      <c r="B171" s="258"/>
      <c r="C171" s="258"/>
      <c r="D171" s="258"/>
      <c r="E171" s="259"/>
      <c r="F171" s="260"/>
      <c r="G171" s="13"/>
      <c r="H171" s="257" t="s">
        <v>259</v>
      </c>
      <c r="I171" s="258"/>
      <c r="J171" s="258"/>
      <c r="K171" s="258"/>
      <c r="L171" s="259"/>
      <c r="M171" s="260"/>
      <c r="O171" s="257" t="s">
        <v>259</v>
      </c>
      <c r="P171" s="258"/>
      <c r="Q171" s="258"/>
      <c r="R171" s="258"/>
      <c r="S171" s="259"/>
    </row>
    <row r="172" spans="1:19" ht="12.75" customHeight="1">
      <c r="A172" s="114" t="s">
        <v>156</v>
      </c>
      <c r="B172" s="139">
        <f aca="true" t="shared" si="18" ref="B172:E174">B142</f>
        <v>113.21973221259361</v>
      </c>
      <c r="C172" s="139">
        <f t="shared" si="18"/>
        <v>339.65919663778084</v>
      </c>
      <c r="D172" s="139">
        <f t="shared" si="18"/>
        <v>679.3183932755617</v>
      </c>
      <c r="E172" s="149">
        <f t="shared" si="18"/>
        <v>1132.1973221259361</v>
      </c>
      <c r="F172" s="208"/>
      <c r="G172" s="9"/>
      <c r="H172" s="114" t="s">
        <v>156</v>
      </c>
      <c r="I172" s="139">
        <f aca="true" t="shared" si="19" ref="I172:L174">I142</f>
        <v>0</v>
      </c>
      <c r="J172" s="139">
        <f t="shared" si="19"/>
        <v>0</v>
      </c>
      <c r="K172" s="139">
        <f t="shared" si="19"/>
        <v>0</v>
      </c>
      <c r="L172" s="149">
        <f t="shared" si="19"/>
        <v>0</v>
      </c>
      <c r="M172" s="208"/>
      <c r="O172" s="114" t="s">
        <v>156</v>
      </c>
      <c r="P172" s="139">
        <f aca="true" t="shared" si="20" ref="P172:S174">P142</f>
        <v>113.21973221259361</v>
      </c>
      <c r="Q172" s="139">
        <f t="shared" si="20"/>
        <v>339.65919663778084</v>
      </c>
      <c r="R172" s="139">
        <f t="shared" si="20"/>
        <v>679.3183932755617</v>
      </c>
      <c r="S172" s="149">
        <f t="shared" si="20"/>
        <v>1132.1973221259361</v>
      </c>
    </row>
    <row r="173" spans="1:19" ht="12.75" customHeight="1">
      <c r="A173" s="36" t="s">
        <v>178</v>
      </c>
      <c r="B173" s="139">
        <f t="shared" si="18"/>
        <v>65.31797151410686</v>
      </c>
      <c r="C173" s="139">
        <f t="shared" si="18"/>
        <v>195.95391454232058</v>
      </c>
      <c r="D173" s="139">
        <f t="shared" si="18"/>
        <v>391.90782908464115</v>
      </c>
      <c r="E173" s="149">
        <f t="shared" si="18"/>
        <v>653.1797151410685</v>
      </c>
      <c r="F173" s="208"/>
      <c r="G173" s="9"/>
      <c r="H173" s="36" t="s">
        <v>178</v>
      </c>
      <c r="I173" s="139">
        <f t="shared" si="19"/>
        <v>0</v>
      </c>
      <c r="J173" s="139">
        <f t="shared" si="19"/>
        <v>0</v>
      </c>
      <c r="K173" s="139">
        <f t="shared" si="19"/>
        <v>0</v>
      </c>
      <c r="L173" s="149">
        <f t="shared" si="19"/>
        <v>0</v>
      </c>
      <c r="M173" s="208"/>
      <c r="O173" s="36" t="s">
        <v>178</v>
      </c>
      <c r="P173" s="139">
        <f t="shared" si="20"/>
        <v>65.31797151410686</v>
      </c>
      <c r="Q173" s="139">
        <f t="shared" si="20"/>
        <v>195.95391454232058</v>
      </c>
      <c r="R173" s="139">
        <f t="shared" si="20"/>
        <v>391.90782908464115</v>
      </c>
      <c r="S173" s="149">
        <f t="shared" si="20"/>
        <v>653.1797151410685</v>
      </c>
    </row>
    <row r="174" spans="1:19" ht="25.5" customHeight="1">
      <c r="A174" s="152" t="s">
        <v>258</v>
      </c>
      <c r="B174" s="139">
        <f t="shared" si="18"/>
        <v>0</v>
      </c>
      <c r="C174" s="139">
        <f t="shared" si="18"/>
        <v>0</v>
      </c>
      <c r="D174" s="139">
        <f t="shared" si="18"/>
        <v>0</v>
      </c>
      <c r="E174" s="149">
        <f t="shared" si="18"/>
        <v>0</v>
      </c>
      <c r="F174" s="208"/>
      <c r="G174" s="9"/>
      <c r="H174" s="152" t="s">
        <v>258</v>
      </c>
      <c r="I174" s="139">
        <f t="shared" si="19"/>
        <v>0</v>
      </c>
      <c r="J174" s="139">
        <f t="shared" si="19"/>
        <v>0</v>
      </c>
      <c r="K174" s="139">
        <f t="shared" si="19"/>
        <v>0</v>
      </c>
      <c r="L174" s="149">
        <f t="shared" si="19"/>
        <v>0</v>
      </c>
      <c r="M174" s="208"/>
      <c r="O174" s="152" t="s">
        <v>258</v>
      </c>
      <c r="P174" s="139">
        <f t="shared" si="20"/>
        <v>0</v>
      </c>
      <c r="Q174" s="139">
        <f t="shared" si="20"/>
        <v>0</v>
      </c>
      <c r="R174" s="139">
        <f t="shared" si="20"/>
        <v>0</v>
      </c>
      <c r="S174" s="149">
        <f t="shared" si="20"/>
        <v>0</v>
      </c>
    </row>
    <row r="175" spans="1:19" ht="25.5" customHeight="1">
      <c r="A175" s="152" t="s">
        <v>242</v>
      </c>
      <c r="B175" s="139">
        <f aca="true" t="shared" si="21" ref="B175:E176">B145+B151+B158+B165</f>
        <v>22.046</v>
      </c>
      <c r="C175" s="139">
        <f t="shared" si="21"/>
        <v>66.138</v>
      </c>
      <c r="D175" s="139">
        <f t="shared" si="21"/>
        <v>132.276</v>
      </c>
      <c r="E175" s="143">
        <f t="shared" si="21"/>
        <v>220.46</v>
      </c>
      <c r="F175" s="208"/>
      <c r="G175" s="9"/>
      <c r="H175" s="152" t="s">
        <v>242</v>
      </c>
      <c r="I175" s="139">
        <f aca="true" t="shared" si="22" ref="I175:L176">I145+I151+I158+I165</f>
        <v>0</v>
      </c>
      <c r="J175" s="139">
        <f t="shared" si="22"/>
        <v>0</v>
      </c>
      <c r="K175" s="139">
        <f t="shared" si="22"/>
        <v>0</v>
      </c>
      <c r="L175" s="143">
        <f t="shared" si="22"/>
        <v>0</v>
      </c>
      <c r="M175" s="208"/>
      <c r="O175" s="152" t="s">
        <v>242</v>
      </c>
      <c r="P175" s="139">
        <f aca="true" t="shared" si="23" ref="P175:S176">P145+P151+P158+P165</f>
        <v>22.046</v>
      </c>
      <c r="Q175" s="139">
        <f t="shared" si="23"/>
        <v>66.138</v>
      </c>
      <c r="R175" s="139">
        <f t="shared" si="23"/>
        <v>132.276</v>
      </c>
      <c r="S175" s="143">
        <f t="shared" si="23"/>
        <v>220.46</v>
      </c>
    </row>
    <row r="176" spans="1:19" ht="12.75" customHeight="1">
      <c r="A176" s="36" t="s">
        <v>179</v>
      </c>
      <c r="B176" s="139">
        <f t="shared" si="21"/>
        <v>10.541594847137803</v>
      </c>
      <c r="C176" s="139">
        <f t="shared" si="21"/>
        <v>31.62478454141341</v>
      </c>
      <c r="D176" s="139">
        <f t="shared" si="21"/>
        <v>63.24956908282682</v>
      </c>
      <c r="E176" s="149">
        <f t="shared" si="21"/>
        <v>105.41594847137804</v>
      </c>
      <c r="F176" s="208"/>
      <c r="G176" s="9"/>
      <c r="H176" s="36" t="s">
        <v>179</v>
      </c>
      <c r="I176" s="139">
        <f t="shared" si="22"/>
        <v>0</v>
      </c>
      <c r="J176" s="139">
        <f t="shared" si="22"/>
        <v>0</v>
      </c>
      <c r="K176" s="139">
        <f t="shared" si="22"/>
        <v>0</v>
      </c>
      <c r="L176" s="149">
        <f t="shared" si="22"/>
        <v>0</v>
      </c>
      <c r="M176" s="208"/>
      <c r="O176" s="36" t="s">
        <v>179</v>
      </c>
      <c r="P176" s="139">
        <f t="shared" si="23"/>
        <v>10.541594847137803</v>
      </c>
      <c r="Q176" s="139">
        <f t="shared" si="23"/>
        <v>31.62478454141341</v>
      </c>
      <c r="R176" s="139">
        <f t="shared" si="23"/>
        <v>63.24956908282682</v>
      </c>
      <c r="S176" s="149">
        <f t="shared" si="23"/>
        <v>105.41594847137804</v>
      </c>
    </row>
    <row r="177" spans="1:19" ht="12.75" customHeight="1">
      <c r="A177" s="36" t="s">
        <v>212</v>
      </c>
      <c r="B177" s="139">
        <f>B160+B160+B167</f>
        <v>0</v>
      </c>
      <c r="C177" s="139">
        <f>C160+C160+C167</f>
        <v>0</v>
      </c>
      <c r="D177" s="139">
        <f>D160+D160+D167</f>
        <v>0</v>
      </c>
      <c r="E177" s="149">
        <f>E160+E160+E167</f>
        <v>0</v>
      </c>
      <c r="F177" s="208"/>
      <c r="G177" s="9"/>
      <c r="H177" s="36" t="s">
        <v>212</v>
      </c>
      <c r="I177" s="139">
        <f>I160+I160+I167</f>
        <v>0</v>
      </c>
      <c r="J177" s="139">
        <f>J160+J160+J167</f>
        <v>0</v>
      </c>
      <c r="K177" s="139">
        <f>K160+K160+K167</f>
        <v>0</v>
      </c>
      <c r="L177" s="149">
        <f>L160+L160+L167</f>
        <v>0</v>
      </c>
      <c r="M177" s="208"/>
      <c r="O177" s="36" t="s">
        <v>212</v>
      </c>
      <c r="P177" s="139">
        <f>P160+P160+P167</f>
        <v>0</v>
      </c>
      <c r="Q177" s="139">
        <f>Q160+Q160+Q167</f>
        <v>0</v>
      </c>
      <c r="R177" s="139">
        <f>R160+R160+R167</f>
        <v>0</v>
      </c>
      <c r="S177" s="149">
        <f>S160+S160+S167</f>
        <v>0</v>
      </c>
    </row>
    <row r="178" spans="1:19" ht="12.75" customHeight="1">
      <c r="A178" s="36" t="s">
        <v>340</v>
      </c>
      <c r="B178" s="139">
        <f aca="true" t="shared" si="24" ref="B178:E180">B147+B154+B161+B168</f>
        <v>25.038555747074298</v>
      </c>
      <c r="C178" s="139">
        <f t="shared" si="24"/>
        <v>75.1156672412229</v>
      </c>
      <c r="D178" s="139">
        <f t="shared" si="24"/>
        <v>150.2313344824458</v>
      </c>
      <c r="E178" s="149">
        <f t="shared" si="24"/>
        <v>250.38555747074298</v>
      </c>
      <c r="F178" s="208"/>
      <c r="G178" s="9"/>
      <c r="H178" s="36" t="s">
        <v>340</v>
      </c>
      <c r="I178" s="139">
        <f aca="true" t="shared" si="25" ref="I178:L180">I147+I154+I161+I168</f>
        <v>0</v>
      </c>
      <c r="J178" s="139">
        <f t="shared" si="25"/>
        <v>0</v>
      </c>
      <c r="K178" s="139">
        <f t="shared" si="25"/>
        <v>0</v>
      </c>
      <c r="L178" s="149">
        <f t="shared" si="25"/>
        <v>0</v>
      </c>
      <c r="M178" s="208"/>
      <c r="O178" s="36" t="s">
        <v>340</v>
      </c>
      <c r="P178" s="139">
        <f aca="true" t="shared" si="26" ref="P178:S180">P147+P154+P161+P168</f>
        <v>25.038555747074298</v>
      </c>
      <c r="Q178" s="139">
        <f t="shared" si="26"/>
        <v>75.1156672412229</v>
      </c>
      <c r="R178" s="139">
        <f t="shared" si="26"/>
        <v>150.2313344824458</v>
      </c>
      <c r="S178" s="149">
        <f t="shared" si="26"/>
        <v>250.38555747074298</v>
      </c>
    </row>
    <row r="179" spans="1:19" ht="12.75" customHeight="1">
      <c r="A179" s="36" t="s">
        <v>338</v>
      </c>
      <c r="B179" s="139">
        <f t="shared" si="24"/>
        <v>22.135534790891768</v>
      </c>
      <c r="C179" s="139">
        <f t="shared" si="24"/>
        <v>66.4066043726753</v>
      </c>
      <c r="D179" s="139">
        <f t="shared" si="24"/>
        <v>132.8132087453506</v>
      </c>
      <c r="E179" s="149">
        <f t="shared" si="24"/>
        <v>221.35534790891768</v>
      </c>
      <c r="F179" s="208"/>
      <c r="G179" s="9"/>
      <c r="H179" s="36" t="s">
        <v>338</v>
      </c>
      <c r="I179" s="139">
        <f t="shared" si="25"/>
        <v>0</v>
      </c>
      <c r="J179" s="139">
        <f t="shared" si="25"/>
        <v>0</v>
      </c>
      <c r="K179" s="139">
        <f t="shared" si="25"/>
        <v>0</v>
      </c>
      <c r="L179" s="149">
        <f t="shared" si="25"/>
        <v>0</v>
      </c>
      <c r="M179" s="208"/>
      <c r="O179" s="36" t="s">
        <v>338</v>
      </c>
      <c r="P179" s="139">
        <f t="shared" si="26"/>
        <v>22.135534790891768</v>
      </c>
      <c r="Q179" s="139">
        <f t="shared" si="26"/>
        <v>66.4066043726753</v>
      </c>
      <c r="R179" s="139">
        <f t="shared" si="26"/>
        <v>132.8132087453506</v>
      </c>
      <c r="S179" s="149">
        <f t="shared" si="26"/>
        <v>221.35534790891768</v>
      </c>
    </row>
    <row r="180" spans="1:19" ht="12.75" customHeight="1">
      <c r="A180" s="36" t="s">
        <v>174</v>
      </c>
      <c r="B180" s="139">
        <f t="shared" si="24"/>
        <v>1.7599564546856572</v>
      </c>
      <c r="C180" s="139">
        <f t="shared" si="24"/>
        <v>5.279869364056972</v>
      </c>
      <c r="D180" s="139">
        <f t="shared" si="24"/>
        <v>10.559738728113944</v>
      </c>
      <c r="E180" s="149">
        <f t="shared" si="24"/>
        <v>17.59956454685657</v>
      </c>
      <c r="F180" s="208"/>
      <c r="G180" s="9"/>
      <c r="H180" s="36" t="s">
        <v>174</v>
      </c>
      <c r="I180" s="139">
        <f t="shared" si="25"/>
        <v>0</v>
      </c>
      <c r="J180" s="139">
        <f t="shared" si="25"/>
        <v>0</v>
      </c>
      <c r="K180" s="139">
        <f t="shared" si="25"/>
        <v>0</v>
      </c>
      <c r="L180" s="149">
        <f t="shared" si="25"/>
        <v>0</v>
      </c>
      <c r="M180" s="208"/>
      <c r="O180" s="36" t="s">
        <v>174</v>
      </c>
      <c r="P180" s="139">
        <f t="shared" si="26"/>
        <v>1.7599564546856572</v>
      </c>
      <c r="Q180" s="139">
        <f t="shared" si="26"/>
        <v>5.279869364056972</v>
      </c>
      <c r="R180" s="139">
        <f t="shared" si="26"/>
        <v>10.559738728113944</v>
      </c>
      <c r="S180" s="149">
        <f t="shared" si="26"/>
        <v>17.59956454685657</v>
      </c>
    </row>
    <row r="181" spans="1:19" ht="12.75" customHeight="1">
      <c r="A181" s="221"/>
      <c r="B181" s="208"/>
      <c r="C181" s="208"/>
      <c r="D181" s="208"/>
      <c r="E181" s="208"/>
      <c r="F181" s="208"/>
      <c r="G181" s="58"/>
      <c r="H181" s="222"/>
      <c r="I181" s="208"/>
      <c r="J181" s="208"/>
      <c r="K181" s="208"/>
      <c r="L181" s="208"/>
      <c r="M181" s="208"/>
      <c r="N181" s="57"/>
      <c r="O181" s="222"/>
      <c r="P181" s="208"/>
      <c r="Q181" s="208"/>
      <c r="R181" s="208"/>
      <c r="S181" s="208"/>
    </row>
    <row r="182" spans="1:19" ht="12.75">
      <c r="A182" s="207" t="s">
        <v>271</v>
      </c>
      <c r="B182" s="177" t="s">
        <v>21</v>
      </c>
      <c r="C182" s="177" t="s">
        <v>18</v>
      </c>
      <c r="D182" s="177" t="s">
        <v>19</v>
      </c>
      <c r="E182" s="178" t="s">
        <v>20</v>
      </c>
      <c r="F182" s="238"/>
      <c r="H182" s="207" t="s">
        <v>271</v>
      </c>
      <c r="I182" s="180" t="s">
        <v>21</v>
      </c>
      <c r="J182" s="180" t="s">
        <v>18</v>
      </c>
      <c r="K182" s="180" t="s">
        <v>19</v>
      </c>
      <c r="L182" s="181" t="s">
        <v>20</v>
      </c>
      <c r="M182" s="238"/>
      <c r="O182" s="207" t="s">
        <v>271</v>
      </c>
      <c r="P182" s="180" t="s">
        <v>21</v>
      </c>
      <c r="Q182" s="180" t="s">
        <v>18</v>
      </c>
      <c r="R182" s="180" t="s">
        <v>19</v>
      </c>
      <c r="S182" s="181" t="s">
        <v>20</v>
      </c>
    </row>
    <row r="183" spans="1:20" ht="12.75">
      <c r="A183" s="36" t="s">
        <v>260</v>
      </c>
      <c r="B183" s="225">
        <f aca="true" t="shared" si="27" ref="B183:E185">SUM(B6,B10,B51,B94,B138)</f>
        <v>18416.666666666668</v>
      </c>
      <c r="C183" s="225">
        <f t="shared" si="27"/>
        <v>55250</v>
      </c>
      <c r="D183" s="225">
        <f t="shared" si="27"/>
        <v>110500</v>
      </c>
      <c r="E183" s="226">
        <f t="shared" si="27"/>
        <v>184166.6666666667</v>
      </c>
      <c r="F183" s="237"/>
      <c r="H183" s="36" t="s">
        <v>260</v>
      </c>
      <c r="I183" s="225">
        <f aca="true" t="shared" si="28" ref="I183:L185">SUM(I6,I10,I51,I94,I138)</f>
        <v>18416.666666666668</v>
      </c>
      <c r="J183" s="225">
        <f t="shared" si="28"/>
        <v>55250</v>
      </c>
      <c r="K183" s="225">
        <f t="shared" si="28"/>
        <v>110500</v>
      </c>
      <c r="L183" s="226">
        <f t="shared" si="28"/>
        <v>184166.6666666667</v>
      </c>
      <c r="M183" s="237"/>
      <c r="O183" s="36" t="s">
        <v>260</v>
      </c>
      <c r="P183" s="225">
        <f aca="true" t="shared" si="29" ref="P183:S185">SUM(P6,P10,P51,P94,P138)</f>
        <v>0</v>
      </c>
      <c r="Q183" s="225">
        <f t="shared" si="29"/>
        <v>0</v>
      </c>
      <c r="R183" s="225">
        <f t="shared" si="29"/>
        <v>0</v>
      </c>
      <c r="S183" s="226">
        <f t="shared" si="29"/>
        <v>0</v>
      </c>
      <c r="T183" s="236">
        <f>S183/10</f>
        <v>0</v>
      </c>
    </row>
    <row r="184" spans="1:20" ht="12.75">
      <c r="A184" s="36" t="s">
        <v>261</v>
      </c>
      <c r="B184" s="225">
        <f t="shared" si="27"/>
        <v>17083.333333333336</v>
      </c>
      <c r="C184" s="225">
        <f t="shared" si="27"/>
        <v>51250</v>
      </c>
      <c r="D184" s="225">
        <f t="shared" si="27"/>
        <v>102500</v>
      </c>
      <c r="E184" s="226">
        <f t="shared" si="27"/>
        <v>170833.3333333333</v>
      </c>
      <c r="F184" s="237"/>
      <c r="H184" s="36" t="s">
        <v>261</v>
      </c>
      <c r="I184" s="225">
        <f t="shared" si="28"/>
        <v>0</v>
      </c>
      <c r="J184" s="225">
        <f t="shared" si="28"/>
        <v>0</v>
      </c>
      <c r="K184" s="225">
        <f t="shared" si="28"/>
        <v>0</v>
      </c>
      <c r="L184" s="226">
        <f t="shared" si="28"/>
        <v>0</v>
      </c>
      <c r="M184" s="237"/>
      <c r="O184" s="36" t="s">
        <v>261</v>
      </c>
      <c r="P184" s="225">
        <f t="shared" si="29"/>
        <v>35500</v>
      </c>
      <c r="Q184" s="225">
        <f t="shared" si="29"/>
        <v>106500</v>
      </c>
      <c r="R184" s="225">
        <f t="shared" si="29"/>
        <v>213000</v>
      </c>
      <c r="S184" s="226">
        <f t="shared" si="29"/>
        <v>355000</v>
      </c>
      <c r="T184" s="236">
        <f aca="true" t="shared" si="30" ref="T184:T196">S184/10</f>
        <v>35500</v>
      </c>
    </row>
    <row r="185" spans="1:20" ht="12.75">
      <c r="A185" s="166" t="s">
        <v>262</v>
      </c>
      <c r="B185" s="227">
        <f t="shared" si="27"/>
        <v>0</v>
      </c>
      <c r="C185" s="227">
        <f t="shared" si="27"/>
        <v>0</v>
      </c>
      <c r="D185" s="227">
        <f t="shared" si="27"/>
        <v>0</v>
      </c>
      <c r="E185" s="228">
        <f t="shared" si="27"/>
        <v>0</v>
      </c>
      <c r="F185" s="237"/>
      <c r="H185" s="166" t="s">
        <v>262</v>
      </c>
      <c r="I185" s="227">
        <f t="shared" si="28"/>
        <v>17083.333333333336</v>
      </c>
      <c r="J185" s="227">
        <f t="shared" si="28"/>
        <v>51250</v>
      </c>
      <c r="K185" s="227">
        <f t="shared" si="28"/>
        <v>102500</v>
      </c>
      <c r="L185" s="228">
        <f t="shared" si="28"/>
        <v>170833.3333333333</v>
      </c>
      <c r="M185" s="237"/>
      <c r="O185" s="166" t="s">
        <v>262</v>
      </c>
      <c r="P185" s="227">
        <f t="shared" si="29"/>
        <v>0</v>
      </c>
      <c r="Q185" s="227">
        <f t="shared" si="29"/>
        <v>0</v>
      </c>
      <c r="R185" s="227">
        <f t="shared" si="29"/>
        <v>0</v>
      </c>
      <c r="S185" s="228">
        <f t="shared" si="29"/>
        <v>0</v>
      </c>
      <c r="T185" s="236">
        <f t="shared" si="30"/>
        <v>0</v>
      </c>
    </row>
    <row r="186" spans="1:20" ht="13.5" thickBot="1">
      <c r="A186" s="233" t="s">
        <v>282</v>
      </c>
      <c r="B186" s="234">
        <f>SUM(B183:B184)</f>
        <v>35500</v>
      </c>
      <c r="C186" s="234">
        <f>SUM(C183:C184)</f>
        <v>106500</v>
      </c>
      <c r="D186" s="234">
        <f>SUM(D183:D184)</f>
        <v>213000</v>
      </c>
      <c r="E186" s="235">
        <f>SUM(E183:E184)</f>
        <v>355000</v>
      </c>
      <c r="F186" s="237"/>
      <c r="H186" s="233" t="s">
        <v>282</v>
      </c>
      <c r="I186" s="234">
        <f>SUM(I183:I184)</f>
        <v>18416.666666666668</v>
      </c>
      <c r="J186" s="234">
        <f>SUM(J183:J184)</f>
        <v>55250</v>
      </c>
      <c r="K186" s="234">
        <f>SUM(K183:K184)</f>
        <v>110500</v>
      </c>
      <c r="L186" s="235">
        <f>SUM(L183:L184)</f>
        <v>184166.6666666667</v>
      </c>
      <c r="M186" s="237"/>
      <c r="O186" s="233" t="s">
        <v>282</v>
      </c>
      <c r="P186" s="234">
        <f>SUM(P183:P184)</f>
        <v>35500</v>
      </c>
      <c r="Q186" s="234">
        <f>SUM(Q183:Q184)</f>
        <v>106500</v>
      </c>
      <c r="R186" s="234">
        <f>SUM(R183:R184)</f>
        <v>213000</v>
      </c>
      <c r="S186" s="235">
        <f>SUM(S183:S184)</f>
        <v>355000</v>
      </c>
      <c r="T186" s="236">
        <f t="shared" si="30"/>
        <v>35500</v>
      </c>
    </row>
    <row r="187" spans="1:20" ht="13.5" thickBot="1">
      <c r="A187" s="214" t="s">
        <v>263</v>
      </c>
      <c r="B187" s="215">
        <f>SUM(B43,B86,B129,B173)</f>
        <v>8454.750943028213</v>
      </c>
      <c r="C187" s="215">
        <f>SUM(C43,C86,C129,C173)</f>
        <v>25364.252829084646</v>
      </c>
      <c r="D187" s="215">
        <f>SUM(D43,D86,D129,D173)</f>
        <v>50728.50565816929</v>
      </c>
      <c r="E187" s="230">
        <f>SUM(E43,E86,E129,E173)</f>
        <v>84547.50943028214</v>
      </c>
      <c r="F187" s="237"/>
      <c r="H187" s="214" t="s">
        <v>263</v>
      </c>
      <c r="I187" s="215">
        <f>SUM(I43,I86,I129,I173)</f>
        <v>4168.5</v>
      </c>
      <c r="J187" s="215">
        <f>SUM(J43,J86,J129,J173)</f>
        <v>12505.5</v>
      </c>
      <c r="K187" s="215">
        <f>SUM(K43,K86,K129,K173)</f>
        <v>25011</v>
      </c>
      <c r="L187" s="230">
        <f>SUM(L43,L86,L129,L173)</f>
        <v>41685</v>
      </c>
      <c r="M187" s="237"/>
      <c r="O187" s="214" t="s">
        <v>263</v>
      </c>
      <c r="P187" s="215">
        <f>SUM(P43,P86,P129,P173)</f>
        <v>8441.865943028213</v>
      </c>
      <c r="Q187" s="215">
        <f>SUM(Q43,Q86,Q129,Q173)</f>
        <v>25325.597829084643</v>
      </c>
      <c r="R187" s="215">
        <f>SUM(R43,R86,R129,R173)</f>
        <v>50651.19565816929</v>
      </c>
      <c r="S187" s="230">
        <f>SUM(S43,S86,S129,S173)</f>
        <v>84418.65943028215</v>
      </c>
      <c r="T187" s="236">
        <f t="shared" si="30"/>
        <v>8441.865943028215</v>
      </c>
    </row>
    <row r="188" spans="1:20" ht="13.5" thickBot="1">
      <c r="A188" s="216" t="s">
        <v>264</v>
      </c>
      <c r="B188" s="217"/>
      <c r="C188" s="217"/>
      <c r="D188" s="217"/>
      <c r="E188" s="218"/>
      <c r="F188" s="57"/>
      <c r="H188" s="216" t="s">
        <v>264</v>
      </c>
      <c r="I188" s="217"/>
      <c r="J188" s="217"/>
      <c r="K188" s="217"/>
      <c r="L188" s="218"/>
      <c r="M188" s="57"/>
      <c r="O188" s="216" t="s">
        <v>264</v>
      </c>
      <c r="P188" s="217"/>
      <c r="Q188" s="217"/>
      <c r="R188" s="217"/>
      <c r="S188" s="218"/>
      <c r="T188" s="236">
        <f t="shared" si="30"/>
        <v>0</v>
      </c>
    </row>
    <row r="189" spans="1:20" ht="25.5">
      <c r="A189" s="152" t="s">
        <v>242</v>
      </c>
      <c r="B189" s="220">
        <f aca="true" t="shared" si="31" ref="B189:E194">SUM(B44,B87,B131,B175)</f>
        <v>9738.13754698691</v>
      </c>
      <c r="C189" s="220">
        <f t="shared" si="31"/>
        <v>29214.412640960727</v>
      </c>
      <c r="D189" s="220">
        <f t="shared" si="31"/>
        <v>58428.825281921454</v>
      </c>
      <c r="E189" s="223">
        <f t="shared" si="31"/>
        <v>97381.3754698691</v>
      </c>
      <c r="F189" s="237"/>
      <c r="H189" s="152" t="s">
        <v>242</v>
      </c>
      <c r="I189" s="220">
        <f aca="true" t="shared" si="32" ref="I189:L194">SUM(I44,I87,I131,I175)</f>
        <v>5142.556905146001</v>
      </c>
      <c r="J189" s="220">
        <f t="shared" si="32"/>
        <v>15427.670715438002</v>
      </c>
      <c r="K189" s="220">
        <f t="shared" si="32"/>
        <v>30855.341430876004</v>
      </c>
      <c r="L189" s="223">
        <f t="shared" si="32"/>
        <v>51425.56905146001</v>
      </c>
      <c r="M189" s="237"/>
      <c r="O189" s="152" t="s">
        <v>242</v>
      </c>
      <c r="P189" s="220">
        <f aca="true" t="shared" si="33" ref="P189:S194">SUM(P44,P87,P131,P175)</f>
        <v>9147.06928368182</v>
      </c>
      <c r="Q189" s="220">
        <f t="shared" si="33"/>
        <v>27441.207851045452</v>
      </c>
      <c r="R189" s="220">
        <f t="shared" si="33"/>
        <v>54882.415702090904</v>
      </c>
      <c r="S189" s="223">
        <f t="shared" si="33"/>
        <v>91470.6928368182</v>
      </c>
      <c r="T189" s="236">
        <f t="shared" si="30"/>
        <v>9147.06928368182</v>
      </c>
    </row>
    <row r="190" spans="1:20" ht="12.75">
      <c r="A190" s="36" t="s">
        <v>179</v>
      </c>
      <c r="B190" s="220">
        <f t="shared" si="31"/>
        <v>2314.28403349814</v>
      </c>
      <c r="C190" s="220">
        <f t="shared" si="31"/>
        <v>6942.852100494421</v>
      </c>
      <c r="D190" s="220">
        <f t="shared" si="31"/>
        <v>13885.704200988843</v>
      </c>
      <c r="E190" s="223">
        <f t="shared" si="31"/>
        <v>23142.840334981403</v>
      </c>
      <c r="F190" s="237"/>
      <c r="H190" s="36" t="s">
        <v>179</v>
      </c>
      <c r="I190" s="220">
        <f t="shared" si="32"/>
        <v>2241.785</v>
      </c>
      <c r="J190" s="220">
        <f t="shared" si="32"/>
        <v>6725.3550000000005</v>
      </c>
      <c r="K190" s="220">
        <f t="shared" si="32"/>
        <v>13450.710000000001</v>
      </c>
      <c r="L190" s="223">
        <f t="shared" si="32"/>
        <v>22417.850000000002</v>
      </c>
      <c r="M190" s="237"/>
      <c r="O190" s="36" t="s">
        <v>179</v>
      </c>
      <c r="P190" s="220">
        <f t="shared" si="33"/>
        <v>123.9148773020049</v>
      </c>
      <c r="Q190" s="220">
        <f t="shared" si="33"/>
        <v>371.74463190601466</v>
      </c>
      <c r="R190" s="220">
        <f t="shared" si="33"/>
        <v>743.4892638120293</v>
      </c>
      <c r="S190" s="223">
        <f t="shared" si="33"/>
        <v>1239.148773020049</v>
      </c>
      <c r="T190" s="236">
        <f t="shared" si="30"/>
        <v>123.9148773020049</v>
      </c>
    </row>
    <row r="191" spans="1:20" ht="12.75">
      <c r="A191" s="36" t="s">
        <v>212</v>
      </c>
      <c r="B191" s="220">
        <f t="shared" si="31"/>
        <v>435.1615328177447</v>
      </c>
      <c r="C191" s="220">
        <f t="shared" si="31"/>
        <v>1305.484598453234</v>
      </c>
      <c r="D191" s="220">
        <f t="shared" si="31"/>
        <v>2610.969196906468</v>
      </c>
      <c r="E191" s="223">
        <f t="shared" si="31"/>
        <v>4351.615328177448</v>
      </c>
      <c r="F191" s="237"/>
      <c r="H191" s="36" t="s">
        <v>212</v>
      </c>
      <c r="I191" s="220">
        <f t="shared" si="32"/>
        <v>408.65000000000003</v>
      </c>
      <c r="J191" s="220">
        <f t="shared" si="32"/>
        <v>1225.9499999999998</v>
      </c>
      <c r="K191" s="220">
        <f t="shared" si="32"/>
        <v>2451.8999999999996</v>
      </c>
      <c r="L191" s="223">
        <f t="shared" si="32"/>
        <v>4086.5</v>
      </c>
      <c r="M191" s="237"/>
      <c r="O191" s="36" t="s">
        <v>212</v>
      </c>
      <c r="P191" s="220">
        <f t="shared" si="33"/>
        <v>53.02306563548943</v>
      </c>
      <c r="Q191" s="220">
        <f t="shared" si="33"/>
        <v>159.06919690646825</v>
      </c>
      <c r="R191" s="220">
        <f t="shared" si="33"/>
        <v>318.1383938129365</v>
      </c>
      <c r="S191" s="223">
        <f t="shared" si="33"/>
        <v>530.2306563548943</v>
      </c>
      <c r="T191" s="236">
        <f t="shared" si="30"/>
        <v>53.02306563548943</v>
      </c>
    </row>
    <row r="192" spans="1:20" ht="15.75">
      <c r="A192" s="36" t="s">
        <v>340</v>
      </c>
      <c r="B192" s="220">
        <f t="shared" si="31"/>
        <v>5037.424108681847</v>
      </c>
      <c r="C192" s="220">
        <f t="shared" si="31"/>
        <v>15112.272326045542</v>
      </c>
      <c r="D192" s="220">
        <f t="shared" si="31"/>
        <v>30224.544652091085</v>
      </c>
      <c r="E192" s="223">
        <f t="shared" si="31"/>
        <v>50374.24108681847</v>
      </c>
      <c r="F192" s="237"/>
      <c r="H192" s="36" t="s">
        <v>340</v>
      </c>
      <c r="I192" s="220">
        <f t="shared" si="32"/>
        <v>4611.5</v>
      </c>
      <c r="J192" s="220">
        <f t="shared" si="32"/>
        <v>13834.5</v>
      </c>
      <c r="K192" s="220">
        <f t="shared" si="32"/>
        <v>27669</v>
      </c>
      <c r="L192" s="223">
        <f t="shared" si="32"/>
        <v>46115</v>
      </c>
      <c r="M192" s="237"/>
      <c r="O192" s="36" t="s">
        <v>340</v>
      </c>
      <c r="P192" s="220">
        <f t="shared" si="33"/>
        <v>801.7711058695454</v>
      </c>
      <c r="Q192" s="220">
        <f t="shared" si="33"/>
        <v>2405.313317608636</v>
      </c>
      <c r="R192" s="220">
        <f t="shared" si="33"/>
        <v>4810.626635217272</v>
      </c>
      <c r="S192" s="223">
        <f t="shared" si="33"/>
        <v>8017.711058695455</v>
      </c>
      <c r="T192" s="236">
        <f t="shared" si="30"/>
        <v>801.7711058695455</v>
      </c>
    </row>
    <row r="193" spans="1:20" ht="15.75">
      <c r="A193" s="36" t="s">
        <v>338</v>
      </c>
      <c r="B193" s="220">
        <f t="shared" si="31"/>
        <v>5187.920424793614</v>
      </c>
      <c r="C193" s="220">
        <f t="shared" si="31"/>
        <v>15563.761274380839</v>
      </c>
      <c r="D193" s="220">
        <f t="shared" si="31"/>
        <v>31127.522548761677</v>
      </c>
      <c r="E193" s="223">
        <f t="shared" si="31"/>
        <v>51879.20424793613</v>
      </c>
      <c r="F193" s="237"/>
      <c r="H193" s="36" t="s">
        <v>338</v>
      </c>
      <c r="I193" s="220">
        <f t="shared" si="32"/>
        <v>2895.4750000000004</v>
      </c>
      <c r="J193" s="220">
        <f t="shared" si="32"/>
        <v>8686.425</v>
      </c>
      <c r="K193" s="220">
        <f t="shared" si="32"/>
        <v>17372.85</v>
      </c>
      <c r="L193" s="223">
        <f t="shared" si="32"/>
        <v>28954.75</v>
      </c>
      <c r="M193" s="237"/>
      <c r="O193" s="36" t="s">
        <v>338</v>
      </c>
      <c r="P193" s="220">
        <f t="shared" si="33"/>
        <v>4540.619780005443</v>
      </c>
      <c r="Q193" s="220">
        <f t="shared" si="33"/>
        <v>13621.85934001633</v>
      </c>
      <c r="R193" s="220">
        <f t="shared" si="33"/>
        <v>27243.71868003266</v>
      </c>
      <c r="S193" s="223">
        <f t="shared" si="33"/>
        <v>45406.19780005443</v>
      </c>
      <c r="T193" s="236">
        <f t="shared" si="30"/>
        <v>4540.619780005443</v>
      </c>
    </row>
    <row r="194" spans="1:20" ht="13.5" thickBot="1">
      <c r="A194" s="166" t="s">
        <v>174</v>
      </c>
      <c r="B194" s="211">
        <f t="shared" si="31"/>
        <v>3323.0439072847685</v>
      </c>
      <c r="C194" s="211">
        <f t="shared" si="31"/>
        <v>9969.1317218543</v>
      </c>
      <c r="D194" s="211">
        <f t="shared" si="31"/>
        <v>19938.2634437086</v>
      </c>
      <c r="E194" s="212">
        <f t="shared" si="31"/>
        <v>33230.43907284768</v>
      </c>
      <c r="F194" s="237"/>
      <c r="H194" s="166" t="s">
        <v>174</v>
      </c>
      <c r="I194" s="211">
        <f t="shared" si="32"/>
        <v>1726.3300000000002</v>
      </c>
      <c r="J194" s="211">
        <f t="shared" si="32"/>
        <v>5178.99</v>
      </c>
      <c r="K194" s="211">
        <f t="shared" si="32"/>
        <v>10357.98</v>
      </c>
      <c r="L194" s="212">
        <f t="shared" si="32"/>
        <v>17263.3</v>
      </c>
      <c r="M194" s="237"/>
      <c r="O194" s="166" t="s">
        <v>174</v>
      </c>
      <c r="P194" s="211">
        <f t="shared" si="33"/>
        <v>3189.9079016601654</v>
      </c>
      <c r="Q194" s="211">
        <f t="shared" si="33"/>
        <v>9569.723704980492</v>
      </c>
      <c r="R194" s="211">
        <f t="shared" si="33"/>
        <v>19139.447409960983</v>
      </c>
      <c r="S194" s="212">
        <f t="shared" si="33"/>
        <v>31899.079016601652</v>
      </c>
      <c r="T194" s="236">
        <f t="shared" si="30"/>
        <v>3189.9079016601654</v>
      </c>
    </row>
    <row r="195" spans="1:20" ht="25.5">
      <c r="A195" s="219" t="s">
        <v>258</v>
      </c>
      <c r="B195" s="213">
        <f>SUM(B130,B174)</f>
        <v>0</v>
      </c>
      <c r="C195" s="213">
        <f>SUM(C130,C174)</f>
        <v>0</v>
      </c>
      <c r="D195" s="213">
        <f>SUM(D130,D174)</f>
        <v>0</v>
      </c>
      <c r="E195" s="224">
        <f>SUM(E130,E174)</f>
        <v>0</v>
      </c>
      <c r="F195" s="237"/>
      <c r="H195" s="219" t="s">
        <v>258</v>
      </c>
      <c r="I195" s="213">
        <f>SUM(I130,I174)</f>
        <v>0</v>
      </c>
      <c r="J195" s="213">
        <f>SUM(J130,J174)</f>
        <v>0</v>
      </c>
      <c r="K195" s="213">
        <f>SUM(K130,K174)</f>
        <v>0</v>
      </c>
      <c r="L195" s="224">
        <f>SUM(L130,L174)</f>
        <v>0</v>
      </c>
      <c r="M195" s="237"/>
      <c r="O195" s="219" t="s">
        <v>258</v>
      </c>
      <c r="P195" s="213">
        <f>SUM(P130,P174)</f>
        <v>0</v>
      </c>
      <c r="Q195" s="213">
        <f>SUM(Q130,Q174)</f>
        <v>0</v>
      </c>
      <c r="R195" s="213">
        <f>SUM(R130,R174)</f>
        <v>0</v>
      </c>
      <c r="S195" s="224">
        <f>SUM(S130,S174)</f>
        <v>0</v>
      </c>
      <c r="T195" s="236">
        <f t="shared" si="30"/>
        <v>0</v>
      </c>
    </row>
    <row r="196" spans="1:20" ht="12.75">
      <c r="A196" s="83" t="s">
        <v>156</v>
      </c>
      <c r="B196" s="209">
        <f>SUM(B85,B128,B172)</f>
        <v>320.9394644251872</v>
      </c>
      <c r="C196" s="209">
        <f>SUM(C85,C128,C172)</f>
        <v>962.8183932755616</v>
      </c>
      <c r="D196" s="209">
        <f>SUM(D85,D128,D172)</f>
        <v>1925.6367865511231</v>
      </c>
      <c r="E196" s="210">
        <f>SUM(E85,E128,E172)</f>
        <v>3209.394644251872</v>
      </c>
      <c r="F196" s="237"/>
      <c r="H196" s="83" t="s">
        <v>156</v>
      </c>
      <c r="I196" s="209">
        <f>SUM(I85,I128,I172)</f>
        <v>47.25000000000001</v>
      </c>
      <c r="J196" s="209">
        <f>SUM(J85,J128,J172)</f>
        <v>141.74999999999997</v>
      </c>
      <c r="K196" s="209">
        <f>SUM(K85,K128,K172)</f>
        <v>283.49999999999994</v>
      </c>
      <c r="L196" s="210">
        <f>SUM(L85,L128,L172)</f>
        <v>472.5</v>
      </c>
      <c r="M196" s="237"/>
      <c r="O196" s="83" t="s">
        <v>156</v>
      </c>
      <c r="P196" s="209">
        <f>SUM(P85,P128,P172)</f>
        <v>320.9394644251872</v>
      </c>
      <c r="Q196" s="209">
        <f>SUM(Q85,Q128,Q172)</f>
        <v>962.8183932755616</v>
      </c>
      <c r="R196" s="209">
        <f>SUM(R85,R128,R172)</f>
        <v>1925.6367865511231</v>
      </c>
      <c r="S196" s="210">
        <f>SUM(S85,S128,S172)</f>
        <v>3209.394644251872</v>
      </c>
      <c r="T196" s="236">
        <f t="shared" si="30"/>
        <v>320.93946442518717</v>
      </c>
    </row>
    <row r="197" ht="12.75"/>
    <row r="198" spans="7:14" ht="12.75">
      <c r="G198" s="236">
        <f aca="true" t="shared" si="34" ref="G198:G211">E183/10</f>
        <v>18416.666666666668</v>
      </c>
      <c r="N198" s="236">
        <f aca="true" t="shared" si="35" ref="N198:N211">L183/10</f>
        <v>18416.666666666668</v>
      </c>
    </row>
    <row r="199" spans="7:14" ht="12.75">
      <c r="G199" s="236">
        <f t="shared" si="34"/>
        <v>17083.333333333332</v>
      </c>
      <c r="N199" s="236">
        <f t="shared" si="35"/>
        <v>0</v>
      </c>
    </row>
    <row r="200" spans="7:14" ht="12.75">
      <c r="G200" s="236">
        <f t="shared" si="34"/>
        <v>0</v>
      </c>
      <c r="N200" s="236">
        <f t="shared" si="35"/>
        <v>17083.333333333332</v>
      </c>
    </row>
    <row r="201" spans="7:14" ht="12.75">
      <c r="G201" s="236">
        <f t="shared" si="34"/>
        <v>35500</v>
      </c>
      <c r="N201" s="236">
        <f t="shared" si="35"/>
        <v>18416.666666666668</v>
      </c>
    </row>
    <row r="202" spans="7:14" ht="12.75">
      <c r="G202" s="236">
        <f t="shared" si="34"/>
        <v>8454.750943028213</v>
      </c>
      <c r="N202" s="236">
        <f t="shared" si="35"/>
        <v>4168.5</v>
      </c>
    </row>
    <row r="203" spans="7:14" ht="12.75">
      <c r="G203" s="236">
        <f t="shared" si="34"/>
        <v>0</v>
      </c>
      <c r="N203" s="236">
        <f t="shared" si="35"/>
        <v>0</v>
      </c>
    </row>
    <row r="204" spans="7:14" ht="12.75">
      <c r="G204" s="236">
        <f t="shared" si="34"/>
        <v>9738.13754698691</v>
      </c>
      <c r="N204" s="236">
        <f t="shared" si="35"/>
        <v>5142.556905146001</v>
      </c>
    </row>
    <row r="205" spans="7:14" ht="12.75">
      <c r="G205" s="236">
        <f t="shared" si="34"/>
        <v>2314.28403349814</v>
      </c>
      <c r="N205" s="236">
        <f t="shared" si="35"/>
        <v>2241.7850000000003</v>
      </c>
    </row>
    <row r="206" spans="7:14" ht="12.75">
      <c r="G206" s="236">
        <f t="shared" si="34"/>
        <v>435.1615328177448</v>
      </c>
      <c r="N206" s="236">
        <f t="shared" si="35"/>
        <v>408.65</v>
      </c>
    </row>
    <row r="207" spans="7:14" ht="12.75">
      <c r="G207" s="236">
        <f t="shared" si="34"/>
        <v>5037.4241086818465</v>
      </c>
      <c r="N207" s="236">
        <f t="shared" si="35"/>
        <v>4611.5</v>
      </c>
    </row>
    <row r="208" spans="7:14" ht="12.75">
      <c r="G208" s="236">
        <f t="shared" si="34"/>
        <v>5187.920424793613</v>
      </c>
      <c r="N208" s="236">
        <f t="shared" si="35"/>
        <v>2895.475</v>
      </c>
    </row>
    <row r="209" spans="7:14" ht="12.75">
      <c r="G209" s="236">
        <f t="shared" si="34"/>
        <v>3323.043907284768</v>
      </c>
      <c r="N209" s="236">
        <f t="shared" si="35"/>
        <v>1726.33</v>
      </c>
    </row>
    <row r="210" spans="7:14" ht="12.75">
      <c r="G210" s="236">
        <f t="shared" si="34"/>
        <v>0</v>
      </c>
      <c r="N210" s="236">
        <f t="shared" si="35"/>
        <v>0</v>
      </c>
    </row>
    <row r="211" spans="7:14" ht="12.75">
      <c r="G211" s="236">
        <f t="shared" si="34"/>
        <v>320.93946442518717</v>
      </c>
      <c r="N211" s="236">
        <f t="shared" si="35"/>
        <v>47.25</v>
      </c>
    </row>
    <row r="259" ht="12.75"/>
    <row r="260" ht="12.75"/>
    <row r="261" ht="12.75"/>
    <row r="262" ht="12.75"/>
    <row r="264" ht="12.75"/>
    <row r="265" ht="12.75"/>
    <row r="266" ht="12.75"/>
    <row r="311" ht="12.75"/>
    <row r="312" ht="12.75"/>
    <row r="313" ht="12.75"/>
    <row r="314" ht="12.75"/>
    <row r="315" ht="12.75"/>
    <row r="316" ht="12.75"/>
    <row r="317" ht="12.75"/>
    <row r="318" ht="12.75"/>
    <row r="319" ht="12.75"/>
    <row r="320" ht="12.75"/>
    <row r="321" ht="12.75"/>
    <row r="322" ht="12.75"/>
    <row r="323" ht="12.75"/>
    <row r="324" ht="12.75"/>
    <row r="325" ht="12.75"/>
    <row r="326" ht="12.75"/>
  </sheetData>
  <sheetProtection sheet="1" objects="1" scenarios="1"/>
  <mergeCells count="15">
    <mergeCell ref="A1:C2"/>
    <mergeCell ref="P22:S27"/>
    <mergeCell ref="I165:L170"/>
    <mergeCell ref="I121:L126"/>
    <mergeCell ref="P158:S163"/>
    <mergeCell ref="P64:S69"/>
    <mergeCell ref="P107:S112"/>
    <mergeCell ref="P151:S156"/>
    <mergeCell ref="P71:S76"/>
    <mergeCell ref="P114:S119"/>
    <mergeCell ref="I78:L83"/>
    <mergeCell ref="P29:S34"/>
    <mergeCell ref="I36:L41"/>
    <mergeCell ref="H1:I2"/>
    <mergeCell ref="O1:P2"/>
  </mergeCells>
  <printOptions horizontalCentered="1"/>
  <pageMargins left="0.75" right="0.75" top="1" bottom="1" header="0.5" footer="0.5"/>
  <pageSetup fitToHeight="1" fitToWidth="1" horizontalDpi="600" verticalDpi="600" orientation="portrait" scale="40" r:id="rId5"/>
  <drawing r:id="rId3"/>
  <legacyDrawing r:id="rId2"/>
  <picture r:id="rId4"/>
</worksheet>
</file>

<file path=xl/worksheets/sheet8.xml><?xml version="1.0" encoding="utf-8"?>
<worksheet xmlns="http://schemas.openxmlformats.org/spreadsheetml/2006/main" xmlns:r="http://schemas.openxmlformats.org/officeDocument/2006/relationships">
  <sheetPr codeName="Sheet10">
    <pageSetUpPr fitToPage="1"/>
  </sheetPr>
  <dimension ref="A1:J21"/>
  <sheetViews>
    <sheetView showGridLines="0" workbookViewId="0" topLeftCell="A1">
      <selection activeCell="A1" sqref="A1:J1"/>
    </sheetView>
  </sheetViews>
  <sheetFormatPr defaultColWidth="9.140625" defaultRowHeight="12.75"/>
  <sheetData>
    <row r="1" spans="1:10" ht="12.75" customHeight="1">
      <c r="A1" s="380" t="s">
        <v>283</v>
      </c>
      <c r="B1" s="380"/>
      <c r="C1" s="380"/>
      <c r="D1" s="381"/>
      <c r="E1" s="381"/>
      <c r="F1" s="381"/>
      <c r="G1" s="381"/>
      <c r="H1" s="381"/>
      <c r="I1" s="406"/>
      <c r="J1" s="406"/>
    </row>
    <row r="2" ht="18.75" customHeight="1"/>
    <row r="21" spans="1:9" ht="12.75">
      <c r="A21" s="45"/>
      <c r="B21" s="5"/>
      <c r="C21" s="5"/>
      <c r="D21" s="5"/>
      <c r="E21" s="5"/>
      <c r="F21" s="5"/>
      <c r="G21" s="5"/>
      <c r="H21" s="5"/>
      <c r="I21" s="5"/>
    </row>
  </sheetData>
  <sheetProtection sheet="1" objects="1" scenarios="1"/>
  <mergeCells count="1">
    <mergeCell ref="A1:J1"/>
  </mergeCells>
  <printOptions horizontalCentered="1"/>
  <pageMargins left="0.75" right="0.75" top="1" bottom="1" header="0.5" footer="0.5"/>
  <pageSetup fitToHeight="1" fitToWidth="1" horizontalDpi="600" verticalDpi="600" orientation="portrait" scale="68" r:id="rId3"/>
  <drawing r:id="rId1"/>
  <picture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Y51"/>
  <sheetViews>
    <sheetView showGridLines="0" workbookViewId="0" topLeftCell="A1">
      <selection activeCell="A1" sqref="A1:I1"/>
    </sheetView>
  </sheetViews>
  <sheetFormatPr defaultColWidth="9.140625" defaultRowHeight="12.75"/>
  <cols>
    <col min="1" max="1" width="23.421875" style="7" customWidth="1"/>
    <col min="2" max="2" width="8.00390625" style="7" customWidth="1"/>
    <col min="3" max="5" width="7.28125" style="7" customWidth="1"/>
    <col min="6" max="6" width="7.421875" style="7" customWidth="1"/>
    <col min="7" max="7" width="12.00390625" style="7" customWidth="1"/>
    <col min="8" max="8" width="8.00390625" style="7" customWidth="1"/>
    <col min="9" max="9" width="9.421875" style="7" customWidth="1"/>
    <col min="10" max="10" width="8.140625" style="7" customWidth="1"/>
    <col min="11" max="11" width="12.8515625" style="7" customWidth="1"/>
    <col min="12" max="12" width="14.00390625" style="7" customWidth="1"/>
    <col min="13" max="13" width="13.7109375" style="7" customWidth="1"/>
    <col min="14" max="14" width="18.8515625" style="7" customWidth="1"/>
    <col min="15" max="15" width="14.140625" style="7" customWidth="1"/>
    <col min="16" max="16" width="12.57421875" style="7" customWidth="1"/>
    <col min="17" max="17" width="15.7109375" style="7" customWidth="1"/>
    <col min="18" max="19" width="13.28125" style="7" customWidth="1"/>
    <col min="20" max="20" width="11.57421875" style="7" customWidth="1"/>
    <col min="21" max="21" width="15.140625" style="7" customWidth="1"/>
    <col min="22" max="24" width="9.7109375" style="7" customWidth="1"/>
    <col min="25" max="16384" width="9.140625" style="7" customWidth="1"/>
  </cols>
  <sheetData>
    <row r="1" spans="1:24" ht="12.75" customHeight="1">
      <c r="A1" s="327" t="s">
        <v>166</v>
      </c>
      <c r="B1" s="328"/>
      <c r="C1" s="328"/>
      <c r="D1" s="328"/>
      <c r="E1" s="328"/>
      <c r="F1" s="328"/>
      <c r="G1" s="328"/>
      <c r="H1" s="328"/>
      <c r="I1" s="328"/>
      <c r="V1" s="41"/>
      <c r="W1" s="41"/>
      <c r="X1" s="41"/>
    </row>
    <row r="2" spans="1:24" ht="12.75">
      <c r="A2" s="5"/>
      <c r="B2" s="5"/>
      <c r="C2" s="5"/>
      <c r="D2" s="5"/>
      <c r="V2" s="5"/>
      <c r="W2" s="5"/>
      <c r="X2" s="5"/>
    </row>
    <row r="3" ht="12.75"/>
    <row r="4" spans="1:15" ht="12.75" customHeight="1">
      <c r="A4" s="419" t="s">
        <v>272</v>
      </c>
      <c r="B4" s="431"/>
      <c r="C4" s="431"/>
      <c r="D4" s="431"/>
      <c r="E4" s="431"/>
      <c r="F4" s="431"/>
      <c r="G4" s="431"/>
      <c r="H4" s="431"/>
      <c r="I4" s="431"/>
      <c r="J4" s="432"/>
      <c r="K4" s="434" t="s">
        <v>273</v>
      </c>
      <c r="L4" s="431"/>
      <c r="M4" s="431"/>
      <c r="N4" s="431"/>
      <c r="O4" s="431"/>
    </row>
    <row r="5" spans="1:15" ht="37.5" customHeight="1">
      <c r="A5" s="115" t="s">
        <v>249</v>
      </c>
      <c r="B5" s="115" t="s">
        <v>159</v>
      </c>
      <c r="C5" s="115" t="s">
        <v>164</v>
      </c>
      <c r="D5" s="115" t="s">
        <v>336</v>
      </c>
      <c r="E5" s="115" t="s">
        <v>337</v>
      </c>
      <c r="F5" s="115" t="s">
        <v>165</v>
      </c>
      <c r="G5" s="115" t="s">
        <v>167</v>
      </c>
      <c r="H5" s="115" t="s">
        <v>160</v>
      </c>
      <c r="I5" s="115" t="s">
        <v>269</v>
      </c>
      <c r="J5" s="116" t="s">
        <v>270</v>
      </c>
      <c r="K5" s="184" t="s">
        <v>199</v>
      </c>
      <c r="L5" s="115" t="s">
        <v>198</v>
      </c>
      <c r="M5" s="115" t="s">
        <v>250</v>
      </c>
      <c r="N5" s="185" t="s">
        <v>251</v>
      </c>
      <c r="O5" s="184" t="s">
        <v>34</v>
      </c>
    </row>
    <row r="6" spans="1:15" s="106" customFormat="1" ht="12.75">
      <c r="A6" s="129" t="s">
        <v>161</v>
      </c>
      <c r="B6" s="130" t="s">
        <v>162</v>
      </c>
      <c r="C6" s="130"/>
      <c r="D6" s="130" t="s">
        <v>162</v>
      </c>
      <c r="E6" s="130" t="s">
        <v>162</v>
      </c>
      <c r="F6" s="130" t="s">
        <v>162</v>
      </c>
      <c r="G6" s="130" t="s">
        <v>162</v>
      </c>
      <c r="H6" s="130" t="s">
        <v>163</v>
      </c>
      <c r="I6" s="130" t="s">
        <v>162</v>
      </c>
      <c r="J6" s="131" t="s">
        <v>265</v>
      </c>
      <c r="K6" s="186"/>
      <c r="L6" s="132"/>
      <c r="M6" s="132"/>
      <c r="N6" s="187"/>
      <c r="O6" s="186"/>
    </row>
    <row r="7" spans="1:15" ht="12.75">
      <c r="A7" s="117" t="s">
        <v>8</v>
      </c>
      <c r="B7" s="118">
        <v>42</v>
      </c>
      <c r="C7" s="435"/>
      <c r="D7" s="118">
        <v>44</v>
      </c>
      <c r="E7" s="118">
        <v>27</v>
      </c>
      <c r="F7" s="118">
        <v>48</v>
      </c>
      <c r="G7" s="118">
        <v>183016</v>
      </c>
      <c r="H7" s="118">
        <v>1968</v>
      </c>
      <c r="I7" s="119">
        <v>3560</v>
      </c>
      <c r="J7" s="119">
        <v>96</v>
      </c>
      <c r="K7" s="188" t="s">
        <v>168</v>
      </c>
      <c r="L7" s="135" t="s">
        <v>175</v>
      </c>
      <c r="M7" s="135" t="s">
        <v>175</v>
      </c>
      <c r="N7" s="189" t="s">
        <v>168</v>
      </c>
      <c r="O7" s="201">
        <v>2</v>
      </c>
    </row>
    <row r="8" spans="1:15" ht="12.75">
      <c r="A8" s="121" t="s">
        <v>7</v>
      </c>
      <c r="B8" s="122">
        <v>337</v>
      </c>
      <c r="C8" s="436"/>
      <c r="D8" s="122">
        <v>551</v>
      </c>
      <c r="E8" s="122">
        <v>484</v>
      </c>
      <c r="F8" s="122">
        <v>172</v>
      </c>
      <c r="G8" s="122">
        <v>37099</v>
      </c>
      <c r="H8" s="122">
        <v>536</v>
      </c>
      <c r="I8" s="119">
        <v>932</v>
      </c>
      <c r="J8" s="119">
        <v>169</v>
      </c>
      <c r="K8" s="190" t="s">
        <v>168</v>
      </c>
      <c r="L8" s="136" t="s">
        <v>175</v>
      </c>
      <c r="M8" s="136" t="s">
        <v>175</v>
      </c>
      <c r="N8" s="191" t="s">
        <v>168</v>
      </c>
      <c r="O8" s="202">
        <v>2</v>
      </c>
    </row>
    <row r="9" spans="1:15" ht="12.75">
      <c r="A9" s="49" t="s">
        <v>9</v>
      </c>
      <c r="B9" s="122">
        <v>45</v>
      </c>
      <c r="C9" s="122">
        <v>23</v>
      </c>
      <c r="D9" s="122">
        <v>331</v>
      </c>
      <c r="E9" s="122">
        <v>1998</v>
      </c>
      <c r="F9" s="122">
        <v>1410</v>
      </c>
      <c r="G9" s="122">
        <v>201800</v>
      </c>
      <c r="H9" s="128">
        <v>2106</v>
      </c>
      <c r="I9" s="119"/>
      <c r="J9" s="119">
        <v>42</v>
      </c>
      <c r="K9" s="192" t="s">
        <v>168</v>
      </c>
      <c r="L9" s="124" t="s">
        <v>175</v>
      </c>
      <c r="M9" s="124" t="s">
        <v>175</v>
      </c>
      <c r="N9" s="193" t="s">
        <v>168</v>
      </c>
      <c r="O9" s="203">
        <v>1</v>
      </c>
    </row>
    <row r="10" spans="1:15" ht="12.75">
      <c r="A10" s="49"/>
      <c r="B10" s="122"/>
      <c r="C10" s="122"/>
      <c r="D10" s="122"/>
      <c r="E10" s="122"/>
      <c r="F10" s="122"/>
      <c r="G10" s="119"/>
      <c r="H10" s="120"/>
      <c r="I10" s="119"/>
      <c r="J10" s="119"/>
      <c r="K10" s="192"/>
      <c r="L10" s="124"/>
      <c r="M10" s="124"/>
      <c r="N10" s="193"/>
      <c r="O10" s="203"/>
    </row>
    <row r="11" spans="1:15" s="106" customFormat="1" ht="12.75" customHeight="1">
      <c r="A11" s="126" t="s">
        <v>161</v>
      </c>
      <c r="B11" s="182" t="s">
        <v>173</v>
      </c>
      <c r="C11" s="182" t="s">
        <v>173</v>
      </c>
      <c r="D11" s="182" t="s">
        <v>173</v>
      </c>
      <c r="E11" s="182" t="s">
        <v>173</v>
      </c>
      <c r="F11" s="182" t="s">
        <v>173</v>
      </c>
      <c r="G11" s="183" t="s">
        <v>227</v>
      </c>
      <c r="H11" s="182" t="s">
        <v>236</v>
      </c>
      <c r="I11" s="133"/>
      <c r="J11" s="428"/>
      <c r="K11" s="192"/>
      <c r="L11" s="124"/>
      <c r="M11" s="124"/>
      <c r="N11" s="193"/>
      <c r="O11" s="203"/>
    </row>
    <row r="12" spans="1:15" ht="12.75" customHeight="1">
      <c r="A12" s="49" t="s">
        <v>171</v>
      </c>
      <c r="B12" s="127">
        <v>2.32232</v>
      </c>
      <c r="C12" s="127">
        <v>0.1299</v>
      </c>
      <c r="D12" s="127">
        <v>1.0881</v>
      </c>
      <c r="E12" s="127">
        <v>1.6727</v>
      </c>
      <c r="F12" s="127">
        <v>0.0812</v>
      </c>
      <c r="G12" s="128">
        <v>907.9</v>
      </c>
      <c r="H12" s="128">
        <v>3705</v>
      </c>
      <c r="I12" s="128"/>
      <c r="J12" s="429"/>
      <c r="K12" s="192" t="s">
        <v>168</v>
      </c>
      <c r="L12" s="124" t="s">
        <v>175</v>
      </c>
      <c r="M12" s="124" t="s">
        <v>175</v>
      </c>
      <c r="N12" s="193" t="s">
        <v>168</v>
      </c>
      <c r="O12" s="305" t="s">
        <v>252</v>
      </c>
    </row>
    <row r="13" spans="1:15" ht="12.75" customHeight="1">
      <c r="A13" s="49" t="s">
        <v>172</v>
      </c>
      <c r="B13" s="127">
        <v>2.97192</v>
      </c>
      <c r="C13" s="127">
        <v>0.7958</v>
      </c>
      <c r="D13" s="127">
        <v>1.0394</v>
      </c>
      <c r="E13" s="127">
        <v>0.6983</v>
      </c>
      <c r="F13" s="127">
        <v>0.0812</v>
      </c>
      <c r="G13" s="128">
        <v>1113.3</v>
      </c>
      <c r="H13" s="128">
        <v>3492</v>
      </c>
      <c r="I13" s="128"/>
      <c r="J13" s="429"/>
      <c r="K13" s="192" t="s">
        <v>168</v>
      </c>
      <c r="L13" s="124" t="s">
        <v>175</v>
      </c>
      <c r="M13" s="124" t="s">
        <v>175</v>
      </c>
      <c r="N13" s="193" t="s">
        <v>168</v>
      </c>
      <c r="O13" s="305" t="s">
        <v>252</v>
      </c>
    </row>
    <row r="14" spans="1:15" ht="12.75" customHeight="1">
      <c r="A14" s="49" t="s">
        <v>177</v>
      </c>
      <c r="B14" s="127">
        <f aca="true" t="shared" si="0" ref="B14:H14">AVERAGE(B12:B13)</f>
        <v>2.64712</v>
      </c>
      <c r="C14" s="127">
        <f t="shared" si="0"/>
        <v>0.46285</v>
      </c>
      <c r="D14" s="127">
        <f t="shared" si="0"/>
        <v>1.0637500000000002</v>
      </c>
      <c r="E14" s="127">
        <f t="shared" si="0"/>
        <v>1.1855</v>
      </c>
      <c r="F14" s="127">
        <f t="shared" si="0"/>
        <v>0.0812</v>
      </c>
      <c r="G14" s="127">
        <f t="shared" si="0"/>
        <v>1010.5999999999999</v>
      </c>
      <c r="H14" s="127">
        <f t="shared" si="0"/>
        <v>3598.5</v>
      </c>
      <c r="I14" s="127"/>
      <c r="J14" s="430"/>
      <c r="K14" s="192" t="s">
        <v>168</v>
      </c>
      <c r="L14" s="124" t="s">
        <v>175</v>
      </c>
      <c r="M14" s="124" t="s">
        <v>175</v>
      </c>
      <c r="N14" s="193" t="s">
        <v>168</v>
      </c>
      <c r="O14" s="305" t="s">
        <v>252</v>
      </c>
    </row>
    <row r="15" spans="1:15" ht="12.75">
      <c r="A15" s="49" t="s">
        <v>102</v>
      </c>
      <c r="B15" s="122"/>
      <c r="C15" s="122"/>
      <c r="D15" s="122"/>
      <c r="E15" s="122"/>
      <c r="F15" s="122"/>
      <c r="G15" s="119"/>
      <c r="H15" s="125"/>
      <c r="I15" s="119"/>
      <c r="J15" s="119"/>
      <c r="K15" s="192"/>
      <c r="L15" s="124"/>
      <c r="M15" s="124"/>
      <c r="N15" s="194"/>
      <c r="O15" s="203"/>
    </row>
    <row r="16" spans="1:24" s="57" customFormat="1" ht="12.75">
      <c r="A16" s="154"/>
      <c r="B16" s="155"/>
      <c r="C16" s="155"/>
      <c r="D16" s="155"/>
      <c r="E16" s="155"/>
      <c r="F16" s="155"/>
      <c r="G16" s="155"/>
      <c r="H16" s="155"/>
      <c r="I16" s="155"/>
      <c r="J16" s="155"/>
      <c r="K16" s="155"/>
      <c r="L16" s="155"/>
      <c r="M16" s="155"/>
      <c r="N16" s="155"/>
      <c r="O16" s="155"/>
      <c r="P16" s="156"/>
      <c r="Q16" s="155"/>
      <c r="R16" s="157"/>
      <c r="S16" s="157"/>
      <c r="T16" s="157"/>
      <c r="U16" s="155"/>
      <c r="V16" s="158"/>
      <c r="W16" s="158"/>
      <c r="X16" s="158"/>
    </row>
    <row r="17" spans="1:24" s="57" customFormat="1" ht="12.75" customHeight="1">
      <c r="A17" s="424" t="s">
        <v>374</v>
      </c>
      <c r="B17" s="425"/>
      <c r="C17" s="425"/>
      <c r="D17" s="425"/>
      <c r="E17" s="425"/>
      <c r="F17" s="425"/>
      <c r="G17" s="425"/>
      <c r="H17" s="425"/>
      <c r="I17" s="425"/>
      <c r="J17" s="425"/>
      <c r="K17" s="426"/>
      <c r="L17" s="426"/>
      <c r="M17" s="155"/>
      <c r="N17" s="155"/>
      <c r="O17" s="155"/>
      <c r="P17" s="156"/>
      <c r="Q17" s="155"/>
      <c r="R17" s="157"/>
      <c r="S17" s="157"/>
      <c r="T17" s="157"/>
      <c r="U17" s="155"/>
      <c r="V17" s="158"/>
      <c r="W17" s="158"/>
      <c r="X17" s="158"/>
    </row>
    <row r="18" spans="1:24" s="57" customFormat="1" ht="25.5">
      <c r="A18" s="115" t="s">
        <v>249</v>
      </c>
      <c r="B18" s="115" t="s">
        <v>159</v>
      </c>
      <c r="C18" s="115" t="s">
        <v>164</v>
      </c>
      <c r="D18" s="115" t="s">
        <v>336</v>
      </c>
      <c r="E18" s="115" t="s">
        <v>337</v>
      </c>
      <c r="F18" s="115" t="s">
        <v>165</v>
      </c>
      <c r="G18" s="115" t="s">
        <v>167</v>
      </c>
      <c r="H18" s="115" t="s">
        <v>160</v>
      </c>
      <c r="I18" s="115" t="s">
        <v>269</v>
      </c>
      <c r="J18" s="115" t="s">
        <v>270</v>
      </c>
      <c r="K18" s="434" t="s">
        <v>34</v>
      </c>
      <c r="L18" s="356"/>
      <c r="M18" s="155"/>
      <c r="N18" s="155"/>
      <c r="O18" s="155"/>
      <c r="P18" s="156"/>
      <c r="Q18" s="155"/>
      <c r="R18" s="157"/>
      <c r="S18" s="157"/>
      <c r="T18" s="157"/>
      <c r="U18" s="155"/>
      <c r="V18" s="158"/>
      <c r="W18" s="158"/>
      <c r="X18" s="158"/>
    </row>
    <row r="19" spans="1:24" s="57" customFormat="1" ht="12.75">
      <c r="A19" s="129" t="s">
        <v>161</v>
      </c>
      <c r="B19" s="130" t="s">
        <v>162</v>
      </c>
      <c r="C19" s="130"/>
      <c r="D19" s="130" t="s">
        <v>162</v>
      </c>
      <c r="E19" s="130" t="s">
        <v>162</v>
      </c>
      <c r="F19" s="130" t="s">
        <v>162</v>
      </c>
      <c r="G19" s="130" t="s">
        <v>162</v>
      </c>
      <c r="H19" s="130" t="s">
        <v>163</v>
      </c>
      <c r="I19" s="130"/>
      <c r="J19" s="130" t="s">
        <v>377</v>
      </c>
      <c r="K19" s="439"/>
      <c r="L19" s="412"/>
      <c r="M19" s="155"/>
      <c r="N19" s="155"/>
      <c r="O19" s="155"/>
      <c r="P19" s="156"/>
      <c r="Q19" s="155"/>
      <c r="R19" s="157"/>
      <c r="S19" s="157"/>
      <c r="T19" s="157"/>
      <c r="U19" s="155"/>
      <c r="V19" s="158"/>
      <c r="W19" s="158"/>
      <c r="X19" s="158"/>
    </row>
    <row r="20" spans="1:24" s="57" customFormat="1" ht="12.75" customHeight="1">
      <c r="A20" s="117" t="s">
        <v>8</v>
      </c>
      <c r="B20" s="303">
        <f>(13-1.38)/'Cost Data'!$D$47</f>
        <v>10.541594847137803</v>
      </c>
      <c r="C20" s="307"/>
      <c r="D20" s="306">
        <f>(57.1-29.5)/'Cost Data'!$D$47</f>
        <v>25.038555747074298</v>
      </c>
      <c r="E20" s="306">
        <f>24.4/'Cost Data'!$D$47</f>
        <v>22.135534790891768</v>
      </c>
      <c r="F20" s="303">
        <f>(4.01-2.07)/'Cost Data'!$D$47</f>
        <v>1.7599564546856572</v>
      </c>
      <c r="G20" s="118">
        <f>0.01*1000000</f>
        <v>10000</v>
      </c>
      <c r="H20" s="304">
        <f>(39+33)/'Cost Data'!$D$47</f>
        <v>65.31797151410686</v>
      </c>
      <c r="I20" s="125">
        <v>0</v>
      </c>
      <c r="J20" s="308">
        <f>473/'Cost Data'!$D$47/'Cost Data'!D50</f>
        <v>113.21973221259361</v>
      </c>
      <c r="K20" s="423" t="s">
        <v>375</v>
      </c>
      <c r="L20" s="422"/>
      <c r="M20" s="155"/>
      <c r="N20" s="155"/>
      <c r="O20" s="155"/>
      <c r="P20" s="156"/>
      <c r="Q20" s="155"/>
      <c r="R20" s="157"/>
      <c r="S20" s="157"/>
      <c r="T20" s="157"/>
      <c r="U20" s="155"/>
      <c r="V20" s="158"/>
      <c r="W20" s="158"/>
      <c r="X20" s="158"/>
    </row>
    <row r="21" spans="1:24" s="57" customFormat="1" ht="12.75">
      <c r="A21" s="121" t="s">
        <v>7</v>
      </c>
      <c r="B21" s="303">
        <f>(13-1.38)/'Cost Data'!$D$47</f>
        <v>10.541594847137803</v>
      </c>
      <c r="C21" s="307"/>
      <c r="D21" s="306">
        <f>(57.1-29.5)/'Cost Data'!$D$47</f>
        <v>25.038555747074298</v>
      </c>
      <c r="E21" s="306">
        <f>24.4/'Cost Data'!$D$47</f>
        <v>22.135534790891768</v>
      </c>
      <c r="F21" s="303">
        <f>(4.01-2.07)/'Cost Data'!$D$47</f>
        <v>1.7599564546856572</v>
      </c>
      <c r="G21" s="118">
        <f>0.01*1000000</f>
        <v>10000</v>
      </c>
      <c r="H21" s="304">
        <f>(39+33)/'Cost Data'!$D$47</f>
        <v>65.31797151410686</v>
      </c>
      <c r="I21" s="125">
        <v>0</v>
      </c>
      <c r="J21" s="308">
        <f>473/'Cost Data'!$D$47/'Cost Data'!D50</f>
        <v>113.21973221259361</v>
      </c>
      <c r="K21" s="423" t="s">
        <v>375</v>
      </c>
      <c r="L21" s="422"/>
      <c r="M21" s="155"/>
      <c r="N21" s="155"/>
      <c r="O21" s="155"/>
      <c r="P21" s="156"/>
      <c r="Q21" s="155"/>
      <c r="R21" s="157"/>
      <c r="S21" s="157"/>
      <c r="T21" s="157"/>
      <c r="U21" s="155"/>
      <c r="V21" s="158"/>
      <c r="W21" s="158"/>
      <c r="X21" s="158"/>
    </row>
    <row r="22" spans="1:24" s="57" customFormat="1" ht="12.75">
      <c r="A22" s="49"/>
      <c r="B22" s="122"/>
      <c r="C22" s="122"/>
      <c r="D22" s="122"/>
      <c r="E22" s="122"/>
      <c r="F22" s="122"/>
      <c r="G22" s="119"/>
      <c r="H22" s="120"/>
      <c r="I22" s="120"/>
      <c r="J22" s="298"/>
      <c r="K22" s="427"/>
      <c r="L22" s="412"/>
      <c r="M22" s="155"/>
      <c r="N22" s="155"/>
      <c r="O22" s="155"/>
      <c r="P22" s="156"/>
      <c r="Q22" s="155"/>
      <c r="R22" s="157"/>
      <c r="S22" s="157"/>
      <c r="T22" s="157"/>
      <c r="U22" s="155"/>
      <c r="V22" s="158"/>
      <c r="W22" s="158"/>
      <c r="X22" s="158"/>
    </row>
    <row r="23" spans="1:24" s="57" customFormat="1" ht="25.5">
      <c r="A23" s="126" t="s">
        <v>161</v>
      </c>
      <c r="B23" s="182" t="s">
        <v>173</v>
      </c>
      <c r="C23" s="182" t="s">
        <v>173</v>
      </c>
      <c r="D23" s="182" t="s">
        <v>173</v>
      </c>
      <c r="E23" s="182" t="s">
        <v>173</v>
      </c>
      <c r="F23" s="182" t="s">
        <v>173</v>
      </c>
      <c r="G23" s="130" t="s">
        <v>227</v>
      </c>
      <c r="H23" s="182" t="s">
        <v>236</v>
      </c>
      <c r="I23" s="309"/>
      <c r="J23" s="437"/>
      <c r="K23" s="427"/>
      <c r="L23" s="412"/>
      <c r="M23" s="155"/>
      <c r="N23" s="155"/>
      <c r="O23" s="155"/>
      <c r="P23" s="156"/>
      <c r="Q23" s="155"/>
      <c r="R23" s="157"/>
      <c r="S23" s="157"/>
      <c r="T23" s="157"/>
      <c r="U23" s="155"/>
      <c r="V23" s="158"/>
      <c r="W23" s="158"/>
      <c r="X23" s="158"/>
    </row>
    <row r="24" spans="1:24" s="57" customFormat="1" ht="12.75" customHeight="1">
      <c r="A24" s="49" t="s">
        <v>177</v>
      </c>
      <c r="B24" s="127">
        <f>(0.457-0.416)*'Cost Data'!D48/1000/'Cost Data'!D47*'Cost Data'!D42*1000</f>
        <v>0.0015816876077292944</v>
      </c>
      <c r="C24" s="127">
        <f>(0.37-0.337)*'Cost Data'!D48/1000/'Cost Data'!D47*'Cost Data'!D42*1000</f>
        <v>0.0012730656354894298</v>
      </c>
      <c r="D24" s="127">
        <f>(2.01-1.83)*'Cost Data'!D48/1000/'Cost Data'!D47*'Cost Data'!D42*1000</f>
        <v>0.0069439943753968865</v>
      </c>
      <c r="E24" s="127">
        <f>(0.241-0.219)*'Cost Data'!D48/1000/'Cost Data'!D47*'Cost Data'!D42*1000</f>
        <v>0.0008487104236596204</v>
      </c>
      <c r="F24" s="127">
        <f>(4.01-3.65)*'Cost Data'!D48/1000/'Cost Data'!D47*'Cost Data'!D42*1000</f>
        <v>0.013887988750793787</v>
      </c>
      <c r="G24" s="322">
        <f>2.45*'Cost Data'!D42*1000*'Cost Data'!D49*1000</f>
        <v>1002.2727272727273</v>
      </c>
      <c r="H24" s="127">
        <v>3572.73</v>
      </c>
      <c r="I24" s="128">
        <v>0</v>
      </c>
      <c r="J24" s="438"/>
      <c r="K24" s="423" t="s">
        <v>388</v>
      </c>
      <c r="L24" s="422"/>
      <c r="M24" s="155"/>
      <c r="N24" s="155"/>
      <c r="O24" s="155"/>
      <c r="P24" s="156"/>
      <c r="Q24" s="155"/>
      <c r="R24" s="157"/>
      <c r="S24" s="157"/>
      <c r="T24" s="157"/>
      <c r="U24" s="155"/>
      <c r="V24" s="158"/>
      <c r="W24" s="158"/>
      <c r="X24" s="158"/>
    </row>
    <row r="25" spans="1:24" s="57" customFormat="1" ht="12.75">
      <c r="A25" s="49" t="s">
        <v>102</v>
      </c>
      <c r="B25" s="299"/>
      <c r="C25" s="299"/>
      <c r="D25" s="299"/>
      <c r="E25" s="299"/>
      <c r="F25" s="299"/>
      <c r="G25" s="300"/>
      <c r="H25" s="301"/>
      <c r="I25" s="301"/>
      <c r="J25" s="302"/>
      <c r="K25" s="427"/>
      <c r="L25" s="412"/>
      <c r="M25" s="155"/>
      <c r="N25" s="155"/>
      <c r="O25" s="155"/>
      <c r="P25" s="156"/>
      <c r="Q25" s="155"/>
      <c r="R25" s="157"/>
      <c r="S25" s="157"/>
      <c r="T25" s="157"/>
      <c r="U25" s="155"/>
      <c r="V25" s="158"/>
      <c r="W25" s="158"/>
      <c r="X25" s="158"/>
    </row>
    <row r="26" spans="1:24" s="57" customFormat="1" ht="12.75">
      <c r="A26" s="154"/>
      <c r="B26" s="155"/>
      <c r="C26" s="155"/>
      <c r="D26" s="155"/>
      <c r="E26" s="155"/>
      <c r="F26" s="155"/>
      <c r="G26" s="155"/>
      <c r="H26" s="155"/>
      <c r="I26" s="155"/>
      <c r="J26" s="155"/>
      <c r="K26" s="155"/>
      <c r="L26" s="155"/>
      <c r="M26" s="155"/>
      <c r="N26" s="155"/>
      <c r="O26" s="155"/>
      <c r="P26" s="156"/>
      <c r="Q26" s="155"/>
      <c r="R26" s="157"/>
      <c r="S26" s="157"/>
      <c r="T26" s="157"/>
      <c r="U26" s="163"/>
      <c r="V26" s="163"/>
      <c r="W26" s="163"/>
      <c r="X26" s="158"/>
    </row>
    <row r="27" spans="1:23" s="57" customFormat="1" ht="12.75" customHeight="1">
      <c r="A27" s="159" t="s">
        <v>243</v>
      </c>
      <c r="B27" s="115" t="s">
        <v>159</v>
      </c>
      <c r="C27" s="115" t="s">
        <v>164</v>
      </c>
      <c r="D27" s="115" t="s">
        <v>336</v>
      </c>
      <c r="E27" s="115" t="s">
        <v>337</v>
      </c>
      <c r="F27" s="115" t="s">
        <v>165</v>
      </c>
      <c r="G27" s="115" t="s">
        <v>167</v>
      </c>
      <c r="H27" s="419" t="s">
        <v>192</v>
      </c>
      <c r="I27" s="420"/>
      <c r="J27" s="419" t="s">
        <v>201</v>
      </c>
      <c r="K27" s="433"/>
      <c r="L27" s="419" t="s">
        <v>244</v>
      </c>
      <c r="M27" s="410"/>
      <c r="N27" s="410"/>
      <c r="O27" s="410"/>
      <c r="P27" s="356"/>
      <c r="Q27" s="115" t="s">
        <v>203</v>
      </c>
      <c r="R27" s="115" t="s">
        <v>205</v>
      </c>
      <c r="S27" s="160"/>
      <c r="T27" s="160"/>
      <c r="U27"/>
      <c r="V27"/>
      <c r="W27"/>
    </row>
    <row r="28" spans="1:23" s="57" customFormat="1" ht="36.75" customHeight="1">
      <c r="A28" s="126" t="s">
        <v>161</v>
      </c>
      <c r="B28" s="126" t="s">
        <v>197</v>
      </c>
      <c r="C28" s="126" t="s">
        <v>197</v>
      </c>
      <c r="D28" s="126" t="s">
        <v>197</v>
      </c>
      <c r="E28" s="126" t="s">
        <v>197</v>
      </c>
      <c r="F28" s="126" t="s">
        <v>197</v>
      </c>
      <c r="G28" s="126" t="s">
        <v>197</v>
      </c>
      <c r="H28" s="421" t="s">
        <v>193</v>
      </c>
      <c r="I28" s="422"/>
      <c r="J28" s="409"/>
      <c r="K28" s="410"/>
      <c r="L28" s="409" t="s">
        <v>228</v>
      </c>
      <c r="M28" s="410"/>
      <c r="N28" s="410"/>
      <c r="O28" s="410"/>
      <c r="P28" s="356"/>
      <c r="Q28" s="162"/>
      <c r="R28" s="162"/>
      <c r="S28" s="160"/>
      <c r="T28" s="160"/>
      <c r="U28"/>
      <c r="V28"/>
      <c r="W28"/>
    </row>
    <row r="29" spans="1:23" s="57" customFormat="1" ht="38.25" customHeight="1">
      <c r="A29" s="153" t="s">
        <v>190</v>
      </c>
      <c r="B29" s="153">
        <v>4.327</v>
      </c>
      <c r="C29" s="153">
        <v>0.796</v>
      </c>
      <c r="D29" s="153">
        <v>21.301</v>
      </c>
      <c r="E29" s="153">
        <v>0.3446</v>
      </c>
      <c r="F29" s="153">
        <v>0.6067</v>
      </c>
      <c r="G29" s="153">
        <v>1584.8</v>
      </c>
      <c r="H29" s="413">
        <v>20</v>
      </c>
      <c r="I29" s="412"/>
      <c r="J29" s="409">
        <v>4</v>
      </c>
      <c r="K29" s="410"/>
      <c r="L29" s="409" t="s">
        <v>247</v>
      </c>
      <c r="M29" s="410"/>
      <c r="N29" s="410"/>
      <c r="O29" s="410"/>
      <c r="P29" s="356"/>
      <c r="Q29" s="161" t="s">
        <v>211</v>
      </c>
      <c r="R29" s="161">
        <v>8</v>
      </c>
      <c r="S29" s="160"/>
      <c r="T29" s="160"/>
      <c r="U29"/>
      <c r="V29"/>
      <c r="W29"/>
    </row>
    <row r="30" spans="1:23" s="57" customFormat="1" ht="12.75">
      <c r="A30" s="153" t="s">
        <v>191</v>
      </c>
      <c r="B30" s="153">
        <v>4.327</v>
      </c>
      <c r="C30" s="153">
        <v>0.796</v>
      </c>
      <c r="D30" s="153">
        <v>21.301</v>
      </c>
      <c r="E30" s="153">
        <v>0.3446</v>
      </c>
      <c r="F30" s="153">
        <v>0.6067</v>
      </c>
      <c r="G30" s="153">
        <v>1584.8</v>
      </c>
      <c r="H30" s="413">
        <v>20</v>
      </c>
      <c r="I30" s="412"/>
      <c r="J30" s="409">
        <v>5</v>
      </c>
      <c r="K30" s="410"/>
      <c r="L30" s="409"/>
      <c r="M30" s="410"/>
      <c r="N30" s="410"/>
      <c r="O30" s="410"/>
      <c r="P30" s="356"/>
      <c r="Q30" s="161" t="s">
        <v>211</v>
      </c>
      <c r="R30" s="161">
        <v>11</v>
      </c>
      <c r="S30" s="160"/>
      <c r="T30" s="160"/>
      <c r="U30"/>
      <c r="V30"/>
      <c r="W30"/>
    </row>
    <row r="31" spans="1:23" s="57" customFormat="1" ht="25.5" customHeight="1">
      <c r="A31" s="153" t="s">
        <v>194</v>
      </c>
      <c r="B31" s="153">
        <v>5.784</v>
      </c>
      <c r="C31" s="153">
        <v>1.009</v>
      </c>
      <c r="D31" s="153">
        <v>24.715</v>
      </c>
      <c r="E31" s="153">
        <v>0.3665</v>
      </c>
      <c r="F31" s="153">
        <v>0.6632</v>
      </c>
      <c r="G31" s="153">
        <v>1685.6</v>
      </c>
      <c r="H31" s="413">
        <f>12000*'Cost Data'!D38</f>
        <v>26.999999999999996</v>
      </c>
      <c r="I31" s="412"/>
      <c r="J31" s="409">
        <v>6</v>
      </c>
      <c r="K31" s="410"/>
      <c r="L31" s="409" t="s">
        <v>200</v>
      </c>
      <c r="M31" s="410"/>
      <c r="N31" s="410"/>
      <c r="O31" s="410"/>
      <c r="P31" s="356"/>
      <c r="Q31" s="161" t="s">
        <v>204</v>
      </c>
      <c r="R31" s="161">
        <v>9</v>
      </c>
      <c r="S31" s="160"/>
      <c r="T31" s="160"/>
      <c r="U31"/>
      <c r="V31"/>
      <c r="W31"/>
    </row>
    <row r="32" spans="1:23" s="57" customFormat="1" ht="25.5" customHeight="1">
      <c r="A32" s="153" t="s">
        <v>195</v>
      </c>
      <c r="B32" s="153">
        <v>5.784</v>
      </c>
      <c r="C32" s="153">
        <v>1.009</v>
      </c>
      <c r="D32" s="153">
        <v>24.715</v>
      </c>
      <c r="E32" s="153">
        <v>0.3665</v>
      </c>
      <c r="F32" s="153">
        <v>0.6632</v>
      </c>
      <c r="G32" s="153">
        <v>1685.6</v>
      </c>
      <c r="H32" s="448">
        <f>6080*'Cost Data'!D42</f>
        <v>9.120000000000001</v>
      </c>
      <c r="I32" s="412"/>
      <c r="J32" s="409">
        <v>7</v>
      </c>
      <c r="K32" s="410"/>
      <c r="L32" s="409" t="s">
        <v>206</v>
      </c>
      <c r="M32" s="410"/>
      <c r="N32" s="410"/>
      <c r="O32" s="410"/>
      <c r="P32" s="356"/>
      <c r="Q32" s="161" t="s">
        <v>204</v>
      </c>
      <c r="R32" s="161">
        <v>9</v>
      </c>
      <c r="S32" s="160"/>
      <c r="T32" s="160"/>
      <c r="U32"/>
      <c r="V32"/>
      <c r="W32"/>
    </row>
    <row r="33" spans="1:23" s="57" customFormat="1" ht="12.75" customHeight="1">
      <c r="A33" s="126" t="s">
        <v>161</v>
      </c>
      <c r="B33" s="126" t="s">
        <v>197</v>
      </c>
      <c r="C33" s="126" t="s">
        <v>197</v>
      </c>
      <c r="D33" s="126" t="s">
        <v>197</v>
      </c>
      <c r="E33" s="126" t="s">
        <v>197</v>
      </c>
      <c r="F33" s="126" t="s">
        <v>197</v>
      </c>
      <c r="G33" s="126" t="s">
        <v>197</v>
      </c>
      <c r="H33" s="411" t="s">
        <v>210</v>
      </c>
      <c r="I33" s="412"/>
      <c r="J33" s="409"/>
      <c r="K33" s="410"/>
      <c r="L33" s="409"/>
      <c r="M33" s="410"/>
      <c r="N33" s="410"/>
      <c r="O33" s="410"/>
      <c r="P33" s="356"/>
      <c r="Q33" s="161"/>
      <c r="R33" s="161"/>
      <c r="S33" s="160"/>
      <c r="T33" s="160"/>
      <c r="U33"/>
      <c r="V33"/>
      <c r="W33"/>
    </row>
    <row r="34" spans="1:23" s="57" customFormat="1" ht="38.25" customHeight="1" thickBot="1">
      <c r="A34" s="164" t="s">
        <v>196</v>
      </c>
      <c r="B34" s="164">
        <v>5.784</v>
      </c>
      <c r="C34" s="164">
        <v>1.009</v>
      </c>
      <c r="D34" s="164">
        <v>24.715</v>
      </c>
      <c r="E34" s="164">
        <v>0.3665</v>
      </c>
      <c r="F34" s="153">
        <v>0.6632</v>
      </c>
      <c r="G34" s="164">
        <v>1685.6</v>
      </c>
      <c r="H34" s="446">
        <v>18</v>
      </c>
      <c r="I34" s="447"/>
      <c r="J34" s="443">
        <v>10</v>
      </c>
      <c r="K34" s="444"/>
      <c r="L34" s="443" t="s">
        <v>246</v>
      </c>
      <c r="M34" s="444"/>
      <c r="N34" s="444"/>
      <c r="O34" s="444"/>
      <c r="P34" s="445"/>
      <c r="Q34" s="165" t="s">
        <v>204</v>
      </c>
      <c r="R34" s="165">
        <v>10</v>
      </c>
      <c r="S34" s="160"/>
      <c r="T34" s="160"/>
      <c r="U34"/>
      <c r="V34"/>
      <c r="W34"/>
    </row>
    <row r="35" spans="1:23" s="57" customFormat="1" ht="12.75" customHeight="1">
      <c r="A35" s="440" t="s">
        <v>248</v>
      </c>
      <c r="B35" s="441"/>
      <c r="C35" s="441"/>
      <c r="D35" s="441"/>
      <c r="E35" s="441"/>
      <c r="F35" s="441"/>
      <c r="G35" s="441"/>
      <c r="H35" s="441"/>
      <c r="I35" s="441"/>
      <c r="J35" s="441"/>
      <c r="K35" s="441"/>
      <c r="L35" s="441"/>
      <c r="M35" s="441"/>
      <c r="N35" s="441"/>
      <c r="O35" s="441"/>
      <c r="P35" s="441"/>
      <c r="Q35" s="441"/>
      <c r="R35" s="442"/>
      <c r="S35" s="160"/>
      <c r="T35" s="160"/>
      <c r="U35"/>
      <c r="V35"/>
      <c r="W35"/>
    </row>
    <row r="36" spans="21:25" ht="12.75">
      <c r="U36"/>
      <c r="V36"/>
      <c r="W36"/>
      <c r="X36"/>
      <c r="Y36"/>
    </row>
    <row r="37" spans="1:25" ht="12.75">
      <c r="A37" s="361" t="s">
        <v>169</v>
      </c>
      <c r="B37" s="361"/>
      <c r="C37" s="361"/>
      <c r="D37" s="361"/>
      <c r="E37" s="361"/>
      <c r="F37" s="361"/>
      <c r="G37" s="361"/>
      <c r="H37" s="361"/>
      <c r="I37" s="361"/>
      <c r="J37" s="361"/>
      <c r="K37" s="361"/>
      <c r="L37" s="361"/>
      <c r="M37" s="361"/>
      <c r="N37" s="361"/>
      <c r="O37" s="361"/>
      <c r="P37" s="361"/>
      <c r="Q37" s="361"/>
      <c r="R37" s="361"/>
      <c r="S37" s="361"/>
      <c r="T37" s="361"/>
      <c r="U37"/>
      <c r="V37"/>
      <c r="W37"/>
      <c r="X37"/>
      <c r="Y37"/>
    </row>
    <row r="38" spans="1:25" ht="12.75">
      <c r="A38" s="413" t="s">
        <v>170</v>
      </c>
      <c r="B38" s="414"/>
      <c r="C38" s="414"/>
      <c r="D38" s="414"/>
      <c r="E38" s="414"/>
      <c r="F38" s="414"/>
      <c r="G38" s="414"/>
      <c r="H38" s="414"/>
      <c r="I38" s="414"/>
      <c r="J38" s="414"/>
      <c r="K38" s="414"/>
      <c r="L38" s="414"/>
      <c r="M38" s="414"/>
      <c r="N38" s="414"/>
      <c r="O38" s="414"/>
      <c r="P38" s="414"/>
      <c r="Q38" s="414"/>
      <c r="R38" s="414"/>
      <c r="S38" s="414"/>
      <c r="T38" s="414"/>
      <c r="U38"/>
      <c r="V38"/>
      <c r="W38"/>
      <c r="X38"/>
      <c r="Y38"/>
    </row>
    <row r="39" spans="1:25" ht="12.75">
      <c r="A39" s="413" t="s">
        <v>245</v>
      </c>
      <c r="B39" s="414"/>
      <c r="C39" s="414"/>
      <c r="D39" s="414"/>
      <c r="E39" s="414"/>
      <c r="F39" s="414"/>
      <c r="G39" s="414"/>
      <c r="H39" s="414"/>
      <c r="I39" s="414"/>
      <c r="J39" s="414"/>
      <c r="K39" s="414"/>
      <c r="L39" s="414"/>
      <c r="M39" s="414"/>
      <c r="N39" s="414"/>
      <c r="O39" s="414"/>
      <c r="P39" s="414"/>
      <c r="Q39" s="414"/>
      <c r="R39" s="414"/>
      <c r="S39" s="414"/>
      <c r="T39" s="414"/>
      <c r="W39"/>
      <c r="X39"/>
      <c r="Y39"/>
    </row>
    <row r="40" spans="1:25" ht="12.75">
      <c r="A40" s="413" t="s">
        <v>255</v>
      </c>
      <c r="B40" s="414"/>
      <c r="C40" s="414"/>
      <c r="D40" s="414"/>
      <c r="E40" s="414"/>
      <c r="F40" s="414"/>
      <c r="G40" s="414"/>
      <c r="H40" s="414"/>
      <c r="I40" s="414"/>
      <c r="J40" s="414"/>
      <c r="K40" s="414"/>
      <c r="L40" s="414"/>
      <c r="M40" s="414"/>
      <c r="N40" s="414"/>
      <c r="O40" s="414"/>
      <c r="P40" s="414"/>
      <c r="Q40" s="414"/>
      <c r="R40" s="414"/>
      <c r="S40" s="414"/>
      <c r="T40" s="414"/>
      <c r="W40"/>
      <c r="X40"/>
      <c r="Y40"/>
    </row>
    <row r="41" spans="1:25" ht="12.75">
      <c r="A41" s="417" t="s">
        <v>256</v>
      </c>
      <c r="B41" s="418"/>
      <c r="C41" s="418"/>
      <c r="D41" s="418"/>
      <c r="E41" s="418"/>
      <c r="F41" s="418"/>
      <c r="G41" s="418"/>
      <c r="H41" s="418"/>
      <c r="I41" s="418"/>
      <c r="J41" s="418"/>
      <c r="K41" s="418"/>
      <c r="L41" s="418"/>
      <c r="M41" s="418"/>
      <c r="N41" s="418"/>
      <c r="O41" s="418"/>
      <c r="P41" s="418"/>
      <c r="Q41" s="418"/>
      <c r="R41" s="418"/>
      <c r="S41" s="418"/>
      <c r="T41" s="418"/>
      <c r="W41"/>
      <c r="X41"/>
      <c r="Y41"/>
    </row>
    <row r="42" spans="1:20" ht="12.75">
      <c r="A42" s="416" t="s">
        <v>231</v>
      </c>
      <c r="B42" s="416"/>
      <c r="C42" s="416"/>
      <c r="D42" s="416"/>
      <c r="E42" s="416"/>
      <c r="F42" s="416"/>
      <c r="G42" s="416"/>
      <c r="H42" s="416"/>
      <c r="I42" s="416"/>
      <c r="J42" s="416"/>
      <c r="K42" s="416"/>
      <c r="L42" s="416"/>
      <c r="M42" s="416"/>
      <c r="N42" s="416"/>
      <c r="O42" s="416"/>
      <c r="P42" s="416"/>
      <c r="Q42" s="416"/>
      <c r="R42" s="416"/>
      <c r="S42" s="416"/>
      <c r="T42" s="416"/>
    </row>
    <row r="43" spans="1:20" ht="12.75">
      <c r="A43" s="415" t="s">
        <v>253</v>
      </c>
      <c r="B43" s="416"/>
      <c r="C43" s="416"/>
      <c r="D43" s="416"/>
      <c r="E43" s="416"/>
      <c r="F43" s="416"/>
      <c r="G43" s="416"/>
      <c r="H43" s="416"/>
      <c r="I43" s="416"/>
      <c r="J43" s="416"/>
      <c r="K43" s="416"/>
      <c r="L43" s="416"/>
      <c r="M43" s="416"/>
      <c r="N43" s="416"/>
      <c r="O43" s="416"/>
      <c r="P43" s="416"/>
      <c r="Q43" s="416"/>
      <c r="R43" s="416"/>
      <c r="S43" s="416"/>
      <c r="T43" s="416"/>
    </row>
    <row r="44" spans="1:20" ht="12.75">
      <c r="A44" s="415" t="s">
        <v>254</v>
      </c>
      <c r="B44" s="416"/>
      <c r="C44" s="416"/>
      <c r="D44" s="416"/>
      <c r="E44" s="416"/>
      <c r="F44" s="416"/>
      <c r="G44" s="416"/>
      <c r="H44" s="416"/>
      <c r="I44" s="416"/>
      <c r="J44" s="416"/>
      <c r="K44" s="416"/>
      <c r="L44" s="416"/>
      <c r="M44" s="416"/>
      <c r="N44" s="416"/>
      <c r="O44" s="416"/>
      <c r="P44" s="416"/>
      <c r="Q44" s="416"/>
      <c r="R44" s="416"/>
      <c r="S44" s="416"/>
      <c r="T44" s="416"/>
    </row>
    <row r="45" spans="1:20" ht="12.75" customHeight="1">
      <c r="A45" s="407" t="s">
        <v>202</v>
      </c>
      <c r="B45" s="408"/>
      <c r="C45" s="408"/>
      <c r="D45" s="408"/>
      <c r="E45" s="408"/>
      <c r="F45" s="408"/>
      <c r="G45" s="408"/>
      <c r="H45" s="408"/>
      <c r="I45" s="408"/>
      <c r="J45" s="408"/>
      <c r="K45" s="408"/>
      <c r="L45" s="408"/>
      <c r="M45" s="408"/>
      <c r="N45" s="408"/>
      <c r="O45" s="408"/>
      <c r="P45" s="408"/>
      <c r="Q45" s="408"/>
      <c r="R45" s="408"/>
      <c r="S45" s="408"/>
      <c r="T45" s="408"/>
    </row>
    <row r="46" spans="1:20" ht="12.75" customHeight="1">
      <c r="A46" s="407" t="s">
        <v>229</v>
      </c>
      <c r="B46" s="408"/>
      <c r="C46" s="408"/>
      <c r="D46" s="408"/>
      <c r="E46" s="408"/>
      <c r="F46" s="408"/>
      <c r="G46" s="408"/>
      <c r="H46" s="408"/>
      <c r="I46" s="408"/>
      <c r="J46" s="408"/>
      <c r="K46" s="408"/>
      <c r="L46" s="408"/>
      <c r="M46" s="408"/>
      <c r="N46" s="408"/>
      <c r="O46" s="408"/>
      <c r="P46" s="408"/>
      <c r="Q46" s="408"/>
      <c r="R46" s="408"/>
      <c r="S46" s="408"/>
      <c r="T46" s="408"/>
    </row>
    <row r="47" spans="1:20" ht="12.75" customHeight="1">
      <c r="A47" s="407" t="s">
        <v>230</v>
      </c>
      <c r="B47" s="408"/>
      <c r="C47" s="408"/>
      <c r="D47" s="408"/>
      <c r="E47" s="408"/>
      <c r="F47" s="408"/>
      <c r="G47" s="408"/>
      <c r="H47" s="408"/>
      <c r="I47" s="408"/>
      <c r="J47" s="408"/>
      <c r="K47" s="408"/>
      <c r="L47" s="408"/>
      <c r="M47" s="408"/>
      <c r="N47" s="408"/>
      <c r="O47" s="408"/>
      <c r="P47" s="408"/>
      <c r="Q47" s="408"/>
      <c r="R47" s="408"/>
      <c r="S47" s="408"/>
      <c r="T47" s="408"/>
    </row>
    <row r="48" spans="1:20" ht="12.75" customHeight="1">
      <c r="A48" s="407" t="s">
        <v>232</v>
      </c>
      <c r="B48" s="408"/>
      <c r="C48" s="408"/>
      <c r="D48" s="408"/>
      <c r="E48" s="408"/>
      <c r="F48" s="408"/>
      <c r="G48" s="408"/>
      <c r="H48" s="408"/>
      <c r="I48" s="408"/>
      <c r="J48" s="408"/>
      <c r="K48" s="408"/>
      <c r="L48" s="408"/>
      <c r="M48" s="408"/>
      <c r="N48" s="408"/>
      <c r="O48" s="408"/>
      <c r="P48" s="408"/>
      <c r="Q48" s="408"/>
      <c r="R48" s="408"/>
      <c r="S48" s="408"/>
      <c r="T48" s="408"/>
    </row>
    <row r="49" spans="1:20" ht="12.75" customHeight="1">
      <c r="A49" s="407" t="s">
        <v>257</v>
      </c>
      <c r="B49" s="408"/>
      <c r="C49" s="408"/>
      <c r="D49" s="408"/>
      <c r="E49" s="408"/>
      <c r="F49" s="408"/>
      <c r="G49" s="408"/>
      <c r="H49" s="408"/>
      <c r="I49" s="408"/>
      <c r="J49" s="408"/>
      <c r="K49" s="408"/>
      <c r="L49" s="408"/>
      <c r="M49" s="408"/>
      <c r="N49" s="408"/>
      <c r="O49" s="408"/>
      <c r="P49" s="408"/>
      <c r="Q49" s="408"/>
      <c r="R49" s="408"/>
      <c r="S49" s="408"/>
      <c r="T49" s="408"/>
    </row>
    <row r="50" spans="1:20" ht="12.75">
      <c r="A50" s="407" t="s">
        <v>386</v>
      </c>
      <c r="B50" s="408"/>
      <c r="C50" s="408"/>
      <c r="D50" s="408"/>
      <c r="E50" s="408"/>
      <c r="F50" s="408"/>
      <c r="G50" s="408"/>
      <c r="H50" s="408"/>
      <c r="I50" s="408"/>
      <c r="J50" s="408"/>
      <c r="K50" s="408"/>
      <c r="L50" s="408"/>
      <c r="M50" s="408"/>
      <c r="N50" s="408"/>
      <c r="O50" s="408"/>
      <c r="P50" s="408"/>
      <c r="Q50" s="408"/>
      <c r="R50" s="408"/>
      <c r="S50" s="408"/>
      <c r="T50" s="408"/>
    </row>
    <row r="51" spans="1:20" ht="12.75">
      <c r="A51" s="407" t="s">
        <v>387</v>
      </c>
      <c r="B51" s="408"/>
      <c r="C51" s="408"/>
      <c r="D51" s="408"/>
      <c r="E51" s="408"/>
      <c r="F51" s="408"/>
      <c r="G51" s="408"/>
      <c r="H51" s="408"/>
      <c r="I51" s="408"/>
      <c r="J51" s="408"/>
      <c r="K51" s="408"/>
      <c r="L51" s="408"/>
      <c r="M51" s="408"/>
      <c r="N51" s="408"/>
      <c r="O51" s="408"/>
      <c r="P51" s="408"/>
      <c r="Q51" s="408"/>
      <c r="R51" s="408"/>
      <c r="S51" s="408"/>
      <c r="T51" s="408"/>
    </row>
  </sheetData>
  <sheetProtection sheet="1" objects="1" scenarios="1"/>
  <mergeCells count="55">
    <mergeCell ref="L34:P34"/>
    <mergeCell ref="L32:P32"/>
    <mergeCell ref="H34:I34"/>
    <mergeCell ref="L33:P33"/>
    <mergeCell ref="H32:I32"/>
    <mergeCell ref="A38:T38"/>
    <mergeCell ref="J29:K29"/>
    <mergeCell ref="J30:K30"/>
    <mergeCell ref="H29:I29"/>
    <mergeCell ref="H30:I30"/>
    <mergeCell ref="A37:T37"/>
    <mergeCell ref="A35:R35"/>
    <mergeCell ref="J32:K32"/>
    <mergeCell ref="J33:K33"/>
    <mergeCell ref="J34:K34"/>
    <mergeCell ref="A4:J4"/>
    <mergeCell ref="J27:K27"/>
    <mergeCell ref="J28:K28"/>
    <mergeCell ref="K4:O4"/>
    <mergeCell ref="C7:C8"/>
    <mergeCell ref="K20:L20"/>
    <mergeCell ref="J23:J24"/>
    <mergeCell ref="K19:L19"/>
    <mergeCell ref="K18:L18"/>
    <mergeCell ref="L27:P27"/>
    <mergeCell ref="A1:I1"/>
    <mergeCell ref="H27:I27"/>
    <mergeCell ref="H28:I28"/>
    <mergeCell ref="K21:L21"/>
    <mergeCell ref="A17:L17"/>
    <mergeCell ref="K22:L22"/>
    <mergeCell ref="K23:L23"/>
    <mergeCell ref="K24:L24"/>
    <mergeCell ref="K25:L25"/>
    <mergeCell ref="J11:J14"/>
    <mergeCell ref="L28:P28"/>
    <mergeCell ref="L29:P29"/>
    <mergeCell ref="L30:P30"/>
    <mergeCell ref="A50:T50"/>
    <mergeCell ref="A45:T45"/>
    <mergeCell ref="A44:T44"/>
    <mergeCell ref="A43:T43"/>
    <mergeCell ref="A42:T42"/>
    <mergeCell ref="A41:T41"/>
    <mergeCell ref="A40:T40"/>
    <mergeCell ref="A51:T51"/>
    <mergeCell ref="L31:P31"/>
    <mergeCell ref="H33:I33"/>
    <mergeCell ref="J31:K31"/>
    <mergeCell ref="H31:I31"/>
    <mergeCell ref="A49:T49"/>
    <mergeCell ref="A48:T48"/>
    <mergeCell ref="A47:T47"/>
    <mergeCell ref="A46:T46"/>
    <mergeCell ref="A39:T39"/>
  </mergeCells>
  <printOptions headings="1" horizontalCentered="1"/>
  <pageMargins left="0.75" right="0.75" top="1" bottom="1" header="0.5" footer="0.5"/>
  <pageSetup fitToHeight="1" fitToWidth="1" horizontalDpi="600" verticalDpi="600" orientation="landscape" scale="51"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OSWER</cp:lastModifiedBy>
  <cp:lastPrinted>2008-07-14T20:58:39Z</cp:lastPrinted>
  <dcterms:created xsi:type="dcterms:W3CDTF">2006-05-12T16:48:55Z</dcterms:created>
  <dcterms:modified xsi:type="dcterms:W3CDTF">2008-07-22T13:07:12Z</dcterms:modified>
  <cp:category/>
  <cp:version/>
  <cp:contentType/>
  <cp:contentStatus/>
</cp:coreProperties>
</file>