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35" windowWidth="18015" windowHeight="8385" tabRatio="560" activeTab="0"/>
  </bookViews>
  <sheets>
    <sheet name="Performance Summary" sheetId="1" r:id="rId1"/>
    <sheet name="FY2008 Data Report" sheetId="2" r:id="rId2"/>
    <sheet name="New Building Designs" sheetId="3" r:id="rId3"/>
    <sheet name="EISA Covered Facilities" sheetId="4" r:id="rId4"/>
    <sheet name="Source Energy Savings Credit" sheetId="5" r:id="rId5"/>
  </sheets>
  <definedNames>
    <definedName name="_xlnm._FilterDatabase" localSheetId="3" hidden="1">'EISA Covered Facilities'!$A$5:$L$5</definedName>
    <definedName name="_xlnm.Print_Area" localSheetId="1">'FY2008 Data Report'!$A$1:$M$192</definedName>
  </definedNames>
  <calcPr fullCalcOnLoad="1"/>
</workbook>
</file>

<file path=xl/comments2.xml><?xml version="1.0" encoding="utf-8"?>
<comments xmlns="http://schemas.openxmlformats.org/spreadsheetml/2006/main">
  <authors>
    <author>ctremper</author>
    <author>Chris Tremper</author>
    <author>Kevin DeGroat</author>
  </authors>
  <commentList>
    <comment ref="E11" authorId="0">
      <text>
        <r>
          <rPr>
            <sz val="8"/>
            <rFont val="Tahoma"/>
            <family val="2"/>
          </rPr>
          <t>FY07 Federal Average:
$0.078/kWh</t>
        </r>
      </text>
    </comment>
    <comment ref="E12" authorId="0">
      <text>
        <r>
          <rPr>
            <sz val="8"/>
            <rFont val="Tahoma"/>
            <family val="2"/>
          </rPr>
          <t>FY07 Federal Average:
$2.03/gallon</t>
        </r>
      </text>
    </comment>
    <comment ref="E13" authorId="0">
      <text>
        <r>
          <rPr>
            <sz val="8"/>
            <rFont val="Tahoma"/>
            <family val="2"/>
          </rPr>
          <t>FY07 Federal Average:
$9.34/Thou. Cu. Ft.</t>
        </r>
      </text>
    </comment>
    <comment ref="E14" authorId="0">
      <text>
        <r>
          <rPr>
            <sz val="8"/>
            <rFont val="Tahoma"/>
            <family val="2"/>
          </rPr>
          <t>FY07 Federal Average:
$1.56/gallon</t>
        </r>
      </text>
    </comment>
    <comment ref="E15" authorId="0">
      <text>
        <r>
          <rPr>
            <sz val="8"/>
            <rFont val="Tahoma"/>
            <family val="2"/>
          </rPr>
          <t>FY07 Federal Average:
$73.66/Short Ton</t>
        </r>
      </text>
    </comment>
    <comment ref="E16" authorId="0">
      <text>
        <r>
          <rPr>
            <sz val="8"/>
            <rFont val="Tahoma"/>
            <family val="2"/>
          </rPr>
          <t>FY07 Federal Average:
$23.99/MMBtu</t>
        </r>
      </text>
    </comment>
    <comment ref="E17" authorId="0">
      <text>
        <r>
          <rPr>
            <sz val="8"/>
            <rFont val="Tahoma"/>
            <family val="2"/>
          </rPr>
          <t>FY07 Federal Average:
$15.62/MMBtu</t>
        </r>
      </text>
    </comment>
    <comment ref="E43" authorId="0">
      <text>
        <r>
          <rPr>
            <sz val="8"/>
            <rFont val="Tahoma"/>
            <family val="2"/>
          </rPr>
          <t>FY07 Federal Average:
$2.48/gallon</t>
        </r>
      </text>
    </comment>
    <comment ref="E44" authorId="0">
      <text>
        <r>
          <rPr>
            <sz val="8"/>
            <rFont val="Tahoma"/>
            <family val="2"/>
          </rPr>
          <t>FY07 Federal Average:
$2.12/gallon</t>
        </r>
      </text>
    </comment>
    <comment ref="E45" authorId="0">
      <text>
        <r>
          <rPr>
            <sz val="8"/>
            <rFont val="Tahoma"/>
            <family val="2"/>
          </rPr>
          <t>FY07 Federal Average:
$1.63/gallon</t>
        </r>
      </text>
    </comment>
    <comment ref="E46" authorId="0">
      <text>
        <r>
          <rPr>
            <sz val="8"/>
            <rFont val="Tahoma"/>
            <family val="2"/>
          </rPr>
          <t>FY07 Federal Average:
$3.68/gallon</t>
        </r>
      </text>
    </comment>
    <comment ref="E47" authorId="0">
      <text>
        <r>
          <rPr>
            <sz val="8"/>
            <rFont val="Tahoma"/>
            <family val="2"/>
          </rPr>
          <t>FY07 Federal Average:
$2.01/gallon</t>
        </r>
      </text>
    </comment>
    <comment ref="E48" authorId="0">
      <text>
        <r>
          <rPr>
            <sz val="8"/>
            <rFont val="Tahoma"/>
            <family val="2"/>
          </rPr>
          <t>FY07 Federal Average:
$1.86/gallon</t>
        </r>
      </text>
    </comment>
    <comment ref="E49" authorId="0">
      <text>
        <r>
          <rPr>
            <sz val="8"/>
            <rFont val="Tahoma"/>
            <family val="2"/>
          </rPr>
          <t>FY07 Federal Average:
$13.85/MMBtu</t>
        </r>
      </text>
    </comment>
    <comment ref="A84"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buiding in multiple climate zones, weighted to account for population in climate zones.</t>
        </r>
      </text>
    </comment>
    <comment ref="A85"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daylighting technology or passive solar design.</t>
        </r>
      </text>
    </comment>
    <comment ref="F70" authorId="0">
      <text>
        <r>
          <rPr>
            <sz val="8"/>
            <rFont val="Tahoma"/>
            <family val="2"/>
          </rPr>
          <t>Also includes RE produced on Indian land and RE electricity sold to 3rd parties if Government retains related RECs.</t>
        </r>
      </text>
    </comment>
    <comment ref="A79" authorId="0">
      <text>
        <r>
          <rPr>
            <sz val="8"/>
            <rFont val="Tahoma"/>
            <family val="2"/>
          </rPr>
          <t xml:space="preserve">Includes municipal solid waste and other waste to energy. Also includes biodiesel used in generators. </t>
        </r>
      </text>
    </comment>
    <comment ref="A73" authorId="0">
      <text>
        <r>
          <rPr>
            <sz val="8"/>
            <rFont val="Tahoma"/>
            <family val="2"/>
          </rPr>
          <t xml:space="preserve">Includes municipal solid waste and other waste to energy. Also includes biodiesel used in generators. </t>
        </r>
      </text>
    </comment>
    <comment ref="I10" authorId="1">
      <text>
        <r>
          <rPr>
            <sz val="8"/>
            <rFont val="Tahoma"/>
            <family val="2"/>
          </rPr>
          <t>Carbon Dioxide, Nitrous Oxide, and Methane in Metric Tons of Carbon Dioxide Equivalent</t>
        </r>
      </text>
    </comment>
    <comment ref="I26" authorId="1">
      <text>
        <r>
          <rPr>
            <sz val="8"/>
            <rFont val="Tahoma"/>
            <family val="2"/>
          </rPr>
          <t>Carbon Dioxide, Nitrous Oxide, and Methane in Metric Tons of Carbon Dioxide Equivalent</t>
        </r>
      </text>
    </comment>
    <comment ref="H42" authorId="1">
      <text>
        <r>
          <rPr>
            <sz val="8"/>
            <rFont val="Tahoma"/>
            <family val="2"/>
          </rPr>
          <t>Carbon Dioxide in Metric Tons</t>
        </r>
      </text>
    </comment>
    <comment ref="F89" authorId="2">
      <text>
        <r>
          <rPr>
            <sz val="8"/>
            <rFont val="Tahoma"/>
            <family val="0"/>
          </rPr>
          <t>Must be equal to or less than annual energy produced.  If this cell shows an error review entries for new renewable energy for column F.</t>
        </r>
      </text>
    </comment>
    <comment ref="F90" authorId="2">
      <text>
        <r>
          <rPr>
            <sz val="8"/>
            <rFont val="Tahoma"/>
            <family val="0"/>
          </rPr>
          <t>If this cell shows ERROR, check to see that energy used does not exceed energy produced.</t>
        </r>
      </text>
    </comment>
    <comment ref="A76" authorId="2">
      <text>
        <r>
          <rPr>
            <sz val="8"/>
            <rFont val="Tahoma"/>
            <family val="0"/>
          </rPr>
          <t>Includes incremental hydropower which is defined as the energy generated as a result of modifications to existing dams, when the modification was put into service after 1/1/1999.  Also includes hydrokinetic generation.</t>
        </r>
      </text>
    </comment>
    <comment ref="A82" authorId="2">
      <text>
        <r>
          <rPr>
            <sz val="8"/>
            <rFont val="Tahoma"/>
            <family val="0"/>
          </rPr>
          <t>Includes incremental hydropower which is defined as the energy generated as a result of modifications to existing dams, when the modification was put into service before 1/1/1999.  Also includes hydrokinetic generation.</t>
        </r>
      </text>
    </comment>
    <comment ref="I99" authorId="2">
      <text>
        <r>
          <rPr>
            <sz val="8"/>
            <rFont val="Tahoma"/>
            <family val="2"/>
          </rPr>
          <t>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new projects, this amount also contributes to the requirement that 50% of the goal must come from new renewable energy sources.  This amount is always maximized compared to the amount reported in the cell below that represents old projects.</t>
        </r>
        <r>
          <rPr>
            <sz val="8"/>
            <rFont val="Tahoma"/>
            <family val="0"/>
          </rPr>
          <t xml:space="preserve">
</t>
        </r>
      </text>
    </comment>
    <comment ref="I100" authorId="2">
      <text>
        <r>
          <rPr>
            <sz val="8"/>
            <rFont val="Tahoma"/>
            <family val="2"/>
          </rPr>
          <t xml:space="preserve">This shows the amount of energy that can be counted for the renewable energy goal based on new RECs available to swap for the RECs that were sold or otherwise given up for these projects.  RECs are available for a swap to include these projects if the RECs are from a new project and they do not generate a bonus for being produced on Federal or Indian land.  Because they are projects built before 1999, this amount </t>
        </r>
        <r>
          <rPr>
            <b/>
            <sz val="8"/>
            <rFont val="Tahoma"/>
            <family val="2"/>
          </rPr>
          <t>does not</t>
        </r>
        <r>
          <rPr>
            <sz val="8"/>
            <rFont val="Tahoma"/>
            <family val="2"/>
          </rPr>
          <t xml:space="preserve"> contribute to the requirement that 50% of the goal must come from new renewable energy sources.</t>
        </r>
        <r>
          <rPr>
            <sz val="8"/>
            <rFont val="Tahoma"/>
            <family val="0"/>
          </rPr>
          <t xml:space="preserve">
</t>
        </r>
      </text>
    </comment>
    <comment ref="C136" authorId="2">
      <text>
        <r>
          <rPr>
            <sz val="8"/>
            <rFont val="Tahoma"/>
            <family val="2"/>
          </rPr>
          <t>This cell adds together all of the "old" renewable energy reported and compares it to the renewable energy goal for the agency.  If it is less than 1.5% of total electricity use, it is all eligible to report.  If it is more than 1.5% of total electricity used, the amount in excess of 1.5% is only eligible to report if the requirement that half of the goal must come from new renewable energy is satisfied.  New non-electric renewable energy may also contribute to the E.O. 13423 requirement that 50% of the statutory RE goal must come from "new" sources.</t>
        </r>
      </text>
    </comment>
    <comment ref="C135" authorId="2">
      <text>
        <r>
          <rPr>
            <sz val="8"/>
            <rFont val="Tahoma"/>
            <family val="2"/>
          </rPr>
          <t>This cell captures the bonus for on-site generation or purchased renewable energy generated on Federal or Indian lands, from new projects.</t>
        </r>
        <r>
          <rPr>
            <sz val="8"/>
            <rFont val="Tahoma"/>
            <family val="0"/>
          </rPr>
          <t xml:space="preserve">
</t>
        </r>
      </text>
    </comment>
    <comment ref="C134" authorId="2">
      <text>
        <r>
          <rPr>
            <sz val="8"/>
            <rFont val="Tahoma"/>
            <family val="0"/>
          </rPr>
          <t>This cell captures the amount of renewable energy from new sources for purposes of meeting the requirement that at least half of the goal must be met with new sources.</t>
        </r>
      </text>
    </comment>
    <comment ref="B59" authorId="0">
      <text>
        <r>
          <rPr>
            <sz val="8"/>
            <rFont val="Tahoma"/>
            <family val="2"/>
          </rPr>
          <t>Gasoline Equivalent Gallons</t>
        </r>
      </text>
    </comment>
    <comment ref="F73" authorId="0">
      <text>
        <r>
          <rPr>
            <sz val="8"/>
            <rFont val="Tahoma"/>
            <family val="2"/>
          </rPr>
          <t>The conversion of fuel to electricity must occur on Federal or Indian land to be entered here.</t>
        </r>
      </text>
    </comment>
    <comment ref="E27" authorId="0">
      <text>
        <r>
          <rPr>
            <sz val="8"/>
            <rFont val="Tahoma"/>
            <family val="2"/>
          </rPr>
          <t>FY07 Federal Average:
$0.078/kWh</t>
        </r>
      </text>
    </comment>
    <comment ref="E28" authorId="0">
      <text>
        <r>
          <rPr>
            <sz val="8"/>
            <rFont val="Tahoma"/>
            <family val="2"/>
          </rPr>
          <t>FY07 Federal Average:
$2.03/gallon</t>
        </r>
      </text>
    </comment>
    <comment ref="E29" authorId="0">
      <text>
        <r>
          <rPr>
            <sz val="8"/>
            <rFont val="Tahoma"/>
            <family val="2"/>
          </rPr>
          <t>FY07 Federal Average:
$9.34/Thou. Cu. Ft.</t>
        </r>
      </text>
    </comment>
    <comment ref="E30" authorId="0">
      <text>
        <r>
          <rPr>
            <sz val="8"/>
            <rFont val="Tahoma"/>
            <family val="2"/>
          </rPr>
          <t>FY07 Federal Average:
$1.56/gallon</t>
        </r>
      </text>
    </comment>
    <comment ref="E31" authorId="0">
      <text>
        <r>
          <rPr>
            <sz val="8"/>
            <rFont val="Tahoma"/>
            <family val="2"/>
          </rPr>
          <t>FY07 Federal Average:
$73.66/Short Ton</t>
        </r>
      </text>
    </comment>
    <comment ref="E32" authorId="0">
      <text>
        <r>
          <rPr>
            <sz val="8"/>
            <rFont val="Tahoma"/>
            <family val="2"/>
          </rPr>
          <t>FY07 Federal Average:
$23.99/MMBtu</t>
        </r>
      </text>
    </comment>
    <comment ref="E33" authorId="0">
      <text>
        <r>
          <rPr>
            <sz val="8"/>
            <rFont val="Tahoma"/>
            <family val="2"/>
          </rPr>
          <t>FY07 Federal Average:
$15.62/MMBtu</t>
        </r>
      </text>
    </comment>
    <comment ref="A18" authorId="1">
      <text>
        <r>
          <rPr>
            <sz val="8"/>
            <rFont val="Tahoma"/>
            <family val="2"/>
          </rPr>
          <t>Calculated automatically from inputs in Table 1-6.</t>
        </r>
      </text>
    </comment>
    <comment ref="A19" authorId="1">
      <text>
        <r>
          <rPr>
            <sz val="8"/>
            <rFont val="Tahoma"/>
            <family val="2"/>
          </rPr>
          <t>Calculated automatically from inputs in Table 1-6.</t>
        </r>
      </text>
    </comment>
    <comment ref="A34" authorId="1">
      <text>
        <r>
          <rPr>
            <sz val="8"/>
            <rFont val="Tahoma"/>
            <family val="2"/>
          </rPr>
          <t>Calculated automatically from inputs in Table 1-6.</t>
        </r>
      </text>
    </comment>
    <comment ref="A35" authorId="1">
      <text>
        <r>
          <rPr>
            <sz val="8"/>
            <rFont val="Tahoma"/>
            <family val="2"/>
          </rPr>
          <t>Calculated automatically from inputs in Table 1-6.</t>
        </r>
      </text>
    </comment>
    <comment ref="J104" authorId="1">
      <text>
        <r>
          <rPr>
            <sz val="8"/>
            <rFont val="Tahoma"/>
            <family val="2"/>
          </rPr>
          <t>Long-term purchases are 10 years or more; Short-term purchases are less than 10 years.</t>
        </r>
      </text>
    </comment>
    <comment ref="H113" authorId="1">
      <text>
        <r>
          <rPr>
            <sz val="8"/>
            <rFont val="Tahoma"/>
            <family val="2"/>
          </rPr>
          <t>May contribute toward 1.5% new source requirement, but not overall 3% goal.</t>
        </r>
      </text>
    </comment>
    <comment ref="H114" authorId="1">
      <text>
        <r>
          <rPr>
            <sz val="8"/>
            <rFont val="Tahoma"/>
            <family val="2"/>
          </rPr>
          <t>May contribute toward 1.5% new source requirement, but not overall 3% goal.</t>
        </r>
      </text>
    </comment>
    <comment ref="B55" authorId="0">
      <text>
        <r>
          <rPr>
            <sz val="8"/>
            <rFont val="Tahoma"/>
            <family val="2"/>
          </rPr>
          <t>Gasoline Equivalent Gallons</t>
        </r>
      </text>
    </comment>
    <comment ref="B56" authorId="0">
      <text>
        <r>
          <rPr>
            <sz val="8"/>
            <rFont val="Tahoma"/>
            <family val="2"/>
          </rPr>
          <t>Gasoline Equivalent Gallons</t>
        </r>
      </text>
    </comment>
    <comment ref="B57" authorId="0">
      <text>
        <r>
          <rPr>
            <sz val="8"/>
            <rFont val="Tahoma"/>
            <family val="2"/>
          </rPr>
          <t>Gasoline Equivalent Gallons</t>
        </r>
      </text>
    </comment>
    <comment ref="B58" authorId="0">
      <text>
        <r>
          <rPr>
            <sz val="8"/>
            <rFont val="Tahoma"/>
            <family val="2"/>
          </rPr>
          <t>Gasoline Equivalent Gallons</t>
        </r>
      </text>
    </comment>
    <comment ref="B60" authorId="0">
      <text>
        <r>
          <rPr>
            <sz val="8"/>
            <rFont val="Tahoma"/>
            <family val="2"/>
          </rPr>
          <t>Gasoline Equivalent Gallons</t>
        </r>
      </text>
    </comment>
    <comment ref="B61" authorId="0">
      <text>
        <r>
          <rPr>
            <sz val="8"/>
            <rFont val="Tahoma"/>
            <family val="2"/>
          </rPr>
          <t>Gasoline Equivalent Gallons</t>
        </r>
      </text>
    </comment>
    <comment ref="B62" authorId="0">
      <text>
        <r>
          <rPr>
            <sz val="8"/>
            <rFont val="Tahoma"/>
            <family val="2"/>
          </rPr>
          <t>Gasoline Equivalent Gallons</t>
        </r>
      </text>
    </comment>
    <comment ref="B63" authorId="0">
      <text>
        <r>
          <rPr>
            <sz val="8"/>
            <rFont val="Tahoma"/>
            <family val="2"/>
          </rPr>
          <t>Gasoline Equivalent Gallons</t>
        </r>
      </text>
    </comment>
    <comment ref="B64" authorId="0">
      <text>
        <r>
          <rPr>
            <sz val="8"/>
            <rFont val="Tahoma"/>
            <family val="2"/>
          </rPr>
          <t>Gasoline Equivalent Gallons</t>
        </r>
      </text>
    </comment>
    <comment ref="B65" authorId="0">
      <text>
        <r>
          <rPr>
            <sz val="8"/>
            <rFont val="Tahoma"/>
            <family val="2"/>
          </rPr>
          <t>Gasoline Equivalent Gallons</t>
        </r>
      </text>
    </comment>
    <comment ref="K104" authorId="2">
      <text>
        <r>
          <rPr>
            <sz val="8"/>
            <rFont val="Tahoma"/>
            <family val="0"/>
          </rPr>
          <t xml:space="preserve">If a facility includes both Excluded and Goal subject buildings it is better to assign the purchase to Goal subject buildings for purposes of counting renewable energy toward energy intensity goals.
</t>
        </r>
      </text>
    </comment>
    <comment ref="A87" authorId="0">
      <text>
        <r>
          <rPr>
            <sz val="8"/>
            <rFont val="Tahoma"/>
            <family val="2"/>
          </rPr>
          <t>This includes, but is not limited to, solar thermal, biomass thermal, ground source heat pumps, and the thermal portion of combined heat and power renewable projects.  For ground source heat pumps only the difference in electricity consumption between a GSHP and an air-to-air heat pump that meets current Federal energy efficiency standards is considered renewable energy.  Agencies may use their own analyses of a GSHP project or estimate the savings based on 553 kWh/ton (1.887 million Btu/ton).  This estimate is based on modeling and analysis of a typical commercial buiding in multiple climate zones, weighted to account for population in climate zones.</t>
        </r>
      </text>
    </comment>
    <comment ref="A88" authorId="0">
      <text>
        <r>
          <rPr>
            <sz val="8"/>
            <rFont val="Tahoma"/>
            <family val="2"/>
          </rPr>
          <t>For other renewable energy that does not fit any category, fill in the type, units used, annual consumption and cost, and include any additional information in your narrative submission.  For example, mechanical energy or energy displaced by daylighting technology or passive solar design.</t>
        </r>
      </text>
    </comment>
    <comment ref="F38" authorId="1">
      <text>
        <r>
          <rPr>
            <sz val="8"/>
            <rFont val="Tahoma"/>
            <family val="2"/>
          </rPr>
          <t>These facilities are excluded from the reduction goal, so these calculations are provided for informational purposes only.</t>
        </r>
      </text>
    </comment>
    <comment ref="F39" authorId="1">
      <text>
        <r>
          <rPr>
            <sz val="8"/>
            <rFont val="Tahoma"/>
            <family val="2"/>
          </rPr>
          <t>These facilities are excluded from the reduction goal, so these calculations are provided for informational purposes only.</t>
        </r>
      </text>
    </comment>
  </commentList>
</comments>
</file>

<file path=xl/comments4.xml><?xml version="1.0" encoding="utf-8"?>
<comments xmlns="http://schemas.openxmlformats.org/spreadsheetml/2006/main">
  <authors>
    <author>Chris Tremper</author>
  </authors>
  <commentList>
    <comment ref="G5" authorId="0">
      <text>
        <r>
          <rPr>
            <sz val="8"/>
            <rFont val="Tahoma"/>
            <family val="2"/>
          </rPr>
          <t>FY 2007 consumption or FY 2008 consumption, if available.</t>
        </r>
      </text>
    </comment>
    <comment ref="H5" authorId="0">
      <text>
        <r>
          <rPr>
            <sz val="8"/>
            <rFont val="Tahoma"/>
            <family val="2"/>
          </rPr>
          <t xml:space="preserve">Formatting Convention:
XXXX-00-00000
• Where XXXX represents the agency
   acronym, i.e.,  DOE, DOD, USDA;
• 00 represents the agency’s bureau,
   region, or other agency-developed 
   subgrouping (if necessary); and
• 00000 uniquely identifies the facility
   energy manager.
</t>
        </r>
      </text>
    </comment>
  </commentList>
</comments>
</file>

<file path=xl/comments5.xml><?xml version="1.0" encoding="utf-8"?>
<comments xmlns="http://schemas.openxmlformats.org/spreadsheetml/2006/main">
  <authors>
    <author>ctremper</author>
  </authors>
  <commentList>
    <comment ref="D5" authorId="0">
      <text>
        <r>
          <rPr>
            <sz val="8"/>
            <rFont val="Tahoma"/>
            <family val="2"/>
          </rPr>
          <t>(Generally kWh of Grid Electricity Displaced Times 8,438 Btu/kWh)</t>
        </r>
      </text>
    </comment>
    <comment ref="D14" authorId="0">
      <text>
        <r>
          <rPr>
            <sz val="8"/>
            <rFont val="Tahoma"/>
            <family val="2"/>
          </rPr>
          <t>(Generally kWh of Grid Electricity Displaced Times 8,438 Btu/kWh)</t>
        </r>
      </text>
    </comment>
  </commentList>
</comments>
</file>

<file path=xl/sharedStrings.xml><?xml version="1.0" encoding="utf-8"?>
<sst xmlns="http://schemas.openxmlformats.org/spreadsheetml/2006/main" count="708" uniqueCount="460">
  <si>
    <t>Phone:</t>
  </si>
  <si>
    <t>Prepared by:</t>
  </si>
  <si>
    <t>Agency:</t>
  </si>
  <si>
    <t>Date:</t>
  </si>
  <si>
    <t>Electricity</t>
  </si>
  <si>
    <t>Fuel Oil</t>
  </si>
  <si>
    <t>Natural Gas</t>
  </si>
  <si>
    <t>LPG/Propane</t>
  </si>
  <si>
    <t>Purch. Steam</t>
  </si>
  <si>
    <t>Other</t>
  </si>
  <si>
    <t>MWH</t>
  </si>
  <si>
    <t>Thou. Gal.</t>
  </si>
  <si>
    <t>S. Ton</t>
  </si>
  <si>
    <t>BBtu</t>
  </si>
  <si>
    <t>Annual Consumption</t>
  </si>
  <si>
    <t>Annual Cost (Thou. $)</t>
  </si>
  <si>
    <t>Consumption Units</t>
  </si>
  <si>
    <t xml:space="preserve">Auto Gasoline </t>
  </si>
  <si>
    <t xml:space="preserve">Diesel-Distillate </t>
  </si>
  <si>
    <t xml:space="preserve">LPG/Propane </t>
  </si>
  <si>
    <t xml:space="preserve">Aviation Gasoline </t>
  </si>
  <si>
    <t xml:space="preserve">Jet Fuel </t>
  </si>
  <si>
    <t>Navy Special</t>
  </si>
  <si>
    <t xml:space="preserve">Other </t>
  </si>
  <si>
    <t>(Thou. $)</t>
  </si>
  <si>
    <t>(number)</t>
  </si>
  <si>
    <t>(number/Thou. $)</t>
  </si>
  <si>
    <t>Coal</t>
  </si>
  <si>
    <t>/kWh</t>
  </si>
  <si>
    <t>/gallon</t>
  </si>
  <si>
    <t>/Thou Cu Ft</t>
  </si>
  <si>
    <t>/S. Ton</t>
  </si>
  <si>
    <t>/MMBtu</t>
  </si>
  <si>
    <t>Unit Cost ($)</t>
  </si>
  <si>
    <t>Btu/GSF:</t>
  </si>
  <si>
    <t>Site-Delivered Btu (Billion)</t>
  </si>
  <si>
    <t>Est. Source Btu (Billion)</t>
  </si>
  <si>
    <t>Direct obligations for facility energy efficiency improvements, including facility surveys/audits</t>
  </si>
  <si>
    <t>PART 2:  ENERGY EFFICIENCY IMPROVEMENTS</t>
  </si>
  <si>
    <t>2-1.  DIRECT AGENCY OBLIGATIONS</t>
  </si>
  <si>
    <t>2-3.  UTILITY ENERGY SERVICES CONTRACTS (UESC)</t>
  </si>
  <si>
    <t>Thou. Cubic Ft.</t>
  </si>
  <si>
    <t>Total Costs:</t>
  </si>
  <si>
    <t>Energy                                 Type</t>
  </si>
  <si>
    <t>Total:</t>
  </si>
  <si>
    <t>Btu (Billion)</t>
  </si>
  <si>
    <t>Estimated annual savings anticipated from obligations</t>
  </si>
  <si>
    <t>2-2.  ENERGY SAVINGS PERFORMANCE CONTRACTS (ESPC)</t>
  </si>
  <si>
    <t xml:space="preserve">Total payments made to all UESC contractors in fiscal year. </t>
  </si>
  <si>
    <t>Investment value of ESPC Task/Delivery Orders awarded in fiscal year.</t>
  </si>
  <si>
    <t>Amount privately financed under ESPC Task/Delivery Orders awarded in fiscal year.</t>
  </si>
  <si>
    <t>Number of ESPC Task/Delivery Orders awarded in fiscal year &amp; annual energy (MMBTU) savings.</t>
  </si>
  <si>
    <t>Number of UESC Task/Delivery Orders awarded in fiscal year &amp; annual energy (MMBTU) savings.</t>
  </si>
  <si>
    <t>Investment value of UESC Task/Delivery Orders awarded in fiscal year.</t>
  </si>
  <si>
    <t>Amount privately financed under UESC Task/Delivery Orders awarded in fiscal year.</t>
  </si>
  <si>
    <t>Cumulative guaranteed cost savings of ESPCs awarded in fiscal year relative to the baseline spending.</t>
  </si>
  <si>
    <t>Cumulative cost savings of UESCs awarded in fiscal year relative to the baseline spending.</t>
  </si>
  <si>
    <t>Total contract award value of ESPCs awarded in fiscal year (sum of contractor payments for debt repayment, M&amp;V, and other negotiated performance period services).</t>
  </si>
  <si>
    <t>Total contract award value of UESCs awarded in fiscal year (sum of payments for debt repayment and other negotiated performance period services).</t>
  </si>
  <si>
    <t>Btu/GSF w/ RE Purchase Credit:</t>
  </si>
  <si>
    <t>Total All Purchases</t>
  </si>
  <si>
    <t>Totals</t>
  </si>
  <si>
    <t>Annual Site Energy Increase with the Project</t>
  </si>
  <si>
    <t>Annual Source Energy Saved with the Project</t>
  </si>
  <si>
    <t>Name of Project Saving Source Energy in Current Fiscal Year (insert additional rows as necessary)</t>
  </si>
  <si>
    <t>(See http://www.eere.energy.gov/femp/pdfs/sec502e_%20guidance.pdf)</t>
  </si>
  <si>
    <t>(Million Btu)</t>
  </si>
  <si>
    <t>Project No. 1</t>
  </si>
  <si>
    <t>Project No. 2</t>
  </si>
  <si>
    <t>Project No. 3</t>
  </si>
  <si>
    <t>RE as a Percentage of Electricity Use</t>
  </si>
  <si>
    <t>EPACT Goal Subject Buildings</t>
  </si>
  <si>
    <t>EPACT Excluded Facilities</t>
  </si>
  <si>
    <t>Goal</t>
  </si>
  <si>
    <t>Total Purchases for Goal Buildings</t>
  </si>
  <si>
    <t>Total Purchases for Excluded Facilities</t>
  </si>
  <si>
    <t>Number of Projects</t>
  </si>
  <si>
    <t>Annual Energy Produced</t>
  </si>
  <si>
    <r>
      <t xml:space="preserve">Electricity from </t>
    </r>
    <r>
      <rPr>
        <i/>
        <sz val="10"/>
        <rFont val="Arial"/>
        <family val="2"/>
      </rPr>
      <t>New</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</si>
  <si>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</si>
  <si>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Geothermal</t>
    </r>
    <r>
      <rPr>
        <sz val="10"/>
        <rFont val="Arial"/>
        <family val="0"/>
      </rPr>
      <t xml:space="preserve"> projects (MWH)</t>
    </r>
  </si>
  <si>
    <t>Total New Renewable Electricity (MWH)</t>
  </si>
  <si>
    <t>Total Old Renewable Electricity (MWH)</t>
  </si>
  <si>
    <t>Total Renewable Energy Generation (Million Btu)</t>
  </si>
  <si>
    <t>A PERCENTAGE OF FACILITY ELECTRICITY USE</t>
  </si>
  <si>
    <r>
      <t xml:space="preserve">Electricity from </t>
    </r>
    <r>
      <rPr>
        <i/>
        <sz val="10"/>
        <rFont val="Arial"/>
        <family val="2"/>
      </rPr>
      <t>New</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</si>
  <si>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Biomass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</si>
  <si>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Geothermal</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</si>
  <si>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Hydro/Ocean</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</si>
  <si>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Solar</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</si>
  <si>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Wind</t>
    </r>
    <r>
      <rPr>
        <sz val="10"/>
        <rFont val="Arial"/>
        <family val="0"/>
      </rPr>
      <t xml:space="preserve"> projects (MWH)</t>
    </r>
  </si>
  <si>
    <r>
      <t xml:space="preserve">Electricity from </t>
    </r>
    <r>
      <rPr>
        <i/>
        <sz val="10"/>
        <rFont val="Arial"/>
        <family val="2"/>
      </rPr>
      <t>Old</t>
    </r>
    <r>
      <rPr>
        <sz val="10"/>
        <rFont val="Arial"/>
        <family val="0"/>
      </rPr>
      <t xml:space="preserve"> </t>
    </r>
    <r>
      <rPr>
        <u val="single"/>
        <sz val="10"/>
        <rFont val="Arial"/>
        <family val="2"/>
      </rPr>
      <t>Hydro/Ocean</t>
    </r>
    <r>
      <rPr>
        <sz val="10"/>
        <rFont val="Arial"/>
        <family val="0"/>
      </rPr>
      <t xml:space="preserve"> projects (MWH)</t>
    </r>
  </si>
  <si>
    <t>Components of Eligible RE Use</t>
  </si>
  <si>
    <t>Renewable Electricity Use  (MWH)</t>
  </si>
  <si>
    <t>(This energy is only counted toward the renewable energy goal if the agency has enough new RECs to qualify for the on-site bonus.)</t>
  </si>
  <si>
    <t>Total Facility Electricity Use (MWH)</t>
  </si>
  <si>
    <t>PART 1:  ENERGY/WATER CONSUMPTION AND COST DATA</t>
  </si>
  <si>
    <t>1-5.  ON-SITE RENEWABLE ENERGY GENERATION WHERE RECS ARE NOT RETAINED BY THE GOVERNMENT</t>
  </si>
  <si>
    <r>
      <t>Est. GHG Emissions (MTCO</t>
    </r>
    <r>
      <rPr>
        <vertAlign val="subscript"/>
        <sz val="10"/>
        <rFont val="Arial"/>
        <family val="2"/>
      </rPr>
      <t>2</t>
    </r>
    <r>
      <rPr>
        <sz val="10"/>
        <rFont val="Arial"/>
        <family val="0"/>
      </rPr>
      <t>e)</t>
    </r>
  </si>
  <si>
    <r>
      <t>Est. GHG Emissions (MTCO</t>
    </r>
    <r>
      <rPr>
        <vertAlign val="subscript"/>
        <sz val="10"/>
        <rFont val="Arial"/>
        <family val="2"/>
      </rPr>
      <t>2</t>
    </r>
    <r>
      <rPr>
        <sz val="10"/>
        <rFont val="Arial"/>
        <family val="0"/>
      </rPr>
      <t>)</t>
    </r>
  </si>
  <si>
    <t>All Renewable Energy Use  (Billion Btu)</t>
  </si>
  <si>
    <t>RE as a Percentage of Energy Use</t>
  </si>
  <si>
    <t>AGENCY COMPILATION WORKSHEET FOR CREDIT FOR PROJECTS THAT INCREASE SITE ENERGY USE BUT SAVE SOURCE ENERGY</t>
  </si>
  <si>
    <t>(Calculated from input above per FEMP Renewable Energy Guidance)</t>
  </si>
  <si>
    <t>(Calculated from input above for information only)</t>
  </si>
  <si>
    <t xml:space="preserve"> (Million Btu)</t>
  </si>
  <si>
    <t>Annual savings (Million Btu)</t>
  </si>
  <si>
    <t>Annual Consumption
(Million Gallons)</t>
  </si>
  <si>
    <t>Potable Water</t>
  </si>
  <si>
    <t>Gallons per Gross Square Foot</t>
  </si>
  <si>
    <t>Percent</t>
  </si>
  <si>
    <t>1-9.  WATER USE INTENSITY AND COST</t>
  </si>
  <si>
    <t>Btu/GSF w/ RE &amp; Source Btu Credit:</t>
  </si>
  <si>
    <t>Reduction in energy intensity in facilities subject to the EPACT and E.O. 13423 goals</t>
  </si>
  <si>
    <t>FY 2003 Btu/GSF</t>
  </si>
  <si>
    <t>Renewable Electricity Use
(MWH)</t>
  </si>
  <si>
    <t>Total Electricity Use 
(MWH)</t>
  </si>
  <si>
    <t>Percentage</t>
  </si>
  <si>
    <t>FY 2007 Gallon/GSF</t>
  </si>
  <si>
    <t>Reduction in potable water consumption intensity</t>
  </si>
  <si>
    <t xml:space="preserve">Total payments made to all ESPC contractors in fiscal year. </t>
  </si>
  <si>
    <t>Goal Performance</t>
  </si>
  <si>
    <t>Energy Management Requirement</t>
  </si>
  <si>
    <t>Renewable Energy Requirement</t>
  </si>
  <si>
    <t>Water Intensity Reduction Goal</t>
  </si>
  <si>
    <t>Eligible renewable electricity use as a percentage of total electricity use</t>
  </si>
  <si>
    <t>Investments in Energy and Water Management</t>
  </si>
  <si>
    <t>Approx. percentage of reported water consumption that is estimated:</t>
  </si>
  <si>
    <t>Anticipated Annual Savings  (Million Btu)</t>
  </si>
  <si>
    <t>Direct obligations for facility energy efficiency improvements</t>
  </si>
  <si>
    <t>Investment value of ESPC Task/Delivery Orders awarded in fiscal year</t>
  </si>
  <si>
    <t>Investment value of UESC Task/Delivery Orders awarded in fiscal year</t>
  </si>
  <si>
    <t>Investment Value 
(Thou. $)</t>
  </si>
  <si>
    <t>Total</t>
  </si>
  <si>
    <t>Sources of Investment</t>
  </si>
  <si>
    <t>Total Facility Electricity Use (Billion Btu)</t>
  </si>
  <si>
    <r>
      <t xml:space="preserve">Electricity from </t>
    </r>
    <r>
      <rPr>
        <i/>
        <sz val="10"/>
        <rFont val="Arial"/>
        <family val="2"/>
      </rPr>
      <t>Old</t>
    </r>
    <r>
      <rPr>
        <sz val="10"/>
        <rFont val="Arial"/>
        <family val="0"/>
      </rPr>
      <t xml:space="preserve"> </t>
    </r>
    <r>
      <rPr>
        <u val="single"/>
        <sz val="10"/>
        <rFont val="Arial"/>
        <family val="2"/>
      </rPr>
      <t>Landfill Gas</t>
    </r>
    <r>
      <rPr>
        <sz val="10"/>
        <rFont val="Arial"/>
        <family val="0"/>
      </rPr>
      <t xml:space="preserve"> projects (MWH)</t>
    </r>
  </si>
  <si>
    <r>
      <t xml:space="preserve">Electricity from </t>
    </r>
    <r>
      <rPr>
        <i/>
        <sz val="10"/>
        <rFont val="Arial"/>
        <family val="2"/>
      </rPr>
      <t>New</t>
    </r>
    <r>
      <rPr>
        <sz val="10"/>
        <rFont val="Arial"/>
        <family val="0"/>
      </rPr>
      <t xml:space="preserve"> </t>
    </r>
    <r>
      <rPr>
        <u val="single"/>
        <sz val="10"/>
        <rFont val="Arial"/>
        <family val="2"/>
      </rPr>
      <t>Landfill Gas</t>
    </r>
    <r>
      <rPr>
        <sz val="10"/>
        <rFont val="Arial"/>
        <family val="0"/>
      </rPr>
      <t xml:space="preserve"> projects (MWH)</t>
    </r>
  </si>
  <si>
    <t>Amount Qualified for Goal</t>
  </si>
  <si>
    <t>Amount Produced or Used</t>
  </si>
  <si>
    <t>Total investment as a percentage of total facilty energy costs</t>
  </si>
  <si>
    <t>Energy Produced on Federal or Indian Land and Used at a Federal Facility</t>
  </si>
  <si>
    <t>1-4.  RENEWABLE ENERGY GENERATED ON FEDERAL OR INDIAN LAND WHERE RECS ARE RETAINED BY THE GOVERNMENT</t>
  </si>
  <si>
    <t>Total Amount 
Purchased 
(MWH)</t>
  </si>
  <si>
    <t>Bonus, Federal or Indian Land</t>
  </si>
  <si>
    <r>
      <t xml:space="preserve">Renewable energy reported here comes from projects: 1) placed in service </t>
    </r>
    <r>
      <rPr>
        <b/>
        <sz val="10"/>
        <rFont val="Arial"/>
        <family val="2"/>
      </rPr>
      <t>after 1/1/1999 (New)</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</si>
  <si>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r>
      <t xml:space="preserve">Renewable energy reported here must come from projects:  1) placed in service </t>
    </r>
    <r>
      <rPr>
        <b/>
        <sz val="10"/>
        <rFont val="Arial"/>
        <family val="2"/>
      </rPr>
      <t>before 1/1/1999 (Old)</t>
    </r>
    <r>
      <rPr>
        <sz val="10"/>
        <rFont val="Arial"/>
        <family val="0"/>
      </rPr>
      <t>; 2) where RECs have not been retained by the government; 3) where the amount has not been reported elsewhere on this data report; and 4) where the energy or RECs have not been sold to another agency that is counting it toward their renewable energy goal. (MWH)</t>
    </r>
  </si>
  <si>
    <t>Total Amount Purchased (Million Btu)</t>
  </si>
  <si>
    <t>Portion of Total Purchased from Projects on Federal or Indian Lands</t>
  </si>
  <si>
    <t>2-4.  METERING OF ELECTRICITY USE</t>
  </si>
  <si>
    <t>FY</t>
  </si>
  <si>
    <t>Standard Meters</t>
  </si>
  <si>
    <t>Advanced Meters</t>
  </si>
  <si>
    <t>Cumulative # 
of Buildings Metered</t>
  </si>
  <si>
    <t>Cumulative % of Electricity Metered</t>
  </si>
  <si>
    <t>Metering of Electricity Use</t>
  </si>
  <si>
    <t>FY 2012 Goal Target</t>
  </si>
  <si>
    <t>Maximum Extent Practicable</t>
  </si>
  <si>
    <t>E-85</t>
  </si>
  <si>
    <t>M-85</t>
  </si>
  <si>
    <t>LPG</t>
  </si>
  <si>
    <t>NG</t>
  </si>
  <si>
    <t>TOTAL</t>
  </si>
  <si>
    <t>GEG</t>
  </si>
  <si>
    <t>Annual Cost (Actual $)</t>
  </si>
  <si>
    <t>Biodiesel</t>
  </si>
  <si>
    <t>Diesel</t>
  </si>
  <si>
    <t>Electric</t>
  </si>
  <si>
    <t>Gasoline</t>
  </si>
  <si>
    <t>Hydrogen</t>
  </si>
  <si>
    <t>Description</t>
  </si>
  <si>
    <t>Optional 1-3a.  Fleet Vehicle Consumption and Costs Captured by the FAST System</t>
  </si>
  <si>
    <t>1-3.  Non-Fleet Vehicles and Other Equipment (Does not include Fleet Vehicle Data Captured by FAST System)</t>
  </si>
  <si>
    <t>(Input reflects format of Section IV, Part C, Annual Fuel Consumption Report, by Fuel Type of FAST SF 82 - Aggregate Combined Report)</t>
  </si>
  <si>
    <t xml:space="preserve">2-6.  TRAINING </t>
  </si>
  <si>
    <t>Is the FY 2007 agency water intensity baseline preliminary or final?</t>
  </si>
  <si>
    <t xml:space="preserve"> </t>
  </si>
  <si>
    <t>Number of 
New Building 
Designs</t>
  </si>
  <si>
    <t>Percent of 
New Building 
Designs</t>
  </si>
  <si>
    <t>Financed (ESPC/UESC) investment as a percentage of total facilty energy costs</t>
  </si>
  <si>
    <t>Federal Building 
Energy Efficiency Standards</t>
  </si>
  <si>
    <t>2-5.  FEDERAL BUILDING ENERGY EFFICIENCY STANDARDS</t>
  </si>
  <si>
    <t>Facility Gross Square Feet (Thou.)</t>
  </si>
  <si>
    <t>List of New Federal Building Designs and Construction</t>
  </si>
  <si>
    <t>New Construction Project Information</t>
  </si>
  <si>
    <t>Design</t>
  </si>
  <si>
    <t>Completed New Construction</t>
  </si>
  <si>
    <t>Project ID</t>
  </si>
  <si>
    <t>Building Name</t>
  </si>
  <si>
    <t>Location
(City, State)</t>
  </si>
  <si>
    <t>Design Started (FY)</t>
  </si>
  <si>
    <t>Date Construction Completed
(FY)</t>
  </si>
  <si>
    <t>In terms of energy use, percentage below ANSI/ASHRAE/IESNA Standard 90.1--2004 achieved</t>
  </si>
  <si>
    <t>20??</t>
  </si>
  <si>
    <t>Yes or No</t>
  </si>
  <si>
    <t>Percentage below ANSI/ASHRAE/IESNA 
Standard 90.1--2004 
in terms of energy use</t>
  </si>
  <si>
    <t>Adjustment to Annual  Site Energy</t>
  </si>
  <si>
    <t>If not at least 30% below ANSI/ASHRAE/IESNA 
Standard 90.1--2004, will design achieve maximum level of energy efficiency that is life-cycle cost-effective?</t>
  </si>
  <si>
    <t>Buildings &amp; Facilities Subject to Water Goal</t>
  </si>
  <si>
    <t>FY 2008 Energy Management Performance Summary</t>
  </si>
  <si>
    <t>FY 2008 Btu/GSF</t>
  </si>
  <si>
    <t>Percent Change 2003 - 2008</t>
  </si>
  <si>
    <t>FY 2008 Goal Target</t>
  </si>
  <si>
    <t>FY 2008 Gallon/GSF</t>
  </si>
  <si>
    <t>Percent Change 2007 - 2008</t>
  </si>
  <si>
    <t>2009 planned</t>
  </si>
  <si>
    <t>Standard Electricity Meters in FY 2008</t>
  </si>
  <si>
    <t>Advanced Electricity Meters in FY 2008</t>
  </si>
  <si>
    <t>FY 2007 forward Goal Target</t>
  </si>
  <si>
    <t>FY 2008 ENERGY MANAGEMENT DATA REPORT</t>
  </si>
  <si>
    <t>Projected FY 2009</t>
  </si>
  <si>
    <t>FY 2008</t>
  </si>
  <si>
    <t xml:space="preserve">Renewable energy project types in service during FY 2008, by age and source </t>
  </si>
  <si>
    <t>1-6.  RENEWABLE ENERGY/RENEWABLE ENERGY CERTIFICATE PURCHASES IN FY 2008</t>
  </si>
  <si>
    <t xml:space="preserve">FY 2008 Goal Application
Renewable Energy Goal (RE)
Energy Efficiency Goal (EE) Credit </t>
  </si>
  <si>
    <t>Number of personnel trained in 
FY 2008/Expenditure</t>
  </si>
  <si>
    <t>Total new building designs started since beginning of FY 2007:</t>
  </si>
  <si>
    <t>Total new building designs started since beginning of FY 2007 that are expected to be 30 percent more energy efficient than relevant code, where life-cycle cost effective:</t>
  </si>
  <si>
    <t>Percent of new building designs started since beginning of FY 2007 that are expected to be 30 percent more energy efficient than relevant code, where life-cycle cost effective:</t>
  </si>
  <si>
    <t>Purch. Renew. Other</t>
  </si>
  <si>
    <t>Purch. Renew. Electric.</t>
  </si>
  <si>
    <r>
      <t xml:space="preserve">Total Purchases of </t>
    </r>
    <r>
      <rPr>
        <i/>
        <sz val="10"/>
        <rFont val="Arial"/>
        <family val="2"/>
      </rPr>
      <t>New</t>
    </r>
    <r>
      <rPr>
        <sz val="10"/>
        <rFont val="Arial"/>
        <family val="0"/>
      </rPr>
      <t xml:space="preserve"> Renewable Electricity</t>
    </r>
  </si>
  <si>
    <r>
      <t xml:space="preserve">Total Purchases of </t>
    </r>
    <r>
      <rPr>
        <i/>
        <sz val="10"/>
        <rFont val="Arial"/>
        <family val="2"/>
      </rPr>
      <t>New</t>
    </r>
    <r>
      <rPr>
        <sz val="10"/>
        <rFont val="Arial"/>
        <family val="0"/>
      </rPr>
      <t xml:space="preserve"> RECs</t>
    </r>
  </si>
  <si>
    <t>Bonus for Purchases from New Projects 
on Federal or Indian Land</t>
  </si>
  <si>
    <r>
      <t xml:space="preserve">Total Purchases of </t>
    </r>
    <r>
      <rPr>
        <i/>
        <sz val="10"/>
        <rFont val="Arial"/>
        <family val="2"/>
      </rPr>
      <t>Old</t>
    </r>
    <r>
      <rPr>
        <sz val="10"/>
        <rFont val="Arial"/>
        <family val="0"/>
      </rPr>
      <t xml:space="preserve"> Renewable Electricity</t>
    </r>
  </si>
  <si>
    <r>
      <t xml:space="preserve">Total Purchases of </t>
    </r>
    <r>
      <rPr>
        <i/>
        <sz val="10"/>
        <rFont val="Arial"/>
        <family val="2"/>
      </rPr>
      <t>Old</t>
    </r>
    <r>
      <rPr>
        <sz val="10"/>
        <rFont val="Arial"/>
        <family val="0"/>
      </rPr>
      <t xml:space="preserve"> RECs</t>
    </r>
  </si>
  <si>
    <t>(New renewable energy is from resources developed after January 1, 1999)</t>
  </si>
  <si>
    <t>Short</t>
  </si>
  <si>
    <r>
      <t xml:space="preserve">Electricity from </t>
    </r>
    <r>
      <rPr>
        <i/>
        <sz val="10"/>
        <rFont val="Arial"/>
        <family val="2"/>
      </rPr>
      <t>New</t>
    </r>
    <r>
      <rPr>
        <sz val="10"/>
        <rFont val="Arial"/>
        <family val="0"/>
      </rPr>
      <t xml:space="preserve"> Renewable Source</t>
    </r>
  </si>
  <si>
    <r>
      <t xml:space="preserve">Electricity from </t>
    </r>
    <r>
      <rPr>
        <i/>
        <sz val="10"/>
        <rFont val="Arial"/>
        <family val="2"/>
      </rPr>
      <t>Old</t>
    </r>
    <r>
      <rPr>
        <sz val="10"/>
        <rFont val="Arial"/>
        <family val="0"/>
      </rPr>
      <t xml:space="preserve"> Renewable Source</t>
    </r>
  </si>
  <si>
    <r>
      <t xml:space="preserve">RECs from </t>
    </r>
    <r>
      <rPr>
        <i/>
        <sz val="10"/>
        <rFont val="Arial"/>
        <family val="2"/>
      </rPr>
      <t>New</t>
    </r>
    <r>
      <rPr>
        <sz val="10"/>
        <rFont val="Arial"/>
        <family val="0"/>
      </rPr>
      <t xml:space="preserve"> Renewable Source</t>
    </r>
  </si>
  <si>
    <r>
      <t xml:space="preserve">RECs from </t>
    </r>
    <r>
      <rPr>
        <i/>
        <sz val="10"/>
        <rFont val="Arial"/>
        <family val="2"/>
      </rPr>
      <t>Old</t>
    </r>
    <r>
      <rPr>
        <sz val="10"/>
        <rFont val="Arial"/>
        <family val="0"/>
      </rPr>
      <t xml:space="preserve"> Renewable Source</t>
    </r>
  </si>
  <si>
    <r>
      <t xml:space="preserve">Non-Electric Energy from </t>
    </r>
    <r>
      <rPr>
        <i/>
        <sz val="10"/>
        <rFont val="Arial"/>
        <family val="2"/>
      </rPr>
      <t>New</t>
    </r>
    <r>
      <rPr>
        <sz val="10"/>
        <rFont val="Arial"/>
        <family val="0"/>
      </rPr>
      <t xml:space="preserve"> Renewable Source</t>
    </r>
  </si>
  <si>
    <r>
      <t xml:space="preserve">Non-Electric Energy from </t>
    </r>
    <r>
      <rPr>
        <i/>
        <sz val="10"/>
        <rFont val="Arial"/>
        <family val="2"/>
      </rPr>
      <t>Old</t>
    </r>
    <r>
      <rPr>
        <sz val="10"/>
        <rFont val="Arial"/>
        <family val="0"/>
      </rPr>
      <t xml:space="preserve"> Renewable Source</t>
    </r>
  </si>
  <si>
    <t>RE:  100%
EE-Credit:  Up to 5.4% reduction for short-term and 7.2% reduction for long-term.</t>
  </si>
  <si>
    <t>RE:  Up to 1.5% of total electricity use
EE-Credit:  Up to 5.4% reduction for short-term and 7.2% reduction for long-term.</t>
  </si>
  <si>
    <t>RE:  Up to 1.5% of total electricity use.
EE-Credit:  Up to 5.4% reduction for short-term and 7.2% reduction for long-term.</t>
  </si>
  <si>
    <t>RE:  no contribution to goal (see comment)
EE-Credit:  Up to 5.4% reduction for short-term and 7.2% reduction for long-term.</t>
  </si>
  <si>
    <t>RE:  no contribution to goal
EE-Credit:  Up to 5.4% reduction for short-term and 7.2% reduction for long-term.</t>
  </si>
  <si>
    <t>Type of Renewable Energy Purchase  (Two rows are provided for each type. Insert additional rows as necessary for purchases of same type for different end-use categories (Goal or Excluded) or purchase terms (Short or Long).  Insert rows between each color-coded category.)</t>
  </si>
  <si>
    <t>Long</t>
  </si>
  <si>
    <r>
      <t xml:space="preserve">Total Purchases of </t>
    </r>
    <r>
      <rPr>
        <i/>
        <sz val="10"/>
        <rFont val="Arial"/>
        <family val="2"/>
      </rPr>
      <t>New</t>
    </r>
    <r>
      <rPr>
        <sz val="10"/>
        <rFont val="Arial"/>
        <family val="0"/>
      </rPr>
      <t xml:space="preserve"> Non-Electric Renewable Energy</t>
    </r>
  </si>
  <si>
    <r>
      <t xml:space="preserve">Total Purchases of </t>
    </r>
    <r>
      <rPr>
        <i/>
        <sz val="10"/>
        <rFont val="Arial"/>
        <family val="2"/>
      </rPr>
      <t>Old</t>
    </r>
    <r>
      <rPr>
        <sz val="10"/>
        <rFont val="Arial"/>
        <family val="0"/>
      </rPr>
      <t xml:space="preserve"> Non-Electric Renewable Energy</t>
    </r>
  </si>
  <si>
    <t>Goal Subject Buildings
FY 2003 Baseline (Btu/GSF)</t>
  </si>
  <si>
    <t>FY 2008 Goal Subject Buildings 
Gross Square Feet (Thousands)</t>
  </si>
  <si>
    <t>FY 2008 Excluded Facilities 
Gross Square Feet (Thousands)</t>
  </si>
  <si>
    <t>Goal Excluded Facilities
FY 2003 Baseline (Btu/GSF)</t>
  </si>
  <si>
    <t>Eligible Short-Term Purchase 
Goal Building EE Credit (BBtu):</t>
  </si>
  <si>
    <t>Eligible Long-Term Purchase
Goal Building EE Credit (BBtu):</t>
  </si>
  <si>
    <t>Total Amount 
Purchased for Goal Buildings
(Billion Btu)</t>
  </si>
  <si>
    <t>Total Amount 
Purchased for Excluded Fac.
(Billion Btu)</t>
  </si>
  <si>
    <t>Total Goal Building EE Credit (BBtu):</t>
  </si>
  <si>
    <t>Eligible Short-Term Purchase 
Excluded Fac. EE Credit (BBtu):</t>
  </si>
  <si>
    <t>Excluded</t>
  </si>
  <si>
    <t>Eligible Long-Term Purchase
Excluded Fac. EE Credit (BBtu):</t>
  </si>
  <si>
    <t>Total Excluded Fac. EE Credit (BBtu):</t>
  </si>
  <si>
    <t>Purchase Term (Enter:  Short or Long)</t>
  </si>
  <si>
    <t>End Use Category (Enter:  Goal or Excluded)</t>
  </si>
  <si>
    <r>
      <t>Percent of new building designs started</t>
    </r>
    <r>
      <rPr>
        <sz val="10"/>
        <color indexed="13"/>
        <rFont val="Arial"/>
        <family val="2"/>
      </rPr>
      <t xml:space="preserve"> </t>
    </r>
    <r>
      <rPr>
        <sz val="10"/>
        <rFont val="Arial"/>
        <family val="2"/>
      </rPr>
      <t>since beginning of FY 2007</t>
    </r>
    <r>
      <rPr>
        <sz val="10"/>
        <rFont val="Arial"/>
        <family val="0"/>
      </rPr>
      <t xml:space="preserve"> that are 30 percent more energy efficient than relevant code, where life-cycle cost effective:</t>
    </r>
  </si>
  <si>
    <t>Designated Covered Facilities for 42 USC 8253(f), Use of Energy and Water Efficiency Measures in Federal Buildings</t>
  </si>
  <si>
    <t>Agency Facility Number (Optional)</t>
  </si>
  <si>
    <t>Facility Name</t>
  </si>
  <si>
    <t>City</t>
  </si>
  <si>
    <t>State</t>
  </si>
  <si>
    <t>Identification Information</t>
  </si>
  <si>
    <t>Location Information</t>
  </si>
  <si>
    <t>Zip Code</t>
  </si>
  <si>
    <t>Building Characteristics</t>
  </si>
  <si>
    <t>Annual Energy Use (Site Billion Btu)</t>
  </si>
  <si>
    <t>Energy Manager Information</t>
  </si>
  <si>
    <t>Unique Identifier</t>
  </si>
  <si>
    <t>Last Name
(Optional)</t>
  </si>
  <si>
    <t>First Name
(Optional)</t>
  </si>
  <si>
    <t>E-Mail
(Optional)</t>
  </si>
  <si>
    <t>1-1.  NECPA/E.O. 13423 Goal Subject Buildings</t>
  </si>
  <si>
    <t>1-2.  NECPA/E.O. 13423 Goal Excluded Facilities</t>
  </si>
  <si>
    <t xml:space="preserve">1-7.  GOAL-ELIGIBLE RENEWABLE ELECTRICITY USE AS </t>
  </si>
  <si>
    <t>Eligible Renewable Electricity Total</t>
  </si>
  <si>
    <t>New Renewable Electricity (without Bonus)</t>
  </si>
  <si>
    <t>Eligible Old Renewable Electricity</t>
  </si>
  <si>
    <r>
      <t xml:space="preserve">Renewable Thermal Energy from </t>
    </r>
    <r>
      <rPr>
        <i/>
        <sz val="10"/>
        <rFont val="Arial"/>
        <family val="2"/>
      </rPr>
      <t>New</t>
    </r>
    <r>
      <rPr>
        <sz val="10"/>
        <rFont val="Arial"/>
        <family val="0"/>
      </rPr>
      <t xml:space="preserve"> projects (Million Btu)</t>
    </r>
  </si>
  <si>
    <r>
      <t xml:space="preserve">Natural Gas from </t>
    </r>
    <r>
      <rPr>
        <i/>
        <sz val="10"/>
        <rFont val="Arial"/>
        <family val="2"/>
      </rPr>
      <t>New</t>
    </r>
    <r>
      <rPr>
        <sz val="10"/>
        <rFont val="Arial"/>
        <family val="0"/>
      </rPr>
      <t xml:space="preserve"> Landfill/Biomass projects (Million Btu)</t>
    </r>
  </si>
  <si>
    <r>
      <t xml:space="preserve">Other </t>
    </r>
    <r>
      <rPr>
        <i/>
        <sz val="10"/>
        <rFont val="Arial"/>
        <family val="2"/>
      </rPr>
      <t>New</t>
    </r>
    <r>
      <rPr>
        <sz val="10"/>
        <rFont val="Arial"/>
        <family val="0"/>
      </rPr>
      <t xml:space="preserve"> Renewable Energy (</t>
    </r>
    <r>
      <rPr>
        <u val="single"/>
        <sz val="10"/>
        <rFont val="Arial"/>
        <family val="2"/>
      </rPr>
      <t>Specify Type</t>
    </r>
    <r>
      <rPr>
        <sz val="10"/>
        <rFont val="Arial"/>
        <family val="0"/>
      </rPr>
      <t>) (Million Btu)</t>
    </r>
  </si>
  <si>
    <r>
      <t xml:space="preserve">Natural Gas from </t>
    </r>
    <r>
      <rPr>
        <i/>
        <sz val="10"/>
        <rFont val="Arial"/>
        <family val="2"/>
      </rPr>
      <t>Old</t>
    </r>
    <r>
      <rPr>
        <sz val="10"/>
        <rFont val="Arial"/>
        <family val="0"/>
      </rPr>
      <t xml:space="preserve"> Landfill/Biomass projects (Million Btu)</t>
    </r>
  </si>
  <si>
    <r>
      <t xml:space="preserve">Renewable Thermal Energy from </t>
    </r>
    <r>
      <rPr>
        <i/>
        <sz val="10"/>
        <rFont val="Arial"/>
        <family val="2"/>
      </rPr>
      <t>Old</t>
    </r>
    <r>
      <rPr>
        <sz val="10"/>
        <rFont val="Arial"/>
        <family val="0"/>
      </rPr>
      <t xml:space="preserve"> projects (Million Btu)</t>
    </r>
  </si>
  <si>
    <r>
      <t xml:space="preserve">Other </t>
    </r>
    <r>
      <rPr>
        <i/>
        <sz val="10"/>
        <rFont val="Arial"/>
        <family val="2"/>
      </rPr>
      <t>Old</t>
    </r>
    <r>
      <rPr>
        <sz val="10"/>
        <rFont val="Arial"/>
        <family val="0"/>
      </rPr>
      <t xml:space="preserve"> Renewable Energy (</t>
    </r>
    <r>
      <rPr>
        <u val="single"/>
        <sz val="10"/>
        <rFont val="Arial"/>
        <family val="2"/>
      </rPr>
      <t>Specify Type</t>
    </r>
    <r>
      <rPr>
        <sz val="10"/>
        <rFont val="Arial"/>
        <family val="0"/>
      </rPr>
      <t>) (Million Btu)</t>
    </r>
  </si>
  <si>
    <t>Total New Non-Electric Renewable Energy (Million Btu)</t>
  </si>
  <si>
    <t>Total Old Non-Electric Renewable Energy (Million Btu)</t>
  </si>
  <si>
    <t>(New renewable energy is from projects placed in service after January 1, 1999.  Include projects that did not retain RECs if they qualify under the grandfather clause.)</t>
  </si>
  <si>
    <t>Appropriate Buildings</t>
  </si>
  <si>
    <t># of Appropriate Buildings for Metering</t>
  </si>
  <si>
    <t>Cumulative % of Buildings Metered</t>
  </si>
  <si>
    <t>Cumulative % of Appropriate Buildings Metered</t>
  </si>
  <si>
    <t>Total Electricity Meters in FY 2008</t>
  </si>
  <si>
    <t>(Note:   Only new buildings which began the design phase after the beginning of FY 2007 need to be listed.  
Buildings for which construction was completed in FY 2007 and after do not need to be listed if they were designed prior to FY 2007.)</t>
  </si>
  <si>
    <t>Total new building designs started since beginning of FY 2007 
expected to be 30% more energy efficient than relevant code, where life-cycle cost effective:</t>
  </si>
  <si>
    <t xml:space="preserve">1-8.  ALL RENEWABLE ENERGY USE (INCLUDING NON-ELECTRIC) </t>
  </si>
  <si>
    <t>AS A PERCENTAGE OF FACILITY ELECTRICITY USE (WITHOUT BONUS)</t>
  </si>
  <si>
    <t>Gross Square Footage
(Thous.)</t>
  </si>
  <si>
    <t>Total Estimated Energy Use for Covered Facilities (Billion Btu):</t>
  </si>
  <si>
    <t>Percentage of Total Facility Energy Use:</t>
  </si>
  <si>
    <t>Will Freeman</t>
  </si>
  <si>
    <t>301-713-2870 x111</t>
  </si>
  <si>
    <t>DOC - NOAA data</t>
  </si>
  <si>
    <t>Final</t>
  </si>
  <si>
    <t>cells are locked to the left - answers below</t>
  </si>
  <si>
    <t>La Jolla  Lab Consolidation Project</t>
  </si>
  <si>
    <t> Southwest Fisheries Science Center</t>
  </si>
  <si>
    <t> La Jolla , CA</t>
  </si>
  <si>
    <t>TBD</t>
  </si>
  <si>
    <t xml:space="preserve">Yes </t>
  </si>
  <si>
    <t>MD</t>
  </si>
  <si>
    <t>SILVER SPRING</t>
  </si>
  <si>
    <t>20910</t>
  </si>
  <si>
    <t>PRINCETON/PLAINSBORO</t>
  </si>
  <si>
    <t>NJ</t>
  </si>
  <si>
    <t>08542</t>
  </si>
  <si>
    <t>BOULDER</t>
  </si>
  <si>
    <t>CO</t>
  </si>
  <si>
    <t>80305</t>
  </si>
  <si>
    <t>SUITLAND</t>
  </si>
  <si>
    <t>20746</t>
  </si>
  <si>
    <t>SEATTLE (SAND POINT)</t>
  </si>
  <si>
    <t>WA</t>
  </si>
  <si>
    <t>98115</t>
  </si>
  <si>
    <t>CHARLESTON</t>
  </si>
  <si>
    <t>SC</t>
  </si>
  <si>
    <t>29412</t>
  </si>
  <si>
    <t>FAIRBANKS (GILMORE CREE</t>
  </si>
  <si>
    <t>AK</t>
  </si>
  <si>
    <t>99712</t>
  </si>
  <si>
    <t>NORFOLK</t>
  </si>
  <si>
    <t>VA</t>
  </si>
  <si>
    <t>23510</t>
  </si>
  <si>
    <t>MIAMI</t>
  </si>
  <si>
    <t>FL</t>
  </si>
  <si>
    <t>33149</t>
  </si>
  <si>
    <t>SEATTLE</t>
  </si>
  <si>
    <t>98112</t>
  </si>
  <si>
    <t>KEY WEST</t>
  </si>
  <si>
    <t>33040</t>
  </si>
  <si>
    <t>WOODS HOLE</t>
  </si>
  <si>
    <t>MA</t>
  </si>
  <si>
    <t>02543</t>
  </si>
  <si>
    <t>98102</t>
  </si>
  <si>
    <t>LAFAYETTE</t>
  </si>
  <si>
    <t>LA</t>
  </si>
  <si>
    <t>70506</t>
  </si>
  <si>
    <t>SANTA CRUZ</t>
  </si>
  <si>
    <t>CA</t>
  </si>
  <si>
    <t>95060</t>
  </si>
  <si>
    <t>33165</t>
  </si>
  <si>
    <t>TAUNTON</t>
  </si>
  <si>
    <t>02780</t>
  </si>
  <si>
    <t>TX</t>
  </si>
  <si>
    <t>NORTH CHARLESTON</t>
  </si>
  <si>
    <t>29405</t>
  </si>
  <si>
    <t>SAN DIEGO (LA JOLLA)</t>
  </si>
  <si>
    <t>92038</t>
  </si>
  <si>
    <t>FORT WORTH</t>
  </si>
  <si>
    <t>76137</t>
  </si>
  <si>
    <t>PASCAGOULA</t>
  </si>
  <si>
    <t>MS</t>
  </si>
  <si>
    <t>39567</t>
  </si>
  <si>
    <t>GALVESTON</t>
  </si>
  <si>
    <t>77551</t>
  </si>
  <si>
    <t>ANCHORAGE</t>
  </si>
  <si>
    <t>99519</t>
  </si>
  <si>
    <t>ANN ARBOR</t>
  </si>
  <si>
    <t>MI</t>
  </si>
  <si>
    <t>48105</t>
  </si>
  <si>
    <t>GRAY</t>
  </si>
  <si>
    <t>ME</t>
  </si>
  <si>
    <t>04039</t>
  </si>
  <si>
    <t>Silver Spring Metro Center</t>
  </si>
  <si>
    <t>Princeton University</t>
  </si>
  <si>
    <t>DAVID SKAGGS RESEARCH CENTER</t>
  </si>
  <si>
    <t>WORLD WEATHER</t>
  </si>
  <si>
    <t>Western Regional Center</t>
  </si>
  <si>
    <t>NOS Charleston Laboratory</t>
  </si>
  <si>
    <t>Gilmore Creek</t>
  </si>
  <si>
    <t>Atlantic Marine Center</t>
  </si>
  <si>
    <t>OAR/AOML</t>
  </si>
  <si>
    <t>Montlake Lab</t>
  </si>
  <si>
    <t>NE Fisheries Science Center</t>
  </si>
  <si>
    <t>Marine Operations Center - Pacific</t>
  </si>
  <si>
    <t>NMFS Estuarine Habitats Center</t>
  </si>
  <si>
    <t>NMFS SWFSC Santa Cruz</t>
  </si>
  <si>
    <t>NWS WFO and TPC</t>
  </si>
  <si>
    <t>Taunton Wfo</t>
  </si>
  <si>
    <t>SE Fisheries Science Center</t>
  </si>
  <si>
    <t>Coastal Service Center (csc)</t>
  </si>
  <si>
    <t>SW Fisheries Center</t>
  </si>
  <si>
    <t>WFO</t>
  </si>
  <si>
    <t>WFO/RFC Dallas/Ft. Worth</t>
  </si>
  <si>
    <t>NMFS Laboratory</t>
  </si>
  <si>
    <t>Southeast Fisheries Center Lab</t>
  </si>
  <si>
    <t>WFO/RFC Anchorage</t>
  </si>
  <si>
    <t>Great Lakes Erl</t>
  </si>
  <si>
    <t>Portland/gray Wfo/rda/uaib</t>
  </si>
  <si>
    <t>MD0221ZZ</t>
  </si>
  <si>
    <t>NJE01401</t>
  </si>
  <si>
    <t>CO0055ZZ</t>
  </si>
  <si>
    <t>MD1413ZZ</t>
  </si>
  <si>
    <t>WAW05302</t>
  </si>
  <si>
    <t>14000213</t>
  </si>
  <si>
    <t>AKW15407</t>
  </si>
  <si>
    <t>VAE02102</t>
  </si>
  <si>
    <t>FLM07402</t>
  </si>
  <si>
    <t>SCC00501</t>
  </si>
  <si>
    <t>14000521</t>
  </si>
  <si>
    <t>FLC09601</t>
  </si>
  <si>
    <t>MAE01001</t>
  </si>
  <si>
    <t>WAW05407</t>
  </si>
  <si>
    <t>LAC04602</t>
  </si>
  <si>
    <t>14000161</t>
  </si>
  <si>
    <t>FLC08702</t>
  </si>
  <si>
    <t>MAE03501</t>
  </si>
  <si>
    <t>FLM00202</t>
  </si>
  <si>
    <t>SCE02001</t>
  </si>
  <si>
    <t>CAW07202</t>
  </si>
  <si>
    <t>14000665</t>
  </si>
  <si>
    <t>TXM15001</t>
  </si>
  <si>
    <t>14000511</t>
  </si>
  <si>
    <t>TXC00205</t>
  </si>
  <si>
    <t>AKW18002</t>
  </si>
  <si>
    <t>MIC05201</t>
  </si>
  <si>
    <t>MEE02702</t>
  </si>
  <si>
    <t>DOC-01-00001</t>
  </si>
  <si>
    <t>DOC-01-00002</t>
  </si>
  <si>
    <t>DOC-01-00003</t>
  </si>
  <si>
    <t>DOC-01-00005</t>
  </si>
  <si>
    <t>DOC-01-00006</t>
  </si>
  <si>
    <t>DOC-01-00007</t>
  </si>
  <si>
    <t>DOC-01-00008</t>
  </si>
  <si>
    <t>DOC-01-00009</t>
  </si>
  <si>
    <t>DOC-01-00011</t>
  </si>
  <si>
    <t>DOC-01-00012</t>
  </si>
  <si>
    <t>DOC-01-00013</t>
  </si>
  <si>
    <t>DOC-01-00014</t>
  </si>
  <si>
    <t>DOC-01-00016</t>
  </si>
  <si>
    <t>DOC-01-00017</t>
  </si>
  <si>
    <t>DOC-01-00018</t>
  </si>
  <si>
    <t>DOC-01-00019</t>
  </si>
  <si>
    <t>DOC-01-00020</t>
  </si>
  <si>
    <t>DOC-01-00021</t>
  </si>
  <si>
    <t>DOC-01-00024</t>
  </si>
  <si>
    <t>DOC-01-00025</t>
  </si>
  <si>
    <t>DOC-01-00026</t>
  </si>
  <si>
    <t>DOC-01-00027</t>
  </si>
  <si>
    <t>DOC-01-00028</t>
  </si>
  <si>
    <t>DOC-01-00029</t>
  </si>
  <si>
    <t>DOC-01-00030</t>
  </si>
  <si>
    <t>DOC-01-00032</t>
  </si>
  <si>
    <t>DOC-01-00034</t>
  </si>
  <si>
    <t>DOC-01-00035</t>
  </si>
  <si>
    <t>Freeman</t>
  </si>
  <si>
    <t>Will</t>
  </si>
  <si>
    <t>Will.Freeman@noaa.gov</t>
  </si>
  <si>
    <t>Dr. Nancy Foster Florida Keys Sanct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</si>
</sst>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_);\(#,##0.0\)"/>
    <numFmt numFmtId="173" formatCode="_(* #,##0.0_);_(* \(#,##0.0\);_(* &quot;-&quot;??_);_(@_)"/>
    <numFmt numFmtId="174" formatCode="_(* #,##0.0_);_(* \(#,##0.0\);_(* &quot;-&quot;?_);_(@_)"/>
    <numFmt numFmtId="175" formatCode="_(* #,##0_);_(* \(#,##0\);_(* &quot;-&quot;??_);_(@_)"/>
    <numFmt numFmtId="176" formatCode="_(* #,##0_);_(* \(#,##0\);_(* &quot;-&quot;?_);_(@_)"/>
    <numFmt numFmtId="177" formatCode="_(* #,##0.00_);_(* \(#,##0.00\);_(* &quot;-&quot;?_);_(@_)"/>
    <numFmt numFmtId="178" formatCode="#,##0.0"/>
    <numFmt numFmtId="179" formatCode="&quot;$&quot;#,##0.0"/>
    <numFmt numFmtId="180" formatCode="&quot;$&quot;#,##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000"/>
    <numFmt numFmtId="188" formatCode="0.00000"/>
    <numFmt numFmtId="189" formatCode="0.0000"/>
    <numFmt numFmtId="190" formatCode="0.000"/>
    <numFmt numFmtId="191" formatCode="#,##0.000"/>
    <numFmt numFmtId="192" formatCode="#,##0.0000"/>
    <numFmt numFmtId="193" formatCode="#,##0.00000"/>
    <numFmt numFmtId="194" formatCode="#,##0.000000"/>
    <numFmt numFmtId="195" formatCode="#,##0.0000000"/>
    <numFmt numFmtId="196" formatCode="#,##0.00000000"/>
    <numFmt numFmtId="197" formatCode="&quot;$&quot;#,##0.00"/>
    <numFmt numFmtId="198" formatCode="0.000%"/>
    <numFmt numFmtId="199" formatCode="0.0000%"/>
    <numFmt numFmtId="200" formatCode="0.00000%"/>
    <numFmt numFmtId="201" formatCode="00000\-0000"/>
    <numFmt numFmtId="202" formatCode="00000"/>
    <numFmt numFmtId="203" formatCode="#,##0.0000000000_);\-#,##0.0000000000"/>
    <numFmt numFmtId="204" formatCode="mm&quot;/&quot;dd&quot;/&quot;yyyy"/>
    <numFmt numFmtId="205" formatCode="#,##0.000_);\-#,##0.000"/>
    <numFmt numFmtId="206" formatCode="[$-409]mmmm\ d\,\ yyyy;@"/>
    <numFmt numFmtId="207" formatCode="0.E+00"/>
    <numFmt numFmtId="208" formatCode="[$-409]d\-mmm\-yy;@"/>
  </numFmts>
  <fonts count="56">
    <font>
      <sz val="10"/>
      <name val="Arial"/>
      <family val="0"/>
    </font>
    <font>
      <b/>
      <sz val="10"/>
      <name val="Arial"/>
      <family val="2"/>
    </font>
    <font>
      <b/>
      <sz val="14"/>
      <name val="Arial"/>
      <family val="2"/>
    </font>
    <font>
      <sz val="10"/>
      <color indexed="12"/>
      <name val="Arial"/>
      <family val="2"/>
    </font>
    <font>
      <sz val="10"/>
      <color indexed="10"/>
      <name val="Arial"/>
      <family val="2"/>
    </font>
    <font>
      <u val="single"/>
      <sz val="10"/>
      <color indexed="12"/>
      <name val="Arial"/>
      <family val="0"/>
    </font>
    <font>
      <u val="single"/>
      <sz val="10"/>
      <color indexed="36"/>
      <name val="Arial"/>
      <family val="0"/>
    </font>
    <font>
      <i/>
      <sz val="10"/>
      <name val="Arial"/>
      <family val="2"/>
    </font>
    <font>
      <sz val="8"/>
      <name val="Tahoma"/>
      <family val="2"/>
    </font>
    <font>
      <sz val="8"/>
      <name val="Arial"/>
      <family val="0"/>
    </font>
    <font>
      <sz val="9"/>
      <name val="Arial"/>
      <family val="0"/>
    </font>
    <font>
      <u val="single"/>
      <sz val="10"/>
      <name val="Arial"/>
      <family val="2"/>
    </font>
    <font>
      <vertAlign val="subscript"/>
      <sz val="10"/>
      <name val="Arial"/>
      <family val="2"/>
    </font>
    <font>
      <sz val="10"/>
      <color indexed="39"/>
      <name val="Arial"/>
      <family val="0"/>
    </font>
    <font>
      <b/>
      <i/>
      <sz val="10"/>
      <name val="Arial"/>
      <family val="2"/>
    </font>
    <font>
      <b/>
      <sz val="12"/>
      <name val="Arial"/>
      <family val="2"/>
    </font>
    <font>
      <sz val="12"/>
      <name val="Arial"/>
      <family val="2"/>
    </font>
    <font>
      <b/>
      <sz val="8"/>
      <name val="Tahoma"/>
      <family val="2"/>
    </font>
    <font>
      <b/>
      <sz val="8"/>
      <name val="Arial"/>
      <family val="2"/>
    </font>
    <font>
      <sz val="10"/>
      <color indexed="13"/>
      <name val="Arial"/>
      <family val="2"/>
    </font>
    <font>
      <sz val="10"/>
      <color indexed="8"/>
      <name val="MS Sans Serif"/>
      <family val="2"/>
    </font>
    <font>
      <sz val="9.9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diagonalUp="1"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39">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1" fillId="0" borderId="0" xfId="0" applyFont="1" applyAlignment="1" applyProtection="1">
      <alignment/>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178" fontId="3" fillId="0" borderId="15" xfId="42" applyNumberFormat="1" applyFont="1" applyBorder="1" applyAlignment="1" applyProtection="1">
      <alignment/>
      <protection locked="0"/>
    </xf>
    <xf numFmtId="179" fontId="3" fillId="0" borderId="14" xfId="42" applyNumberFormat="1" applyFont="1" applyBorder="1" applyAlignment="1" applyProtection="1">
      <alignment/>
      <protection locked="0"/>
    </xf>
    <xf numFmtId="0" fontId="0" fillId="0" borderId="0" xfId="0" applyBorder="1" applyAlignment="1" applyProtection="1">
      <alignment/>
      <protection locked="0"/>
    </xf>
    <xf numFmtId="178" fontId="3" fillId="0" borderId="0" xfId="42" applyNumberFormat="1" applyFont="1" applyBorder="1" applyAlignment="1" applyProtection="1">
      <alignment/>
      <protection locked="0"/>
    </xf>
    <xf numFmtId="0" fontId="0" fillId="0" borderId="0" xfId="0" applyAlignment="1" applyProtection="1">
      <alignment wrapText="1"/>
      <protection locked="0"/>
    </xf>
    <xf numFmtId="0" fontId="0" fillId="0" borderId="0" xfId="0" applyAlignment="1" applyProtection="1">
      <alignment/>
      <protection locked="0"/>
    </xf>
    <xf numFmtId="3" fontId="3" fillId="0" borderId="15" xfId="42" applyNumberFormat="1" applyFont="1" applyBorder="1" applyAlignment="1" applyProtection="1">
      <alignment/>
      <protection locked="0"/>
    </xf>
    <xf numFmtId="179" fontId="3" fillId="0" borderId="0" xfId="42" applyNumberFormat="1" applyFont="1" applyBorder="1" applyAlignment="1" applyProtection="1">
      <alignment/>
      <protection locked="0"/>
    </xf>
    <xf numFmtId="3" fontId="0" fillId="0" borderId="0" xfId="0" applyNumberFormat="1" applyAlignment="1" applyProtection="1">
      <alignment horizontal="center"/>
      <protection locked="0"/>
    </xf>
    <xf numFmtId="180"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wrapText="1"/>
      <protection locked="0"/>
    </xf>
    <xf numFmtId="178" fontId="3" fillId="0" borderId="14" xfId="0" applyNumberFormat="1" applyFont="1" applyBorder="1" applyAlignment="1" applyProtection="1">
      <alignment horizontal="right" wrapText="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wrapText="1"/>
      <protection locked="0"/>
    </xf>
    <xf numFmtId="178" fontId="0" fillId="0" borderId="0" xfId="42" applyNumberFormat="1" applyFont="1" applyBorder="1" applyAlignment="1" applyProtection="1">
      <alignment/>
      <protection locked="0"/>
    </xf>
    <xf numFmtId="179" fontId="0" fillId="0" borderId="0" xfId="42" applyNumberFormat="1" applyFont="1" applyBorder="1" applyAlignment="1" applyProtection="1">
      <alignment/>
      <protection locked="0"/>
    </xf>
    <xf numFmtId="0" fontId="0" fillId="0" borderId="16" xfId="0" applyBorder="1" applyAlignment="1" applyProtection="1">
      <alignment wrapText="1"/>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horizontal="center" wrapText="1"/>
      <protection locked="0"/>
    </xf>
    <xf numFmtId="0" fontId="0" fillId="33" borderId="14" xfId="0" applyFill="1" applyBorder="1" applyAlignment="1" applyProtection="1">
      <alignment horizontal="center"/>
      <protection locked="0"/>
    </xf>
    <xf numFmtId="0" fontId="4" fillId="0" borderId="0" xfId="0" applyFont="1" applyAlignment="1" applyProtection="1">
      <alignment vertical="center" wrapText="1"/>
      <protection locked="0"/>
    </xf>
    <xf numFmtId="0" fontId="0" fillId="0" borderId="15" xfId="0" applyBorder="1" applyAlignment="1" applyProtection="1">
      <alignment horizontal="center" wrapText="1"/>
      <protection locked="0"/>
    </xf>
    <xf numFmtId="0" fontId="0" fillId="0" borderId="16" xfId="0" applyBorder="1" applyAlignment="1" applyProtection="1">
      <alignment/>
      <protection locked="0"/>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4" xfId="0" applyFont="1" applyBorder="1" applyAlignment="1">
      <alignment horizontal="center" wrapText="1"/>
    </xf>
    <xf numFmtId="0" fontId="0" fillId="0" borderId="14" xfId="0" applyFont="1" applyBorder="1" applyAlignment="1">
      <alignment horizontal="justify" wrapText="1"/>
    </xf>
    <xf numFmtId="0" fontId="0" fillId="0" borderId="14" xfId="0" applyFont="1" applyBorder="1" applyAlignment="1">
      <alignment horizontal="right" wrapText="1"/>
    </xf>
    <xf numFmtId="178" fontId="0" fillId="0" borderId="14" xfId="0" applyNumberFormat="1" applyFont="1" applyBorder="1" applyAlignment="1" applyProtection="1">
      <alignment horizontal="right" wrapText="1"/>
      <protection/>
    </xf>
    <xf numFmtId="0" fontId="9" fillId="34" borderId="14" xfId="0" applyFont="1" applyFill="1" applyBorder="1" applyAlignment="1" applyProtection="1">
      <alignment horizontal="right" wrapText="1"/>
      <protection locked="0"/>
    </xf>
    <xf numFmtId="0" fontId="0" fillId="34" borderId="14" xfId="0" applyFill="1" applyBorder="1" applyAlignment="1" applyProtection="1">
      <alignment horizontal="center" wrapText="1"/>
      <protection locked="0"/>
    </xf>
    <xf numFmtId="0" fontId="0" fillId="34" borderId="17" xfId="0" applyFill="1" applyBorder="1" applyAlignment="1" applyProtection="1">
      <alignment horizontal="centerContinuous"/>
      <protection locked="0"/>
    </xf>
    <xf numFmtId="0" fontId="0" fillId="34" borderId="18" xfId="0" applyFill="1" applyBorder="1" applyAlignment="1" applyProtection="1">
      <alignment horizontal="centerContinuous"/>
      <protection locked="0"/>
    </xf>
    <xf numFmtId="0" fontId="0" fillId="34" borderId="14" xfId="0" applyFill="1" applyBorder="1" applyAlignment="1" applyProtection="1">
      <alignment/>
      <protection locked="0"/>
    </xf>
    <xf numFmtId="178" fontId="3" fillId="34" borderId="15" xfId="42" applyNumberFormat="1" applyFont="1" applyFill="1" applyBorder="1" applyAlignment="1" applyProtection="1">
      <alignment/>
      <protection locked="0"/>
    </xf>
    <xf numFmtId="179" fontId="3" fillId="34" borderId="14" xfId="42" applyNumberFormat="1" applyFont="1" applyFill="1" applyBorder="1" applyAlignment="1" applyProtection="1">
      <alignment/>
      <protection locked="0"/>
    </xf>
    <xf numFmtId="7" fontId="0" fillId="34" borderId="16" xfId="0" applyNumberFormat="1" applyFill="1" applyBorder="1" applyAlignment="1" applyProtection="1">
      <alignment horizontal="right"/>
      <protection/>
    </xf>
    <xf numFmtId="0" fontId="0" fillId="34" borderId="11" xfId="0" applyFill="1" applyBorder="1" applyAlignment="1" applyProtection="1">
      <alignment horizontal="left"/>
      <protection locked="0"/>
    </xf>
    <xf numFmtId="172" fontId="0" fillId="34" borderId="14" xfId="0" applyNumberFormat="1" applyFill="1" applyBorder="1" applyAlignment="1" applyProtection="1">
      <alignment/>
      <protection/>
    </xf>
    <xf numFmtId="37" fontId="0" fillId="34" borderId="14" xfId="0" applyNumberFormat="1" applyFill="1" applyBorder="1" applyAlignment="1" applyProtection="1">
      <alignment/>
      <protection/>
    </xf>
    <xf numFmtId="7" fontId="0" fillId="34" borderId="17" xfId="0" applyNumberFormat="1" applyFill="1" applyBorder="1" applyAlignment="1" applyProtection="1">
      <alignment horizontal="right"/>
      <protection/>
    </xf>
    <xf numFmtId="0" fontId="0" fillId="34" borderId="18" xfId="0" applyFill="1" applyBorder="1" applyAlignment="1" applyProtection="1">
      <alignment horizontal="left"/>
      <protection locked="0"/>
    </xf>
    <xf numFmtId="179" fontId="3" fillId="34" borderId="16" xfId="42" applyNumberFormat="1" applyFont="1" applyFill="1" applyBorder="1" applyAlignment="1" applyProtection="1">
      <alignment/>
      <protection locked="0"/>
    </xf>
    <xf numFmtId="0" fontId="0" fillId="34" borderId="15" xfId="0" applyFill="1" applyBorder="1" applyAlignment="1" applyProtection="1">
      <alignment horizontal="left"/>
      <protection locked="0"/>
    </xf>
    <xf numFmtId="172" fontId="0" fillId="34" borderId="20" xfId="0" applyNumberFormat="1" applyFill="1" applyBorder="1" applyAlignment="1" applyProtection="1">
      <alignment/>
      <protection/>
    </xf>
    <xf numFmtId="172" fontId="0" fillId="34" borderId="21" xfId="0" applyNumberFormat="1" applyFill="1" applyBorder="1" applyAlignment="1" applyProtection="1">
      <alignment/>
      <protection/>
    </xf>
    <xf numFmtId="0" fontId="0" fillId="34" borderId="21" xfId="0" applyFill="1" applyBorder="1" applyAlignment="1" applyProtection="1">
      <alignment/>
      <protection/>
    </xf>
    <xf numFmtId="0" fontId="0" fillId="34" borderId="14" xfId="0" applyFill="1" applyBorder="1" applyAlignment="1" applyProtection="1">
      <alignment horizontal="right"/>
      <protection locked="0"/>
    </xf>
    <xf numFmtId="175" fontId="0" fillId="34" borderId="14" xfId="42" applyNumberFormat="1" applyFont="1" applyFill="1" applyBorder="1" applyAlignment="1" applyProtection="1">
      <alignment horizontal="right"/>
      <protection/>
    </xf>
    <xf numFmtId="0" fontId="0" fillId="34" borderId="16" xfId="0" applyFill="1" applyBorder="1" applyAlignment="1" applyProtection="1">
      <alignment/>
      <protection locked="0"/>
    </xf>
    <xf numFmtId="0" fontId="0" fillId="34" borderId="15" xfId="0" applyFill="1" applyBorder="1" applyAlignment="1" applyProtection="1">
      <alignment/>
      <protection locked="0"/>
    </xf>
    <xf numFmtId="0" fontId="0" fillId="34" borderId="16" xfId="0" applyFill="1" applyBorder="1" applyAlignment="1" applyProtection="1">
      <alignment horizontal="centerContinuous" wrapText="1"/>
      <protection locked="0"/>
    </xf>
    <xf numFmtId="0" fontId="0" fillId="34" borderId="15" xfId="0" applyFill="1" applyBorder="1" applyAlignment="1" applyProtection="1">
      <alignment horizontal="centerContinuous" wrapText="1"/>
      <protection locked="0"/>
    </xf>
    <xf numFmtId="179" fontId="0" fillId="34" borderId="14" xfId="42" applyNumberFormat="1" applyFont="1" applyFill="1" applyBorder="1" applyAlignment="1" applyProtection="1">
      <alignment/>
      <protection/>
    </xf>
    <xf numFmtId="0" fontId="0" fillId="35" borderId="12" xfId="0" applyFill="1" applyBorder="1" applyAlignment="1" applyProtection="1">
      <alignment horizontal="center" wrapText="1"/>
      <protection locked="0"/>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178" fontId="3" fillId="35" borderId="15" xfId="42" applyNumberFormat="1" applyFont="1" applyFill="1" applyBorder="1" applyAlignment="1" applyProtection="1">
      <alignment/>
      <protection locked="0"/>
    </xf>
    <xf numFmtId="179" fontId="3" fillId="35" borderId="14" xfId="42" applyNumberFormat="1" applyFont="1" applyFill="1" applyBorder="1" applyAlignment="1" applyProtection="1">
      <alignment/>
      <protection locked="0"/>
    </xf>
    <xf numFmtId="7" fontId="0" fillId="35" borderId="16" xfId="0" applyNumberFormat="1" applyFill="1" applyBorder="1" applyAlignment="1" applyProtection="1">
      <alignment horizontal="right"/>
      <protection/>
    </xf>
    <xf numFmtId="0" fontId="0" fillId="35" borderId="11" xfId="0" applyFill="1" applyBorder="1" applyAlignment="1" applyProtection="1">
      <alignment horizontal="left"/>
      <protection locked="0"/>
    </xf>
    <xf numFmtId="0" fontId="0" fillId="35" borderId="14" xfId="0" applyFill="1" applyBorder="1" applyAlignment="1" applyProtection="1">
      <alignment/>
      <protection locked="0"/>
    </xf>
    <xf numFmtId="179" fontId="0" fillId="35" borderId="14" xfId="42" applyNumberFormat="1" applyFont="1" applyFill="1" applyBorder="1" applyAlignment="1" applyProtection="1">
      <alignment/>
      <protection/>
    </xf>
    <xf numFmtId="0" fontId="2" fillId="0" borderId="0" xfId="0" applyFont="1" applyAlignment="1" applyProtection="1">
      <alignment horizontal="center"/>
      <protection locked="0"/>
    </xf>
    <xf numFmtId="178" fontId="0" fillId="35" borderId="14" xfId="0" applyNumberFormat="1" applyFont="1" applyFill="1" applyBorder="1" applyAlignment="1" applyProtection="1">
      <alignment horizontal="right"/>
      <protection/>
    </xf>
    <xf numFmtId="178" fontId="0" fillId="34" borderId="14" xfId="0" applyNumberFormat="1" applyFont="1" applyFill="1" applyBorder="1" applyAlignment="1" applyProtection="1">
      <alignment horizontal="right"/>
      <protection/>
    </xf>
    <xf numFmtId="178" fontId="0" fillId="36" borderId="14" xfId="0" applyNumberFormat="1" applyFont="1" applyFill="1" applyBorder="1" applyAlignment="1" applyProtection="1">
      <alignment horizontal="right"/>
      <protection/>
    </xf>
    <xf numFmtId="178" fontId="0" fillId="36" borderId="22" xfId="0" applyNumberFormat="1" applyFont="1" applyFill="1" applyBorder="1" applyAlignment="1" applyProtection="1">
      <alignment horizontal="right"/>
      <protection/>
    </xf>
    <xf numFmtId="178" fontId="0" fillId="35" borderId="22" xfId="0" applyNumberFormat="1" applyFont="1" applyFill="1" applyBorder="1" applyAlignment="1" applyProtection="1">
      <alignment horizontal="right"/>
      <protection/>
    </xf>
    <xf numFmtId="178" fontId="0" fillId="34" borderId="22" xfId="0" applyNumberFormat="1" applyFont="1" applyFill="1" applyBorder="1" applyAlignment="1" applyProtection="1">
      <alignment horizontal="right"/>
      <protection/>
    </xf>
    <xf numFmtId="178" fontId="0" fillId="0" borderId="0" xfId="0" applyNumberFormat="1" applyFont="1" applyFill="1" applyBorder="1" applyAlignment="1" applyProtection="1">
      <alignment horizontal="right"/>
      <protection/>
    </xf>
    <xf numFmtId="178" fontId="0" fillId="0" borderId="0" xfId="0" applyNumberFormat="1" applyFont="1" applyBorder="1" applyAlignment="1" applyProtection="1">
      <alignment horizontal="right"/>
      <protection/>
    </xf>
    <xf numFmtId="178" fontId="3" fillId="35" borderId="14" xfId="42" applyNumberFormat="1" applyFont="1" applyFill="1" applyBorder="1" applyAlignment="1" applyProtection="1">
      <alignment vertical="center"/>
      <protection locked="0"/>
    </xf>
    <xf numFmtId="178" fontId="3" fillId="34" borderId="14" xfId="42" applyNumberFormat="1" applyFont="1" applyFill="1" applyBorder="1" applyAlignment="1" applyProtection="1">
      <alignment vertical="center"/>
      <protection locked="0"/>
    </xf>
    <xf numFmtId="178" fontId="3" fillId="36" borderId="14" xfId="42" applyNumberFormat="1" applyFont="1" applyFill="1" applyBorder="1" applyAlignment="1" applyProtection="1">
      <alignment vertical="center"/>
      <protection locked="0"/>
    </xf>
    <xf numFmtId="178" fontId="3" fillId="36" borderId="21" xfId="42" applyNumberFormat="1" applyFont="1" applyFill="1" applyBorder="1" applyAlignment="1" applyProtection="1">
      <alignment vertical="center"/>
      <protection locked="0"/>
    </xf>
    <xf numFmtId="178" fontId="3" fillId="35" borderId="22" xfId="0" applyNumberFormat="1" applyFont="1" applyFill="1" applyBorder="1" applyAlignment="1" applyProtection="1">
      <alignment horizontal="right" vertical="center" wrapText="1"/>
      <protection locked="0"/>
    </xf>
    <xf numFmtId="0" fontId="3" fillId="35" borderId="14" xfId="0" applyFont="1" applyFill="1" applyBorder="1" applyAlignment="1" applyProtection="1">
      <alignment horizontal="center" vertical="center"/>
      <protection locked="0"/>
    </xf>
    <xf numFmtId="178" fontId="3" fillId="34" borderId="22" xfId="0" applyNumberFormat="1" applyFont="1" applyFill="1" applyBorder="1" applyAlignment="1" applyProtection="1">
      <alignment horizontal="right" vertical="center" wrapText="1"/>
      <protection locked="0"/>
    </xf>
    <xf numFmtId="0" fontId="3" fillId="34" borderId="14" xfId="0" applyFont="1" applyFill="1" applyBorder="1" applyAlignment="1" applyProtection="1">
      <alignment horizontal="center" vertical="center"/>
      <protection locked="0"/>
    </xf>
    <xf numFmtId="178" fontId="3" fillId="36" borderId="22" xfId="0" applyNumberFormat="1" applyFont="1" applyFill="1" applyBorder="1" applyAlignment="1" applyProtection="1">
      <alignment horizontal="right" vertical="center" wrapText="1"/>
      <protection locked="0"/>
    </xf>
    <xf numFmtId="178" fontId="3" fillId="36" borderId="14" xfId="0" applyNumberFormat="1" applyFont="1" applyFill="1" applyBorder="1" applyAlignment="1" applyProtection="1">
      <alignment horizontal="right" vertical="center" wrapText="1"/>
      <protection locked="0"/>
    </xf>
    <xf numFmtId="0" fontId="3" fillId="36" borderId="14" xfId="0" applyFont="1" applyFill="1" applyBorder="1" applyAlignment="1" applyProtection="1">
      <alignment horizontal="center" vertical="center"/>
      <protection locked="0"/>
    </xf>
    <xf numFmtId="0" fontId="0" fillId="36" borderId="14" xfId="0" applyFill="1" applyBorder="1" applyAlignment="1" applyProtection="1">
      <alignment horizontal="right"/>
      <protection locked="0"/>
    </xf>
    <xf numFmtId="0" fontId="0" fillId="35" borderId="14" xfId="0" applyFill="1" applyBorder="1" applyAlignment="1" applyProtection="1">
      <alignment horizontal="right"/>
      <protection locked="0"/>
    </xf>
    <xf numFmtId="178" fontId="3" fillId="0" borderId="0" xfId="42" applyNumberFormat="1" applyFont="1" applyFill="1" applyBorder="1" applyAlignment="1" applyProtection="1">
      <alignment horizontal="right"/>
      <protection locked="0"/>
    </xf>
    <xf numFmtId="0" fontId="0" fillId="0" borderId="0" xfId="0" applyFont="1" applyAlignment="1" applyProtection="1">
      <alignment/>
      <protection locked="0"/>
    </xf>
    <xf numFmtId="0" fontId="10" fillId="0" borderId="14" xfId="0" applyFont="1" applyBorder="1" applyAlignment="1" applyProtection="1">
      <alignment horizontal="center" vertical="center" wrapText="1"/>
      <protection locked="0"/>
    </xf>
    <xf numFmtId="178" fontId="0" fillId="35" borderId="15" xfId="0" applyNumberFormat="1" applyFill="1" applyBorder="1" applyAlignment="1" applyProtection="1">
      <alignment/>
      <protection/>
    </xf>
    <xf numFmtId="0" fontId="0" fillId="35" borderId="16" xfId="0" applyFill="1" applyBorder="1" applyAlignment="1" applyProtection="1">
      <alignment/>
      <protection locked="0"/>
    </xf>
    <xf numFmtId="0" fontId="0" fillId="35" borderId="15" xfId="0" applyFill="1" applyBorder="1" applyAlignment="1" applyProtection="1">
      <alignment/>
      <protection locked="0"/>
    </xf>
    <xf numFmtId="0" fontId="0" fillId="35" borderId="16" xfId="0" applyFill="1" applyBorder="1" applyAlignment="1" applyProtection="1">
      <alignment horizontal="centerContinuous" wrapText="1"/>
      <protection locked="0"/>
    </xf>
    <xf numFmtId="0" fontId="0" fillId="35" borderId="15" xfId="0" applyFill="1" applyBorder="1" applyAlignment="1" applyProtection="1">
      <alignment horizontal="centerContinuous" wrapText="1"/>
      <protection locked="0"/>
    </xf>
    <xf numFmtId="0" fontId="0" fillId="35" borderId="17" xfId="0" applyFill="1" applyBorder="1" applyAlignment="1" applyProtection="1">
      <alignment horizontal="centerContinuous"/>
      <protection locked="0"/>
    </xf>
    <xf numFmtId="0" fontId="0" fillId="35" borderId="18" xfId="0" applyFill="1" applyBorder="1" applyAlignment="1" applyProtection="1">
      <alignment horizontal="centerContinuous"/>
      <protection locked="0"/>
    </xf>
    <xf numFmtId="172" fontId="0" fillId="35" borderId="14" xfId="0" applyNumberFormat="1" applyFill="1" applyBorder="1" applyAlignment="1" applyProtection="1">
      <alignment/>
      <protection/>
    </xf>
    <xf numFmtId="37" fontId="0" fillId="35" borderId="14" xfId="0" applyNumberFormat="1" applyFill="1" applyBorder="1" applyAlignment="1" applyProtection="1">
      <alignment/>
      <protection/>
    </xf>
    <xf numFmtId="7" fontId="0" fillId="35" borderId="17" xfId="0" applyNumberFormat="1" applyFill="1" applyBorder="1" applyAlignment="1" applyProtection="1">
      <alignment horizontal="right"/>
      <protection/>
    </xf>
    <xf numFmtId="0" fontId="0" fillId="35" borderId="18" xfId="0" applyFill="1" applyBorder="1" applyAlignment="1" applyProtection="1">
      <alignment horizontal="left"/>
      <protection locked="0"/>
    </xf>
    <xf numFmtId="0" fontId="0" fillId="35" borderId="15" xfId="0" applyFill="1" applyBorder="1" applyAlignment="1" applyProtection="1">
      <alignment horizontal="left"/>
      <protection locked="0"/>
    </xf>
    <xf numFmtId="172" fontId="0" fillId="35" borderId="20" xfId="0" applyNumberFormat="1" applyFill="1" applyBorder="1" applyAlignment="1" applyProtection="1">
      <alignment/>
      <protection/>
    </xf>
    <xf numFmtId="172" fontId="0" fillId="35" borderId="21" xfId="0" applyNumberFormat="1" applyFill="1" applyBorder="1" applyAlignment="1" applyProtection="1">
      <alignment/>
      <protection/>
    </xf>
    <xf numFmtId="0" fontId="0" fillId="35" borderId="21" xfId="0" applyFill="1" applyBorder="1" applyAlignment="1" applyProtection="1">
      <alignment/>
      <protection/>
    </xf>
    <xf numFmtId="0" fontId="0" fillId="35" borderId="12" xfId="0" applyFill="1" applyBorder="1" applyAlignment="1" applyProtection="1">
      <alignment horizontal="right"/>
      <protection locked="0"/>
    </xf>
    <xf numFmtId="175" fontId="0" fillId="35" borderId="14" xfId="42" applyNumberFormat="1" applyFont="1" applyFill="1" applyBorder="1" applyAlignment="1" applyProtection="1">
      <alignment horizontal="right"/>
      <protection/>
    </xf>
    <xf numFmtId="0" fontId="9" fillId="35" borderId="14" xfId="0" applyFont="1" applyFill="1" applyBorder="1" applyAlignment="1" applyProtection="1">
      <alignment horizontal="right" wrapText="1"/>
      <protection locked="0"/>
    </xf>
    <xf numFmtId="175" fontId="0" fillId="35" borderId="14" xfId="42" applyNumberFormat="1" applyFont="1" applyFill="1" applyBorder="1" applyAlignment="1" applyProtection="1">
      <alignment horizontal="right"/>
      <protection locked="0"/>
    </xf>
    <xf numFmtId="0" fontId="0" fillId="36" borderId="13" xfId="0" applyFill="1" applyBorder="1" applyAlignment="1" applyProtection="1">
      <alignment horizontal="center" wrapText="1"/>
      <protection locked="0"/>
    </xf>
    <xf numFmtId="0" fontId="0" fillId="36" borderId="12" xfId="0" applyFill="1" applyBorder="1" applyAlignment="1" applyProtection="1">
      <alignment horizontal="center" wrapText="1"/>
      <protection locked="0"/>
    </xf>
    <xf numFmtId="0" fontId="0" fillId="36" borderId="16" xfId="0" applyFill="1" applyBorder="1" applyAlignment="1" applyProtection="1">
      <alignment horizontal="centerContinuous"/>
      <protection locked="0"/>
    </xf>
    <xf numFmtId="0" fontId="0" fillId="36" borderId="11" xfId="0" applyFill="1" applyBorder="1" applyAlignment="1" applyProtection="1">
      <alignment horizontal="centerContinuous"/>
      <protection locked="0"/>
    </xf>
    <xf numFmtId="0" fontId="0" fillId="36" borderId="14" xfId="0" applyFill="1" applyBorder="1" applyAlignment="1" applyProtection="1">
      <alignment horizontal="center" wrapText="1"/>
      <protection locked="0"/>
    </xf>
    <xf numFmtId="178" fontId="3" fillId="36" borderId="15" xfId="42" applyNumberFormat="1" applyFont="1" applyFill="1" applyBorder="1" applyAlignment="1" applyProtection="1">
      <alignment/>
      <protection locked="0"/>
    </xf>
    <xf numFmtId="179" fontId="3" fillId="36" borderId="14" xfId="42" applyNumberFormat="1" applyFont="1" applyFill="1" applyBorder="1" applyAlignment="1" applyProtection="1">
      <alignment/>
      <protection locked="0"/>
    </xf>
    <xf numFmtId="7" fontId="0" fillId="36" borderId="16" xfId="0" applyNumberFormat="1" applyFill="1" applyBorder="1" applyAlignment="1" applyProtection="1">
      <alignment horizontal="right"/>
      <protection/>
    </xf>
    <xf numFmtId="0" fontId="0" fillId="36" borderId="11" xfId="0" applyFill="1" applyBorder="1" applyAlignment="1" applyProtection="1">
      <alignment horizontal="left"/>
      <protection locked="0"/>
    </xf>
    <xf numFmtId="172" fontId="0" fillId="36" borderId="14" xfId="0" applyNumberFormat="1" applyFill="1" applyBorder="1" applyAlignment="1" applyProtection="1">
      <alignment/>
      <protection/>
    </xf>
    <xf numFmtId="0" fontId="0" fillId="36" borderId="14" xfId="0" applyFill="1" applyBorder="1" applyAlignment="1" applyProtection="1">
      <alignment/>
      <protection locked="0"/>
    </xf>
    <xf numFmtId="179" fontId="0" fillId="36" borderId="14" xfId="42" applyNumberFormat="1" applyFont="1" applyFill="1" applyBorder="1" applyAlignment="1" applyProtection="1">
      <alignment/>
      <protection/>
    </xf>
    <xf numFmtId="0" fontId="0" fillId="36" borderId="19" xfId="0" applyFill="1" applyBorder="1" applyAlignment="1" applyProtection="1">
      <alignment/>
      <protection locked="0"/>
    </xf>
    <xf numFmtId="0" fontId="0" fillId="36" borderId="10" xfId="0" applyFill="1" applyBorder="1" applyAlignment="1" applyProtection="1">
      <alignment/>
      <protection locked="0"/>
    </xf>
    <xf numFmtId="0" fontId="0" fillId="36" borderId="14" xfId="0" applyFill="1" applyBorder="1" applyAlignment="1" applyProtection="1">
      <alignment/>
      <protection locked="0"/>
    </xf>
    <xf numFmtId="0" fontId="0" fillId="36" borderId="15" xfId="0" applyFill="1" applyBorder="1" applyAlignment="1" applyProtection="1">
      <alignment/>
      <protection locked="0"/>
    </xf>
    <xf numFmtId="196" fontId="0" fillId="0" borderId="0" xfId="0" applyNumberFormat="1" applyFont="1" applyFill="1" applyBorder="1" applyAlignment="1" applyProtection="1">
      <alignment horizontal="right"/>
      <protection/>
    </xf>
    <xf numFmtId="197" fontId="0" fillId="0" borderId="0" xfId="0" applyNumberFormat="1" applyAlignment="1" applyProtection="1">
      <alignment/>
      <protection locked="0"/>
    </xf>
    <xf numFmtId="7" fontId="0" fillId="0" borderId="0" xfId="0" applyNumberFormat="1" applyAlignment="1" applyProtection="1">
      <alignment/>
      <protection locked="0"/>
    </xf>
    <xf numFmtId="0" fontId="0" fillId="0" borderId="0" xfId="0" applyBorder="1" applyAlignment="1" applyProtection="1">
      <alignment horizontal="right" wrapText="1"/>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wrapText="1"/>
      <protection locked="0"/>
    </xf>
    <xf numFmtId="0" fontId="0" fillId="0" borderId="0" xfId="0" applyFill="1" applyBorder="1" applyAlignment="1" applyProtection="1">
      <alignment horizontal="right"/>
      <protection locked="0"/>
    </xf>
    <xf numFmtId="3" fontId="3" fillId="0" borderId="0" xfId="42" applyNumberFormat="1" applyFont="1" applyFill="1" applyBorder="1" applyAlignment="1" applyProtection="1">
      <alignment horizontal="center"/>
      <protection locked="0"/>
    </xf>
    <xf numFmtId="37" fontId="0" fillId="36" borderId="14" xfId="0" applyNumberFormat="1" applyFill="1" applyBorder="1" applyAlignment="1" applyProtection="1">
      <alignment/>
      <protection/>
    </xf>
    <xf numFmtId="0" fontId="0" fillId="33" borderId="17" xfId="0" applyFill="1" applyBorder="1" applyAlignment="1" applyProtection="1">
      <alignment/>
      <protection locked="0"/>
    </xf>
    <xf numFmtId="178" fontId="3" fillId="33" borderId="18" xfId="42" applyNumberFormat="1" applyFont="1" applyFill="1" applyBorder="1" applyAlignment="1" applyProtection="1">
      <alignment/>
      <protection locked="0"/>
    </xf>
    <xf numFmtId="179" fontId="3" fillId="33" borderId="18" xfId="42" applyNumberFormat="1" applyFont="1" applyFill="1" applyBorder="1" applyAlignment="1" applyProtection="1">
      <alignment/>
      <protection locked="0"/>
    </xf>
    <xf numFmtId="178" fontId="3" fillId="33" borderId="0" xfId="42" applyNumberFormat="1" applyFont="1" applyFill="1" applyBorder="1" applyAlignment="1" applyProtection="1">
      <alignment/>
      <protection locked="0"/>
    </xf>
    <xf numFmtId="172" fontId="0" fillId="0" borderId="14" xfId="0" applyNumberFormat="1" applyFont="1" applyBorder="1" applyAlignment="1" applyProtection="1">
      <alignment/>
      <protection/>
    </xf>
    <xf numFmtId="186" fontId="0" fillId="0" borderId="14" xfId="0" applyNumberFormat="1" applyFont="1" applyBorder="1" applyAlignment="1" applyProtection="1">
      <alignment/>
      <protection/>
    </xf>
    <xf numFmtId="43" fontId="0" fillId="0" borderId="0" xfId="42" applyFont="1" applyAlignment="1" applyProtection="1">
      <alignment/>
      <protection locked="0"/>
    </xf>
    <xf numFmtId="0" fontId="3" fillId="0" borderId="10" xfId="0" applyFont="1" applyBorder="1" applyAlignment="1" applyProtection="1">
      <alignment/>
      <protection locked="0"/>
    </xf>
    <xf numFmtId="197" fontId="0" fillId="0" borderId="0" xfId="0" applyNumberFormat="1" applyFont="1" applyAlignment="1" applyProtection="1">
      <alignment/>
      <protection locked="0"/>
    </xf>
    <xf numFmtId="9" fontId="13" fillId="34" borderId="14" xfId="0" applyNumberFormat="1" applyFont="1" applyFill="1" applyBorder="1" applyAlignment="1" applyProtection="1">
      <alignment/>
      <protection locked="0"/>
    </xf>
    <xf numFmtId="0" fontId="0" fillId="34" borderId="16" xfId="0" applyFill="1" applyBorder="1" applyAlignment="1" applyProtection="1">
      <alignment/>
      <protection locked="0"/>
    </xf>
    <xf numFmtId="0" fontId="0" fillId="34" borderId="11" xfId="0" applyFill="1" applyBorder="1" applyAlignment="1" applyProtection="1">
      <alignment/>
      <protection locked="0"/>
    </xf>
    <xf numFmtId="3" fontId="13" fillId="35" borderId="14" xfId="0" applyNumberFormat="1" applyFont="1" applyFill="1" applyBorder="1" applyAlignment="1" applyProtection="1">
      <alignment horizontal="center" vertical="center" wrapText="1"/>
      <protection locked="0"/>
    </xf>
    <xf numFmtId="3" fontId="13" fillId="34" borderId="14" xfId="0" applyNumberFormat="1" applyFont="1" applyFill="1" applyBorder="1" applyAlignment="1" applyProtection="1">
      <alignment horizontal="center" vertical="center" wrapText="1"/>
      <protection locked="0"/>
    </xf>
    <xf numFmtId="3" fontId="13" fillId="36" borderId="14" xfId="0" applyNumberFormat="1" applyFont="1" applyFill="1" applyBorder="1" applyAlignment="1" applyProtection="1">
      <alignment horizontal="center" vertical="center" wrapText="1"/>
      <protection locked="0"/>
    </xf>
    <xf numFmtId="3" fontId="13" fillId="36" borderId="21" xfId="0" applyNumberFormat="1" applyFont="1" applyFill="1" applyBorder="1" applyAlignment="1" applyProtection="1">
      <alignment horizontal="center" vertical="center" wrapText="1"/>
      <protection locked="0"/>
    </xf>
    <xf numFmtId="178" fontId="3" fillId="37" borderId="14" xfId="42" applyNumberFormat="1" applyFont="1" applyFill="1" applyBorder="1" applyAlignment="1" applyProtection="1">
      <alignment vertical="center"/>
      <protection locked="0"/>
    </xf>
    <xf numFmtId="178" fontId="3" fillId="35" borderId="14" xfId="0" applyNumberFormat="1" applyFont="1" applyFill="1" applyBorder="1" applyAlignment="1" applyProtection="1">
      <alignment horizontal="right" vertical="center" wrapText="1"/>
      <protection locked="0"/>
    </xf>
    <xf numFmtId="178" fontId="3" fillId="34" borderId="14" xfId="0" applyNumberFormat="1" applyFont="1" applyFill="1" applyBorder="1" applyAlignment="1" applyProtection="1">
      <alignment horizontal="right" vertical="center" wrapText="1"/>
      <protection locked="0"/>
    </xf>
    <xf numFmtId="178" fontId="3" fillId="35" borderId="16" xfId="0" applyNumberFormat="1" applyFont="1" applyFill="1" applyBorder="1" applyAlignment="1" applyProtection="1">
      <alignment horizontal="right" vertical="center" wrapText="1"/>
      <protection locked="0"/>
    </xf>
    <xf numFmtId="178" fontId="3" fillId="34" borderId="16" xfId="0" applyNumberFormat="1" applyFont="1" applyFill="1" applyBorder="1" applyAlignment="1" applyProtection="1">
      <alignment horizontal="right" vertical="center" wrapText="1"/>
      <protection locked="0"/>
    </xf>
    <xf numFmtId="0" fontId="0" fillId="38" borderId="14" xfId="0" applyFill="1" applyBorder="1" applyAlignment="1" applyProtection="1">
      <alignment horizontal="center" wrapText="1"/>
      <protection locked="0"/>
    </xf>
    <xf numFmtId="0" fontId="0" fillId="38" borderId="12" xfId="0" applyFill="1" applyBorder="1" applyAlignment="1" applyProtection="1">
      <alignment horizontal="center" wrapText="1"/>
      <protection locked="0"/>
    </xf>
    <xf numFmtId="0" fontId="13" fillId="38" borderId="15" xfId="0" applyFont="1" applyFill="1" applyBorder="1" applyAlignment="1" applyProtection="1">
      <alignment/>
      <protection locked="0"/>
    </xf>
    <xf numFmtId="186" fontId="3" fillId="38" borderId="15" xfId="42" applyNumberFormat="1" applyFont="1" applyFill="1" applyBorder="1" applyAlignment="1" applyProtection="1">
      <alignment/>
      <protection locked="0"/>
    </xf>
    <xf numFmtId="0" fontId="13" fillId="38" borderId="15" xfId="0" applyFont="1" applyFill="1" applyBorder="1" applyAlignment="1" applyProtection="1">
      <alignment wrapText="1"/>
      <protection locked="0"/>
    </xf>
    <xf numFmtId="0" fontId="0" fillId="39" borderId="14" xfId="0" applyFill="1" applyBorder="1" applyAlignment="1" applyProtection="1">
      <alignment horizontal="center" wrapText="1"/>
      <protection locked="0"/>
    </xf>
    <xf numFmtId="0" fontId="1" fillId="39" borderId="21" xfId="0" applyFont="1" applyFill="1" applyBorder="1" applyAlignment="1" applyProtection="1">
      <alignment/>
      <protection locked="0"/>
    </xf>
    <xf numFmtId="0" fontId="0" fillId="39" borderId="15" xfId="0" applyFill="1" applyBorder="1" applyAlignment="1" applyProtection="1">
      <alignment horizontal="centerContinuous"/>
      <protection locked="0"/>
    </xf>
    <xf numFmtId="0" fontId="0" fillId="39" borderId="14" xfId="0" applyFill="1" applyBorder="1" applyAlignment="1" applyProtection="1">
      <alignment horizontal="centerContinuous"/>
      <protection locked="0"/>
    </xf>
    <xf numFmtId="0" fontId="0" fillId="39" borderId="12" xfId="0" applyFill="1" applyBorder="1" applyAlignment="1" applyProtection="1">
      <alignment horizontal="center"/>
      <protection locked="0"/>
    </xf>
    <xf numFmtId="0" fontId="0" fillId="39" borderId="15" xfId="0" applyFill="1" applyBorder="1" applyAlignment="1" applyProtection="1">
      <alignment horizontal="center" wrapText="1"/>
      <protection locked="0"/>
    </xf>
    <xf numFmtId="178" fontId="3" fillId="36" borderId="14" xfId="42" applyNumberFormat="1" applyFont="1" applyFill="1" applyBorder="1" applyAlignment="1" applyProtection="1">
      <alignment/>
      <protection locked="0"/>
    </xf>
    <xf numFmtId="178" fontId="0" fillId="0" borderId="14" xfId="42" applyNumberFormat="1"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0" fillId="0" borderId="0" xfId="0" applyFill="1" applyBorder="1" applyAlignment="1" applyProtection="1">
      <alignment horizontal="centerContinuous"/>
      <protection locked="0"/>
    </xf>
    <xf numFmtId="0" fontId="0" fillId="0" borderId="14" xfId="0" applyFill="1" applyBorder="1" applyAlignment="1" applyProtection="1">
      <alignment horizontal="centerContinuous" wrapText="1"/>
      <protection locked="0"/>
    </xf>
    <xf numFmtId="9" fontId="0" fillId="40" borderId="14" xfId="0" applyNumberFormat="1" applyFont="1" applyFill="1" applyBorder="1" applyAlignment="1" applyProtection="1">
      <alignment/>
      <protection locked="0"/>
    </xf>
    <xf numFmtId="0" fontId="0" fillId="33" borderId="17" xfId="0" applyFont="1" applyFill="1" applyBorder="1" applyAlignment="1" applyProtection="1">
      <alignment/>
      <protection locked="0"/>
    </xf>
    <xf numFmtId="178" fontId="0" fillId="33" borderId="18" xfId="42" applyNumberFormat="1" applyFont="1" applyFill="1" applyBorder="1" applyAlignment="1" applyProtection="1">
      <alignment/>
      <protection locked="0"/>
    </xf>
    <xf numFmtId="179" fontId="0" fillId="33" borderId="18" xfId="42" applyNumberFormat="1" applyFont="1" applyFill="1" applyBorder="1" applyAlignment="1" applyProtection="1">
      <alignment/>
      <protection locked="0"/>
    </xf>
    <xf numFmtId="178" fontId="0" fillId="33" borderId="0" xfId="42" applyNumberFormat="1" applyFont="1" applyFill="1" applyBorder="1" applyAlignment="1" applyProtection="1">
      <alignment/>
      <protection locked="0"/>
    </xf>
    <xf numFmtId="0" fontId="0" fillId="33" borderId="18" xfId="0" applyFill="1" applyBorder="1" applyAlignment="1" applyProtection="1">
      <alignment/>
      <protection locked="0"/>
    </xf>
    <xf numFmtId="0" fontId="2" fillId="0" borderId="0" xfId="0" applyFont="1" applyAlignment="1">
      <alignment horizontal="centerContinuous"/>
    </xf>
    <xf numFmtId="0" fontId="1" fillId="0" borderId="0" xfId="0" applyFont="1" applyAlignment="1">
      <alignment horizontal="centerContinuous"/>
    </xf>
    <xf numFmtId="3" fontId="0" fillId="35" borderId="14" xfId="0" applyNumberFormat="1" applyFill="1" applyBorder="1" applyAlignment="1" applyProtection="1">
      <alignment horizontal="center" vertical="center" wrapText="1"/>
      <protection/>
    </xf>
    <xf numFmtId="178" fontId="0" fillId="35" borderId="14" xfId="0" applyNumberFormat="1" applyFill="1" applyBorder="1" applyAlignment="1" applyProtection="1">
      <alignment horizontal="right" vertical="center" wrapText="1"/>
      <protection/>
    </xf>
    <xf numFmtId="3" fontId="0" fillId="34" borderId="14" xfId="42" applyNumberFormat="1" applyFont="1" applyFill="1" applyBorder="1" applyAlignment="1" applyProtection="1">
      <alignment horizontal="center"/>
      <protection/>
    </xf>
    <xf numFmtId="178" fontId="0" fillId="34" borderId="14" xfId="42" applyNumberFormat="1" applyFont="1" applyFill="1" applyBorder="1" applyAlignment="1" applyProtection="1">
      <alignment horizontal="right"/>
      <protection/>
    </xf>
    <xf numFmtId="178" fontId="3" fillId="0" borderId="0" xfId="42" applyNumberFormat="1" applyFont="1" applyFill="1" applyBorder="1" applyAlignment="1" applyProtection="1">
      <alignment horizontal="right"/>
      <protection/>
    </xf>
    <xf numFmtId="3" fontId="0" fillId="36" borderId="14" xfId="42" applyNumberFormat="1" applyFont="1" applyFill="1" applyBorder="1" applyAlignment="1" applyProtection="1">
      <alignment horizontal="center"/>
      <protection/>
    </xf>
    <xf numFmtId="178" fontId="0" fillId="36" borderId="14" xfId="42" applyNumberFormat="1" applyFont="1" applyFill="1" applyBorder="1" applyAlignment="1" applyProtection="1">
      <alignment horizontal="right"/>
      <protection/>
    </xf>
    <xf numFmtId="3" fontId="0" fillId="0" borderId="14" xfId="42" applyNumberFormat="1" applyFont="1" applyFill="1" applyBorder="1" applyAlignment="1" applyProtection="1">
      <alignment horizontal="center"/>
      <protection/>
    </xf>
    <xf numFmtId="178" fontId="0" fillId="0" borderId="14" xfId="42" applyNumberFormat="1" applyFont="1" applyFill="1" applyBorder="1" applyAlignment="1" applyProtection="1">
      <alignment horizontal="right"/>
      <protection/>
    </xf>
    <xf numFmtId="178" fontId="0" fillId="37" borderId="14" xfId="0" applyNumberFormat="1" applyFill="1" applyBorder="1" applyAlignment="1" applyProtection="1">
      <alignment vertical="center"/>
      <protection/>
    </xf>
    <xf numFmtId="178" fontId="0" fillId="35" borderId="14" xfId="0" applyNumberFormat="1" applyFill="1" applyBorder="1" applyAlignment="1" applyProtection="1">
      <alignment/>
      <protection/>
    </xf>
    <xf numFmtId="178" fontId="0" fillId="34" borderId="14" xfId="0" applyNumberFormat="1" applyFill="1" applyBorder="1" applyAlignment="1" applyProtection="1">
      <alignment/>
      <protection/>
    </xf>
    <xf numFmtId="178" fontId="0" fillId="0" borderId="14" xfId="0" applyNumberFormat="1" applyFont="1" applyBorder="1" applyAlignment="1" applyProtection="1">
      <alignment/>
      <protection/>
    </xf>
    <xf numFmtId="178" fontId="0" fillId="34" borderId="15" xfId="42" applyNumberFormat="1" applyFont="1" applyFill="1" applyBorder="1" applyAlignment="1" applyProtection="1">
      <alignment/>
      <protection/>
    </xf>
    <xf numFmtId="0" fontId="15" fillId="0" borderId="0" xfId="0" applyFont="1" applyAlignment="1" applyProtection="1">
      <alignment horizontal="right" wrapText="1" indent="1"/>
      <protection/>
    </xf>
    <xf numFmtId="0" fontId="15" fillId="0" borderId="0" xfId="0" applyFont="1" applyAlignment="1" applyProtection="1">
      <alignment/>
      <protection/>
    </xf>
    <xf numFmtId="0" fontId="16" fillId="0" borderId="0" xfId="0" applyFont="1" applyAlignment="1" applyProtection="1">
      <alignment/>
      <protection/>
    </xf>
    <xf numFmtId="0" fontId="1" fillId="0" borderId="0" xfId="0" applyFont="1" applyAlignment="1" applyProtection="1">
      <alignment horizontal="right" indent="1"/>
      <protection/>
    </xf>
    <xf numFmtId="0" fontId="1" fillId="0" borderId="0" xfId="0" applyFont="1" applyAlignment="1" applyProtection="1">
      <alignment/>
      <protection/>
    </xf>
    <xf numFmtId="0" fontId="0" fillId="0" borderId="0" xfId="0" applyAlignment="1" applyProtection="1">
      <alignment/>
      <protection/>
    </xf>
    <xf numFmtId="0" fontId="14" fillId="35" borderId="14" xfId="0" applyFont="1" applyFill="1" applyBorder="1" applyAlignment="1" applyProtection="1">
      <alignment horizontal="center" vertical="center"/>
      <protection/>
    </xf>
    <xf numFmtId="0" fontId="0" fillId="35" borderId="14" xfId="0" applyFill="1" applyBorder="1" applyAlignment="1" applyProtection="1">
      <alignment horizontal="center" wrapText="1"/>
      <protection/>
    </xf>
    <xf numFmtId="0" fontId="0" fillId="35" borderId="14" xfId="0" applyFill="1" applyBorder="1" applyAlignment="1" applyProtection="1">
      <alignment wrapText="1"/>
      <protection/>
    </xf>
    <xf numFmtId="3" fontId="0" fillId="35" borderId="14" xfId="0" applyNumberFormat="1" applyFill="1" applyBorder="1" applyAlignment="1" applyProtection="1">
      <alignment/>
      <protection/>
    </xf>
    <xf numFmtId="186" fontId="1" fillId="35" borderId="14" xfId="0" applyNumberFormat="1" applyFont="1" applyFill="1" applyBorder="1" applyAlignment="1" applyProtection="1">
      <alignment/>
      <protection/>
    </xf>
    <xf numFmtId="186" fontId="0" fillId="35" borderId="14" xfId="0" applyNumberFormat="1" applyFill="1" applyBorder="1" applyAlignment="1" applyProtection="1">
      <alignment/>
      <protection/>
    </xf>
    <xf numFmtId="0" fontId="1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0" fillId="37" borderId="14" xfId="0" applyFill="1" applyBorder="1" applyAlignment="1" applyProtection="1">
      <alignment wrapText="1"/>
      <protection/>
    </xf>
    <xf numFmtId="178" fontId="0" fillId="37" borderId="14" xfId="0" applyNumberFormat="1" applyFill="1" applyBorder="1" applyAlignment="1" applyProtection="1">
      <alignment/>
      <protection/>
    </xf>
    <xf numFmtId="186" fontId="1" fillId="37" borderId="14" xfId="0" applyNumberFormat="1" applyFont="1" applyFill="1" applyBorder="1" applyAlignment="1" applyProtection="1">
      <alignment/>
      <protection/>
    </xf>
    <xf numFmtId="186" fontId="0" fillId="37" borderId="14" xfId="0" applyNumberFormat="1" applyFill="1" applyBorder="1" applyAlignment="1" applyProtection="1">
      <alignment/>
      <protection/>
    </xf>
    <xf numFmtId="0" fontId="14" fillId="34" borderId="14" xfId="0" applyFont="1" applyFill="1" applyBorder="1" applyAlignment="1" applyProtection="1">
      <alignment horizontal="center" vertical="center"/>
      <protection/>
    </xf>
    <xf numFmtId="0" fontId="0" fillId="34" borderId="14" xfId="0" applyFill="1" applyBorder="1" applyAlignment="1" applyProtection="1">
      <alignment horizontal="center" wrapText="1"/>
      <protection/>
    </xf>
    <xf numFmtId="0" fontId="0" fillId="34" borderId="14" xfId="0" applyFill="1" applyBorder="1" applyAlignment="1" applyProtection="1">
      <alignment horizontal="center" vertical="center" wrapText="1"/>
      <protection/>
    </xf>
    <xf numFmtId="0" fontId="0" fillId="34" borderId="14" xfId="0" applyFill="1" applyBorder="1" applyAlignment="1" applyProtection="1">
      <alignment wrapText="1"/>
      <protection/>
    </xf>
    <xf numFmtId="178" fontId="1" fillId="34" borderId="14" xfId="0" applyNumberFormat="1" applyFont="1" applyFill="1" applyBorder="1" applyAlignment="1" applyProtection="1">
      <alignment/>
      <protection/>
    </xf>
    <xf numFmtId="0" fontId="14" fillId="38" borderId="14" xfId="0" applyFont="1" applyFill="1" applyBorder="1" applyAlignment="1" applyProtection="1">
      <alignment horizontal="center" vertical="center"/>
      <protection/>
    </xf>
    <xf numFmtId="0" fontId="0" fillId="38" borderId="14" xfId="0" applyFill="1" applyBorder="1" applyAlignment="1" applyProtection="1">
      <alignment horizontal="center" vertical="center" wrapText="1"/>
      <protection/>
    </xf>
    <xf numFmtId="0" fontId="0" fillId="38" borderId="14" xfId="0" applyFill="1" applyBorder="1" applyAlignment="1" applyProtection="1">
      <alignment vertical="center" wrapText="1"/>
      <protection/>
    </xf>
    <xf numFmtId="186" fontId="0" fillId="38" borderId="14" xfId="0" applyNumberFormat="1" applyFill="1" applyBorder="1" applyAlignment="1" applyProtection="1">
      <alignment horizontal="center" vertical="center" wrapText="1"/>
      <protection/>
    </xf>
    <xf numFmtId="0" fontId="14" fillId="40" borderId="14" xfId="0" applyFont="1" applyFill="1" applyBorder="1" applyAlignment="1" applyProtection="1">
      <alignment horizontal="center" vertical="center" wrapText="1"/>
      <protection/>
    </xf>
    <xf numFmtId="0" fontId="0" fillId="40" borderId="14" xfId="0" applyFill="1" applyBorder="1" applyAlignment="1" applyProtection="1">
      <alignment horizontal="centerContinuous" wrapText="1"/>
      <protection/>
    </xf>
    <xf numFmtId="0" fontId="0" fillId="40" borderId="14" xfId="0" applyFill="1" applyBorder="1" applyAlignment="1" applyProtection="1">
      <alignment horizontal="center" vertical="center" wrapText="1"/>
      <protection/>
    </xf>
    <xf numFmtId="0" fontId="0" fillId="40" borderId="16" xfId="0" applyFill="1" applyBorder="1" applyAlignment="1" applyProtection="1">
      <alignment horizontal="left" wrapText="1"/>
      <protection/>
    </xf>
    <xf numFmtId="9" fontId="1" fillId="40" borderId="14" xfId="0" applyNumberFormat="1" applyFont="1" applyFill="1" applyBorder="1" applyAlignment="1" applyProtection="1">
      <alignment/>
      <protection/>
    </xf>
    <xf numFmtId="9" fontId="0" fillId="40" borderId="14" xfId="0" applyNumberFormat="1" applyFont="1" applyFill="1" applyBorder="1" applyAlignment="1" applyProtection="1">
      <alignment horizontal="right"/>
      <protection/>
    </xf>
    <xf numFmtId="0" fontId="14" fillId="36" borderId="14" xfId="0" applyFont="1" applyFill="1" applyBorder="1" applyAlignment="1" applyProtection="1">
      <alignment horizontal="center" vertical="center"/>
      <protection/>
    </xf>
    <xf numFmtId="0" fontId="0" fillId="36" borderId="21" xfId="0" applyFill="1" applyBorder="1" applyAlignment="1" applyProtection="1">
      <alignment horizontal="center" wrapText="1"/>
      <protection/>
    </xf>
    <xf numFmtId="0" fontId="0" fillId="36" borderId="14" xfId="0" applyFill="1" applyBorder="1" applyAlignment="1" applyProtection="1">
      <alignment wrapText="1"/>
      <protection/>
    </xf>
    <xf numFmtId="179" fontId="0" fillId="36" borderId="14" xfId="0" applyNumberFormat="1" applyFill="1" applyBorder="1" applyAlignment="1" applyProtection="1">
      <alignment/>
      <protection/>
    </xf>
    <xf numFmtId="178" fontId="0" fillId="36" borderId="14" xfId="0" applyNumberFormat="1" applyFill="1" applyBorder="1" applyAlignment="1" applyProtection="1">
      <alignment/>
      <protection/>
    </xf>
    <xf numFmtId="0" fontId="0" fillId="36" borderId="14" xfId="0" applyFill="1" applyBorder="1" applyAlignment="1" applyProtection="1">
      <alignment horizontal="left" vertical="center" wrapText="1"/>
      <protection/>
    </xf>
    <xf numFmtId="0" fontId="0" fillId="36" borderId="14" xfId="0" applyFill="1" applyBorder="1" applyAlignment="1" applyProtection="1">
      <alignment horizontal="right"/>
      <protection/>
    </xf>
    <xf numFmtId="0" fontId="0" fillId="0" borderId="0" xfId="0" applyBorder="1" applyAlignment="1" applyProtection="1">
      <alignment horizontal="right"/>
      <protection/>
    </xf>
    <xf numFmtId="179" fontId="0" fillId="0" borderId="0" xfId="0" applyNumberFormat="1" applyBorder="1" applyAlignment="1" applyProtection="1">
      <alignment/>
      <protection/>
    </xf>
    <xf numFmtId="178" fontId="0" fillId="0" borderId="0" xfId="0" applyNumberFormat="1" applyBorder="1" applyAlignment="1" applyProtection="1">
      <alignment/>
      <protection/>
    </xf>
    <xf numFmtId="0" fontId="0" fillId="36" borderId="14" xfId="0" applyFill="1" applyBorder="1" applyAlignment="1" applyProtection="1">
      <alignment horizontal="center"/>
      <protection/>
    </xf>
    <xf numFmtId="186" fontId="0" fillId="36" borderId="14" xfId="0" applyNumberFormat="1" applyFill="1" applyBorder="1" applyAlignment="1" applyProtection="1">
      <alignment/>
      <protection/>
    </xf>
    <xf numFmtId="3" fontId="0" fillId="38" borderId="14" xfId="0" applyNumberFormat="1" applyFont="1" applyFill="1" applyBorder="1" applyAlignment="1" applyProtection="1">
      <alignment horizontal="right"/>
      <protection/>
    </xf>
    <xf numFmtId="186" fontId="0" fillId="38" borderId="14" xfId="0" applyNumberFormat="1" applyFont="1" applyFill="1" applyBorder="1" applyAlignment="1" applyProtection="1">
      <alignment horizontal="right"/>
      <protection/>
    </xf>
    <xf numFmtId="9" fontId="0" fillId="38" borderId="14" xfId="0" applyNumberFormat="1" applyFont="1" applyFill="1" applyBorder="1" applyAlignment="1" applyProtection="1">
      <alignment horizontal="right"/>
      <protection/>
    </xf>
    <xf numFmtId="186" fontId="0" fillId="34" borderId="14" xfId="0" applyNumberFormat="1" applyFont="1" applyFill="1" applyBorder="1" applyAlignment="1" applyProtection="1">
      <alignment horizontal="right" wrapText="1"/>
      <protection/>
    </xf>
    <xf numFmtId="179" fontId="3" fillId="35" borderId="14" xfId="42" applyNumberFormat="1" applyFont="1" applyFill="1" applyBorder="1" applyAlignment="1" applyProtection="1">
      <alignment vertical="center"/>
      <protection locked="0"/>
    </xf>
    <xf numFmtId="179" fontId="3" fillId="34" borderId="14" xfId="42" applyNumberFormat="1" applyFont="1" applyFill="1" applyBorder="1" applyAlignment="1" applyProtection="1">
      <alignment vertical="center"/>
      <protection locked="0"/>
    </xf>
    <xf numFmtId="179" fontId="3" fillId="36" borderId="14" xfId="42" applyNumberFormat="1" applyFont="1" applyFill="1" applyBorder="1" applyAlignment="1" applyProtection="1">
      <alignment vertical="center"/>
      <protection locked="0"/>
    </xf>
    <xf numFmtId="178" fontId="3" fillId="41" borderId="14" xfId="0" applyNumberFormat="1" applyFont="1" applyFill="1" applyBorder="1" applyAlignment="1" applyProtection="1">
      <alignment horizontal="right" vertical="center" wrapText="1"/>
      <protection locked="0"/>
    </xf>
    <xf numFmtId="178" fontId="3" fillId="41" borderId="22" xfId="0" applyNumberFormat="1" applyFont="1" applyFill="1" applyBorder="1" applyAlignment="1" applyProtection="1">
      <alignment horizontal="right" vertical="center" wrapText="1"/>
      <protection locked="0"/>
    </xf>
    <xf numFmtId="178" fontId="3" fillId="41" borderId="16" xfId="0" applyNumberFormat="1" applyFont="1" applyFill="1" applyBorder="1" applyAlignment="1" applyProtection="1">
      <alignment horizontal="right" vertical="center" wrapText="1"/>
      <protection locked="0"/>
    </xf>
    <xf numFmtId="179" fontId="3" fillId="41" borderId="14" xfId="42" applyNumberFormat="1" applyFont="1" applyFill="1" applyBorder="1" applyAlignment="1" applyProtection="1">
      <alignment vertical="center"/>
      <protection locked="0"/>
    </xf>
    <xf numFmtId="0" fontId="3" fillId="41" borderId="14" xfId="0" applyFont="1" applyFill="1" applyBorder="1" applyAlignment="1" applyProtection="1">
      <alignment horizontal="center" vertical="center"/>
      <protection locked="0"/>
    </xf>
    <xf numFmtId="178" fontId="3" fillId="42" borderId="22" xfId="0" applyNumberFormat="1" applyFont="1" applyFill="1" applyBorder="1" applyAlignment="1" applyProtection="1">
      <alignment horizontal="right" vertical="center" wrapText="1"/>
      <protection locked="0"/>
    </xf>
    <xf numFmtId="178" fontId="3" fillId="42" borderId="14" xfId="0" applyNumberFormat="1" applyFont="1" applyFill="1" applyBorder="1" applyAlignment="1" applyProtection="1">
      <alignment horizontal="right" vertical="center" wrapText="1"/>
      <protection locked="0"/>
    </xf>
    <xf numFmtId="178" fontId="3" fillId="42" borderId="16" xfId="0" applyNumberFormat="1" applyFont="1" applyFill="1" applyBorder="1" applyAlignment="1" applyProtection="1">
      <alignment horizontal="right" vertical="center" wrapText="1"/>
      <protection locked="0"/>
    </xf>
    <xf numFmtId="179" fontId="3" fillId="42" borderId="14" xfId="42" applyNumberFormat="1" applyFont="1" applyFill="1" applyBorder="1" applyAlignment="1" applyProtection="1">
      <alignment vertical="center"/>
      <protection locked="0"/>
    </xf>
    <xf numFmtId="0" fontId="3" fillId="42" borderId="14" xfId="0" applyFont="1" applyFill="1" applyBorder="1" applyAlignment="1" applyProtection="1">
      <alignment horizontal="center" vertical="center"/>
      <protection locked="0"/>
    </xf>
    <xf numFmtId="0" fontId="0" fillId="35" borderId="11" xfId="0" applyFill="1" applyBorder="1" applyAlignment="1" applyProtection="1" quotePrefix="1">
      <alignment horizontal="left"/>
      <protection locked="0"/>
    </xf>
    <xf numFmtId="179" fontId="0" fillId="35" borderId="14" xfId="0" applyNumberFormat="1" applyFont="1" applyFill="1" applyBorder="1" applyAlignment="1" applyProtection="1">
      <alignment horizontal="right"/>
      <protection/>
    </xf>
    <xf numFmtId="179" fontId="0" fillId="34" borderId="14" xfId="0" applyNumberFormat="1" applyFont="1" applyFill="1" applyBorder="1" applyAlignment="1" applyProtection="1">
      <alignment horizontal="right"/>
      <protection/>
    </xf>
    <xf numFmtId="179" fontId="0" fillId="36" borderId="14" xfId="0" applyNumberFormat="1" applyFont="1" applyFill="1" applyBorder="1" applyAlignment="1" applyProtection="1">
      <alignment horizontal="right"/>
      <protection/>
    </xf>
    <xf numFmtId="178" fontId="0" fillId="35" borderId="15" xfId="42" applyNumberFormat="1" applyFont="1" applyFill="1" applyBorder="1" applyAlignment="1" applyProtection="1">
      <alignment/>
      <protection/>
    </xf>
    <xf numFmtId="179" fontId="0" fillId="35" borderId="14" xfId="42" applyNumberFormat="1" applyFont="1" applyFill="1" applyBorder="1" applyAlignment="1" applyProtection="1">
      <alignment/>
      <protection/>
    </xf>
    <xf numFmtId="179" fontId="0" fillId="34" borderId="14" xfId="42" applyNumberFormat="1" applyFont="1" applyFill="1" applyBorder="1" applyAlignment="1" applyProtection="1">
      <alignment/>
      <protection/>
    </xf>
    <xf numFmtId="0" fontId="0" fillId="34" borderId="11" xfId="0" applyFill="1" applyBorder="1" applyAlignment="1" applyProtection="1" quotePrefix="1">
      <alignment horizontal="left"/>
      <protection locked="0"/>
    </xf>
    <xf numFmtId="178" fontId="0" fillId="41" borderId="14" xfId="0" applyNumberFormat="1" applyFont="1" applyFill="1" applyBorder="1" applyAlignment="1" applyProtection="1">
      <alignment horizontal="right"/>
      <protection/>
    </xf>
    <xf numFmtId="178" fontId="0" fillId="41" borderId="22" xfId="0" applyNumberFormat="1" applyFont="1" applyFill="1" applyBorder="1" applyAlignment="1" applyProtection="1">
      <alignment horizontal="right"/>
      <protection/>
    </xf>
    <xf numFmtId="179" fontId="0" fillId="41" borderId="14" xfId="0" applyNumberFormat="1" applyFont="1" applyFill="1" applyBorder="1" applyAlignment="1" applyProtection="1">
      <alignment horizontal="right"/>
      <protection/>
    </xf>
    <xf numFmtId="178" fontId="0" fillId="0" borderId="14" xfId="0" applyNumberFormat="1" applyFont="1" applyFill="1" applyBorder="1" applyAlignment="1" applyProtection="1">
      <alignment horizontal="right"/>
      <protection/>
    </xf>
    <xf numFmtId="179" fontId="0" fillId="0" borderId="14" xfId="0" applyNumberFormat="1" applyFont="1" applyFill="1" applyBorder="1" applyAlignment="1" applyProtection="1">
      <alignment horizontal="right"/>
      <protection/>
    </xf>
    <xf numFmtId="3"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3" fontId="10" fillId="0" borderId="16" xfId="0" applyNumberFormat="1" applyFont="1" applyBorder="1" applyAlignment="1" applyProtection="1">
      <alignment horizontal="center" vertical="center" wrapText="1"/>
      <protection locked="0"/>
    </xf>
    <xf numFmtId="178" fontId="3" fillId="43" borderId="14" xfId="0" applyNumberFormat="1" applyFont="1" applyFill="1" applyBorder="1" applyAlignment="1" applyProtection="1">
      <alignment horizontal="right" vertical="center" wrapText="1"/>
      <protection locked="0"/>
    </xf>
    <xf numFmtId="178" fontId="3" fillId="43" borderId="22" xfId="0" applyNumberFormat="1" applyFont="1" applyFill="1" applyBorder="1" applyAlignment="1" applyProtection="1">
      <alignment horizontal="right" vertical="center" wrapText="1"/>
      <protection locked="0"/>
    </xf>
    <xf numFmtId="179" fontId="3" fillId="43" borderId="14" xfId="42" applyNumberFormat="1" applyFont="1" applyFill="1" applyBorder="1" applyAlignment="1" applyProtection="1">
      <alignment vertical="center"/>
      <protection locked="0"/>
    </xf>
    <xf numFmtId="178" fontId="3" fillId="43" borderId="16" xfId="0" applyNumberFormat="1" applyFont="1" applyFill="1" applyBorder="1" applyAlignment="1" applyProtection="1">
      <alignment horizontal="right" vertical="center" wrapText="1"/>
      <protection locked="0"/>
    </xf>
    <xf numFmtId="0" fontId="3" fillId="43" borderId="14" xfId="0" applyFont="1" applyFill="1" applyBorder="1" applyAlignment="1" applyProtection="1">
      <alignment horizontal="center" vertical="center"/>
      <protection locked="0"/>
    </xf>
    <xf numFmtId="178" fontId="0" fillId="43" borderId="14" xfId="0" applyNumberFormat="1" applyFont="1" applyFill="1" applyBorder="1" applyAlignment="1" applyProtection="1">
      <alignment horizontal="right"/>
      <protection/>
    </xf>
    <xf numFmtId="178" fontId="0" fillId="43" borderId="22" xfId="0" applyNumberFormat="1" applyFont="1" applyFill="1" applyBorder="1" applyAlignment="1" applyProtection="1">
      <alignment horizontal="right"/>
      <protection/>
    </xf>
    <xf numFmtId="179" fontId="0" fillId="43" borderId="14" xfId="0" applyNumberFormat="1" applyFont="1" applyFill="1" applyBorder="1" applyAlignment="1" applyProtection="1">
      <alignment horizontal="right"/>
      <protection/>
    </xf>
    <xf numFmtId="178" fontId="0" fillId="40" borderId="14" xfId="0" applyNumberFormat="1" applyFont="1" applyFill="1" applyBorder="1" applyAlignment="1" applyProtection="1">
      <alignment horizontal="right"/>
      <protection/>
    </xf>
    <xf numFmtId="178" fontId="0" fillId="40" borderId="22" xfId="0" applyNumberFormat="1" applyFont="1" applyFill="1" applyBorder="1" applyAlignment="1" applyProtection="1">
      <alignment horizontal="right"/>
      <protection/>
    </xf>
    <xf numFmtId="179" fontId="0" fillId="40" borderId="22" xfId="0" applyNumberFormat="1" applyFont="1" applyFill="1" applyBorder="1" applyAlignment="1" applyProtection="1">
      <alignment horizontal="right"/>
      <protection/>
    </xf>
    <xf numFmtId="178" fontId="0" fillId="42" borderId="22" xfId="0" applyNumberFormat="1" applyFont="1" applyFill="1" applyBorder="1" applyAlignment="1" applyProtection="1">
      <alignment horizontal="right"/>
      <protection/>
    </xf>
    <xf numFmtId="178" fontId="0" fillId="42" borderId="14" xfId="0" applyNumberFormat="1" applyFont="1" applyFill="1" applyBorder="1" applyAlignment="1" applyProtection="1">
      <alignment horizontal="right"/>
      <protection/>
    </xf>
    <xf numFmtId="179" fontId="0" fillId="42" borderId="14" xfId="0" applyNumberFormat="1" applyFont="1" applyFill="1" applyBorder="1" applyAlignment="1" applyProtection="1">
      <alignment horizontal="right"/>
      <protection/>
    </xf>
    <xf numFmtId="3" fontId="3" fillId="35" borderId="15" xfId="42" applyNumberFormat="1" applyFont="1" applyFill="1" applyBorder="1" applyAlignment="1" applyProtection="1">
      <alignment/>
      <protection locked="0"/>
    </xf>
    <xf numFmtId="3" fontId="3" fillId="34" borderId="15" xfId="42" applyNumberFormat="1" applyFont="1" applyFill="1" applyBorder="1" applyAlignment="1" applyProtection="1">
      <alignment/>
      <protection locked="0"/>
    </xf>
    <xf numFmtId="3" fontId="0" fillId="35" borderId="14" xfId="0" applyNumberFormat="1" applyFont="1" applyFill="1" applyBorder="1" applyAlignment="1" applyProtection="1">
      <alignment/>
      <protection/>
    </xf>
    <xf numFmtId="185" fontId="0" fillId="41" borderId="14" xfId="0" applyNumberFormat="1" applyFill="1" applyBorder="1" applyAlignment="1" applyProtection="1">
      <alignment/>
      <protection/>
    </xf>
    <xf numFmtId="185" fontId="0" fillId="35" borderId="14" xfId="0" applyNumberFormat="1" applyFill="1" applyBorder="1" applyAlignment="1" applyProtection="1">
      <alignment/>
      <protection/>
    </xf>
    <xf numFmtId="185" fontId="0" fillId="43" borderId="14" xfId="0" applyNumberFormat="1" applyFill="1" applyBorder="1" applyAlignment="1" applyProtection="1">
      <alignment/>
      <protection/>
    </xf>
    <xf numFmtId="185" fontId="0" fillId="34" borderId="14" xfId="0" applyNumberFormat="1" applyFill="1" applyBorder="1" applyAlignment="1" applyProtection="1">
      <alignment/>
      <protection/>
    </xf>
    <xf numFmtId="185" fontId="0" fillId="42" borderId="14" xfId="0" applyNumberFormat="1" applyFill="1" applyBorder="1" applyAlignment="1" applyProtection="1">
      <alignment/>
      <protection/>
    </xf>
    <xf numFmtId="185" fontId="0" fillId="36" borderId="14" xfId="0" applyNumberFormat="1" applyFill="1" applyBorder="1" applyAlignment="1" applyProtection="1">
      <alignment/>
      <protection/>
    </xf>
    <xf numFmtId="178" fontId="0" fillId="0" borderId="0" xfId="0" applyNumberFormat="1" applyAlignment="1" applyProtection="1">
      <alignment/>
      <protection locked="0"/>
    </xf>
    <xf numFmtId="186" fontId="0" fillId="0" borderId="0" xfId="74" applyNumberFormat="1" applyFont="1" applyAlignment="1" applyProtection="1">
      <alignment/>
      <protection locked="0"/>
    </xf>
    <xf numFmtId="186" fontId="0" fillId="0" borderId="0" xfId="0" applyNumberFormat="1" applyAlignment="1" applyProtection="1">
      <alignment/>
      <protection locked="0"/>
    </xf>
    <xf numFmtId="0" fontId="0" fillId="35" borderId="21" xfId="0" applyFill="1" applyBorder="1" applyAlignment="1" applyProtection="1">
      <alignment/>
      <protection locked="0"/>
    </xf>
    <xf numFmtId="178" fontId="0" fillId="34" borderId="12" xfId="0" applyNumberFormat="1" applyFill="1" applyBorder="1" applyAlignment="1" applyProtection="1">
      <alignment/>
      <protection/>
    </xf>
    <xf numFmtId="175" fontId="0" fillId="34" borderId="14" xfId="42" applyNumberFormat="1" applyFont="1" applyFill="1" applyBorder="1" applyAlignment="1" applyProtection="1">
      <alignment horizontal="right"/>
      <protection locked="0"/>
    </xf>
    <xf numFmtId="175" fontId="0" fillId="0" borderId="0" xfId="42" applyNumberFormat="1" applyFont="1" applyFill="1" applyBorder="1" applyAlignment="1" applyProtection="1">
      <alignment horizontal="right"/>
      <protection/>
    </xf>
    <xf numFmtId="175" fontId="0" fillId="0" borderId="0" xfId="42" applyNumberFormat="1" applyFont="1" applyFill="1" applyBorder="1" applyAlignment="1" applyProtection="1">
      <alignment horizontal="right"/>
      <protection locked="0"/>
    </xf>
    <xf numFmtId="186" fontId="1" fillId="34" borderId="14" xfId="0" applyNumberFormat="1" applyFont="1" applyFill="1" applyBorder="1" applyAlignment="1" applyProtection="1">
      <alignment/>
      <protection/>
    </xf>
    <xf numFmtId="0" fontId="15" fillId="0" borderId="0" xfId="0" applyFont="1" applyAlignment="1">
      <alignment horizontal="centerContinuous"/>
    </xf>
    <xf numFmtId="0" fontId="0" fillId="0" borderId="0" xfId="0" applyAlignment="1">
      <alignment horizontal="centerContinuous"/>
    </xf>
    <xf numFmtId="0" fontId="10" fillId="0" borderId="0" xfId="0" applyFont="1" applyAlignment="1">
      <alignment horizontal="center" vertical="center" wrapText="1"/>
    </xf>
    <xf numFmtId="0" fontId="10" fillId="0" borderId="0" xfId="0" applyFont="1" applyAlignment="1">
      <alignment/>
    </xf>
    <xf numFmtId="0" fontId="10" fillId="34" borderId="14" xfId="0" applyFont="1" applyFill="1" applyBorder="1" applyAlignment="1">
      <alignment horizontal="center" vertical="center" wrapText="1"/>
    </xf>
    <xf numFmtId="0" fontId="10" fillId="34" borderId="14" xfId="0" applyFont="1" applyFill="1" applyBorder="1" applyAlignment="1">
      <alignment horizontal="center" vertical="center"/>
    </xf>
    <xf numFmtId="185" fontId="0" fillId="35" borderId="12" xfId="0" applyNumberFormat="1" applyFill="1" applyBorder="1" applyAlignment="1" applyProtection="1">
      <alignment/>
      <protection/>
    </xf>
    <xf numFmtId="178" fontId="0" fillId="44" borderId="0" xfId="0" applyNumberFormat="1" applyFont="1" applyFill="1" applyAlignment="1" applyProtection="1">
      <alignment/>
      <protection/>
    </xf>
    <xf numFmtId="172" fontId="0" fillId="44" borderId="14" xfId="0" applyNumberFormat="1" applyFont="1" applyFill="1" applyBorder="1" applyAlignment="1" applyProtection="1">
      <alignment/>
      <protection/>
    </xf>
    <xf numFmtId="186" fontId="0" fillId="44" borderId="14" xfId="0" applyNumberFormat="1" applyFont="1" applyFill="1" applyBorder="1" applyAlignment="1" applyProtection="1">
      <alignment/>
      <protection/>
    </xf>
    <xf numFmtId="3" fontId="13" fillId="42" borderId="14" xfId="0" applyNumberFormat="1" applyFont="1" applyFill="1" applyBorder="1" applyAlignment="1" applyProtection="1">
      <alignment horizontal="center" vertical="center" wrapText="1"/>
      <protection locked="0"/>
    </xf>
    <xf numFmtId="178" fontId="3" fillId="42" borderId="14" xfId="42" applyNumberFormat="1" applyFont="1" applyFill="1" applyBorder="1" applyAlignment="1" applyProtection="1">
      <alignment vertical="center"/>
      <protection locked="0"/>
    </xf>
    <xf numFmtId="3" fontId="13" fillId="42" borderId="21" xfId="0" applyNumberFormat="1" applyFont="1" applyFill="1" applyBorder="1" applyAlignment="1" applyProtection="1">
      <alignment horizontal="center" vertical="center" wrapText="1"/>
      <protection locked="0"/>
    </xf>
    <xf numFmtId="178" fontId="3" fillId="42" borderId="21" xfId="42" applyNumberFormat="1" applyFont="1" applyFill="1" applyBorder="1" applyAlignment="1" applyProtection="1">
      <alignment vertical="center"/>
      <protection locked="0"/>
    </xf>
    <xf numFmtId="3" fontId="0" fillId="42" borderId="14" xfId="42" applyNumberFormat="1" applyFont="1" applyFill="1" applyBorder="1" applyAlignment="1" applyProtection="1">
      <alignment horizontal="center"/>
      <protection/>
    </xf>
    <xf numFmtId="178" fontId="0" fillId="42" borderId="14" xfId="42" applyNumberFormat="1" applyFont="1" applyFill="1" applyBorder="1" applyAlignment="1" applyProtection="1">
      <alignment horizontal="right"/>
      <protection/>
    </xf>
    <xf numFmtId="39" fontId="0" fillId="35" borderId="14" xfId="0" applyNumberFormat="1" applyFill="1" applyBorder="1" applyAlignment="1" applyProtection="1">
      <alignment/>
      <protection/>
    </xf>
    <xf numFmtId="186" fontId="0" fillId="0" borderId="0" xfId="74" applyNumberFormat="1" applyFont="1" applyAlignment="1" applyProtection="1">
      <alignment horizontal="left"/>
      <protection locked="0"/>
    </xf>
    <xf numFmtId="0" fontId="0" fillId="0" borderId="0" xfId="0" applyAlignment="1" applyProtection="1">
      <alignment horizontal="right" wrapText="1"/>
      <protection locked="0"/>
    </xf>
    <xf numFmtId="0" fontId="0" fillId="38" borderId="14" xfId="0" applyFont="1" applyFill="1" applyBorder="1" applyAlignment="1" applyProtection="1">
      <alignment horizontal="center" wrapText="1"/>
      <protection/>
    </xf>
    <xf numFmtId="186" fontId="0" fillId="0" borderId="0" xfId="0" applyNumberFormat="1" applyFill="1" applyBorder="1" applyAlignment="1" applyProtection="1">
      <alignment horizontal="center" vertical="center" wrapText="1"/>
      <protection/>
    </xf>
    <xf numFmtId="0" fontId="0" fillId="0" borderId="15" xfId="0" applyBorder="1" applyAlignment="1" applyProtection="1">
      <alignment horizontal="center"/>
      <protection locked="0"/>
    </xf>
    <xf numFmtId="0" fontId="0" fillId="40" borderId="14" xfId="0" applyFont="1" applyFill="1" applyBorder="1" applyAlignment="1" applyProtection="1">
      <alignment horizontal="right" wrapText="1"/>
      <protection/>
    </xf>
    <xf numFmtId="1" fontId="0" fillId="40" borderId="14" xfId="0" applyNumberFormat="1" applyFont="1" applyFill="1" applyBorder="1" applyAlignment="1" applyProtection="1">
      <alignment horizontal="right" wrapText="1"/>
      <protection/>
    </xf>
    <xf numFmtId="0" fontId="0" fillId="0" borderId="23" xfId="0" applyBorder="1" applyAlignment="1" applyProtection="1">
      <alignment wrapText="1"/>
      <protection locked="0"/>
    </xf>
    <xf numFmtId="0" fontId="0" fillId="0" borderId="14" xfId="0" applyBorder="1" applyAlignment="1" applyProtection="1">
      <alignment wrapText="1"/>
      <protection locked="0"/>
    </xf>
    <xf numFmtId="0" fontId="0" fillId="0" borderId="24" xfId="0" applyBorder="1" applyAlignment="1" applyProtection="1">
      <alignment wrapText="1"/>
      <protection locked="0"/>
    </xf>
    <xf numFmtId="0" fontId="0" fillId="0" borderId="23" xfId="0" applyBorder="1" applyAlignment="1" applyProtection="1">
      <alignment horizontal="center"/>
      <protection locked="0"/>
    </xf>
    <xf numFmtId="9" fontId="0" fillId="0" borderId="14" xfId="0" applyNumberFormat="1" applyBorder="1" applyAlignment="1" applyProtection="1">
      <alignment horizontal="center"/>
      <protection locked="0"/>
    </xf>
    <xf numFmtId="0" fontId="0" fillId="0" borderId="24" xfId="0" applyBorder="1" applyAlignment="1" applyProtection="1">
      <alignment horizontal="center"/>
      <protection locked="0"/>
    </xf>
    <xf numFmtId="9" fontId="0" fillId="0" borderId="24" xfId="0" applyNumberFormat="1" applyBorder="1" applyAlignment="1" applyProtection="1">
      <alignment horizontal="center"/>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0" fillId="0" borderId="25" xfId="0" applyBorder="1" applyAlignment="1" applyProtection="1">
      <alignment horizontal="center"/>
      <protection locked="0"/>
    </xf>
    <xf numFmtId="9" fontId="0" fillId="0" borderId="26" xfId="0" applyNumberFormat="1" applyBorder="1" applyAlignment="1" applyProtection="1">
      <alignment horizontal="center"/>
      <protection locked="0"/>
    </xf>
    <xf numFmtId="0" fontId="0" fillId="0" borderId="27" xfId="0" applyBorder="1" applyAlignment="1" applyProtection="1">
      <alignment horizontal="center"/>
      <protection locked="0"/>
    </xf>
    <xf numFmtId="9" fontId="0" fillId="0" borderId="27" xfId="0" applyNumberFormat="1" applyBorder="1" applyAlignment="1" applyProtection="1">
      <alignment horizontal="center"/>
      <protection locked="0"/>
    </xf>
    <xf numFmtId="0" fontId="2" fillId="0" borderId="0" xfId="0" applyFont="1" applyAlignment="1" applyProtection="1">
      <alignment horizontal="centerContinuous"/>
      <protection locked="0"/>
    </xf>
    <xf numFmtId="0" fontId="1" fillId="0" borderId="0" xfId="0" applyFont="1" applyAlignment="1" applyProtection="1">
      <alignment horizontal="centerContinuous"/>
      <protection locked="0"/>
    </xf>
    <xf numFmtId="0" fontId="0" fillId="0" borderId="0" xfId="0" applyFont="1" applyAlignment="1" applyProtection="1">
      <alignment horizontal="centerContinuous" wrapText="1"/>
      <protection locked="0"/>
    </xf>
    <xf numFmtId="0" fontId="1" fillId="0" borderId="0" xfId="0" applyFont="1" applyAlignment="1" applyProtection="1">
      <alignment horizontal="center"/>
      <protection locked="0"/>
    </xf>
    <xf numFmtId="0" fontId="1" fillId="0" borderId="28" xfId="0" applyFont="1" applyBorder="1" applyAlignment="1" applyProtection="1">
      <alignment horizontal="centerContinuous"/>
      <protection locked="0"/>
    </xf>
    <xf numFmtId="0" fontId="18" fillId="0" borderId="29" xfId="0" applyFont="1" applyBorder="1" applyAlignment="1" applyProtection="1">
      <alignment horizontal="centerContinuous"/>
      <protection locked="0"/>
    </xf>
    <xf numFmtId="0" fontId="18" fillId="0" borderId="30"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0" borderId="30" xfId="0" applyFont="1" applyBorder="1" applyAlignment="1" applyProtection="1">
      <alignment horizontal="centerContinuous"/>
      <protection locked="0"/>
    </xf>
    <xf numFmtId="0" fontId="9" fillId="0" borderId="0" xfId="0" applyFont="1" applyAlignment="1" applyProtection="1">
      <alignment/>
      <protection locked="0"/>
    </xf>
    <xf numFmtId="0" fontId="9" fillId="0" borderId="2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0" xfId="0" applyFont="1" applyAlignment="1" applyProtection="1">
      <alignment horizontal="center" wrapText="1"/>
      <protection locked="0"/>
    </xf>
    <xf numFmtId="0" fontId="9" fillId="0" borderId="0" xfId="0" applyFont="1" applyAlignment="1" applyProtection="1">
      <alignment wrapText="1"/>
      <protection locked="0"/>
    </xf>
    <xf numFmtId="0" fontId="2" fillId="0" borderId="0" xfId="0" applyFont="1" applyAlignment="1" applyProtection="1">
      <alignment horizontal="centerContinuous"/>
      <protection/>
    </xf>
    <xf numFmtId="0" fontId="1" fillId="0" borderId="31" xfId="0" applyFont="1" applyBorder="1" applyAlignment="1" applyProtection="1">
      <alignment horizontal="centerContinuous"/>
      <protection locked="0"/>
    </xf>
    <xf numFmtId="0" fontId="9" fillId="0" borderId="15" xfId="0" applyFont="1" applyBorder="1" applyAlignment="1" applyProtection="1">
      <alignment horizontal="center" vertical="center" wrapText="1"/>
      <protection locked="0"/>
    </xf>
    <xf numFmtId="0" fontId="0" fillId="0" borderId="32" xfId="0" applyBorder="1" applyAlignment="1" applyProtection="1">
      <alignment horizontal="center"/>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29" xfId="0" applyBorder="1" applyAlignment="1" applyProtection="1">
      <alignment horizontal="right"/>
      <protection locked="0"/>
    </xf>
    <xf numFmtId="0" fontId="0" fillId="0" borderId="30" xfId="0" applyBorder="1" applyAlignment="1" applyProtection="1">
      <alignment/>
      <protection/>
    </xf>
    <xf numFmtId="1" fontId="0" fillId="0" borderId="27" xfId="0" applyNumberFormat="1" applyBorder="1" applyAlignment="1" applyProtection="1">
      <alignment/>
      <protection/>
    </xf>
    <xf numFmtId="0" fontId="10" fillId="34" borderId="15" xfId="0" applyFont="1" applyFill="1" applyBorder="1" applyAlignment="1">
      <alignment horizontal="center" vertical="center"/>
    </xf>
    <xf numFmtId="0" fontId="0" fillId="34" borderId="28" xfId="0" applyFill="1" applyBorder="1" applyAlignment="1">
      <alignment horizontal="centerContinuous"/>
    </xf>
    <xf numFmtId="0" fontId="0" fillId="34" borderId="30" xfId="0" applyFill="1" applyBorder="1" applyAlignment="1">
      <alignment horizontal="centerContinuous"/>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xf>
    <xf numFmtId="0" fontId="0" fillId="34" borderId="29" xfId="0" applyFill="1" applyBorder="1" applyAlignment="1">
      <alignment horizontal="centerContinuous"/>
    </xf>
    <xf numFmtId="0" fontId="10" fillId="34" borderId="23" xfId="0" applyFont="1" applyFill="1" applyBorder="1" applyAlignment="1">
      <alignment horizontal="center" vertical="center"/>
    </xf>
    <xf numFmtId="0" fontId="10" fillId="34" borderId="24" xfId="0" applyFont="1" applyFill="1" applyBorder="1" applyAlignment="1">
      <alignment horizontal="center" vertical="center" wrapText="1"/>
    </xf>
    <xf numFmtId="0" fontId="0" fillId="0" borderId="0" xfId="0" applyBorder="1" applyAlignment="1">
      <alignment/>
    </xf>
    <xf numFmtId="0" fontId="0" fillId="34" borderId="31" xfId="0" applyFill="1" applyBorder="1" applyAlignment="1">
      <alignment horizontal="centerContinuous"/>
    </xf>
    <xf numFmtId="0" fontId="0" fillId="0" borderId="33" xfId="0" applyBorder="1" applyAlignment="1">
      <alignment/>
    </xf>
    <xf numFmtId="0" fontId="0" fillId="0" borderId="34" xfId="0" applyBorder="1" applyAlignment="1">
      <alignment/>
    </xf>
    <xf numFmtId="0" fontId="0" fillId="0" borderId="34" xfId="0" applyBorder="1" applyAlignment="1">
      <alignment horizontal="right"/>
    </xf>
    <xf numFmtId="185" fontId="0" fillId="0" borderId="30" xfId="0" applyNumberFormat="1" applyBorder="1" applyAlignment="1">
      <alignment/>
    </xf>
    <xf numFmtId="0" fontId="0" fillId="0" borderId="35" xfId="0" applyBorder="1" applyAlignment="1">
      <alignment/>
    </xf>
    <xf numFmtId="0" fontId="0" fillId="0" borderId="36" xfId="0" applyBorder="1" applyAlignment="1">
      <alignment/>
    </xf>
    <xf numFmtId="0" fontId="0" fillId="0" borderId="32" xfId="0" applyBorder="1" applyAlignment="1">
      <alignment horizontal="right"/>
    </xf>
    <xf numFmtId="186" fontId="0" fillId="0" borderId="37" xfId="0" applyNumberFormat="1" applyBorder="1" applyAlignment="1">
      <alignment horizontal="right"/>
    </xf>
    <xf numFmtId="186" fontId="0" fillId="38" borderId="15" xfId="42" applyNumberFormat="1" applyFont="1" applyFill="1" applyBorder="1" applyAlignment="1" applyProtection="1">
      <alignment/>
      <protection/>
    </xf>
    <xf numFmtId="0" fontId="0" fillId="35" borderId="16" xfId="0" applyNumberFormat="1" applyFill="1" applyBorder="1" applyAlignment="1" applyProtection="1">
      <alignment horizontal="right"/>
      <protection/>
    </xf>
    <xf numFmtId="0" fontId="0" fillId="34" borderId="16" xfId="0" applyNumberFormat="1" applyFill="1" applyBorder="1" applyAlignment="1" applyProtection="1">
      <alignment horizontal="right"/>
      <protection/>
    </xf>
    <xf numFmtId="0" fontId="3" fillId="0" borderId="11" xfId="0" applyFont="1" applyBorder="1" applyAlignment="1" applyProtection="1">
      <alignment/>
      <protection locked="0"/>
    </xf>
    <xf numFmtId="15" fontId="3" fillId="0" borderId="11" xfId="0" applyNumberFormat="1" applyFont="1" applyBorder="1" applyAlignment="1" applyProtection="1">
      <alignment/>
      <protection locked="0"/>
    </xf>
    <xf numFmtId="178" fontId="3" fillId="34" borderId="15" xfId="44" applyNumberFormat="1" applyFont="1" applyFill="1" applyBorder="1" applyAlignment="1" applyProtection="1">
      <alignment/>
      <protection locked="0"/>
    </xf>
    <xf numFmtId="0" fontId="13" fillId="34" borderId="14" xfId="0" applyNumberFormat="1" applyFont="1" applyFill="1" applyBorder="1" applyAlignment="1" applyProtection="1">
      <alignment horizontal="center"/>
      <protection locked="0"/>
    </xf>
    <xf numFmtId="0" fontId="1" fillId="45" borderId="0" xfId="0" applyFont="1" applyFill="1" applyAlignment="1" applyProtection="1">
      <alignment horizontal="center"/>
      <protection locked="0"/>
    </xf>
    <xf numFmtId="9" fontId="1" fillId="45" borderId="0" xfId="0" applyNumberFormat="1" applyFont="1" applyFill="1" applyAlignment="1" applyProtection="1">
      <alignment horizontal="center"/>
      <protection locked="0"/>
    </xf>
    <xf numFmtId="0" fontId="1" fillId="45" borderId="0" xfId="0" applyFont="1" applyFill="1" applyAlignment="1" applyProtection="1">
      <alignment horizontal="center" wrapText="1"/>
      <protection locked="0"/>
    </xf>
    <xf numFmtId="178" fontId="1" fillId="34" borderId="14" xfId="0" applyNumberFormat="1" applyFont="1" applyFill="1" applyBorder="1" applyAlignment="1" applyProtection="1">
      <alignment/>
      <protection locked="0"/>
    </xf>
    <xf numFmtId="0" fontId="0" fillId="0" borderId="14" xfId="65" applyFont="1" applyBorder="1" applyAlignment="1">
      <alignment wrapText="1"/>
      <protection/>
    </xf>
    <xf numFmtId="0" fontId="0" fillId="0" borderId="23" xfId="65" applyFont="1" applyBorder="1" applyAlignment="1">
      <alignment wrapText="1"/>
      <protection/>
    </xf>
    <xf numFmtId="0" fontId="0" fillId="0" borderId="14" xfId="65" applyFont="1" applyBorder="1" applyAlignment="1">
      <alignment horizontal="center"/>
      <protection/>
    </xf>
    <xf numFmtId="0" fontId="0" fillId="0" borderId="24" xfId="65" applyFont="1" applyBorder="1" applyAlignment="1">
      <alignment horizontal="center"/>
      <protection/>
    </xf>
    <xf numFmtId="0" fontId="0" fillId="0" borderId="15" xfId="65" applyFont="1" applyBorder="1" applyAlignment="1">
      <alignment horizontal="center"/>
      <protection/>
    </xf>
    <xf numFmtId="0" fontId="0" fillId="0" borderId="24" xfId="65" applyFont="1" applyBorder="1" applyAlignment="1">
      <alignment wrapText="1"/>
      <protection/>
    </xf>
    <xf numFmtId="0" fontId="0" fillId="0" borderId="14" xfId="0" applyFont="1" applyBorder="1" applyAlignment="1">
      <alignment horizontal="center"/>
    </xf>
    <xf numFmtId="0" fontId="21" fillId="0" borderId="14" xfId="67" applyFont="1" applyFill="1" applyBorder="1" applyAlignment="1">
      <alignment vertical="center"/>
      <protection/>
    </xf>
    <xf numFmtId="0" fontId="21" fillId="0" borderId="14" xfId="69" applyFont="1" applyFill="1" applyBorder="1" applyAlignment="1">
      <alignment vertical="center"/>
      <protection/>
    </xf>
    <xf numFmtId="4" fontId="20" fillId="0" borderId="14" xfId="70" applyNumberFormat="1" applyFill="1" applyBorder="1" applyAlignment="1" applyProtection="1">
      <alignment/>
      <protection/>
    </xf>
    <xf numFmtId="0" fontId="21" fillId="0" borderId="14" xfId="71" applyFont="1" applyFill="1" applyBorder="1" applyAlignment="1">
      <alignment vertical="center"/>
      <protection/>
    </xf>
    <xf numFmtId="0" fontId="21" fillId="0" borderId="14" xfId="59" applyFont="1" applyFill="1" applyBorder="1" applyAlignment="1">
      <alignment vertical="center"/>
      <protection/>
    </xf>
    <xf numFmtId="0" fontId="0" fillId="0" borderId="15" xfId="0" applyNumberFormat="1" applyFont="1" applyBorder="1" applyAlignment="1">
      <alignment horizontal="right"/>
    </xf>
    <xf numFmtId="178" fontId="20" fillId="0" borderId="14" xfId="61" applyNumberFormat="1" applyFill="1" applyBorder="1" applyAlignment="1" applyProtection="1">
      <alignment/>
      <protection/>
    </xf>
    <xf numFmtId="0" fontId="5" fillId="0" borderId="24" xfId="55" applyFont="1" applyBorder="1" applyAlignment="1" applyProtection="1">
      <alignment horizontal="center"/>
      <protection/>
    </xf>
    <xf numFmtId="0" fontId="0" fillId="35" borderId="16"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41" borderId="14" xfId="0" applyFill="1" applyBorder="1" applyAlignment="1" applyProtection="1">
      <alignment horizontal="right" wrapText="1"/>
      <protection locked="0"/>
    </xf>
    <xf numFmtId="0" fontId="0" fillId="41" borderId="14" xfId="0" applyFill="1" applyBorder="1" applyAlignment="1" applyProtection="1">
      <alignment horizontal="right"/>
      <protection locked="0"/>
    </xf>
    <xf numFmtId="0" fontId="9" fillId="43" borderId="16" xfId="0" applyFont="1" applyFill="1" applyBorder="1" applyAlignment="1" applyProtection="1">
      <alignment vertical="center" wrapText="1"/>
      <protection locked="0"/>
    </xf>
    <xf numFmtId="0" fontId="9" fillId="43" borderId="15" xfId="0" applyFont="1" applyFill="1" applyBorder="1" applyAlignment="1">
      <alignment/>
    </xf>
    <xf numFmtId="0" fontId="0" fillId="34" borderId="14" xfId="0" applyFill="1" applyBorder="1" applyAlignment="1" applyProtection="1">
      <alignment vertical="center" wrapText="1"/>
      <protection locked="0"/>
    </xf>
    <xf numFmtId="0" fontId="0" fillId="34" borderId="14" xfId="0" applyFill="1" applyBorder="1" applyAlignment="1" applyProtection="1">
      <alignment vertical="center"/>
      <protection locked="0"/>
    </xf>
    <xf numFmtId="0" fontId="9" fillId="34" borderId="16" xfId="0" applyFont="1" applyFill="1" applyBorder="1" applyAlignment="1" applyProtection="1">
      <alignment vertical="center" wrapText="1"/>
      <protection locked="0"/>
    </xf>
    <xf numFmtId="0" fontId="9" fillId="34" borderId="15" xfId="0" applyFont="1" applyFill="1" applyBorder="1" applyAlignment="1">
      <alignment/>
    </xf>
    <xf numFmtId="185" fontId="0" fillId="34" borderId="14" xfId="0" applyNumberFormat="1" applyFill="1" applyBorder="1" applyAlignment="1" applyProtection="1">
      <alignment/>
      <protection/>
    </xf>
    <xf numFmtId="0" fontId="0" fillId="34" borderId="14" xfId="0" applyFill="1" applyBorder="1" applyAlignment="1" applyProtection="1">
      <alignment/>
      <protection/>
    </xf>
    <xf numFmtId="0" fontId="0" fillId="34" borderId="16" xfId="0" applyFill="1" applyBorder="1" applyAlignment="1" applyProtection="1">
      <alignment horizontal="right"/>
      <protection locked="0"/>
    </xf>
    <xf numFmtId="0" fontId="0" fillId="34" borderId="15" xfId="0" applyFill="1" applyBorder="1" applyAlignment="1" applyProtection="1">
      <alignment horizontal="right"/>
      <protection locked="0"/>
    </xf>
    <xf numFmtId="0" fontId="9" fillId="36" borderId="16" xfId="0" applyFont="1" applyFill="1" applyBorder="1" applyAlignment="1" applyProtection="1">
      <alignment vertical="center" wrapText="1"/>
      <protection locked="0"/>
    </xf>
    <xf numFmtId="0" fontId="9" fillId="36" borderId="15" xfId="0" applyFont="1" applyFill="1" applyBorder="1" applyAlignment="1">
      <alignment/>
    </xf>
    <xf numFmtId="0" fontId="0" fillId="36" borderId="14" xfId="0" applyFill="1" applyBorder="1" applyAlignment="1" applyProtection="1">
      <alignment horizontal="right" wrapText="1"/>
      <protection locked="0"/>
    </xf>
    <xf numFmtId="0" fontId="0" fillId="36" borderId="14" xfId="0" applyFill="1" applyBorder="1" applyAlignment="1" applyProtection="1">
      <alignment horizontal="right"/>
      <protection locked="0"/>
    </xf>
    <xf numFmtId="0" fontId="0" fillId="43" borderId="14" xfId="0" applyFill="1" applyBorder="1" applyAlignment="1" applyProtection="1">
      <alignment horizontal="right" wrapText="1"/>
      <protection locked="0"/>
    </xf>
    <xf numFmtId="0" fontId="0" fillId="43" borderId="14" xfId="0" applyFill="1" applyBorder="1" applyAlignment="1" applyProtection="1">
      <alignment horizontal="right"/>
      <protection locked="0"/>
    </xf>
    <xf numFmtId="0" fontId="0" fillId="34" borderId="14" xfId="0" applyFill="1" applyBorder="1" applyAlignment="1" applyProtection="1">
      <alignment horizontal="right" wrapText="1"/>
      <protection locked="0"/>
    </xf>
    <xf numFmtId="0" fontId="0" fillId="34" borderId="14" xfId="0" applyFill="1" applyBorder="1" applyAlignment="1" applyProtection="1">
      <alignment horizontal="right"/>
      <protection locked="0"/>
    </xf>
    <xf numFmtId="0" fontId="9" fillId="41" borderId="16" xfId="0" applyFont="1" applyFill="1" applyBorder="1" applyAlignment="1" applyProtection="1">
      <alignment vertical="center" wrapText="1"/>
      <protection locked="0"/>
    </xf>
    <xf numFmtId="0" fontId="9" fillId="41" borderId="15" xfId="0" applyFont="1" applyFill="1" applyBorder="1" applyAlignment="1">
      <alignment/>
    </xf>
    <xf numFmtId="0" fontId="0" fillId="35" borderId="14" xfId="0" applyFill="1" applyBorder="1" applyAlignment="1" applyProtection="1">
      <alignment vertical="center" wrapText="1"/>
      <protection locked="0"/>
    </xf>
    <xf numFmtId="0" fontId="0" fillId="35" borderId="14" xfId="0" applyFill="1" applyBorder="1" applyAlignment="1" applyProtection="1">
      <alignment vertical="center"/>
      <protection locked="0"/>
    </xf>
    <xf numFmtId="0" fontId="9" fillId="35" borderId="16" xfId="0" applyFont="1" applyFill="1" applyBorder="1" applyAlignment="1" applyProtection="1">
      <alignment vertical="center" wrapText="1"/>
      <protection locked="0"/>
    </xf>
    <xf numFmtId="0" fontId="9" fillId="35" borderId="15" xfId="0" applyFont="1" applyFill="1" applyBorder="1" applyAlignment="1">
      <alignment/>
    </xf>
    <xf numFmtId="0" fontId="0" fillId="39" borderId="16" xfId="0" applyFill="1" applyBorder="1" applyAlignment="1" applyProtection="1">
      <alignment horizontal="center"/>
      <protection locked="0"/>
    </xf>
    <xf numFmtId="0" fontId="0" fillId="39" borderId="15" xfId="0" applyFill="1" applyBorder="1" applyAlignment="1" applyProtection="1">
      <alignment horizontal="center"/>
      <protection locked="0"/>
    </xf>
    <xf numFmtId="0" fontId="0" fillId="34" borderId="14" xfId="0" applyFill="1" applyBorder="1" applyAlignment="1">
      <alignment/>
    </xf>
    <xf numFmtId="0" fontId="9" fillId="42" borderId="16" xfId="0" applyFont="1" applyFill="1" applyBorder="1" applyAlignment="1" applyProtection="1">
      <alignment vertical="center" wrapText="1"/>
      <protection locked="0"/>
    </xf>
    <xf numFmtId="0" fontId="9" fillId="42" borderId="15" xfId="0" applyFont="1" applyFill="1" applyBorder="1" applyAlignment="1">
      <alignment/>
    </xf>
    <xf numFmtId="0" fontId="0" fillId="34" borderId="16" xfId="0" applyFill="1" applyBorder="1" applyAlignment="1" applyProtection="1">
      <alignment wrapText="1"/>
      <protection locked="0"/>
    </xf>
    <xf numFmtId="0" fontId="0" fillId="0" borderId="15" xfId="0" applyBorder="1" applyAlignment="1">
      <alignment wrapText="1"/>
    </xf>
    <xf numFmtId="0" fontId="0" fillId="35" borderId="14" xfId="0" applyFill="1" applyBorder="1" applyAlignment="1" applyProtection="1">
      <alignment horizontal="right" wrapText="1"/>
      <protection locked="0"/>
    </xf>
    <xf numFmtId="0" fontId="0" fillId="35" borderId="14" xfId="0" applyFill="1" applyBorder="1" applyAlignment="1" applyProtection="1">
      <alignment horizontal="right"/>
      <protection locked="0"/>
    </xf>
    <xf numFmtId="0" fontId="0" fillId="34" borderId="17" xfId="0" applyFill="1" applyBorder="1" applyAlignment="1" applyProtection="1">
      <alignment horizontal="right" wrapText="1"/>
      <protection locked="0"/>
    </xf>
    <xf numFmtId="0" fontId="0" fillId="34" borderId="20" xfId="0" applyFill="1" applyBorder="1" applyAlignment="1" applyProtection="1">
      <alignment horizontal="right"/>
      <protection locked="0"/>
    </xf>
    <xf numFmtId="0" fontId="0" fillId="34" borderId="19" xfId="0" applyFill="1" applyBorder="1" applyAlignment="1">
      <alignment horizontal="right"/>
    </xf>
    <xf numFmtId="0" fontId="0" fillId="34" borderId="13" xfId="0" applyFill="1" applyBorder="1" applyAlignment="1">
      <alignment horizontal="right"/>
    </xf>
    <xf numFmtId="0" fontId="0" fillId="36" borderId="16" xfId="0" applyFill="1" applyBorder="1" applyAlignment="1" applyProtection="1">
      <alignment vertical="center" wrapText="1"/>
      <protection locked="0"/>
    </xf>
    <xf numFmtId="0" fontId="0" fillId="36" borderId="11" xfId="0" applyFill="1" applyBorder="1" applyAlignment="1" applyProtection="1">
      <alignment vertical="center"/>
      <protection locked="0"/>
    </xf>
    <xf numFmtId="0" fontId="0" fillId="36" borderId="15" xfId="0" applyFill="1" applyBorder="1" applyAlignment="1" applyProtection="1">
      <alignment vertical="center"/>
      <protection locked="0"/>
    </xf>
    <xf numFmtId="0" fontId="0" fillId="40" borderId="14" xfId="0" applyFill="1" applyBorder="1" applyAlignment="1" applyProtection="1">
      <alignment horizontal="right" wrapText="1"/>
      <protection locked="0"/>
    </xf>
    <xf numFmtId="0" fontId="0" fillId="40" borderId="14" xfId="0" applyFill="1" applyBorder="1" applyAlignment="1" applyProtection="1">
      <alignment horizontal="right"/>
      <protection locked="0"/>
    </xf>
    <xf numFmtId="0" fontId="0" fillId="34" borderId="16" xfId="0" applyFill="1" applyBorder="1" applyAlignment="1" applyProtection="1">
      <alignment/>
      <protection locked="0"/>
    </xf>
    <xf numFmtId="0" fontId="0" fillId="34" borderId="15" xfId="0" applyFill="1" applyBorder="1" applyAlignment="1" applyProtection="1">
      <alignment/>
      <protection locked="0"/>
    </xf>
    <xf numFmtId="0" fontId="0" fillId="44" borderId="16" xfId="0" applyFont="1" applyFill="1" applyBorder="1" applyAlignment="1" applyProtection="1">
      <alignment/>
      <protection locked="0"/>
    </xf>
    <xf numFmtId="0" fontId="0" fillId="44" borderId="15" xfId="0" applyFill="1" applyBorder="1" applyAlignment="1">
      <alignment/>
    </xf>
    <xf numFmtId="0" fontId="0" fillId="0" borderId="16" xfId="0" applyBorder="1" applyAlignment="1" applyProtection="1">
      <alignment/>
      <protection locked="0"/>
    </xf>
    <xf numFmtId="0" fontId="0" fillId="0" borderId="15" xfId="0" applyBorder="1" applyAlignment="1">
      <alignment/>
    </xf>
    <xf numFmtId="0" fontId="0" fillId="35" borderId="17" xfId="0" applyFill="1" applyBorder="1" applyAlignment="1" applyProtection="1">
      <alignment horizontal="right" wrapText="1"/>
      <protection locked="0"/>
    </xf>
    <xf numFmtId="0" fontId="0" fillId="35" borderId="20" xfId="0" applyFill="1" applyBorder="1" applyAlignment="1" applyProtection="1">
      <alignment horizontal="right"/>
      <protection locked="0"/>
    </xf>
    <xf numFmtId="0" fontId="0" fillId="35" borderId="19" xfId="0" applyFill="1" applyBorder="1" applyAlignment="1">
      <alignment horizontal="right"/>
    </xf>
    <xf numFmtId="0" fontId="0" fillId="35" borderId="13" xfId="0" applyFill="1" applyBorder="1" applyAlignment="1">
      <alignment horizontal="right"/>
    </xf>
    <xf numFmtId="0" fontId="0" fillId="35" borderId="16" xfId="0" applyFill="1" applyBorder="1" applyAlignment="1" applyProtection="1">
      <alignment horizontal="right" wrapText="1"/>
      <protection locked="0"/>
    </xf>
    <xf numFmtId="0" fontId="0" fillId="35" borderId="15" xfId="0" applyFill="1" applyBorder="1" applyAlignment="1">
      <alignment/>
    </xf>
    <xf numFmtId="0" fontId="0" fillId="35" borderId="14" xfId="0" applyFill="1" applyBorder="1" applyAlignment="1">
      <alignment vertical="center"/>
    </xf>
    <xf numFmtId="0" fontId="0" fillId="34" borderId="14" xfId="0" applyFill="1" applyBorder="1" applyAlignment="1">
      <alignment vertical="center"/>
    </xf>
    <xf numFmtId="0" fontId="0" fillId="42" borderId="14" xfId="0" applyFill="1" applyBorder="1" applyAlignment="1" applyProtection="1">
      <alignment vertical="center" wrapText="1"/>
      <protection locked="0"/>
    </xf>
    <xf numFmtId="0" fontId="0" fillId="42" borderId="14" xfId="0" applyFill="1" applyBorder="1" applyAlignment="1">
      <alignment vertical="center"/>
    </xf>
    <xf numFmtId="0" fontId="10" fillId="0" borderId="14" xfId="0" applyFont="1" applyBorder="1" applyAlignment="1" applyProtection="1">
      <alignment vertical="center" wrapText="1"/>
      <protection locked="0"/>
    </xf>
    <xf numFmtId="0" fontId="10" fillId="0" borderId="14" xfId="0" applyFont="1" applyBorder="1" applyAlignment="1" applyProtection="1">
      <alignment vertical="center"/>
      <protection locked="0"/>
    </xf>
    <xf numFmtId="0" fontId="2" fillId="0" borderId="0" xfId="0" applyFont="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pplyProtection="1">
      <alignment horizontal="center"/>
      <protection locked="0"/>
    </xf>
    <xf numFmtId="0" fontId="10" fillId="0" borderId="14" xfId="0" applyFont="1" applyBorder="1" applyAlignment="1" applyProtection="1">
      <alignment vertical="center" wrapText="1"/>
      <protection locked="0"/>
    </xf>
    <xf numFmtId="0" fontId="10" fillId="0" borderId="14" xfId="0" applyFont="1" applyBorder="1" applyAlignment="1" applyProtection="1">
      <alignment vertical="center"/>
      <protection locked="0"/>
    </xf>
    <xf numFmtId="0" fontId="0" fillId="41" borderId="14" xfId="0" applyFill="1" applyBorder="1" applyAlignment="1" applyProtection="1">
      <alignment vertical="center" wrapText="1"/>
      <protection locked="0"/>
    </xf>
    <xf numFmtId="0" fontId="0" fillId="41" borderId="14" xfId="0" applyFill="1" applyBorder="1" applyAlignment="1" applyProtection="1">
      <alignment vertical="center"/>
      <protection locked="0"/>
    </xf>
    <xf numFmtId="0" fontId="0" fillId="42" borderId="14" xfId="0" applyFill="1" applyBorder="1" applyAlignment="1" applyProtection="1">
      <alignment vertical="center"/>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0" borderId="14" xfId="0" applyFill="1" applyBorder="1" applyAlignment="1" applyProtection="1">
      <alignment horizontal="right" wrapText="1"/>
      <protection locked="0"/>
    </xf>
    <xf numFmtId="0" fontId="0" fillId="0" borderId="14" xfId="0" applyFill="1" applyBorder="1" applyAlignment="1" applyProtection="1">
      <alignment horizontal="right"/>
      <protection locked="0"/>
    </xf>
    <xf numFmtId="0" fontId="0" fillId="43" borderId="14" xfId="0" applyFill="1" applyBorder="1" applyAlignment="1" applyProtection="1">
      <alignment vertical="center" wrapText="1"/>
      <protection locked="0"/>
    </xf>
    <xf numFmtId="0" fontId="0" fillId="43" borderId="14" xfId="0" applyFill="1" applyBorder="1" applyAlignment="1" applyProtection="1">
      <alignment vertical="center"/>
      <protection locked="0"/>
    </xf>
    <xf numFmtId="0" fontId="0" fillId="42" borderId="14" xfId="0" applyFill="1" applyBorder="1" applyAlignment="1" applyProtection="1">
      <alignment horizontal="right" wrapText="1"/>
      <protection locked="0"/>
    </xf>
    <xf numFmtId="0" fontId="0" fillId="42" borderId="14" xfId="0" applyFill="1" applyBorder="1" applyAlignment="1" applyProtection="1">
      <alignment horizontal="right"/>
      <protection locked="0"/>
    </xf>
    <xf numFmtId="0" fontId="0" fillId="0" borderId="16" xfId="0" applyBorder="1" applyAlignment="1" applyProtection="1">
      <alignment horizontal="left" wrapText="1"/>
      <protection locked="0"/>
    </xf>
    <xf numFmtId="0" fontId="0" fillId="0" borderId="15" xfId="0" applyBorder="1" applyAlignment="1" applyProtection="1">
      <alignment/>
      <protection locked="0"/>
    </xf>
    <xf numFmtId="0" fontId="0" fillId="0" borderId="16" xfId="0" applyBorder="1" applyAlignment="1" applyProtection="1">
      <alignment wrapText="1"/>
      <protection locked="0"/>
    </xf>
    <xf numFmtId="0" fontId="0" fillId="36" borderId="14" xfId="0" applyFill="1" applyBorder="1" applyAlignment="1" applyProtection="1">
      <alignment vertical="center" wrapText="1"/>
      <protection locked="0"/>
    </xf>
    <xf numFmtId="0" fontId="0" fillId="36" borderId="14" xfId="0" applyFill="1" applyBorder="1" applyAlignment="1">
      <alignment vertical="center"/>
    </xf>
    <xf numFmtId="0" fontId="0" fillId="37" borderId="16" xfId="0" applyFill="1" applyBorder="1" applyAlignment="1" applyProtection="1">
      <alignment wrapText="1"/>
      <protection locked="0"/>
    </xf>
    <xf numFmtId="0" fontId="0" fillId="37" borderId="11" xfId="0" applyFill="1" applyBorder="1" applyAlignment="1">
      <alignment/>
    </xf>
    <xf numFmtId="0" fontId="0" fillId="0" borderId="11" xfId="0" applyBorder="1" applyAlignment="1">
      <alignment/>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5" xfId="0" applyBorder="1" applyAlignment="1" applyProtection="1">
      <alignment vertical="center"/>
      <protection locked="0"/>
    </xf>
    <xf numFmtId="0" fontId="0" fillId="35" borderId="16" xfId="0" applyFill="1" applyBorder="1" applyAlignment="1" applyProtection="1">
      <alignment/>
      <protection locked="0"/>
    </xf>
    <xf numFmtId="0" fontId="0" fillId="35" borderId="15" xfId="0" applyFill="1" applyBorder="1" applyAlignment="1" applyProtection="1">
      <alignment/>
      <protection locked="0"/>
    </xf>
    <xf numFmtId="0" fontId="0" fillId="0" borderId="15" xfId="0" applyBorder="1" applyAlignment="1" applyProtection="1">
      <alignmen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vertical="center" wrapText="1"/>
      <protection locked="0"/>
    </xf>
    <xf numFmtId="0" fontId="0" fillId="0" borderId="15" xfId="0" applyBorder="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40" borderId="16" xfId="0" applyFill="1" applyBorder="1" applyAlignment="1" applyProtection="1">
      <alignment horizontal="left" wrapText="1"/>
      <protection locked="0"/>
    </xf>
    <xf numFmtId="0" fontId="0" fillId="40" borderId="11" xfId="0" applyFill="1" applyBorder="1" applyAlignment="1">
      <alignment horizontal="left" wrapText="1"/>
    </xf>
    <xf numFmtId="0" fontId="0" fillId="40" borderId="15" xfId="0" applyFill="1" applyBorder="1" applyAlignment="1">
      <alignment horizontal="left" wrapText="1"/>
    </xf>
    <xf numFmtId="0" fontId="0" fillId="0" borderId="11" xfId="0" applyBorder="1" applyAlignment="1" applyProtection="1">
      <alignment vertical="center" wrapText="1"/>
      <protection locked="0"/>
    </xf>
    <xf numFmtId="0" fontId="10" fillId="0" borderId="16" xfId="0" applyFont="1" applyBorder="1" applyAlignment="1" applyProtection="1">
      <alignment horizontal="center" vertical="center" wrapText="1"/>
      <protection locked="0"/>
    </xf>
    <xf numFmtId="0" fontId="0" fillId="0" borderId="15" xfId="0" applyBorder="1" applyAlignment="1">
      <alignment vertical="center"/>
    </xf>
    <xf numFmtId="0" fontId="0" fillId="0" borderId="10" xfId="0" applyBorder="1" applyAlignment="1" applyProtection="1">
      <alignment wrapText="1"/>
      <protection locked="0"/>
    </xf>
    <xf numFmtId="0" fontId="0" fillId="0" borderId="10" xfId="0" applyBorder="1" applyAlignment="1">
      <alignment/>
    </xf>
    <xf numFmtId="0" fontId="0" fillId="40" borderId="14" xfId="0" applyFill="1" applyBorder="1" applyAlignment="1" applyProtection="1">
      <alignment horizontal="left"/>
      <protection locked="0"/>
    </xf>
    <xf numFmtId="0" fontId="0" fillId="40" borderId="14" xfId="0" applyFill="1" applyBorder="1" applyAlignment="1">
      <alignment horizontal="left"/>
    </xf>
    <xf numFmtId="0" fontId="0" fillId="0" borderId="16" xfId="0" applyFill="1" applyBorder="1" applyAlignment="1" applyProtection="1">
      <alignment horizontal="right" wrapText="1"/>
      <protection locked="0"/>
    </xf>
    <xf numFmtId="0" fontId="0" fillId="0" borderId="11" xfId="0" applyFill="1" applyBorder="1" applyAlignment="1" applyProtection="1">
      <alignment horizontal="right"/>
      <protection locked="0"/>
    </xf>
    <xf numFmtId="0" fontId="0" fillId="0" borderId="15" xfId="0" applyFill="1" applyBorder="1" applyAlignment="1" applyProtection="1">
      <alignment horizontal="right"/>
      <protection locked="0"/>
    </xf>
    <xf numFmtId="0" fontId="0" fillId="0" borderId="25" xfId="0" applyBorder="1" applyAlignment="1" applyProtection="1">
      <alignment horizontal="right" wrapText="1"/>
      <protection locked="0"/>
    </xf>
    <xf numFmtId="0" fontId="0" fillId="0" borderId="26" xfId="0" applyBorder="1" applyAlignment="1" applyProtection="1">
      <alignment wrapText="1"/>
      <protection locked="0"/>
    </xf>
    <xf numFmtId="0" fontId="0" fillId="0" borderId="14" xfId="0" applyFont="1" applyBorder="1" applyAlignment="1">
      <alignment wrapText="1"/>
    </xf>
    <xf numFmtId="0" fontId="1" fillId="0" borderId="0" xfId="0" applyFont="1" applyBorder="1" applyAlignment="1">
      <alignment vertical="top" wrapText="1"/>
    </xf>
    <xf numFmtId="0" fontId="0" fillId="0" borderId="0" xfId="0" applyAlignment="1">
      <alignmen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2" xfId="62"/>
    <cellStyle name="Normal 2 2" xfId="63"/>
    <cellStyle name="Normal 2 3" xfId="64"/>
    <cellStyle name="Normal 3" xfId="65"/>
    <cellStyle name="Normal 4" xfId="66"/>
    <cellStyle name="Normal 5" xfId="67"/>
    <cellStyle name="Normal 6" xfId="68"/>
    <cellStyle name="Normal 7" xfId="69"/>
    <cellStyle name="Normal 8" xfId="70"/>
    <cellStyle name="Normal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ll.Freeman@noaa.gov" TargetMode="External" /><Relationship Id="rId2" Type="http://schemas.openxmlformats.org/officeDocument/2006/relationships/hyperlink" Target="mailto:Will.Freeman@noaa.gov" TargetMode="External" /><Relationship Id="rId3" Type="http://schemas.openxmlformats.org/officeDocument/2006/relationships/hyperlink" Target="mailto:Will.Freeman@noaa.gov" TargetMode="External" /><Relationship Id="rId4" Type="http://schemas.openxmlformats.org/officeDocument/2006/relationships/hyperlink" Target="mailto:Will.Freeman@noaa.gov" TargetMode="External" /><Relationship Id="rId5" Type="http://schemas.openxmlformats.org/officeDocument/2006/relationships/hyperlink" Target="mailto:Will.Freeman@noaa.gov" TargetMode="External" /><Relationship Id="rId6" Type="http://schemas.openxmlformats.org/officeDocument/2006/relationships/hyperlink" Target="mailto:Will.Freeman@noaa.gov" TargetMode="External" /><Relationship Id="rId7" Type="http://schemas.openxmlformats.org/officeDocument/2006/relationships/hyperlink" Target="mailto:Will.Freeman@noaa.gov" TargetMode="External" /><Relationship Id="rId8" Type="http://schemas.openxmlformats.org/officeDocument/2006/relationships/hyperlink" Target="mailto:Will.Freeman@noaa.gov" TargetMode="External" /><Relationship Id="rId9" Type="http://schemas.openxmlformats.org/officeDocument/2006/relationships/hyperlink" Target="mailto:Will.Freeman@noaa.gov" TargetMode="External" /><Relationship Id="rId10" Type="http://schemas.openxmlformats.org/officeDocument/2006/relationships/hyperlink" Target="mailto:Will.Freeman@noaa.gov" TargetMode="External" /><Relationship Id="rId11" Type="http://schemas.openxmlformats.org/officeDocument/2006/relationships/hyperlink" Target="mailto:Will.Freeman@noaa.gov" TargetMode="External" /><Relationship Id="rId12" Type="http://schemas.openxmlformats.org/officeDocument/2006/relationships/hyperlink" Target="mailto:Will.Freeman@noaa.gov" TargetMode="External" /><Relationship Id="rId13" Type="http://schemas.openxmlformats.org/officeDocument/2006/relationships/comments" Target="../comments4.xml" /><Relationship Id="rId14" Type="http://schemas.openxmlformats.org/officeDocument/2006/relationships/vmlDrawing" Target="../drawings/vmlDrawing2.vml" /><Relationship Id="rId1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zoomScalePageLayoutView="0" workbookViewId="0" topLeftCell="A1">
      <selection activeCell="C5" sqref="C5"/>
    </sheetView>
  </sheetViews>
  <sheetFormatPr defaultColWidth="9.140625" defaultRowHeight="12.75"/>
  <cols>
    <col min="1" max="1" width="38.57421875" style="209" customWidth="1"/>
    <col min="2" max="5" width="14.7109375" style="209" customWidth="1"/>
    <col min="6" max="16384" width="9.140625" style="209" customWidth="1"/>
  </cols>
  <sheetData>
    <row r="1" spans="1:2" s="206" customFormat="1" ht="15.75">
      <c r="A1" s="204" t="str">
        <f>'FY2008 Data Report'!B3</f>
        <v>DOC - NOAA data</v>
      </c>
      <c r="B1" s="205" t="s">
        <v>199</v>
      </c>
    </row>
    <row r="2" spans="1:2" ht="12.75">
      <c r="A2" s="207"/>
      <c r="B2" s="208"/>
    </row>
    <row r="3" ht="15.75">
      <c r="A3" s="205" t="s">
        <v>121</v>
      </c>
    </row>
    <row r="4" ht="12.75">
      <c r="A4" s="208"/>
    </row>
    <row r="5" spans="1:5" ht="25.5">
      <c r="A5" s="210" t="s">
        <v>122</v>
      </c>
      <c r="B5" s="211" t="s">
        <v>114</v>
      </c>
      <c r="C5" s="211" t="s">
        <v>200</v>
      </c>
      <c r="D5" s="211" t="s">
        <v>201</v>
      </c>
      <c r="E5" s="211" t="s">
        <v>202</v>
      </c>
    </row>
    <row r="6" spans="1:5" ht="25.5">
      <c r="A6" s="212" t="s">
        <v>113</v>
      </c>
      <c r="B6" s="300">
        <f>'FY2008 Data Report'!C22</f>
        <v>0</v>
      </c>
      <c r="C6" s="213">
        <f>'FY2008 Data Report'!G23</f>
        <v>81571.78346696815</v>
      </c>
      <c r="D6" s="214" t="e">
        <f>(C6-B6)/B6</f>
        <v>#DIV/0!</v>
      </c>
      <c r="E6" s="215">
        <v>-0.09</v>
      </c>
    </row>
    <row r="8" spans="1:5" ht="38.25">
      <c r="A8" s="216" t="s">
        <v>123</v>
      </c>
      <c r="B8" s="217" t="s">
        <v>115</v>
      </c>
      <c r="C8" s="218" t="s">
        <v>116</v>
      </c>
      <c r="D8" s="219" t="s">
        <v>117</v>
      </c>
      <c r="E8" s="218" t="s">
        <v>202</v>
      </c>
    </row>
    <row r="9" spans="1:5" ht="25.5">
      <c r="A9" s="220" t="s">
        <v>125</v>
      </c>
      <c r="B9" s="221">
        <f>'FY2008 Data Report'!C133</f>
        <v>2534</v>
      </c>
      <c r="C9" s="221">
        <f>'FY2008 Data Report'!D133</f>
        <v>120571</v>
      </c>
      <c r="D9" s="222">
        <f>B9/C9</f>
        <v>0.021016662381501357</v>
      </c>
      <c r="E9" s="223">
        <v>0.03</v>
      </c>
    </row>
    <row r="11" spans="1:5" ht="25.5">
      <c r="A11" s="224" t="s">
        <v>124</v>
      </c>
      <c r="B11" s="225" t="s">
        <v>118</v>
      </c>
      <c r="C11" s="225" t="s">
        <v>203</v>
      </c>
      <c r="D11" s="226" t="s">
        <v>204</v>
      </c>
      <c r="E11" s="226" t="s">
        <v>202</v>
      </c>
    </row>
    <row r="12" spans="1:5" ht="25.5">
      <c r="A12" s="227" t="s">
        <v>119</v>
      </c>
      <c r="B12" s="406">
        <f>'FY2008 Data Report'!F141</f>
        <v>7.140371825937371</v>
      </c>
      <c r="C12" s="228">
        <f>'FY2008 Data Report'!F141</f>
        <v>7.140371825937371</v>
      </c>
      <c r="D12" s="315">
        <f>(C12-B12)/B12</f>
        <v>0</v>
      </c>
      <c r="E12" s="254">
        <v>-0.02</v>
      </c>
    </row>
    <row r="14" spans="1:5" ht="51">
      <c r="A14" s="229" t="s">
        <v>155</v>
      </c>
      <c r="B14" s="230" t="s">
        <v>153</v>
      </c>
      <c r="C14" s="230" t="s">
        <v>154</v>
      </c>
      <c r="D14" s="335" t="s">
        <v>292</v>
      </c>
      <c r="E14" s="230" t="s">
        <v>156</v>
      </c>
    </row>
    <row r="15" spans="1:5" ht="25.5" customHeight="1">
      <c r="A15" s="231" t="s">
        <v>206</v>
      </c>
      <c r="B15" s="251">
        <f>'FY2008 Data Report'!B179</f>
        <v>144</v>
      </c>
      <c r="C15" s="252">
        <f>'FY2008 Data Report'!C179</f>
        <v>0.181</v>
      </c>
      <c r="D15" s="252">
        <f>'FY2008 Data Report'!B179/'FY2008 Data Report'!F179</f>
        <v>1.3457943925233644</v>
      </c>
      <c r="E15" s="253">
        <v>1</v>
      </c>
    </row>
    <row r="16" spans="1:5" ht="38.25">
      <c r="A16" s="231" t="s">
        <v>207</v>
      </c>
      <c r="B16" s="251">
        <f>'FY2008 Data Report'!D179</f>
        <v>0</v>
      </c>
      <c r="C16" s="252">
        <f>'FY2008 Data Report'!E179</f>
        <v>0</v>
      </c>
      <c r="D16" s="252">
        <f>'FY2008 Data Report'!D179/'FY2008 Data Report'!F179</f>
        <v>0</v>
      </c>
      <c r="E16" s="232" t="s">
        <v>157</v>
      </c>
    </row>
    <row r="17" spans="1:5" ht="12.75">
      <c r="A17" s="231" t="s">
        <v>293</v>
      </c>
      <c r="B17" s="251">
        <f>SUM(B15:B16)</f>
        <v>144</v>
      </c>
      <c r="C17" s="252">
        <f>SUM(C15:C16)</f>
        <v>0.181</v>
      </c>
      <c r="D17" s="252">
        <f>SUM(D15:D16)</f>
        <v>1.3457943925233644</v>
      </c>
      <c r="E17" s="336"/>
    </row>
    <row r="18" ht="12.75">
      <c r="A18" s="208"/>
    </row>
    <row r="19" spans="1:3" ht="38.25">
      <c r="A19" s="233" t="s">
        <v>180</v>
      </c>
      <c r="B19" s="234" t="s">
        <v>178</v>
      </c>
      <c r="C19" s="235" t="s">
        <v>208</v>
      </c>
    </row>
    <row r="20" spans="1:3" ht="51">
      <c r="A20" s="236" t="s">
        <v>258</v>
      </c>
      <c r="B20" s="237">
        <f>'FY2008 Data Report'!E187</f>
        <v>0</v>
      </c>
      <c r="C20" s="238">
        <v>1</v>
      </c>
    </row>
    <row r="22" ht="15.75">
      <c r="A22" s="205" t="s">
        <v>126</v>
      </c>
    </row>
    <row r="24" spans="1:3" ht="38.25">
      <c r="A24" s="239" t="s">
        <v>134</v>
      </c>
      <c r="B24" s="240" t="s">
        <v>132</v>
      </c>
      <c r="C24" s="240" t="s">
        <v>128</v>
      </c>
    </row>
    <row r="25" spans="1:3" ht="25.5">
      <c r="A25" s="241" t="s">
        <v>129</v>
      </c>
      <c r="B25" s="242">
        <f>'FY2008 Data Report'!D152</f>
        <v>100</v>
      </c>
      <c r="C25" s="243">
        <f>'FY2008 Data Report'!C153</f>
        <v>0</v>
      </c>
    </row>
    <row r="26" spans="1:3" ht="25.5">
      <c r="A26" s="244" t="s">
        <v>130</v>
      </c>
      <c r="B26" s="242">
        <f>'FY2008 Data Report'!D159</f>
        <v>0</v>
      </c>
      <c r="C26" s="243">
        <f>'FY2008 Data Report'!C158</f>
        <v>0</v>
      </c>
    </row>
    <row r="27" spans="1:3" ht="25.5">
      <c r="A27" s="241" t="s">
        <v>131</v>
      </c>
      <c r="B27" s="242">
        <f>'FY2008 Data Report'!D169</f>
        <v>0</v>
      </c>
      <c r="C27" s="243">
        <f>'FY2008 Data Report'!C168</f>
        <v>0</v>
      </c>
    </row>
    <row r="28" spans="1:3" ht="12.75">
      <c r="A28" s="245" t="s">
        <v>133</v>
      </c>
      <c r="B28" s="242">
        <f>SUM(B25:B27)</f>
        <v>100</v>
      </c>
      <c r="C28" s="243">
        <f>SUM(C25:C27)</f>
        <v>0</v>
      </c>
    </row>
    <row r="29" spans="1:3" ht="12.75">
      <c r="A29" s="246"/>
      <c r="B29" s="247"/>
      <c r="C29" s="248"/>
    </row>
    <row r="30" ht="12.75">
      <c r="B30" s="249" t="s">
        <v>117</v>
      </c>
    </row>
    <row r="31" spans="1:2" ht="25.5">
      <c r="A31" s="241" t="s">
        <v>140</v>
      </c>
      <c r="B31" s="250">
        <f>B28/('FY2008 Data Report'!D20+'FY2008 Data Report'!D36)</f>
        <v>0.006581155519286077</v>
      </c>
    </row>
    <row r="32" spans="1:2" ht="25.5">
      <c r="A32" s="241" t="s">
        <v>179</v>
      </c>
      <c r="B32" s="250">
        <f>(B26+B27)/('FY2008 Data Report'!D20+'FY2008 Data Report'!D36)</f>
        <v>0</v>
      </c>
    </row>
  </sheetData>
  <sheetProtection sheet="1" objects="1" scenarios="1"/>
  <printOptions/>
  <pageMargins left="0.75" right="0.75" top="1" bottom="1" header="0.5" footer="0.5"/>
  <pageSetup fitToHeight="1" fitToWidth="1" horizontalDpi="600" verticalDpi="600" orientation="portrait" scale="91" r:id="rId1"/>
  <ignoredErrors>
    <ignoredError sqref="D15:D17" evalError="1"/>
  </ignoredErrors>
</worksheet>
</file>

<file path=xl/worksheets/sheet2.xml><?xml version="1.0" encoding="utf-8"?>
<worksheet xmlns="http://schemas.openxmlformats.org/spreadsheetml/2006/main" xmlns:r="http://schemas.openxmlformats.org/officeDocument/2006/relationships">
  <dimension ref="A1:II192"/>
  <sheetViews>
    <sheetView zoomScalePageLayoutView="0" workbookViewId="0" topLeftCell="A1">
      <selection activeCell="G11" sqref="G11"/>
    </sheetView>
  </sheetViews>
  <sheetFormatPr defaultColWidth="9.140625" defaultRowHeight="12.75"/>
  <cols>
    <col min="1" max="1" width="20.57421875" style="1" customWidth="1"/>
    <col min="2" max="3" width="15.7109375" style="1" customWidth="1"/>
    <col min="4" max="4" width="16.421875" style="1" customWidth="1"/>
    <col min="5" max="7" width="14.7109375" style="1" customWidth="1"/>
    <col min="8" max="9" width="16.00390625" style="1" customWidth="1"/>
    <col min="10" max="10" width="17.8515625" style="1" customWidth="1"/>
    <col min="11" max="13" width="13.7109375" style="1" customWidth="1"/>
    <col min="14" max="14" width="16.7109375" style="1" customWidth="1"/>
    <col min="15" max="16384" width="9.140625" style="1" customWidth="1"/>
  </cols>
  <sheetData>
    <row r="1" spans="1:9" ht="18">
      <c r="A1" s="486" t="s">
        <v>209</v>
      </c>
      <c r="B1" s="486"/>
      <c r="C1" s="486"/>
      <c r="D1" s="486"/>
      <c r="E1" s="486"/>
      <c r="F1" s="486"/>
      <c r="G1" s="486"/>
      <c r="H1" s="486"/>
      <c r="I1" s="137"/>
    </row>
    <row r="2" spans="4:9" ht="18">
      <c r="D2" s="76"/>
      <c r="I2" s="137"/>
    </row>
    <row r="3" spans="1:9" ht="12.75">
      <c r="A3" s="1" t="s">
        <v>2</v>
      </c>
      <c r="B3" s="152" t="s">
        <v>303</v>
      </c>
      <c r="C3" s="2"/>
      <c r="E3" s="1" t="s">
        <v>1</v>
      </c>
      <c r="F3" s="152" t="s">
        <v>301</v>
      </c>
      <c r="G3" s="3"/>
      <c r="I3" s="137"/>
    </row>
    <row r="4" spans="1:9" ht="18" customHeight="1">
      <c r="A4" s="1" t="s">
        <v>3</v>
      </c>
      <c r="B4" s="400">
        <v>39775</v>
      </c>
      <c r="C4" s="4"/>
      <c r="E4" s="1" t="s">
        <v>0</v>
      </c>
      <c r="F4" s="399" t="s">
        <v>302</v>
      </c>
      <c r="G4" s="4"/>
      <c r="I4" s="153"/>
    </row>
    <row r="5" ht="12.75">
      <c r="I5" s="137"/>
    </row>
    <row r="6" spans="1:9" ht="12.75">
      <c r="A6" s="5" t="s">
        <v>96</v>
      </c>
      <c r="I6" s="137"/>
    </row>
    <row r="7" ht="12.75">
      <c r="I7" s="137"/>
    </row>
    <row r="8" ht="12.75"/>
    <row r="9" spans="1:9" ht="12.75">
      <c r="A9" s="5" t="s">
        <v>274</v>
      </c>
      <c r="B9" s="2"/>
      <c r="C9" s="2"/>
      <c r="D9" s="2"/>
      <c r="E9" s="2"/>
      <c r="F9" s="2"/>
      <c r="G9" s="2"/>
      <c r="H9" s="2"/>
      <c r="I9" s="2"/>
    </row>
    <row r="10" spans="1:9" ht="47.25">
      <c r="A10" s="69" t="s">
        <v>43</v>
      </c>
      <c r="B10" s="67" t="s">
        <v>16</v>
      </c>
      <c r="C10" s="68" t="s">
        <v>14</v>
      </c>
      <c r="D10" s="67" t="s">
        <v>15</v>
      </c>
      <c r="E10" s="106" t="s">
        <v>33</v>
      </c>
      <c r="F10" s="107"/>
      <c r="G10" s="69" t="s">
        <v>35</v>
      </c>
      <c r="H10" s="69" t="s">
        <v>36</v>
      </c>
      <c r="I10" s="69" t="s">
        <v>98</v>
      </c>
    </row>
    <row r="11" spans="1:9" ht="12.75">
      <c r="A11" s="74" t="s">
        <v>4</v>
      </c>
      <c r="B11" s="74" t="s">
        <v>10</v>
      </c>
      <c r="C11" s="70">
        <v>118091</v>
      </c>
      <c r="D11" s="71">
        <v>13641</v>
      </c>
      <c r="E11" s="72">
        <f>D11/C11</f>
        <v>0.1155126131542624</v>
      </c>
      <c r="F11" s="73" t="s">
        <v>28</v>
      </c>
      <c r="G11" s="332">
        <f>ROUND(C11*0.003412,3)</f>
        <v>402.926</v>
      </c>
      <c r="H11" s="108">
        <f>ROUND(C11*0.01185,3)</f>
        <v>1399.378</v>
      </c>
      <c r="I11" s="109">
        <f>(G11-(SUM(L109:L112)))*189.7</f>
        <v>76435.0622</v>
      </c>
    </row>
    <row r="12" spans="1:9" ht="12.75">
      <c r="A12" s="74" t="s">
        <v>5</v>
      </c>
      <c r="B12" s="74" t="s">
        <v>11</v>
      </c>
      <c r="C12" s="70">
        <v>281</v>
      </c>
      <c r="D12" s="71">
        <v>598.8</v>
      </c>
      <c r="E12" s="72">
        <f aca="true" t="shared" si="0" ref="E12:E17">D12/C12</f>
        <v>2.1309608540925264</v>
      </c>
      <c r="F12" s="73" t="s">
        <v>29</v>
      </c>
      <c r="G12" s="108">
        <f>ROUND(C12*0.1387,3)</f>
        <v>38.975</v>
      </c>
      <c r="H12" s="108">
        <f>ROUND(C12*0.1387,3)</f>
        <v>38.975</v>
      </c>
      <c r="I12" s="109">
        <f>G12*73.35</f>
        <v>2858.81625</v>
      </c>
    </row>
    <row r="13" spans="1:9" ht="12.75">
      <c r="A13" s="74" t="s">
        <v>6</v>
      </c>
      <c r="B13" s="74" t="s">
        <v>41</v>
      </c>
      <c r="C13" s="70">
        <v>94142.6</v>
      </c>
      <c r="D13" s="71">
        <v>955.1</v>
      </c>
      <c r="E13" s="72">
        <f>D13/C13*1000</f>
        <v>10.145247741192616</v>
      </c>
      <c r="F13" s="73" t="s">
        <v>30</v>
      </c>
      <c r="G13" s="108">
        <f>ROUND(C13*0.001031,3)</f>
        <v>97.061</v>
      </c>
      <c r="H13" s="108">
        <f>ROUND(C13*0.001031,3)</f>
        <v>97.061</v>
      </c>
      <c r="I13" s="109">
        <f>G13*53.15</f>
        <v>5158.79215</v>
      </c>
    </row>
    <row r="14" spans="1:9" ht="12.75">
      <c r="A14" s="74" t="s">
        <v>7</v>
      </c>
      <c r="B14" s="74" t="s">
        <v>11</v>
      </c>
      <c r="C14" s="70">
        <v>9.7</v>
      </c>
      <c r="D14" s="71">
        <v>0</v>
      </c>
      <c r="E14" s="72">
        <f t="shared" si="0"/>
        <v>0</v>
      </c>
      <c r="F14" s="73" t="s">
        <v>29</v>
      </c>
      <c r="G14" s="108">
        <f>ROUND(C14*0.0955,3)</f>
        <v>0.926</v>
      </c>
      <c r="H14" s="108">
        <f>ROUND(C14*0.0955,3)</f>
        <v>0.926</v>
      </c>
      <c r="I14" s="109">
        <f>G14*62.33</f>
        <v>57.71758</v>
      </c>
    </row>
    <row r="15" spans="1:9" ht="12.75">
      <c r="A15" s="74" t="s">
        <v>27</v>
      </c>
      <c r="B15" s="74" t="s">
        <v>12</v>
      </c>
      <c r="C15" s="70">
        <v>0</v>
      </c>
      <c r="D15" s="71">
        <v>0</v>
      </c>
      <c r="E15" s="72" t="e">
        <f>D15/C15*1000</f>
        <v>#DIV/0!</v>
      </c>
      <c r="F15" s="73" t="s">
        <v>31</v>
      </c>
      <c r="G15" s="108">
        <f>ROUND(C15*0.02458,3)</f>
        <v>0</v>
      </c>
      <c r="H15" s="108">
        <f>ROUND(C15*0.02458,3)</f>
        <v>0</v>
      </c>
      <c r="I15" s="109">
        <f>G15*95.94</f>
        <v>0</v>
      </c>
    </row>
    <row r="16" spans="1:9" ht="12.75">
      <c r="A16" s="74" t="s">
        <v>8</v>
      </c>
      <c r="B16" s="74" t="s">
        <v>13</v>
      </c>
      <c r="C16" s="70">
        <v>0</v>
      </c>
      <c r="D16" s="71">
        <v>0</v>
      </c>
      <c r="E16" s="110" t="e">
        <f t="shared" si="0"/>
        <v>#DIV/0!</v>
      </c>
      <c r="F16" s="111" t="s">
        <v>32</v>
      </c>
      <c r="G16" s="108">
        <f>ROUND(C16,3)</f>
        <v>0</v>
      </c>
      <c r="H16" s="108">
        <f>ROUND(C16*1.39,3)</f>
        <v>0</v>
      </c>
      <c r="I16" s="109">
        <f>G16*133.35</f>
        <v>0</v>
      </c>
    </row>
    <row r="17" spans="1:9" ht="12.75">
      <c r="A17" s="74" t="s">
        <v>9</v>
      </c>
      <c r="B17" s="74" t="s">
        <v>13</v>
      </c>
      <c r="C17" s="70">
        <v>0</v>
      </c>
      <c r="D17" s="71">
        <v>0</v>
      </c>
      <c r="E17" s="72" t="e">
        <f t="shared" si="0"/>
        <v>#DIV/0!</v>
      </c>
      <c r="F17" s="112" t="s">
        <v>32</v>
      </c>
      <c r="G17" s="113">
        <f>ROUND(C17,3)</f>
        <v>0</v>
      </c>
      <c r="H17" s="114">
        <f>ROUND(C17,3)</f>
        <v>0</v>
      </c>
      <c r="I17" s="115"/>
    </row>
    <row r="18" spans="1:9" ht="12.75">
      <c r="A18" s="74" t="s">
        <v>220</v>
      </c>
      <c r="B18" s="74" t="s">
        <v>10</v>
      </c>
      <c r="C18" s="272">
        <f>SUMIF(K105:K108,"Goal",D105:D108)</f>
        <v>2480</v>
      </c>
      <c r="D18" s="273">
        <f>SUMIF(K105:K108,"Goal",F105:F108)</f>
        <v>0</v>
      </c>
      <c r="E18" s="72">
        <f>D18/C18</f>
        <v>0</v>
      </c>
      <c r="F18" s="73" t="s">
        <v>28</v>
      </c>
      <c r="G18" s="108">
        <f>ROUND(C18*0.003412,3)</f>
        <v>8.462</v>
      </c>
      <c r="H18" s="108"/>
      <c r="I18" s="109"/>
    </row>
    <row r="19" spans="1:9" ht="12.75">
      <c r="A19" s="74" t="s">
        <v>219</v>
      </c>
      <c r="B19" s="74" t="s">
        <v>13</v>
      </c>
      <c r="C19" s="272">
        <f>SUMIF(K113:K116,"Goal",E113:E116)/1000</f>
        <v>0</v>
      </c>
      <c r="D19" s="273">
        <f>SUMIF(K113:K116,"Goal",F113:F116)</f>
        <v>0</v>
      </c>
      <c r="E19" s="397" t="e">
        <f>D19/C19</f>
        <v>#DIV/0!</v>
      </c>
      <c r="F19" s="268" t="s">
        <v>32</v>
      </c>
      <c r="G19" s="108">
        <f>ROUND(C19,3)</f>
        <v>0</v>
      </c>
      <c r="H19" s="114"/>
      <c r="I19" s="109"/>
    </row>
    <row r="20" spans="1:9" ht="12.75">
      <c r="A20" s="102"/>
      <c r="B20" s="103"/>
      <c r="C20" s="97" t="s">
        <v>42</v>
      </c>
      <c r="D20" s="75">
        <f>SUM(D11:D19)</f>
        <v>15194.9</v>
      </c>
      <c r="E20" s="11"/>
      <c r="F20" s="116" t="s">
        <v>44</v>
      </c>
      <c r="G20" s="108">
        <f>SUM(G11:G19)</f>
        <v>548.35</v>
      </c>
      <c r="H20" s="108">
        <f>SUM(H11:H19)</f>
        <v>1536.3399999999997</v>
      </c>
      <c r="I20" s="109">
        <f>SUM(I11:I19)</f>
        <v>84510.38818</v>
      </c>
    </row>
    <row r="21" spans="1:11" ht="25.5">
      <c r="A21" s="104" t="s">
        <v>244</v>
      </c>
      <c r="B21" s="105"/>
      <c r="C21" s="70">
        <v>6722.3</v>
      </c>
      <c r="E21" s="11"/>
      <c r="F21" s="97" t="s">
        <v>34</v>
      </c>
      <c r="G21" s="117">
        <f>G20/C21*1000000</f>
        <v>81571.78346696815</v>
      </c>
      <c r="H21" s="117">
        <f>H20/C21*1000000</f>
        <v>228543.8019725391</v>
      </c>
      <c r="J21" s="308"/>
      <c r="K21" s="11"/>
    </row>
    <row r="22" spans="1:11" ht="25.5" customHeight="1">
      <c r="A22" s="104" t="s">
        <v>243</v>
      </c>
      <c r="B22" s="105"/>
      <c r="C22" s="298">
        <v>0</v>
      </c>
      <c r="E22" s="11"/>
      <c r="F22" s="118" t="s">
        <v>59</v>
      </c>
      <c r="G22" s="117">
        <f>((G20-J120)/C21)*1000000</f>
        <v>81571.78346696815</v>
      </c>
      <c r="H22" s="313"/>
      <c r="I22" s="334"/>
      <c r="J22" s="333"/>
      <c r="K22" s="11"/>
    </row>
    <row r="23" spans="1:10" ht="27.75" customHeight="1">
      <c r="A23" s="13"/>
      <c r="B23" s="13"/>
      <c r="C23" s="11"/>
      <c r="D23" s="11"/>
      <c r="F23" s="118" t="s">
        <v>112</v>
      </c>
      <c r="G23" s="119">
        <f>(G20-(J120+('Source Energy Savings Credit'!D10/1000)))/C21*1000000</f>
        <v>81571.78346696815</v>
      </c>
      <c r="H23" s="314"/>
      <c r="J23" s="309"/>
    </row>
    <row r="24" ht="12.75"/>
    <row r="25" ht="12.75">
      <c r="A25" s="5" t="s">
        <v>275</v>
      </c>
    </row>
    <row r="26" spans="1:9" ht="47.25">
      <c r="A26" s="43" t="s">
        <v>43</v>
      </c>
      <c r="B26" s="43" t="s">
        <v>16</v>
      </c>
      <c r="C26" s="43" t="s">
        <v>14</v>
      </c>
      <c r="D26" s="43" t="s">
        <v>15</v>
      </c>
      <c r="E26" s="44" t="s">
        <v>33</v>
      </c>
      <c r="F26" s="45"/>
      <c r="G26" s="43" t="s">
        <v>35</v>
      </c>
      <c r="H26" s="43" t="s">
        <v>36</v>
      </c>
      <c r="I26" s="43" t="s">
        <v>98</v>
      </c>
    </row>
    <row r="27" spans="1:9" ht="12.75">
      <c r="A27" s="46" t="s">
        <v>4</v>
      </c>
      <c r="B27" s="46" t="s">
        <v>10</v>
      </c>
      <c r="C27" s="47">
        <v>0</v>
      </c>
      <c r="D27" s="48">
        <v>0</v>
      </c>
      <c r="E27" s="49" t="e">
        <f>D27/C27</f>
        <v>#DIV/0!</v>
      </c>
      <c r="F27" s="50" t="s">
        <v>28</v>
      </c>
      <c r="G27" s="51">
        <f>ROUND(C27*0.003412,3)</f>
        <v>0</v>
      </c>
      <c r="H27" s="51">
        <f>ROUND(C27*0.01185,3)</f>
        <v>0</v>
      </c>
      <c r="I27" s="52">
        <f>(G27-(SUM(M109:M112)))*189.7</f>
        <v>0</v>
      </c>
    </row>
    <row r="28" spans="1:9" ht="12.75">
      <c r="A28" s="46" t="s">
        <v>5</v>
      </c>
      <c r="B28" s="46" t="s">
        <v>11</v>
      </c>
      <c r="C28" s="47">
        <v>0</v>
      </c>
      <c r="D28" s="48">
        <v>0</v>
      </c>
      <c r="E28" s="49" t="e">
        <f aca="true" t="shared" si="1" ref="E28:E33">D28/C28</f>
        <v>#DIV/0!</v>
      </c>
      <c r="F28" s="50" t="s">
        <v>29</v>
      </c>
      <c r="G28" s="51">
        <f>ROUND(C28*0.1387,3)</f>
        <v>0</v>
      </c>
      <c r="H28" s="51">
        <f>ROUND(C28*0.1387,3)</f>
        <v>0</v>
      </c>
      <c r="I28" s="52">
        <f>G28*73.35</f>
        <v>0</v>
      </c>
    </row>
    <row r="29" spans="1:9" ht="12.75">
      <c r="A29" s="46" t="s">
        <v>6</v>
      </c>
      <c r="B29" s="46" t="s">
        <v>41</v>
      </c>
      <c r="C29" s="47">
        <v>0</v>
      </c>
      <c r="D29" s="48">
        <v>0</v>
      </c>
      <c r="E29" s="49" t="e">
        <f>D29/C29*1000</f>
        <v>#DIV/0!</v>
      </c>
      <c r="F29" s="50" t="s">
        <v>30</v>
      </c>
      <c r="G29" s="51">
        <f>ROUND(C29*0.001031,3)</f>
        <v>0</v>
      </c>
      <c r="H29" s="51">
        <f>ROUND(C29*0.001031,3)</f>
        <v>0</v>
      </c>
      <c r="I29" s="52">
        <f>G29*53.15</f>
        <v>0</v>
      </c>
    </row>
    <row r="30" spans="1:9" ht="12.75">
      <c r="A30" s="46" t="s">
        <v>7</v>
      </c>
      <c r="B30" s="46" t="s">
        <v>11</v>
      </c>
      <c r="C30" s="47">
        <v>0</v>
      </c>
      <c r="D30" s="48">
        <v>0</v>
      </c>
      <c r="E30" s="49" t="e">
        <f t="shared" si="1"/>
        <v>#DIV/0!</v>
      </c>
      <c r="F30" s="50" t="s">
        <v>29</v>
      </c>
      <c r="G30" s="51">
        <f>ROUND(C30*0.0955,3)</f>
        <v>0</v>
      </c>
      <c r="H30" s="51">
        <f>ROUND(C30*0.0955,3)</f>
        <v>0</v>
      </c>
      <c r="I30" s="52">
        <f>G30*62.33</f>
        <v>0</v>
      </c>
    </row>
    <row r="31" spans="1:9" ht="12.75">
      <c r="A31" s="46" t="s">
        <v>27</v>
      </c>
      <c r="B31" s="46" t="s">
        <v>12</v>
      </c>
      <c r="C31" s="47">
        <v>0</v>
      </c>
      <c r="D31" s="48">
        <v>0</v>
      </c>
      <c r="E31" s="49" t="e">
        <f>D31/C31*1000</f>
        <v>#DIV/0!</v>
      </c>
      <c r="F31" s="50" t="s">
        <v>31</v>
      </c>
      <c r="G31" s="51">
        <f>ROUND(C31*0.02458,3)</f>
        <v>0</v>
      </c>
      <c r="H31" s="51">
        <f>ROUND(C31*0.02458,3)</f>
        <v>0</v>
      </c>
      <c r="I31" s="52">
        <f>G31*95.94</f>
        <v>0</v>
      </c>
    </row>
    <row r="32" spans="1:9" ht="12.75">
      <c r="A32" s="46" t="s">
        <v>8</v>
      </c>
      <c r="B32" s="46" t="s">
        <v>13</v>
      </c>
      <c r="C32" s="47">
        <v>0</v>
      </c>
      <c r="D32" s="48">
        <v>0</v>
      </c>
      <c r="E32" s="53" t="e">
        <f t="shared" si="1"/>
        <v>#DIV/0!</v>
      </c>
      <c r="F32" s="54" t="s">
        <v>32</v>
      </c>
      <c r="G32" s="51">
        <f>ROUND(C32,3)</f>
        <v>0</v>
      </c>
      <c r="H32" s="51">
        <f>ROUND(C32*1.39,3)</f>
        <v>0</v>
      </c>
      <c r="I32" s="52">
        <f>G32*133.35</f>
        <v>0</v>
      </c>
    </row>
    <row r="33" spans="1:9" ht="12.75">
      <c r="A33" s="46" t="s">
        <v>9</v>
      </c>
      <c r="B33" s="46" t="s">
        <v>13</v>
      </c>
      <c r="C33" s="47">
        <v>0</v>
      </c>
      <c r="D33" s="55">
        <v>0</v>
      </c>
      <c r="E33" s="49" t="e">
        <f t="shared" si="1"/>
        <v>#DIV/0!</v>
      </c>
      <c r="F33" s="56" t="s">
        <v>32</v>
      </c>
      <c r="G33" s="57">
        <f>ROUND(C33,3)</f>
        <v>0</v>
      </c>
      <c r="H33" s="58">
        <f>ROUND(C33,3)</f>
        <v>0</v>
      </c>
      <c r="I33" s="59"/>
    </row>
    <row r="34" spans="1:9" ht="12.75">
      <c r="A34" s="46" t="s">
        <v>220</v>
      </c>
      <c r="B34" s="46" t="s">
        <v>10</v>
      </c>
      <c r="C34" s="203">
        <f>SUMIF(K105:K108,"Excluded",D105:D108)</f>
        <v>0</v>
      </c>
      <c r="D34" s="274">
        <f>SUMIF(K105:K108,"Excluded",F105:F108)</f>
        <v>0</v>
      </c>
      <c r="E34" s="49" t="e">
        <f>D34/C34</f>
        <v>#DIV/0!</v>
      </c>
      <c r="F34" s="50" t="s">
        <v>28</v>
      </c>
      <c r="G34" s="51">
        <f>ROUND(C34*0.003412,3)</f>
        <v>0</v>
      </c>
      <c r="H34" s="51"/>
      <c r="I34" s="52"/>
    </row>
    <row r="35" spans="1:9" ht="12.75">
      <c r="A35" s="46" t="s">
        <v>219</v>
      </c>
      <c r="B35" s="46" t="s">
        <v>13</v>
      </c>
      <c r="C35" s="203">
        <f>SUMIF(K113:K116,"Excluded",E113:E116)/1000</f>
        <v>0</v>
      </c>
      <c r="D35" s="274">
        <f>SUMIF(K113:K116,"Excluded",F113:F116)</f>
        <v>0</v>
      </c>
      <c r="E35" s="398" t="e">
        <f>D35/C35</f>
        <v>#DIV/0!</v>
      </c>
      <c r="F35" s="275" t="s">
        <v>32</v>
      </c>
      <c r="G35" s="51">
        <f>ROUND(C35,3)</f>
        <v>0</v>
      </c>
      <c r="H35" s="51"/>
      <c r="I35" s="52"/>
    </row>
    <row r="36" spans="1:9" ht="12.75">
      <c r="A36" s="62"/>
      <c r="B36" s="63"/>
      <c r="C36" s="60" t="s">
        <v>42</v>
      </c>
      <c r="D36" s="66">
        <f>SUM(D27:D35)</f>
        <v>0</v>
      </c>
      <c r="E36" s="11"/>
      <c r="F36" s="60" t="s">
        <v>44</v>
      </c>
      <c r="G36" s="51">
        <f>SUM(G27:G35)</f>
        <v>0</v>
      </c>
      <c r="H36" s="51">
        <f>SUM(H27:H35)</f>
        <v>0</v>
      </c>
      <c r="I36" s="52">
        <f>SUM(I27:I35)</f>
        <v>0</v>
      </c>
    </row>
    <row r="37" spans="1:11" ht="25.5">
      <c r="A37" s="64" t="s">
        <v>245</v>
      </c>
      <c r="B37" s="65"/>
      <c r="C37" s="47">
        <v>0</v>
      </c>
      <c r="E37" s="11"/>
      <c r="F37" s="60" t="s">
        <v>34</v>
      </c>
      <c r="G37" s="61" t="e">
        <f>G36/C37*1000000</f>
        <v>#DIV/0!</v>
      </c>
      <c r="H37" s="61" t="e">
        <f>H36/C37*1000000</f>
        <v>#DIV/0!</v>
      </c>
      <c r="I37" s="11"/>
      <c r="J37" s="308"/>
      <c r="K37" s="11"/>
    </row>
    <row r="38" spans="1:11" ht="25.5" customHeight="1">
      <c r="A38" s="64" t="s">
        <v>246</v>
      </c>
      <c r="B38" s="65"/>
      <c r="C38" s="299">
        <v>0</v>
      </c>
      <c r="E38" s="11"/>
      <c r="F38" s="42" t="s">
        <v>59</v>
      </c>
      <c r="G38" s="61" t="e">
        <f>((G36-J125)/C37)*1000000</f>
        <v>#DIV/0!</v>
      </c>
      <c r="H38" s="313"/>
      <c r="I38" s="11"/>
      <c r="J38" s="308"/>
      <c r="K38" s="11"/>
    </row>
    <row r="39" spans="6:10" ht="27.75" customHeight="1">
      <c r="F39" s="42" t="s">
        <v>112</v>
      </c>
      <c r="G39" s="312" t="e">
        <f>(G36-(J125+('Source Energy Savings Credit'!D19/1000)))/C37*1000000</f>
        <v>#DIV/0!</v>
      </c>
      <c r="H39" s="313"/>
      <c r="J39" s="309"/>
    </row>
    <row r="40" ht="12.75"/>
    <row r="41" spans="1:9" ht="12.75">
      <c r="A41" s="5" t="s">
        <v>172</v>
      </c>
      <c r="B41" s="2"/>
      <c r="C41" s="2"/>
      <c r="D41" s="2"/>
      <c r="E41" s="11"/>
      <c r="F41" s="11"/>
      <c r="G41" s="2"/>
      <c r="H41" s="2"/>
      <c r="I41" s="11"/>
    </row>
    <row r="42" spans="1:9" ht="47.25">
      <c r="A42" s="134"/>
      <c r="B42" s="121" t="s">
        <v>16</v>
      </c>
      <c r="C42" s="120" t="s">
        <v>14</v>
      </c>
      <c r="D42" s="121" t="s">
        <v>15</v>
      </c>
      <c r="E42" s="122" t="s">
        <v>33</v>
      </c>
      <c r="F42" s="123"/>
      <c r="G42" s="124" t="s">
        <v>45</v>
      </c>
      <c r="H42" s="124" t="s">
        <v>99</v>
      </c>
      <c r="I42" s="11"/>
    </row>
    <row r="43" spans="1:9" ht="12.75">
      <c r="A43" s="134" t="s">
        <v>17</v>
      </c>
      <c r="B43" s="135" t="s">
        <v>11</v>
      </c>
      <c r="C43" s="125">
        <v>0</v>
      </c>
      <c r="D43" s="126">
        <v>0</v>
      </c>
      <c r="E43" s="127" t="e">
        <f aca="true" t="shared" si="2" ref="E43:E49">D43/C43</f>
        <v>#DIV/0!</v>
      </c>
      <c r="F43" s="128" t="s">
        <v>29</v>
      </c>
      <c r="G43" s="129">
        <f>ROUND(C43*0.125,3)</f>
        <v>0</v>
      </c>
      <c r="H43" s="144">
        <f>G43*70.88</f>
        <v>0</v>
      </c>
      <c r="I43" s="138"/>
    </row>
    <row r="44" spans="1:9" ht="12.75">
      <c r="A44" s="134" t="s">
        <v>18</v>
      </c>
      <c r="B44" s="135" t="s">
        <v>11</v>
      </c>
      <c r="C44" s="125">
        <v>5158.48</v>
      </c>
      <c r="D44" s="126">
        <v>17223.346</v>
      </c>
      <c r="E44" s="127">
        <f t="shared" si="2"/>
        <v>3.3388412865805437</v>
      </c>
      <c r="F44" s="128" t="s">
        <v>29</v>
      </c>
      <c r="G44" s="129">
        <f>ROUND(C44*0.1387,3)</f>
        <v>715.481</v>
      </c>
      <c r="H44" s="144">
        <f>G44*73.15</f>
        <v>52337.435150000005</v>
      </c>
      <c r="I44" s="138"/>
    </row>
    <row r="45" spans="1:9" ht="12.75">
      <c r="A45" s="134" t="s">
        <v>19</v>
      </c>
      <c r="B45" s="135" t="s">
        <v>11</v>
      </c>
      <c r="C45" s="125">
        <v>0</v>
      </c>
      <c r="D45" s="126">
        <v>0</v>
      </c>
      <c r="E45" s="127" t="e">
        <f t="shared" si="2"/>
        <v>#DIV/0!</v>
      </c>
      <c r="F45" s="128" t="s">
        <v>29</v>
      </c>
      <c r="G45" s="129">
        <f>ROUND(C45*0.0955,3)</f>
        <v>0</v>
      </c>
      <c r="H45" s="144">
        <f>G45*62.33</f>
        <v>0</v>
      </c>
      <c r="I45" s="138"/>
    </row>
    <row r="46" spans="1:9" ht="12.75">
      <c r="A46" s="134" t="s">
        <v>20</v>
      </c>
      <c r="B46" s="135" t="s">
        <v>11</v>
      </c>
      <c r="C46" s="125">
        <v>15.825</v>
      </c>
      <c r="D46" s="126">
        <v>83.695</v>
      </c>
      <c r="E46" s="127">
        <f t="shared" si="2"/>
        <v>5.288783570300158</v>
      </c>
      <c r="F46" s="128" t="s">
        <v>29</v>
      </c>
      <c r="G46" s="129">
        <f>ROUND(C46*0.125,3)</f>
        <v>1.978</v>
      </c>
      <c r="H46" s="144">
        <f>G46*69.19</f>
        <v>136.85782</v>
      </c>
      <c r="I46" s="138"/>
    </row>
    <row r="47" spans="1:9" ht="12.75">
      <c r="A47" s="134" t="s">
        <v>21</v>
      </c>
      <c r="B47" s="135" t="s">
        <v>11</v>
      </c>
      <c r="C47" s="125">
        <v>913.784</v>
      </c>
      <c r="D47" s="126">
        <v>3717.099</v>
      </c>
      <c r="E47" s="127">
        <f t="shared" si="2"/>
        <v>4.067809241571313</v>
      </c>
      <c r="F47" s="128" t="s">
        <v>29</v>
      </c>
      <c r="G47" s="129">
        <f>ROUND(C47*0.13,3)</f>
        <v>118.792</v>
      </c>
      <c r="H47" s="144">
        <f>G47*70.88</f>
        <v>8419.97696</v>
      </c>
      <c r="I47" s="138"/>
    </row>
    <row r="48" spans="1:9" ht="12.75">
      <c r="A48" s="134" t="s">
        <v>22</v>
      </c>
      <c r="B48" s="135" t="s">
        <v>11</v>
      </c>
      <c r="C48" s="125">
        <v>0</v>
      </c>
      <c r="D48" s="126">
        <v>0</v>
      </c>
      <c r="E48" s="127" t="e">
        <f t="shared" si="2"/>
        <v>#DIV/0!</v>
      </c>
      <c r="F48" s="128" t="s">
        <v>29</v>
      </c>
      <c r="G48" s="129">
        <f>ROUND(C48*0.1387,3)</f>
        <v>0</v>
      </c>
      <c r="H48" s="144">
        <f>G48*73.15</f>
        <v>0</v>
      </c>
      <c r="I48" s="138"/>
    </row>
    <row r="49" spans="1:9" ht="12.75">
      <c r="A49" s="134" t="s">
        <v>23</v>
      </c>
      <c r="B49" s="130" t="s">
        <v>13</v>
      </c>
      <c r="C49" s="125">
        <v>2.907</v>
      </c>
      <c r="D49" s="126">
        <v>85.156</v>
      </c>
      <c r="E49" s="127">
        <f t="shared" si="2"/>
        <v>29.293429652562782</v>
      </c>
      <c r="F49" s="128" t="s">
        <v>32</v>
      </c>
      <c r="G49" s="129">
        <f>ROUND(C49,3)</f>
        <v>2.907</v>
      </c>
      <c r="H49" s="130"/>
      <c r="I49" s="138"/>
    </row>
    <row r="50" spans="1:8" ht="12.75">
      <c r="A50" s="14"/>
      <c r="B50" s="14"/>
      <c r="C50" s="96" t="s">
        <v>42</v>
      </c>
      <c r="D50" s="131">
        <f>SUM(D43:D49)</f>
        <v>21109.296</v>
      </c>
      <c r="E50" s="132"/>
      <c r="F50" s="133"/>
      <c r="G50" s="129">
        <f>SUM(G43:G49)</f>
        <v>839.158</v>
      </c>
      <c r="H50" s="144">
        <f>SUM(H43:H49)</f>
        <v>60894.26993</v>
      </c>
    </row>
    <row r="51" spans="3:4" ht="12.75">
      <c r="C51" s="11"/>
      <c r="D51" s="11"/>
    </row>
    <row r="52" ht="12.75">
      <c r="A52" s="5" t="s">
        <v>171</v>
      </c>
    </row>
    <row r="53" ht="12.75">
      <c r="A53" s="14" t="s">
        <v>173</v>
      </c>
    </row>
    <row r="54" spans="1:5" ht="25.5">
      <c r="A54" s="124" t="s">
        <v>170</v>
      </c>
      <c r="B54" s="124" t="s">
        <v>16</v>
      </c>
      <c r="C54" s="124" t="s">
        <v>14</v>
      </c>
      <c r="D54" s="124" t="s">
        <v>164</v>
      </c>
      <c r="E54" s="124" t="s">
        <v>45</v>
      </c>
    </row>
    <row r="55" spans="1:5" ht="12.75">
      <c r="A55" s="134" t="s">
        <v>165</v>
      </c>
      <c r="B55" s="134" t="s">
        <v>163</v>
      </c>
      <c r="C55" s="177">
        <v>0</v>
      </c>
      <c r="D55" s="126">
        <v>0</v>
      </c>
      <c r="E55" s="129">
        <f>ROUND((C55/1000)*0.125,3)</f>
        <v>0</v>
      </c>
    </row>
    <row r="56" spans="1:5" ht="12.75">
      <c r="A56" s="134" t="s">
        <v>166</v>
      </c>
      <c r="B56" s="134" t="s">
        <v>163</v>
      </c>
      <c r="C56" s="177">
        <v>0</v>
      </c>
      <c r="D56" s="126">
        <v>0</v>
      </c>
      <c r="E56" s="129">
        <f aca="true" t="shared" si="3" ref="E56:E64">ROUND((C56/1000)*0.125,3)</f>
        <v>0</v>
      </c>
    </row>
    <row r="57" spans="1:5" ht="12.75">
      <c r="A57" s="134" t="s">
        <v>167</v>
      </c>
      <c r="B57" s="134" t="s">
        <v>163</v>
      </c>
      <c r="C57" s="177">
        <v>0</v>
      </c>
      <c r="D57" s="126">
        <v>0</v>
      </c>
      <c r="E57" s="129">
        <f t="shared" si="3"/>
        <v>0</v>
      </c>
    </row>
    <row r="58" spans="1:5" ht="12.75">
      <c r="A58" s="134" t="s">
        <v>158</v>
      </c>
      <c r="B58" s="134" t="s">
        <v>163</v>
      </c>
      <c r="C58" s="177">
        <v>0</v>
      </c>
      <c r="D58" s="126">
        <v>0</v>
      </c>
      <c r="E58" s="129">
        <f t="shared" si="3"/>
        <v>0</v>
      </c>
    </row>
    <row r="59" spans="1:5" ht="12.75">
      <c r="A59" s="134" t="s">
        <v>168</v>
      </c>
      <c r="B59" s="134" t="s">
        <v>163</v>
      </c>
      <c r="C59" s="177">
        <v>0</v>
      </c>
      <c r="D59" s="126">
        <v>0</v>
      </c>
      <c r="E59" s="129">
        <f t="shared" si="3"/>
        <v>0</v>
      </c>
    </row>
    <row r="60" spans="1:5" ht="12.75">
      <c r="A60" s="134" t="s">
        <v>169</v>
      </c>
      <c r="B60" s="134" t="s">
        <v>163</v>
      </c>
      <c r="C60" s="177">
        <v>0</v>
      </c>
      <c r="D60" s="126">
        <v>0</v>
      </c>
      <c r="E60" s="129">
        <f t="shared" si="3"/>
        <v>0</v>
      </c>
    </row>
    <row r="61" spans="1:5" ht="12.75">
      <c r="A61" s="134" t="s">
        <v>159</v>
      </c>
      <c r="B61" s="134" t="s">
        <v>163</v>
      </c>
      <c r="C61" s="177">
        <v>0</v>
      </c>
      <c r="D61" s="126">
        <v>0</v>
      </c>
      <c r="E61" s="129">
        <f t="shared" si="3"/>
        <v>0</v>
      </c>
    </row>
    <row r="62" spans="1:5" ht="12.75">
      <c r="A62" s="134" t="s">
        <v>160</v>
      </c>
      <c r="B62" s="134" t="s">
        <v>163</v>
      </c>
      <c r="C62" s="177">
        <v>0</v>
      </c>
      <c r="D62" s="126">
        <v>0</v>
      </c>
      <c r="E62" s="129">
        <f t="shared" si="3"/>
        <v>0</v>
      </c>
    </row>
    <row r="63" spans="1:5" ht="12.75">
      <c r="A63" s="134" t="s">
        <v>161</v>
      </c>
      <c r="B63" s="134" t="s">
        <v>163</v>
      </c>
      <c r="C63" s="177">
        <v>0</v>
      </c>
      <c r="D63" s="126">
        <v>0</v>
      </c>
      <c r="E63" s="129">
        <f t="shared" si="3"/>
        <v>0</v>
      </c>
    </row>
    <row r="64" spans="1:5" ht="12.75">
      <c r="A64" s="134" t="s">
        <v>9</v>
      </c>
      <c r="B64" s="134" t="s">
        <v>163</v>
      </c>
      <c r="C64" s="177">
        <v>0</v>
      </c>
      <c r="D64" s="126">
        <v>0</v>
      </c>
      <c r="E64" s="129">
        <f t="shared" si="3"/>
        <v>0</v>
      </c>
    </row>
    <row r="65" spans="1:5" ht="12.75">
      <c r="A65" s="134" t="s">
        <v>162</v>
      </c>
      <c r="B65" s="134" t="s">
        <v>163</v>
      </c>
      <c r="C65" s="177">
        <f>SUM(C55:C64)</f>
        <v>0</v>
      </c>
      <c r="D65" s="126">
        <f>SUM(D55:D64)</f>
        <v>0</v>
      </c>
      <c r="E65" s="129">
        <f>SUM(E55:E64)</f>
        <v>0</v>
      </c>
    </row>
    <row r="66" spans="3:4" ht="12.75">
      <c r="C66" s="11"/>
      <c r="D66" s="11"/>
    </row>
    <row r="67" spans="3:4" ht="12.75">
      <c r="C67" s="11"/>
      <c r="D67" s="11"/>
    </row>
    <row r="68" spans="1:4" ht="12.75">
      <c r="A68" s="5" t="s">
        <v>142</v>
      </c>
      <c r="B68" s="23"/>
      <c r="C68" s="24"/>
      <c r="D68" s="25"/>
    </row>
    <row r="69" spans="1:4" ht="12.75">
      <c r="A69" s="14" t="s">
        <v>288</v>
      </c>
      <c r="B69" s="23"/>
      <c r="C69" s="24"/>
      <c r="D69" s="25"/>
    </row>
    <row r="70" spans="1:6" ht="61.5" customHeight="1">
      <c r="A70" s="484" t="s">
        <v>212</v>
      </c>
      <c r="B70" s="485"/>
      <c r="C70" s="485"/>
      <c r="D70" s="100" t="s">
        <v>76</v>
      </c>
      <c r="E70" s="100" t="s">
        <v>77</v>
      </c>
      <c r="F70" s="100" t="s">
        <v>141</v>
      </c>
    </row>
    <row r="71" spans="1:6" ht="25.5" customHeight="1">
      <c r="A71" s="446" t="s">
        <v>85</v>
      </c>
      <c r="B71" s="480"/>
      <c r="C71" s="480"/>
      <c r="D71" s="157">
        <v>0</v>
      </c>
      <c r="E71" s="85">
        <v>0</v>
      </c>
      <c r="F71" s="85">
        <v>0</v>
      </c>
    </row>
    <row r="72" spans="1:6" ht="25.5" customHeight="1">
      <c r="A72" s="446" t="s">
        <v>78</v>
      </c>
      <c r="B72" s="480"/>
      <c r="C72" s="480"/>
      <c r="D72" s="157">
        <v>0</v>
      </c>
      <c r="E72" s="85">
        <v>0</v>
      </c>
      <c r="F72" s="85">
        <v>0</v>
      </c>
    </row>
    <row r="73" spans="1:6" ht="25.5" customHeight="1">
      <c r="A73" s="446" t="s">
        <v>86</v>
      </c>
      <c r="B73" s="480"/>
      <c r="C73" s="480"/>
      <c r="D73" s="157">
        <v>0</v>
      </c>
      <c r="E73" s="85">
        <v>0</v>
      </c>
      <c r="F73" s="85">
        <v>0</v>
      </c>
    </row>
    <row r="74" spans="1:6" ht="25.5" customHeight="1">
      <c r="A74" s="446" t="s">
        <v>137</v>
      </c>
      <c r="B74" s="480"/>
      <c r="C74" s="480"/>
      <c r="D74" s="157">
        <v>0</v>
      </c>
      <c r="E74" s="85">
        <v>0</v>
      </c>
      <c r="F74" s="85">
        <v>0</v>
      </c>
    </row>
    <row r="75" spans="1:6" ht="25.5" customHeight="1">
      <c r="A75" s="446" t="s">
        <v>87</v>
      </c>
      <c r="B75" s="480"/>
      <c r="C75" s="480"/>
      <c r="D75" s="157">
        <v>0</v>
      </c>
      <c r="E75" s="85">
        <v>0</v>
      </c>
      <c r="F75" s="85">
        <v>0</v>
      </c>
    </row>
    <row r="76" spans="1:6" ht="25.5" customHeight="1">
      <c r="A76" s="446" t="s">
        <v>88</v>
      </c>
      <c r="B76" s="480"/>
      <c r="C76" s="480"/>
      <c r="D76" s="157">
        <v>0</v>
      </c>
      <c r="E76" s="85">
        <v>0</v>
      </c>
      <c r="F76" s="85">
        <v>0</v>
      </c>
    </row>
    <row r="77" spans="1:6" ht="25.5" customHeight="1">
      <c r="A77" s="428" t="s">
        <v>89</v>
      </c>
      <c r="B77" s="481"/>
      <c r="C77" s="481"/>
      <c r="D77" s="158">
        <v>6</v>
      </c>
      <c r="E77" s="86">
        <v>54</v>
      </c>
      <c r="F77" s="86">
        <v>54</v>
      </c>
    </row>
    <row r="78" spans="1:6" ht="25.5" customHeight="1">
      <c r="A78" s="428" t="s">
        <v>90</v>
      </c>
      <c r="B78" s="481"/>
      <c r="C78" s="481"/>
      <c r="D78" s="158">
        <v>0</v>
      </c>
      <c r="E78" s="86">
        <v>0</v>
      </c>
      <c r="F78" s="86">
        <v>0</v>
      </c>
    </row>
    <row r="79" spans="1:6" ht="25.5" customHeight="1">
      <c r="A79" s="428" t="s">
        <v>79</v>
      </c>
      <c r="B79" s="481"/>
      <c r="C79" s="481"/>
      <c r="D79" s="158">
        <v>0</v>
      </c>
      <c r="E79" s="86">
        <v>0</v>
      </c>
      <c r="F79" s="86">
        <v>0</v>
      </c>
    </row>
    <row r="80" spans="1:6" ht="25.5" customHeight="1">
      <c r="A80" s="428" t="s">
        <v>136</v>
      </c>
      <c r="B80" s="481"/>
      <c r="C80" s="481"/>
      <c r="D80" s="158">
        <v>0</v>
      </c>
      <c r="E80" s="86">
        <v>0</v>
      </c>
      <c r="F80" s="86">
        <v>0</v>
      </c>
    </row>
    <row r="81" spans="1:6" ht="25.5" customHeight="1">
      <c r="A81" s="428" t="s">
        <v>80</v>
      </c>
      <c r="B81" s="481"/>
      <c r="C81" s="481"/>
      <c r="D81" s="158">
        <v>0</v>
      </c>
      <c r="E81" s="86">
        <v>0</v>
      </c>
      <c r="F81" s="86">
        <v>0</v>
      </c>
    </row>
    <row r="82" spans="1:6" ht="25.5" customHeight="1">
      <c r="A82" s="428" t="s">
        <v>91</v>
      </c>
      <c r="B82" s="481"/>
      <c r="C82" s="481"/>
      <c r="D82" s="158">
        <v>0</v>
      </c>
      <c r="E82" s="86">
        <v>0</v>
      </c>
      <c r="F82" s="86">
        <v>0</v>
      </c>
    </row>
    <row r="83" spans="1:6" ht="25.5" customHeight="1">
      <c r="A83" s="482" t="s">
        <v>281</v>
      </c>
      <c r="B83" s="483"/>
      <c r="C83" s="483"/>
      <c r="D83" s="326">
        <v>0</v>
      </c>
      <c r="E83" s="327">
        <v>0</v>
      </c>
      <c r="F83" s="327">
        <v>0</v>
      </c>
    </row>
    <row r="84" spans="1:6" ht="25.5" customHeight="1">
      <c r="A84" s="482" t="s">
        <v>280</v>
      </c>
      <c r="B84" s="483"/>
      <c r="C84" s="483"/>
      <c r="D84" s="328">
        <v>0</v>
      </c>
      <c r="E84" s="329">
        <v>0</v>
      </c>
      <c r="F84" s="329">
        <v>0</v>
      </c>
    </row>
    <row r="85" spans="1:6" ht="25.5" customHeight="1">
      <c r="A85" s="482" t="s">
        <v>282</v>
      </c>
      <c r="B85" s="483"/>
      <c r="C85" s="483"/>
      <c r="D85" s="326">
        <v>0</v>
      </c>
      <c r="E85" s="327">
        <v>0</v>
      </c>
      <c r="F85" s="327">
        <v>0</v>
      </c>
    </row>
    <row r="86" spans="1:6" ht="25.5" customHeight="1">
      <c r="A86" s="505" t="s">
        <v>283</v>
      </c>
      <c r="B86" s="506"/>
      <c r="C86" s="506"/>
      <c r="D86" s="159">
        <v>0</v>
      </c>
      <c r="E86" s="87">
        <v>0</v>
      </c>
      <c r="F86" s="87">
        <v>0</v>
      </c>
    </row>
    <row r="87" spans="1:6" ht="25.5" customHeight="1">
      <c r="A87" s="505" t="s">
        <v>284</v>
      </c>
      <c r="B87" s="506"/>
      <c r="C87" s="506"/>
      <c r="D87" s="160">
        <v>2</v>
      </c>
      <c r="E87" s="88">
        <v>26.8</v>
      </c>
      <c r="F87" s="88">
        <v>26.8</v>
      </c>
    </row>
    <row r="88" spans="1:6" ht="25.5" customHeight="1">
      <c r="A88" s="505" t="s">
        <v>285</v>
      </c>
      <c r="B88" s="506"/>
      <c r="C88" s="506"/>
      <c r="D88" s="159">
        <v>0</v>
      </c>
      <c r="E88" s="87">
        <v>0</v>
      </c>
      <c r="F88" s="87">
        <v>0</v>
      </c>
    </row>
    <row r="89" spans="1:6" ht="12.75">
      <c r="A89" s="457" t="s">
        <v>81</v>
      </c>
      <c r="B89" s="458"/>
      <c r="C89" s="458"/>
      <c r="D89" s="190">
        <f>SUM(D71:D76)</f>
        <v>0</v>
      </c>
      <c r="E89" s="191">
        <f>SUM(E71:E76)</f>
        <v>0</v>
      </c>
      <c r="F89" s="191">
        <f>SUM(F71:F76)</f>
        <v>0</v>
      </c>
    </row>
    <row r="90" spans="1:6" ht="12.75">
      <c r="A90" s="442" t="s">
        <v>82</v>
      </c>
      <c r="B90" s="443"/>
      <c r="C90" s="443"/>
      <c r="D90" s="192">
        <f>SUM(D77:D82)</f>
        <v>6</v>
      </c>
      <c r="E90" s="193">
        <f>SUM(E77:E82)</f>
        <v>54</v>
      </c>
      <c r="F90" s="194">
        <f>IF(F89&lt;=E89,"","ERROR")</f>
      </c>
    </row>
    <row r="91" spans="1:6" ht="12.75">
      <c r="A91" s="500" t="s">
        <v>286</v>
      </c>
      <c r="B91" s="501"/>
      <c r="C91" s="501"/>
      <c r="D91" s="330">
        <f>SUM(D83:D85)</f>
        <v>0</v>
      </c>
      <c r="E91" s="331">
        <f>SUM(E83:E85)</f>
        <v>0</v>
      </c>
      <c r="F91" s="194"/>
    </row>
    <row r="92" spans="1:6" ht="12.75">
      <c r="A92" s="438" t="s">
        <v>287</v>
      </c>
      <c r="B92" s="439"/>
      <c r="C92" s="439"/>
      <c r="D92" s="195">
        <f>SUM(D86:D88)</f>
        <v>2</v>
      </c>
      <c r="E92" s="196">
        <f>SUM(E86:E88)</f>
        <v>26.8</v>
      </c>
      <c r="F92" s="194"/>
    </row>
    <row r="93" spans="1:6" ht="12.75">
      <c r="A93" s="496" t="s">
        <v>83</v>
      </c>
      <c r="B93" s="497"/>
      <c r="C93" s="497"/>
      <c r="D93" s="197">
        <f>SUM(D89:D92)</f>
        <v>8</v>
      </c>
      <c r="E93" s="198">
        <f>((E89+E90)*3.412)+E91+E92</f>
        <v>211.048</v>
      </c>
      <c r="F93" s="194"/>
    </row>
    <row r="94" spans="1:6" ht="12.75">
      <c r="A94" s="141"/>
      <c r="B94" s="142"/>
      <c r="C94" s="142"/>
      <c r="D94" s="143"/>
      <c r="E94" s="98"/>
      <c r="F94" s="98"/>
    </row>
    <row r="95" spans="1:4" ht="12.75">
      <c r="A95" s="11"/>
      <c r="B95" s="11"/>
      <c r="C95" s="12"/>
      <c r="D95" s="16"/>
    </row>
    <row r="96" spans="1:4" ht="12.75">
      <c r="A96" s="5" t="s">
        <v>97</v>
      </c>
      <c r="B96" s="11"/>
      <c r="C96" s="12"/>
      <c r="D96" s="16"/>
    </row>
    <row r="97" spans="1:4" ht="12.75">
      <c r="A97" s="99" t="s">
        <v>94</v>
      </c>
      <c r="B97" s="11"/>
      <c r="C97" s="12"/>
      <c r="D97" s="16"/>
    </row>
    <row r="98" spans="1:9" ht="37.5" customHeight="1">
      <c r="A98" s="99"/>
      <c r="B98" s="11"/>
      <c r="C98" s="12"/>
      <c r="D98" s="16"/>
      <c r="E98" s="16"/>
      <c r="F98" s="16"/>
      <c r="G98" s="16"/>
      <c r="H98" s="8" t="s">
        <v>139</v>
      </c>
      <c r="I98" s="8" t="s">
        <v>138</v>
      </c>
    </row>
    <row r="99" spans="1:9" ht="39.75" customHeight="1">
      <c r="A99" s="507" t="s">
        <v>145</v>
      </c>
      <c r="B99" s="508"/>
      <c r="C99" s="508"/>
      <c r="D99" s="509"/>
      <c r="E99" s="509"/>
      <c r="F99" s="509"/>
      <c r="G99" s="473"/>
      <c r="H99" s="161">
        <v>0</v>
      </c>
      <c r="I99" s="199">
        <f>IF((D118-G118)&gt;(H99),H99,(D118-G118))</f>
        <v>0</v>
      </c>
    </row>
    <row r="100" spans="1:9" ht="41.25" customHeight="1">
      <c r="A100" s="507" t="s">
        <v>146</v>
      </c>
      <c r="B100" s="508"/>
      <c r="C100" s="508"/>
      <c r="D100" s="509"/>
      <c r="E100" s="509"/>
      <c r="F100" s="509"/>
      <c r="G100" s="473"/>
      <c r="H100" s="161">
        <v>0</v>
      </c>
      <c r="I100" s="199">
        <f>IF((D118-G118)&gt;(H99+H100),H100,((D118-G118)-I99))</f>
        <v>0</v>
      </c>
    </row>
    <row r="101" ht="12.75"/>
    <row r="102" spans="1:5" ht="12.75">
      <c r="A102" s="5" t="s">
        <v>213</v>
      </c>
      <c r="C102" s="17"/>
      <c r="D102" s="18"/>
      <c r="E102" s="19"/>
    </row>
    <row r="103" spans="1:10" ht="12.75">
      <c r="A103" s="527" t="s">
        <v>226</v>
      </c>
      <c r="B103" s="528"/>
      <c r="C103" s="528"/>
      <c r="D103" s="528"/>
      <c r="E103" s="528"/>
      <c r="F103" s="528"/>
      <c r="G103" s="528"/>
      <c r="H103" s="528"/>
      <c r="I103" s="528"/>
      <c r="J103" s="528"/>
    </row>
    <row r="104" spans="1:13" ht="63.75" customHeight="1">
      <c r="A104" s="489" t="s">
        <v>239</v>
      </c>
      <c r="B104" s="490"/>
      <c r="C104" s="490"/>
      <c r="D104" s="281" t="s">
        <v>143</v>
      </c>
      <c r="E104" s="281" t="s">
        <v>147</v>
      </c>
      <c r="F104" s="282" t="s">
        <v>15</v>
      </c>
      <c r="G104" s="283" t="s">
        <v>148</v>
      </c>
      <c r="H104" s="525" t="s">
        <v>214</v>
      </c>
      <c r="I104" s="526"/>
      <c r="J104" s="282" t="s">
        <v>256</v>
      </c>
      <c r="K104" s="282" t="s">
        <v>257</v>
      </c>
      <c r="L104" s="281" t="s">
        <v>249</v>
      </c>
      <c r="M104" s="281" t="s">
        <v>250</v>
      </c>
    </row>
    <row r="105" spans="1:13" ht="38.25" customHeight="1">
      <c r="A105" s="491" t="s">
        <v>228</v>
      </c>
      <c r="B105" s="492"/>
      <c r="C105" s="492"/>
      <c r="D105" s="258">
        <v>2480</v>
      </c>
      <c r="E105" s="259"/>
      <c r="F105" s="261">
        <v>0</v>
      </c>
      <c r="G105" s="260">
        <v>0</v>
      </c>
      <c r="H105" s="444" t="s">
        <v>234</v>
      </c>
      <c r="I105" s="445"/>
      <c r="J105" s="262" t="s">
        <v>227</v>
      </c>
      <c r="K105" s="262" t="s">
        <v>73</v>
      </c>
      <c r="L105" s="301">
        <f>SUMIF(K105,"Goal",D105)*0.003412</f>
        <v>8.46176</v>
      </c>
      <c r="M105" s="301">
        <f>SUMIF(K105,"Excluded",D105)*0.003412</f>
        <v>0</v>
      </c>
    </row>
    <row r="106" spans="1:13" ht="38.25" customHeight="1">
      <c r="A106" s="491" t="s">
        <v>228</v>
      </c>
      <c r="B106" s="492"/>
      <c r="C106" s="492"/>
      <c r="D106" s="258">
        <v>0</v>
      </c>
      <c r="E106" s="259"/>
      <c r="F106" s="261">
        <v>0</v>
      </c>
      <c r="G106" s="260">
        <v>0</v>
      </c>
      <c r="H106" s="444" t="s">
        <v>234</v>
      </c>
      <c r="I106" s="445"/>
      <c r="J106" s="262" t="s">
        <v>240</v>
      </c>
      <c r="K106" s="262" t="s">
        <v>253</v>
      </c>
      <c r="L106" s="301">
        <f aca="true" t="shared" si="4" ref="L106:L112">SUMIF(K106,"Goal",D106)*0.003412</f>
        <v>0</v>
      </c>
      <c r="M106" s="301">
        <f aca="true" t="shared" si="5" ref="M106:M112">SUMIF(K106,"Excluded",D106)*0.003412</f>
        <v>0</v>
      </c>
    </row>
    <row r="107" spans="1:13" ht="38.25" customHeight="1">
      <c r="A107" s="446" t="s">
        <v>229</v>
      </c>
      <c r="B107" s="447"/>
      <c r="C107" s="447"/>
      <c r="D107" s="162">
        <v>0</v>
      </c>
      <c r="E107" s="89"/>
      <c r="F107" s="255">
        <v>0</v>
      </c>
      <c r="G107" s="164">
        <v>0</v>
      </c>
      <c r="H107" s="448" t="s">
        <v>236</v>
      </c>
      <c r="I107" s="449"/>
      <c r="J107" s="90" t="s">
        <v>227</v>
      </c>
      <c r="K107" s="90" t="s">
        <v>73</v>
      </c>
      <c r="L107" s="302">
        <f t="shared" si="4"/>
        <v>0</v>
      </c>
      <c r="M107" s="302">
        <f t="shared" si="5"/>
        <v>0</v>
      </c>
    </row>
    <row r="108" spans="1:13" ht="38.25" customHeight="1">
      <c r="A108" s="446" t="s">
        <v>229</v>
      </c>
      <c r="B108" s="447"/>
      <c r="C108" s="447"/>
      <c r="D108" s="162">
        <v>0</v>
      </c>
      <c r="E108" s="89"/>
      <c r="F108" s="255">
        <v>0</v>
      </c>
      <c r="G108" s="164">
        <v>0</v>
      </c>
      <c r="H108" s="448" t="s">
        <v>236</v>
      </c>
      <c r="I108" s="449"/>
      <c r="J108" s="90" t="s">
        <v>240</v>
      </c>
      <c r="K108" s="90" t="s">
        <v>253</v>
      </c>
      <c r="L108" s="302">
        <f t="shared" si="4"/>
        <v>0</v>
      </c>
      <c r="M108" s="302">
        <f t="shared" si="5"/>
        <v>0</v>
      </c>
    </row>
    <row r="109" spans="1:13" ht="38.25" customHeight="1">
      <c r="A109" s="498" t="s">
        <v>230</v>
      </c>
      <c r="B109" s="499"/>
      <c r="C109" s="499"/>
      <c r="D109" s="284">
        <v>0</v>
      </c>
      <c r="E109" s="285"/>
      <c r="F109" s="286">
        <v>0</v>
      </c>
      <c r="G109" s="287">
        <v>0</v>
      </c>
      <c r="H109" s="426" t="s">
        <v>234</v>
      </c>
      <c r="I109" s="427"/>
      <c r="J109" s="288" t="s">
        <v>227</v>
      </c>
      <c r="K109" s="288" t="s">
        <v>73</v>
      </c>
      <c r="L109" s="303">
        <f t="shared" si="4"/>
        <v>0</v>
      </c>
      <c r="M109" s="303">
        <f t="shared" si="5"/>
        <v>0</v>
      </c>
    </row>
    <row r="110" spans="1:13" ht="38.25" customHeight="1">
      <c r="A110" s="498" t="s">
        <v>230</v>
      </c>
      <c r="B110" s="499"/>
      <c r="C110" s="499"/>
      <c r="D110" s="284">
        <v>0</v>
      </c>
      <c r="E110" s="285"/>
      <c r="F110" s="286">
        <v>0</v>
      </c>
      <c r="G110" s="287">
        <v>0</v>
      </c>
      <c r="H110" s="426" t="s">
        <v>234</v>
      </c>
      <c r="I110" s="427"/>
      <c r="J110" s="288" t="s">
        <v>240</v>
      </c>
      <c r="K110" s="288" t="s">
        <v>253</v>
      </c>
      <c r="L110" s="303">
        <f t="shared" si="4"/>
        <v>0</v>
      </c>
      <c r="M110" s="303">
        <f t="shared" si="5"/>
        <v>0</v>
      </c>
    </row>
    <row r="111" spans="1:13" ht="38.25" customHeight="1">
      <c r="A111" s="428" t="s">
        <v>231</v>
      </c>
      <c r="B111" s="429"/>
      <c r="C111" s="429"/>
      <c r="D111" s="163">
        <v>0</v>
      </c>
      <c r="E111" s="91"/>
      <c r="F111" s="256">
        <v>0</v>
      </c>
      <c r="G111" s="165">
        <v>0</v>
      </c>
      <c r="H111" s="430" t="s">
        <v>235</v>
      </c>
      <c r="I111" s="431"/>
      <c r="J111" s="92" t="s">
        <v>227</v>
      </c>
      <c r="K111" s="92" t="s">
        <v>73</v>
      </c>
      <c r="L111" s="304">
        <f t="shared" si="4"/>
        <v>0</v>
      </c>
      <c r="M111" s="304">
        <f t="shared" si="5"/>
        <v>0</v>
      </c>
    </row>
    <row r="112" spans="1:13" ht="38.25" customHeight="1">
      <c r="A112" s="428" t="s">
        <v>231</v>
      </c>
      <c r="B112" s="429"/>
      <c r="C112" s="429"/>
      <c r="D112" s="163">
        <v>0</v>
      </c>
      <c r="E112" s="91"/>
      <c r="F112" s="256">
        <v>0</v>
      </c>
      <c r="G112" s="165">
        <v>0</v>
      </c>
      <c r="H112" s="430" t="s">
        <v>235</v>
      </c>
      <c r="I112" s="431"/>
      <c r="J112" s="92" t="s">
        <v>240</v>
      </c>
      <c r="K112" s="92" t="s">
        <v>253</v>
      </c>
      <c r="L112" s="304">
        <f t="shared" si="4"/>
        <v>0</v>
      </c>
      <c r="M112" s="304">
        <f t="shared" si="5"/>
        <v>0</v>
      </c>
    </row>
    <row r="113" spans="1:13" ht="38.25" customHeight="1">
      <c r="A113" s="482" t="s">
        <v>232</v>
      </c>
      <c r="B113" s="493"/>
      <c r="C113" s="493"/>
      <c r="D113" s="263"/>
      <c r="E113" s="264">
        <v>0</v>
      </c>
      <c r="F113" s="266">
        <v>0</v>
      </c>
      <c r="G113" s="265">
        <v>0</v>
      </c>
      <c r="H113" s="453" t="s">
        <v>237</v>
      </c>
      <c r="I113" s="454"/>
      <c r="J113" s="267" t="s">
        <v>227</v>
      </c>
      <c r="K113" s="267" t="s">
        <v>73</v>
      </c>
      <c r="L113" s="305">
        <f>SUMIF(K113,"Goal",E113)/1000</f>
        <v>0</v>
      </c>
      <c r="M113" s="305">
        <f>SUMIF(K113,"Excluded",E113)/1000</f>
        <v>0</v>
      </c>
    </row>
    <row r="114" spans="1:13" ht="38.25" customHeight="1">
      <c r="A114" s="482" t="s">
        <v>232</v>
      </c>
      <c r="B114" s="493"/>
      <c r="C114" s="493"/>
      <c r="D114" s="263"/>
      <c r="E114" s="264">
        <v>0</v>
      </c>
      <c r="F114" s="266">
        <v>0</v>
      </c>
      <c r="G114" s="265">
        <v>0</v>
      </c>
      <c r="H114" s="453" t="s">
        <v>237</v>
      </c>
      <c r="I114" s="454"/>
      <c r="J114" s="267" t="s">
        <v>240</v>
      </c>
      <c r="K114" s="267" t="s">
        <v>253</v>
      </c>
      <c r="L114" s="305">
        <f>SUMIF(K114,"Goal",E114)/1000</f>
        <v>0</v>
      </c>
      <c r="M114" s="305">
        <f>SUMIF(K114,"Excluded",E114)/1000</f>
        <v>0</v>
      </c>
    </row>
    <row r="115" spans="1:13" ht="38.25" customHeight="1">
      <c r="A115" s="463" t="s">
        <v>233</v>
      </c>
      <c r="B115" s="464"/>
      <c r="C115" s="465"/>
      <c r="D115" s="93"/>
      <c r="E115" s="94">
        <v>0</v>
      </c>
      <c r="F115" s="257">
        <v>0</v>
      </c>
      <c r="G115" s="94">
        <v>0</v>
      </c>
      <c r="H115" s="436" t="s">
        <v>238</v>
      </c>
      <c r="I115" s="437"/>
      <c r="J115" s="95" t="s">
        <v>227</v>
      </c>
      <c r="K115" s="95" t="s">
        <v>73</v>
      </c>
      <c r="L115" s="306">
        <f>SUMIF(K115,"Goal",E115)/1000</f>
        <v>0</v>
      </c>
      <c r="M115" s="306">
        <f>SUMIF(K115,"Excluded",E115)/1000</f>
        <v>0</v>
      </c>
    </row>
    <row r="116" spans="1:13" ht="38.25" customHeight="1">
      <c r="A116" s="463" t="s">
        <v>233</v>
      </c>
      <c r="B116" s="464"/>
      <c r="C116" s="465"/>
      <c r="D116" s="93"/>
      <c r="E116" s="94">
        <v>0</v>
      </c>
      <c r="F116" s="257">
        <v>0</v>
      </c>
      <c r="G116" s="94">
        <v>0</v>
      </c>
      <c r="H116" s="436" t="s">
        <v>238</v>
      </c>
      <c r="I116" s="437"/>
      <c r="J116" s="95" t="s">
        <v>240</v>
      </c>
      <c r="K116" s="95" t="s">
        <v>253</v>
      </c>
      <c r="L116" s="306">
        <f>SUMIF(K116,"Goal",E116)/1000</f>
        <v>0</v>
      </c>
      <c r="M116" s="306">
        <f>SUMIF(K116,"Excluded",E116)/1000</f>
        <v>0</v>
      </c>
    </row>
    <row r="117" spans="1:10" ht="12.75">
      <c r="A117" s="424" t="s">
        <v>221</v>
      </c>
      <c r="B117" s="425"/>
      <c r="C117" s="425"/>
      <c r="D117" s="276">
        <f>SUM(D105:D106)</f>
        <v>2480</v>
      </c>
      <c r="E117" s="277"/>
      <c r="F117" s="278">
        <f>SUM(F105:F106)</f>
        <v>0</v>
      </c>
      <c r="G117" s="276">
        <f>SUM(G105:G106)</f>
        <v>0</v>
      </c>
      <c r="H117" s="474" t="s">
        <v>247</v>
      </c>
      <c r="I117" s="475"/>
      <c r="J117" s="310"/>
    </row>
    <row r="118" spans="1:11" ht="12.75">
      <c r="A118" s="440" t="s">
        <v>222</v>
      </c>
      <c r="B118" s="441"/>
      <c r="C118" s="441"/>
      <c r="D118" s="289">
        <f>SUM(D109:D110)</f>
        <v>0</v>
      </c>
      <c r="E118" s="290"/>
      <c r="F118" s="291">
        <f>SUM(F109:F110)</f>
        <v>0</v>
      </c>
      <c r="G118" s="289">
        <f>SUM(G109:G110)</f>
        <v>0</v>
      </c>
      <c r="H118" s="476"/>
      <c r="I118" s="477"/>
      <c r="J118" s="322">
        <f>IF(((SUMIF(J105:J112,"Short",L105:L112))+(SUMIF(J113:J116,"Short",L113:L116)))&gt;=(((C22*0.054)*C21)/1000000),(((C22*0.054)*C21)/1000000),IF(((SUMIF(J105:J112,"Short",L105:L112))+(SUMIF(J113:J116,"Short",L113:L116)))&lt;(((C22*0.054)*C21)/1000000),(((SUMIF(J105:J112,"Short",L105:L112))+(SUMIF(J113:J116,"Short",L113:L116))))))</f>
        <v>0</v>
      </c>
      <c r="K118" s="307"/>
    </row>
    <row r="119" spans="1:10" ht="25.5" customHeight="1">
      <c r="A119" s="466" t="s">
        <v>223</v>
      </c>
      <c r="B119" s="467"/>
      <c r="C119" s="467"/>
      <c r="D119" s="292">
        <f>SUM(G105:G106,G109:G110)</f>
        <v>0</v>
      </c>
      <c r="E119" s="293"/>
      <c r="F119" s="294"/>
      <c r="G119" s="83"/>
      <c r="H119" s="478" t="s">
        <v>248</v>
      </c>
      <c r="I119" s="479"/>
      <c r="J119" s="302">
        <f>IF(((SUMIF(J105:J112,"Long",L105:L112))+(SUMIF(J113:J116,"Long",L113:L116)))&gt;=(((C22*0.072)*C21)/1000000),(((C22*0.072)*C21)/1000000),IF(((SUMIF(J105:J112,"Long",L105:L112))+(SUMIF(J113:J116,"Long",L113:L116)))&lt;(((C22*0.072)*C21)/1000000),(((SUMIF(J105:J112,"Long",L105:L112))+(SUMIF(J113:J116,"Long",L113:L116))))))</f>
        <v>0</v>
      </c>
    </row>
    <row r="120" spans="1:10" ht="12.75">
      <c r="A120" s="457" t="s">
        <v>224</v>
      </c>
      <c r="B120" s="458"/>
      <c r="C120" s="458"/>
      <c r="D120" s="77">
        <f>SUM(D107:D108)</f>
        <v>0</v>
      </c>
      <c r="E120" s="81"/>
      <c r="F120" s="269">
        <f>SUM(F107:F108)</f>
        <v>0</v>
      </c>
      <c r="G120" s="77">
        <f>SUM(G107:G108)</f>
        <v>0</v>
      </c>
      <c r="H120" s="422" t="s">
        <v>251</v>
      </c>
      <c r="I120" s="423"/>
      <c r="J120" s="302">
        <f>IF((J118+J119)&gt;(((C22*0.072)*C21)/1000000),(((C22*0.072)*C21)/1000000),(J118+J119))</f>
        <v>0</v>
      </c>
    </row>
    <row r="121" spans="1:10" ht="12.75" customHeight="1">
      <c r="A121" s="442" t="s">
        <v>225</v>
      </c>
      <c r="B121" s="443"/>
      <c r="C121" s="443"/>
      <c r="D121" s="78">
        <f>SUM(D111:D112)</f>
        <v>0</v>
      </c>
      <c r="E121" s="82"/>
      <c r="F121" s="270">
        <f>SUM(F111:F112)</f>
        <v>0</v>
      </c>
      <c r="G121" s="78">
        <f>SUM(G111:G112)</f>
        <v>0</v>
      </c>
      <c r="H121" s="459" t="s">
        <v>252</v>
      </c>
      <c r="I121" s="460"/>
      <c r="J121" s="59"/>
    </row>
    <row r="122" spans="1:10" ht="12.75">
      <c r="A122" s="500" t="s">
        <v>241</v>
      </c>
      <c r="B122" s="501"/>
      <c r="C122" s="501"/>
      <c r="D122" s="295"/>
      <c r="E122" s="296">
        <f>SUM(E113:E114)</f>
        <v>0</v>
      </c>
      <c r="F122" s="297">
        <f>SUM(F113:F114)</f>
        <v>0</v>
      </c>
      <c r="G122" s="83"/>
      <c r="H122" s="461"/>
      <c r="I122" s="462"/>
      <c r="J122" s="311">
        <f>IF(((SUMIF(J105:J112,"Short",M105:M112))+(SUMIF(J113:J116,"Short",M113:M116)))&gt;=(((C22*0.054)*C21)/1000000),(((C22*0.054)*C21)/1000000),IF(((SUMIF(J105:J112,"Short",M105:M112))+(SUMIF(J113:J116,"Short",M113:M116)))&lt;(((C22*0.054)*C21)/1000000),(((SUMIF(J105:J112,"Short",M105:M112))+(SUMIF(J113:J116,"Short",M113:M116))))))</f>
        <v>0</v>
      </c>
    </row>
    <row r="123" spans="1:10" ht="12.75">
      <c r="A123" s="438" t="s">
        <v>242</v>
      </c>
      <c r="B123" s="439"/>
      <c r="C123" s="439"/>
      <c r="D123" s="80"/>
      <c r="E123" s="79">
        <f>SUM(E115:E116)</f>
        <v>0</v>
      </c>
      <c r="F123" s="271">
        <f>SUM(F115:F116)</f>
        <v>0</v>
      </c>
      <c r="G123" s="83"/>
      <c r="H123" s="442" t="s">
        <v>254</v>
      </c>
      <c r="I123" s="452"/>
      <c r="J123" s="432">
        <f>IF(((SUMIF(J105:J112,"Long",M105:M112))+(SUMIF(J113:J116,"Long",M113:M116)))&gt;=(((C22*0.072)*C21)/1000000),(((C22*0.072)*C21)/1000000),IF(((SUMIF(J105:J112,"Long",M105:M112))+(SUMIF(J113:J116,"Long",M113:M116)))&lt;(((C22*0.072)*C21)/1000000),(((SUMIF(J105:J112,"Long",M105:M112))+(SUMIF(J113:J116,"Long",M113:M116))))))</f>
        <v>0</v>
      </c>
    </row>
    <row r="124" spans="1:10" ht="12.75" customHeight="1">
      <c r="A124" s="496" t="s">
        <v>74</v>
      </c>
      <c r="B124" s="497"/>
      <c r="C124" s="497"/>
      <c r="D124" s="279">
        <f>SUMIF(K105:K112,"Goal",D105:D112)</f>
        <v>2480</v>
      </c>
      <c r="E124" s="279">
        <f>SUMIF(K113:K116,"Goal",E113:E116)</f>
        <v>0</v>
      </c>
      <c r="F124" s="280">
        <f>SUMIF(K105:K116,"Goal",F105:F116)</f>
        <v>0</v>
      </c>
      <c r="G124" s="136"/>
      <c r="H124" s="452"/>
      <c r="I124" s="452"/>
      <c r="J124" s="433"/>
    </row>
    <row r="125" spans="1:10" ht="12.75" customHeight="1">
      <c r="A125" s="496" t="s">
        <v>75</v>
      </c>
      <c r="B125" s="497"/>
      <c r="C125" s="497"/>
      <c r="D125" s="279">
        <f>SUMIF(K105:K112,"Excluded",D105:D112)</f>
        <v>0</v>
      </c>
      <c r="E125" s="279">
        <f>SUMIF(K113:K116,"Excluded",E113:E116)</f>
        <v>0</v>
      </c>
      <c r="F125" s="280">
        <f>SUMIF(K105:K116,"Excluded",F105:F116)</f>
        <v>0</v>
      </c>
      <c r="G125" s="83"/>
      <c r="H125" s="434" t="s">
        <v>255</v>
      </c>
      <c r="I125" s="435"/>
      <c r="J125" s="304">
        <f>IF((J122+J123)&gt;(((C22*0.072)*C21)/1000000),(((C22*0.072)*C21)/1000000),(J122+J123))</f>
        <v>0</v>
      </c>
    </row>
    <row r="126" spans="1:7" ht="12.75">
      <c r="A126" s="531" t="s">
        <v>60</v>
      </c>
      <c r="B126" s="532"/>
      <c r="C126" s="533"/>
      <c r="D126" s="279">
        <f>SUM(D124:D125)</f>
        <v>2480</v>
      </c>
      <c r="E126" s="279">
        <f>SUM(E124:E125)</f>
        <v>0</v>
      </c>
      <c r="F126" s="280">
        <f>SUM(F124:F125)</f>
        <v>0</v>
      </c>
      <c r="G126" s="84"/>
    </row>
    <row r="127" spans="1:7" ht="12.75">
      <c r="A127" s="139"/>
      <c r="B127" s="140"/>
      <c r="C127" s="140"/>
      <c r="D127" s="84"/>
      <c r="E127" s="84"/>
      <c r="F127" s="84"/>
      <c r="G127" s="84"/>
    </row>
    <row r="128" spans="1:5" ht="12.75">
      <c r="A128" s="20"/>
      <c r="B128" s="20"/>
      <c r="C128" s="20"/>
      <c r="D128" s="13"/>
      <c r="E128" s="13"/>
    </row>
    <row r="129" spans="1:8" ht="12.75">
      <c r="A129" s="5" t="s">
        <v>276</v>
      </c>
      <c r="G129" s="5" t="s">
        <v>296</v>
      </c>
      <c r="H129" s="11"/>
    </row>
    <row r="130" spans="1:8" ht="12.75">
      <c r="A130" s="5" t="s">
        <v>84</v>
      </c>
      <c r="G130" s="5" t="s">
        <v>297</v>
      </c>
      <c r="H130" s="11"/>
    </row>
    <row r="131" spans="1:8" ht="12.75">
      <c r="A131" s="99" t="s">
        <v>103</v>
      </c>
      <c r="G131" s="99" t="s">
        <v>104</v>
      </c>
      <c r="H131" s="11"/>
    </row>
    <row r="132" spans="1:9" ht="38.25">
      <c r="A132" s="472" t="s">
        <v>92</v>
      </c>
      <c r="B132" s="473"/>
      <c r="C132" s="33" t="s">
        <v>93</v>
      </c>
      <c r="D132" s="8" t="s">
        <v>95</v>
      </c>
      <c r="E132" s="8" t="s">
        <v>70</v>
      </c>
      <c r="G132" s="8" t="s">
        <v>100</v>
      </c>
      <c r="H132" s="8" t="s">
        <v>135</v>
      </c>
      <c r="I132" s="8" t="s">
        <v>101</v>
      </c>
    </row>
    <row r="133" spans="1:9" ht="12.75">
      <c r="A133" s="470" t="s">
        <v>277</v>
      </c>
      <c r="B133" s="471"/>
      <c r="C133" s="323">
        <f>SUM(C134:C136)</f>
        <v>2534</v>
      </c>
      <c r="D133" s="324">
        <f>C11+C18+C27+C34</f>
        <v>120571</v>
      </c>
      <c r="E133" s="325">
        <f>C133/D133</f>
        <v>0.021016662381501357</v>
      </c>
      <c r="F133" s="99"/>
      <c r="G133" s="202">
        <f>((E122+E123)/1000)+(SUM(F83:F88)/1000)+((C134+E90+D120+D121)*0.003412)</f>
        <v>8.672808</v>
      </c>
      <c r="H133" s="149">
        <f>G11+G27+G18+G34</f>
        <v>411.388</v>
      </c>
      <c r="I133" s="150">
        <f>G133/H133</f>
        <v>0.021081820568417165</v>
      </c>
    </row>
    <row r="134" spans="1:3" ht="12.75">
      <c r="A134" s="513" t="s">
        <v>278</v>
      </c>
      <c r="B134" s="473"/>
      <c r="C134" s="101">
        <f>((E89)+(D117+D118)+(I99))</f>
        <v>2480</v>
      </c>
    </row>
    <row r="135" spans="1:3" ht="12.75">
      <c r="A135" s="513" t="s">
        <v>144</v>
      </c>
      <c r="B135" s="514"/>
      <c r="C135" s="200">
        <f>F89+D119</f>
        <v>0</v>
      </c>
    </row>
    <row r="136" spans="1:3" ht="12.75">
      <c r="A136" s="468" t="s">
        <v>279</v>
      </c>
      <c r="B136" s="469"/>
      <c r="C136" s="201">
        <f>IF(((D117+D118+E89+F89+I99+((E122+E91)/3.412))&gt;=(D133*0.015)),(E90+D120+D121+I100),IF(((E90+D120+D121+I100)&lt;=(D133*0.015)),(E90+D120+D121+I100),(D133*0.015)))</f>
        <v>54</v>
      </c>
    </row>
    <row r="137" ht="26.25" customHeight="1"/>
    <row r="138" ht="12.75">
      <c r="A138" s="5" t="s">
        <v>111</v>
      </c>
    </row>
    <row r="139" ht="12.75">
      <c r="A139" s="5"/>
    </row>
    <row r="140" spans="1:6" ht="38.25">
      <c r="A140" s="450" t="s">
        <v>108</v>
      </c>
      <c r="B140" s="451"/>
      <c r="C140" s="171" t="s">
        <v>107</v>
      </c>
      <c r="D140" s="171" t="s">
        <v>15</v>
      </c>
      <c r="E140" s="171" t="s">
        <v>182</v>
      </c>
      <c r="F140" s="171" t="s">
        <v>109</v>
      </c>
    </row>
    <row r="141" spans="1:6" ht="25.5" customHeight="1">
      <c r="A141" s="455" t="s">
        <v>198</v>
      </c>
      <c r="B141" s="456"/>
      <c r="C141" s="47">
        <v>48</v>
      </c>
      <c r="D141" s="48">
        <v>525</v>
      </c>
      <c r="E141" s="401">
        <v>6722.339</v>
      </c>
      <c r="F141" s="203">
        <f>(C141*1000000)/(E141*1000)</f>
        <v>7.140371825937371</v>
      </c>
    </row>
    <row r="142" spans="1:6" ht="12.75">
      <c r="A142" s="145"/>
      <c r="B142" s="187"/>
      <c r="C142" s="146"/>
      <c r="D142" s="147"/>
      <c r="E142" s="148"/>
      <c r="F142" s="178" t="s">
        <v>110</v>
      </c>
    </row>
    <row r="143" spans="1:6" ht="12.75">
      <c r="A143" s="155" t="s">
        <v>127</v>
      </c>
      <c r="B143" s="156"/>
      <c r="C143" s="156"/>
      <c r="D143" s="156"/>
      <c r="E143" s="63"/>
      <c r="F143" s="154">
        <v>1</v>
      </c>
    </row>
    <row r="144" spans="1:6" ht="12.75">
      <c r="A144" s="155" t="s">
        <v>175</v>
      </c>
      <c r="B144" s="156"/>
      <c r="C144" s="156"/>
      <c r="D144" s="156"/>
      <c r="E144" s="63"/>
      <c r="F144" s="402" t="s">
        <v>304</v>
      </c>
    </row>
    <row r="146" ht="12.75">
      <c r="A146" s="5" t="s">
        <v>38</v>
      </c>
    </row>
    <row r="148" ht="12.75">
      <c r="A148" s="5" t="s">
        <v>39</v>
      </c>
    </row>
    <row r="149" spans="1:6" ht="12.75">
      <c r="A149" s="494"/>
      <c r="B149" s="495"/>
      <c r="C149" s="495"/>
      <c r="D149" s="495"/>
      <c r="E149" s="495"/>
      <c r="F149" s="495"/>
    </row>
    <row r="150" spans="1:6" ht="12.75">
      <c r="A150" s="27"/>
      <c r="B150" s="28"/>
      <c r="C150" s="487" t="s">
        <v>211</v>
      </c>
      <c r="D150" s="488"/>
      <c r="E150" s="487" t="s">
        <v>210</v>
      </c>
      <c r="F150" s="488"/>
    </row>
    <row r="151" spans="1:9" ht="12.75">
      <c r="A151" s="29"/>
      <c r="B151" s="7"/>
      <c r="C151" s="7" t="s">
        <v>105</v>
      </c>
      <c r="D151" s="6" t="s">
        <v>24</v>
      </c>
      <c r="E151" s="7" t="s">
        <v>105</v>
      </c>
      <c r="F151" s="6" t="s">
        <v>24</v>
      </c>
      <c r="G151" s="30"/>
      <c r="H151" s="30"/>
      <c r="I151" s="30"/>
    </row>
    <row r="152" spans="1:6" ht="38.25" customHeight="1">
      <c r="A152" s="504" t="s">
        <v>37</v>
      </c>
      <c r="B152" s="503"/>
      <c r="C152" s="31"/>
      <c r="D152" s="10">
        <v>100</v>
      </c>
      <c r="E152" s="31"/>
      <c r="F152" s="10">
        <v>200</v>
      </c>
    </row>
    <row r="153" spans="1:6" ht="25.5" customHeight="1">
      <c r="A153" s="502" t="s">
        <v>46</v>
      </c>
      <c r="B153" s="503"/>
      <c r="C153" s="9">
        <v>0</v>
      </c>
      <c r="D153" s="10">
        <v>50</v>
      </c>
      <c r="E153" s="9">
        <v>0</v>
      </c>
      <c r="F153" s="10">
        <v>60</v>
      </c>
    </row>
    <row r="154" spans="1:4" ht="12.75">
      <c r="A154" s="20"/>
      <c r="B154" s="20"/>
      <c r="C154" s="22"/>
      <c r="D154" s="11"/>
    </row>
    <row r="155" spans="1:8" ht="12.75">
      <c r="A155" s="519" t="s">
        <v>47</v>
      </c>
      <c r="B155" s="520"/>
      <c r="C155" s="520"/>
      <c r="D155" s="520"/>
      <c r="E155" s="32"/>
      <c r="H155" s="151"/>
    </row>
    <row r="156" spans="1:8" ht="12.75">
      <c r="A156" s="5"/>
      <c r="H156" s="151"/>
    </row>
    <row r="157" spans="1:8" ht="25.5">
      <c r="A157" s="26"/>
      <c r="B157" s="33"/>
      <c r="C157" s="8" t="s">
        <v>106</v>
      </c>
      <c r="D157" s="8" t="s">
        <v>26</v>
      </c>
      <c r="E157" s="13"/>
      <c r="F157" s="13"/>
      <c r="H157" s="151"/>
    </row>
    <row r="158" spans="1:4" ht="51" customHeight="1">
      <c r="A158" s="517" t="s">
        <v>51</v>
      </c>
      <c r="B158" s="518"/>
      <c r="C158" s="9">
        <v>0</v>
      </c>
      <c r="D158" s="15">
        <v>0</v>
      </c>
    </row>
    <row r="159" spans="1:4" ht="38.25" customHeight="1">
      <c r="A159" s="510" t="s">
        <v>49</v>
      </c>
      <c r="B159" s="511"/>
      <c r="C159" s="512"/>
      <c r="D159" s="10">
        <v>0</v>
      </c>
    </row>
    <row r="160" spans="1:4" ht="38.25" customHeight="1">
      <c r="A160" s="510" t="s">
        <v>50</v>
      </c>
      <c r="B160" s="511"/>
      <c r="C160" s="512"/>
      <c r="D160" s="10">
        <v>0</v>
      </c>
    </row>
    <row r="161" spans="1:4" ht="38.25" customHeight="1">
      <c r="A161" s="510" t="s">
        <v>55</v>
      </c>
      <c r="B161" s="511"/>
      <c r="C161" s="512"/>
      <c r="D161" s="10">
        <v>0</v>
      </c>
    </row>
    <row r="162" spans="1:4" ht="51" customHeight="1">
      <c r="A162" s="510" t="s">
        <v>57</v>
      </c>
      <c r="B162" s="511"/>
      <c r="C162" s="512"/>
      <c r="D162" s="10">
        <v>0</v>
      </c>
    </row>
    <row r="163" spans="1:4" ht="38.25" customHeight="1">
      <c r="A163" s="517" t="s">
        <v>120</v>
      </c>
      <c r="B163" s="524"/>
      <c r="C163" s="512"/>
      <c r="D163" s="10">
        <v>0</v>
      </c>
    </row>
    <row r="165" ht="12.75">
      <c r="A165" s="5" t="s">
        <v>40</v>
      </c>
    </row>
    <row r="166" spans="1:243" s="11" customFormat="1" ht="12.75">
      <c r="A166" s="5"/>
      <c r="B166" s="1"/>
      <c r="C166" s="1"/>
      <c r="D166" s="1"/>
      <c r="E166" s="1"/>
      <c r="F166" s="1"/>
      <c r="G166" s="1"/>
      <c r="H166" s="1"/>
      <c r="I166" s="1"/>
      <c r="J166" s="30"/>
      <c r="K166" s="30"/>
      <c r="M166" s="30"/>
      <c r="N166" s="30"/>
      <c r="O166" s="30"/>
      <c r="P166" s="30"/>
      <c r="Q166" s="30"/>
      <c r="R166" s="30"/>
      <c r="S166" s="30"/>
      <c r="U166" s="30"/>
      <c r="V166" s="30"/>
      <c r="W166" s="30"/>
      <c r="X166" s="30"/>
      <c r="Y166" s="30"/>
      <c r="Z166" s="30"/>
      <c r="AA166" s="30"/>
      <c r="AC166" s="30"/>
      <c r="AD166" s="30"/>
      <c r="AE166" s="30"/>
      <c r="AF166" s="30"/>
      <c r="AG166" s="30"/>
      <c r="AH166" s="30"/>
      <c r="AI166" s="30"/>
      <c r="AK166" s="30"/>
      <c r="AL166" s="30"/>
      <c r="AM166" s="30"/>
      <c r="AN166" s="30"/>
      <c r="AO166" s="30"/>
      <c r="AP166" s="30"/>
      <c r="AQ166" s="30"/>
      <c r="AS166" s="30"/>
      <c r="AT166" s="30"/>
      <c r="AU166" s="30"/>
      <c r="AV166" s="30"/>
      <c r="AW166" s="30"/>
      <c r="AX166" s="30"/>
      <c r="AY166" s="30"/>
      <c r="BA166" s="30"/>
      <c r="BB166" s="30"/>
      <c r="BC166" s="30"/>
      <c r="BD166" s="30"/>
      <c r="BE166" s="30"/>
      <c r="BF166" s="30"/>
      <c r="BG166" s="30"/>
      <c r="BI166" s="30"/>
      <c r="BJ166" s="30"/>
      <c r="BK166" s="30"/>
      <c r="BL166" s="30"/>
      <c r="BM166" s="30"/>
      <c r="BN166" s="30"/>
      <c r="BO166" s="30"/>
      <c r="BQ166" s="30"/>
      <c r="BR166" s="30"/>
      <c r="BS166" s="30"/>
      <c r="BT166" s="30"/>
      <c r="BU166" s="30"/>
      <c r="BV166" s="30"/>
      <c r="BW166" s="30"/>
      <c r="BY166" s="30"/>
      <c r="BZ166" s="30"/>
      <c r="CA166" s="30"/>
      <c r="CB166" s="30"/>
      <c r="CC166" s="30"/>
      <c r="CD166" s="30"/>
      <c r="CE166" s="30"/>
      <c r="CG166" s="30"/>
      <c r="CH166" s="30"/>
      <c r="CI166" s="30"/>
      <c r="CJ166" s="30"/>
      <c r="CK166" s="30"/>
      <c r="CL166" s="30"/>
      <c r="CM166" s="30"/>
      <c r="CO166" s="30"/>
      <c r="CP166" s="30"/>
      <c r="CQ166" s="30"/>
      <c r="CR166" s="30"/>
      <c r="CS166" s="30"/>
      <c r="CT166" s="30"/>
      <c r="CU166" s="30"/>
      <c r="CW166" s="30"/>
      <c r="CX166" s="30"/>
      <c r="CY166" s="30"/>
      <c r="CZ166" s="30"/>
      <c r="DA166" s="30"/>
      <c r="DB166" s="30"/>
      <c r="DC166" s="30"/>
      <c r="DE166" s="30"/>
      <c r="DF166" s="30"/>
      <c r="DG166" s="30"/>
      <c r="DH166" s="30"/>
      <c r="DI166" s="30"/>
      <c r="DJ166" s="30"/>
      <c r="DK166" s="30"/>
      <c r="DM166" s="30"/>
      <c r="DN166" s="30"/>
      <c r="DO166" s="30"/>
      <c r="DP166" s="30"/>
      <c r="DQ166" s="30"/>
      <c r="DR166" s="30"/>
      <c r="DS166" s="30"/>
      <c r="DU166" s="30"/>
      <c r="DV166" s="30"/>
      <c r="DW166" s="30"/>
      <c r="DX166" s="30"/>
      <c r="DY166" s="30"/>
      <c r="DZ166" s="30"/>
      <c r="EA166" s="30"/>
      <c r="EC166" s="30"/>
      <c r="ED166" s="30"/>
      <c r="EE166" s="30"/>
      <c r="EF166" s="30"/>
      <c r="EG166" s="30"/>
      <c r="EH166" s="30"/>
      <c r="EI166" s="30"/>
      <c r="EK166" s="30"/>
      <c r="EL166" s="30"/>
      <c r="EM166" s="30"/>
      <c r="EN166" s="30"/>
      <c r="EO166" s="30"/>
      <c r="EP166" s="30"/>
      <c r="EQ166" s="30"/>
      <c r="ES166" s="30"/>
      <c r="ET166" s="30"/>
      <c r="EU166" s="30"/>
      <c r="EV166" s="30"/>
      <c r="EW166" s="30"/>
      <c r="EX166" s="30"/>
      <c r="EY166" s="30"/>
      <c r="FA166" s="30"/>
      <c r="FB166" s="30"/>
      <c r="FC166" s="30"/>
      <c r="FD166" s="30"/>
      <c r="FE166" s="30"/>
      <c r="FF166" s="30"/>
      <c r="FG166" s="30"/>
      <c r="FI166" s="30"/>
      <c r="FJ166" s="30"/>
      <c r="FK166" s="30"/>
      <c r="FL166" s="30"/>
      <c r="FM166" s="30"/>
      <c r="FN166" s="30"/>
      <c r="FO166" s="30"/>
      <c r="FQ166" s="30"/>
      <c r="FR166" s="30"/>
      <c r="FS166" s="30"/>
      <c r="FT166" s="30"/>
      <c r="FU166" s="30"/>
      <c r="FV166" s="30"/>
      <c r="FW166" s="30"/>
      <c r="FY166" s="30"/>
      <c r="FZ166" s="30"/>
      <c r="GA166" s="30"/>
      <c r="GB166" s="30"/>
      <c r="GC166" s="30"/>
      <c r="GD166" s="30"/>
      <c r="GE166" s="30"/>
      <c r="GG166" s="30"/>
      <c r="GH166" s="30"/>
      <c r="GI166" s="30"/>
      <c r="GJ166" s="30"/>
      <c r="GK166" s="30"/>
      <c r="GL166" s="30"/>
      <c r="GM166" s="30"/>
      <c r="GO166" s="30"/>
      <c r="GP166" s="30"/>
      <c r="GQ166" s="30"/>
      <c r="GR166" s="30"/>
      <c r="GS166" s="30"/>
      <c r="GT166" s="30"/>
      <c r="GU166" s="30"/>
      <c r="GW166" s="30"/>
      <c r="GX166" s="30"/>
      <c r="GY166" s="30"/>
      <c r="GZ166" s="30"/>
      <c r="HA166" s="30"/>
      <c r="HB166" s="30"/>
      <c r="HC166" s="30"/>
      <c r="HE166" s="30"/>
      <c r="HF166" s="30"/>
      <c r="HG166" s="30"/>
      <c r="HH166" s="30"/>
      <c r="HI166" s="30"/>
      <c r="HJ166" s="30"/>
      <c r="HK166" s="30"/>
      <c r="HM166" s="30"/>
      <c r="HN166" s="30"/>
      <c r="HO166" s="30"/>
      <c r="HP166" s="30"/>
      <c r="HQ166" s="30"/>
      <c r="HR166" s="30"/>
      <c r="HS166" s="30"/>
      <c r="HU166" s="30"/>
      <c r="HV166" s="30"/>
      <c r="HW166" s="30"/>
      <c r="HX166" s="30"/>
      <c r="HY166" s="30"/>
      <c r="HZ166" s="30"/>
      <c r="IA166" s="30"/>
      <c r="IC166" s="30"/>
      <c r="ID166" s="30"/>
      <c r="IE166" s="30"/>
      <c r="IF166" s="30"/>
      <c r="IG166" s="30"/>
      <c r="IH166" s="30"/>
      <c r="II166" s="30"/>
    </row>
    <row r="167" spans="1:4" ht="25.5">
      <c r="A167" s="34"/>
      <c r="B167" s="33"/>
      <c r="C167" s="8" t="s">
        <v>106</v>
      </c>
      <c r="D167" s="8" t="s">
        <v>26</v>
      </c>
    </row>
    <row r="168" spans="1:4" ht="51" customHeight="1">
      <c r="A168" s="517" t="s">
        <v>52</v>
      </c>
      <c r="B168" s="518"/>
      <c r="C168" s="9">
        <v>0</v>
      </c>
      <c r="D168" s="15">
        <v>0</v>
      </c>
    </row>
    <row r="169" spans="1:4" ht="38.25" customHeight="1">
      <c r="A169" s="510" t="s">
        <v>53</v>
      </c>
      <c r="B169" s="511"/>
      <c r="C169" s="512"/>
      <c r="D169" s="10">
        <v>0</v>
      </c>
    </row>
    <row r="170" spans="1:4" ht="38.25" customHeight="1">
      <c r="A170" s="510" t="s">
        <v>54</v>
      </c>
      <c r="B170" s="511"/>
      <c r="C170" s="512"/>
      <c r="D170" s="10">
        <v>0</v>
      </c>
    </row>
    <row r="171" spans="1:4" ht="38.25" customHeight="1">
      <c r="A171" s="510" t="s">
        <v>56</v>
      </c>
      <c r="B171" s="511"/>
      <c r="C171" s="512"/>
      <c r="D171" s="10">
        <v>0</v>
      </c>
    </row>
    <row r="172" spans="1:4" ht="38.25" customHeight="1">
      <c r="A172" s="510" t="s">
        <v>58</v>
      </c>
      <c r="B172" s="511"/>
      <c r="C172" s="512"/>
      <c r="D172" s="10">
        <v>0</v>
      </c>
    </row>
    <row r="173" spans="1:9" s="13" customFormat="1" ht="38.25" customHeight="1">
      <c r="A173" s="517" t="s">
        <v>48</v>
      </c>
      <c r="B173" s="524"/>
      <c r="C173" s="512"/>
      <c r="D173" s="10">
        <v>0</v>
      </c>
      <c r="E173" s="1"/>
      <c r="F173" s="1"/>
      <c r="G173" s="1"/>
      <c r="H173" s="1"/>
      <c r="I173" s="1"/>
    </row>
    <row r="174" spans="1:9" s="13" customFormat="1" ht="12.75">
      <c r="A174" s="1"/>
      <c r="B174" s="1"/>
      <c r="C174" s="1"/>
      <c r="D174" s="1"/>
      <c r="E174" s="1"/>
      <c r="F174" s="1"/>
      <c r="G174" s="1"/>
      <c r="H174" s="1"/>
      <c r="I174" s="1"/>
    </row>
    <row r="175" ht="12.75">
      <c r="A175" s="5" t="s">
        <v>149</v>
      </c>
    </row>
    <row r="176" ht="12.75">
      <c r="A176" s="5"/>
    </row>
    <row r="177" spans="1:7" ht="12.75">
      <c r="A177" s="172"/>
      <c r="B177" s="173" t="s">
        <v>151</v>
      </c>
      <c r="C177" s="174"/>
      <c r="D177" s="174" t="s">
        <v>152</v>
      </c>
      <c r="E177" s="174"/>
      <c r="F177" s="174" t="s">
        <v>289</v>
      </c>
      <c r="G177" s="174"/>
    </row>
    <row r="178" spans="1:7" ht="38.25">
      <c r="A178" s="175" t="s">
        <v>150</v>
      </c>
      <c r="B178" s="176" t="s">
        <v>153</v>
      </c>
      <c r="C178" s="171" t="s">
        <v>154</v>
      </c>
      <c r="D178" s="176" t="s">
        <v>153</v>
      </c>
      <c r="E178" s="171" t="s">
        <v>154</v>
      </c>
      <c r="F178" s="176" t="s">
        <v>290</v>
      </c>
      <c r="G178" s="171" t="s">
        <v>291</v>
      </c>
    </row>
    <row r="179" spans="1:7" ht="12.75">
      <c r="A179" s="167">
        <v>2008</v>
      </c>
      <c r="B179" s="168">
        <v>144</v>
      </c>
      <c r="C179" s="169">
        <v>0.181</v>
      </c>
      <c r="D179" s="168">
        <v>0</v>
      </c>
      <c r="E179" s="169">
        <v>0</v>
      </c>
      <c r="F179" s="168">
        <v>107</v>
      </c>
      <c r="G179" s="396">
        <f>(B179+D179)/F179</f>
        <v>1.3457943925233644</v>
      </c>
    </row>
    <row r="180" spans="1:7" ht="12.75">
      <c r="A180" s="166" t="s">
        <v>205</v>
      </c>
      <c r="B180" s="170">
        <v>0</v>
      </c>
      <c r="C180" s="169">
        <v>0</v>
      </c>
      <c r="D180" s="170">
        <v>0</v>
      </c>
      <c r="E180" s="169">
        <v>0</v>
      </c>
      <c r="F180" s="168">
        <v>0</v>
      </c>
      <c r="G180" s="396" t="e">
        <f>(B180+D180)/F180</f>
        <v>#DIV/0!</v>
      </c>
    </row>
    <row r="181" ht="12.75">
      <c r="A181" s="5"/>
    </row>
    <row r="182" ht="12.75">
      <c r="A182" s="5" t="s">
        <v>181</v>
      </c>
    </row>
    <row r="183" spans="1:6" ht="51">
      <c r="A183" s="179"/>
      <c r="B183" s="180"/>
      <c r="C183" s="180"/>
      <c r="D183" s="180"/>
      <c r="E183" s="181" t="s">
        <v>177</v>
      </c>
      <c r="F183" s="405" t="s">
        <v>305</v>
      </c>
    </row>
    <row r="184" spans="1:6" ht="12.75">
      <c r="A184" s="529" t="s">
        <v>216</v>
      </c>
      <c r="B184" s="530"/>
      <c r="C184" s="530"/>
      <c r="D184" s="530"/>
      <c r="E184" s="338">
        <f>'New Building Designs'!D22</f>
        <v>1</v>
      </c>
      <c r="F184" s="403">
        <v>1</v>
      </c>
    </row>
    <row r="185" spans="1:6" ht="38.25" customHeight="1">
      <c r="A185" s="521" t="s">
        <v>217</v>
      </c>
      <c r="B185" s="522"/>
      <c r="C185" s="522"/>
      <c r="D185" s="523"/>
      <c r="E185" s="339">
        <f>'New Building Designs'!D23</f>
        <v>0</v>
      </c>
      <c r="F185" s="403">
        <v>1</v>
      </c>
    </row>
    <row r="186" spans="1:6" ht="12.75">
      <c r="A186" s="183"/>
      <c r="B186" s="184"/>
      <c r="C186" s="185"/>
      <c r="D186" s="186"/>
      <c r="E186" s="178" t="s">
        <v>110</v>
      </c>
      <c r="F186" s="403"/>
    </row>
    <row r="187" spans="1:6" ht="38.25" customHeight="1">
      <c r="A187" s="521" t="s">
        <v>218</v>
      </c>
      <c r="B187" s="522"/>
      <c r="C187" s="522"/>
      <c r="D187" s="523"/>
      <c r="E187" s="182">
        <f>E185/E184</f>
        <v>0</v>
      </c>
      <c r="F187" s="404">
        <v>1</v>
      </c>
    </row>
    <row r="188" ht="12.75">
      <c r="A188" s="5"/>
    </row>
    <row r="189" ht="12.75">
      <c r="A189" s="5" t="s">
        <v>174</v>
      </c>
    </row>
    <row r="190" ht="12.75">
      <c r="A190" s="5"/>
    </row>
    <row r="191" spans="1:9" s="13" customFormat="1" ht="12.75">
      <c r="A191" s="502"/>
      <c r="B191" s="516"/>
      <c r="C191" s="8" t="s">
        <v>25</v>
      </c>
      <c r="D191" s="8" t="s">
        <v>24</v>
      </c>
      <c r="E191" s="1"/>
      <c r="F191" s="1"/>
      <c r="G191" s="1"/>
      <c r="H191" s="1"/>
      <c r="I191" s="1"/>
    </row>
    <row r="192" spans="1:9" s="13" customFormat="1" ht="25.5" customHeight="1">
      <c r="A192" s="504" t="s">
        <v>215</v>
      </c>
      <c r="B192" s="515"/>
      <c r="C192" s="15">
        <v>8</v>
      </c>
      <c r="D192" s="10">
        <v>1</v>
      </c>
      <c r="E192" s="1"/>
      <c r="F192" s="1"/>
      <c r="G192" s="1"/>
      <c r="H192" s="1"/>
      <c r="I192" s="1"/>
    </row>
  </sheetData>
  <sheetProtection sheet="1" objects="1" scenarios="1" formatCells="0" formatColumns="0" formatRows="0" insertRows="0" deleteRows="0" sort="0"/>
  <mergeCells count="101">
    <mergeCell ref="A163:C163"/>
    <mergeCell ref="A168:B168"/>
    <mergeCell ref="H104:I104"/>
    <mergeCell ref="H105:I105"/>
    <mergeCell ref="A103:J103"/>
    <mergeCell ref="A184:D184"/>
    <mergeCell ref="A126:C126"/>
    <mergeCell ref="A173:C173"/>
    <mergeCell ref="A171:C171"/>
    <mergeCell ref="A134:B134"/>
    <mergeCell ref="A135:B135"/>
    <mergeCell ref="A160:C160"/>
    <mergeCell ref="A192:B192"/>
    <mergeCell ref="A191:B191"/>
    <mergeCell ref="A158:B158"/>
    <mergeCell ref="A155:D155"/>
    <mergeCell ref="A185:D185"/>
    <mergeCell ref="A187:D187"/>
    <mergeCell ref="A172:C172"/>
    <mergeCell ref="A169:C169"/>
    <mergeCell ref="A170:C170"/>
    <mergeCell ref="A159:C159"/>
    <mergeCell ref="A79:C79"/>
    <mergeCell ref="A80:C80"/>
    <mergeCell ref="A81:C81"/>
    <mergeCell ref="A82:C82"/>
    <mergeCell ref="A86:C86"/>
    <mergeCell ref="A87:C87"/>
    <mergeCell ref="A161:C161"/>
    <mergeCell ref="A162:C162"/>
    <mergeCell ref="A153:B153"/>
    <mergeCell ref="A152:B152"/>
    <mergeCell ref="A89:C89"/>
    <mergeCell ref="A83:C83"/>
    <mergeCell ref="A84:C84"/>
    <mergeCell ref="A88:C88"/>
    <mergeCell ref="A99:G99"/>
    <mergeCell ref="A100:G100"/>
    <mergeCell ref="A90:C90"/>
    <mergeCell ref="A124:C124"/>
    <mergeCell ref="A109:C109"/>
    <mergeCell ref="A91:C91"/>
    <mergeCell ref="A93:C93"/>
    <mergeCell ref="A122:C122"/>
    <mergeCell ref="A114:C114"/>
    <mergeCell ref="A106:C106"/>
    <mergeCell ref="A92:C92"/>
    <mergeCell ref="A110:C110"/>
    <mergeCell ref="A1:H1"/>
    <mergeCell ref="C150:D150"/>
    <mergeCell ref="E150:F150"/>
    <mergeCell ref="A104:C104"/>
    <mergeCell ref="A105:C105"/>
    <mergeCell ref="A113:C113"/>
    <mergeCell ref="A107:C107"/>
    <mergeCell ref="A111:C111"/>
    <mergeCell ref="A116:C116"/>
    <mergeCell ref="A149:F149"/>
    <mergeCell ref="A76:C76"/>
    <mergeCell ref="A77:C77"/>
    <mergeCell ref="A85:C85"/>
    <mergeCell ref="A78:C78"/>
    <mergeCell ref="A70:C70"/>
    <mergeCell ref="A71:C71"/>
    <mergeCell ref="A74:C74"/>
    <mergeCell ref="A72:C72"/>
    <mergeCell ref="A73:C73"/>
    <mergeCell ref="A75:C75"/>
    <mergeCell ref="A141:B141"/>
    <mergeCell ref="A120:C120"/>
    <mergeCell ref="H121:I122"/>
    <mergeCell ref="A115:C115"/>
    <mergeCell ref="A119:C119"/>
    <mergeCell ref="A136:B136"/>
    <mergeCell ref="A133:B133"/>
    <mergeCell ref="A132:B132"/>
    <mergeCell ref="H117:I118"/>
    <mergeCell ref="H119:I119"/>
    <mergeCell ref="H106:I106"/>
    <mergeCell ref="A108:C108"/>
    <mergeCell ref="H108:I108"/>
    <mergeCell ref="H107:I107"/>
    <mergeCell ref="A140:B140"/>
    <mergeCell ref="H123:I124"/>
    <mergeCell ref="H113:I113"/>
    <mergeCell ref="H115:I115"/>
    <mergeCell ref="H114:I114"/>
    <mergeCell ref="H109:I109"/>
    <mergeCell ref="J123:J124"/>
    <mergeCell ref="H125:I125"/>
    <mergeCell ref="H116:I116"/>
    <mergeCell ref="A123:C123"/>
    <mergeCell ref="A118:C118"/>
    <mergeCell ref="A121:C121"/>
    <mergeCell ref="A125:C125"/>
    <mergeCell ref="H120:I120"/>
    <mergeCell ref="A117:C117"/>
    <mergeCell ref="H110:I110"/>
    <mergeCell ref="A112:C112"/>
    <mergeCell ref="H112:I112"/>
    <mergeCell ref="H111:I111"/>
  </mergeCells>
  <printOptions horizontalCentered="1"/>
  <pageMargins left="0.75" right="0.75" top="0.5" bottom="0.5" header="0.5" footer="0.5"/>
  <pageSetup fitToHeight="6" horizontalDpi="600" verticalDpi="600" orientation="landscape" scale="59" r:id="rId3"/>
  <rowBreaks count="5" manualBreakCount="5">
    <brk id="40" max="12" man="1"/>
    <brk id="67" max="12" man="1"/>
    <brk id="101" max="12" man="1"/>
    <brk id="137" max="12" man="1"/>
    <brk id="174" max="12"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C10" sqref="C10"/>
    </sheetView>
  </sheetViews>
  <sheetFormatPr defaultColWidth="9.140625" defaultRowHeight="12.75"/>
  <cols>
    <col min="1" max="1" width="9.8515625" style="1" customWidth="1"/>
    <col min="2" max="2" width="27.57421875" style="1" customWidth="1"/>
    <col min="3" max="3" width="16.7109375" style="1" customWidth="1"/>
    <col min="4" max="4" width="9.140625" style="1" customWidth="1"/>
    <col min="5" max="6" width="23.00390625" style="1" customWidth="1"/>
    <col min="7" max="7" width="11.421875" style="1" customWidth="1"/>
    <col min="8" max="8" width="17.7109375" style="1" customWidth="1"/>
    <col min="9" max="16384" width="9.140625" style="1" customWidth="1"/>
  </cols>
  <sheetData>
    <row r="1" spans="1:8" ht="18">
      <c r="A1" s="369" t="str">
        <f>'FY2008 Data Report'!B3</f>
        <v>DOC - NOAA data</v>
      </c>
      <c r="B1" s="354"/>
      <c r="C1" s="354"/>
      <c r="D1" s="354"/>
      <c r="E1" s="354"/>
      <c r="F1" s="354"/>
      <c r="G1" s="354"/>
      <c r="H1" s="354"/>
    </row>
    <row r="2" spans="1:8" ht="12.75">
      <c r="A2" s="355" t="s">
        <v>183</v>
      </c>
      <c r="B2" s="355"/>
      <c r="C2" s="355"/>
      <c r="D2" s="355"/>
      <c r="E2" s="355"/>
      <c r="F2" s="355"/>
      <c r="G2" s="355"/>
      <c r="H2" s="355"/>
    </row>
    <row r="3" spans="1:8" ht="25.5">
      <c r="A3" s="356" t="s">
        <v>294</v>
      </c>
      <c r="B3" s="355"/>
      <c r="C3" s="355"/>
      <c r="D3" s="355"/>
      <c r="E3" s="355"/>
      <c r="F3" s="355"/>
      <c r="G3" s="355"/>
      <c r="H3" s="355"/>
    </row>
    <row r="4" spans="1:8" ht="13.5" thickBot="1">
      <c r="A4" s="357"/>
      <c r="B4" s="357"/>
      <c r="C4" s="357"/>
      <c r="D4" s="357"/>
      <c r="E4" s="357"/>
      <c r="F4" s="357"/>
      <c r="G4" s="357"/>
      <c r="H4" s="357"/>
    </row>
    <row r="5" spans="1:8" s="363" customFormat="1" ht="12.75">
      <c r="A5" s="358" t="s">
        <v>184</v>
      </c>
      <c r="B5" s="359"/>
      <c r="C5" s="360"/>
      <c r="D5" s="358" t="s">
        <v>185</v>
      </c>
      <c r="E5" s="361"/>
      <c r="F5" s="362"/>
      <c r="G5" s="370" t="s">
        <v>186</v>
      </c>
      <c r="H5" s="362"/>
    </row>
    <row r="6" spans="1:12" s="363" customFormat="1" ht="67.5">
      <c r="A6" s="364" t="s">
        <v>187</v>
      </c>
      <c r="B6" s="365" t="s">
        <v>188</v>
      </c>
      <c r="C6" s="366" t="s">
        <v>189</v>
      </c>
      <c r="D6" s="364" t="s">
        <v>190</v>
      </c>
      <c r="E6" s="365" t="s">
        <v>195</v>
      </c>
      <c r="F6" s="366" t="s">
        <v>197</v>
      </c>
      <c r="G6" s="371" t="s">
        <v>191</v>
      </c>
      <c r="H6" s="366" t="s">
        <v>192</v>
      </c>
      <c r="I6" s="367"/>
      <c r="J6" s="367"/>
      <c r="K6" s="367"/>
      <c r="L6" s="368"/>
    </row>
    <row r="7" spans="1:8" ht="12.75">
      <c r="A7" s="340"/>
      <c r="B7" s="341"/>
      <c r="C7" s="342"/>
      <c r="D7" s="343" t="s">
        <v>193</v>
      </c>
      <c r="E7" s="344">
        <v>0</v>
      </c>
      <c r="F7" s="345" t="s">
        <v>194</v>
      </c>
      <c r="G7" s="337" t="s">
        <v>193</v>
      </c>
      <c r="H7" s="346">
        <v>0</v>
      </c>
    </row>
    <row r="8" spans="1:8" ht="51">
      <c r="A8" s="408" t="s">
        <v>306</v>
      </c>
      <c r="B8" s="407" t="s">
        <v>307</v>
      </c>
      <c r="C8" s="412" t="s">
        <v>308</v>
      </c>
      <c r="D8" s="411">
        <v>2007</v>
      </c>
      <c r="E8" s="409" t="s">
        <v>309</v>
      </c>
      <c r="F8" s="410" t="s">
        <v>310</v>
      </c>
      <c r="G8" s="411">
        <v>2012</v>
      </c>
      <c r="H8" s="410" t="s">
        <v>309</v>
      </c>
    </row>
    <row r="9" spans="1:8" ht="12.75">
      <c r="A9" s="340"/>
      <c r="B9" s="341"/>
      <c r="C9" s="342"/>
      <c r="D9" s="343"/>
      <c r="E9" s="344"/>
      <c r="F9" s="345"/>
      <c r="G9" s="337"/>
      <c r="H9" s="346"/>
    </row>
    <row r="10" spans="1:8" ht="12.75">
      <c r="A10" s="340"/>
      <c r="B10" s="341"/>
      <c r="C10" s="342"/>
      <c r="D10" s="343"/>
      <c r="E10" s="344"/>
      <c r="F10" s="345"/>
      <c r="G10" s="337"/>
      <c r="H10" s="346"/>
    </row>
    <row r="11" spans="1:8" ht="12.75">
      <c r="A11" s="340"/>
      <c r="B11" s="341"/>
      <c r="C11" s="342"/>
      <c r="D11" s="343"/>
      <c r="E11" s="344"/>
      <c r="F11" s="345"/>
      <c r="G11" s="337"/>
      <c r="H11" s="346"/>
    </row>
    <row r="12" spans="1:8" ht="12.75">
      <c r="A12" s="340"/>
      <c r="B12" s="341"/>
      <c r="C12" s="342"/>
      <c r="D12" s="343"/>
      <c r="E12" s="344"/>
      <c r="F12" s="345"/>
      <c r="G12" s="337"/>
      <c r="H12" s="346"/>
    </row>
    <row r="13" spans="1:8" ht="12.75">
      <c r="A13" s="340"/>
      <c r="B13" s="341"/>
      <c r="C13" s="342"/>
      <c r="D13" s="343"/>
      <c r="E13" s="344"/>
      <c r="F13" s="345"/>
      <c r="G13" s="337"/>
      <c r="H13" s="346"/>
    </row>
    <row r="14" spans="1:8" ht="12.75">
      <c r="A14" s="340"/>
      <c r="B14" s="341"/>
      <c r="C14" s="342"/>
      <c r="D14" s="343"/>
      <c r="E14" s="344"/>
      <c r="F14" s="345"/>
      <c r="G14" s="337"/>
      <c r="H14" s="346"/>
    </row>
    <row r="15" spans="1:8" ht="12.75">
      <c r="A15" s="340"/>
      <c r="B15" s="341"/>
      <c r="C15" s="342"/>
      <c r="D15" s="343"/>
      <c r="E15" s="344"/>
      <c r="F15" s="345"/>
      <c r="G15" s="337"/>
      <c r="H15" s="346"/>
    </row>
    <row r="16" spans="1:8" ht="12.75">
      <c r="A16" s="340"/>
      <c r="B16" s="341"/>
      <c r="C16" s="342"/>
      <c r="D16" s="343"/>
      <c r="E16" s="344"/>
      <c r="F16" s="345"/>
      <c r="G16" s="337"/>
      <c r="H16" s="346"/>
    </row>
    <row r="17" spans="1:8" ht="12.75">
      <c r="A17" s="340"/>
      <c r="B17" s="341"/>
      <c r="C17" s="342"/>
      <c r="D17" s="343"/>
      <c r="E17" s="344"/>
      <c r="F17" s="345"/>
      <c r="G17" s="337"/>
      <c r="H17" s="346"/>
    </row>
    <row r="18" spans="1:8" ht="12.75">
      <c r="A18" s="340"/>
      <c r="B18" s="341"/>
      <c r="C18" s="342"/>
      <c r="D18" s="343"/>
      <c r="E18" s="344"/>
      <c r="F18" s="345"/>
      <c r="G18" s="337"/>
      <c r="H18" s="346"/>
    </row>
    <row r="19" spans="1:8" ht="12.75">
      <c r="A19" s="340"/>
      <c r="B19" s="341"/>
      <c r="C19" s="342"/>
      <c r="D19" s="343"/>
      <c r="E19" s="344"/>
      <c r="F19" s="345"/>
      <c r="G19" s="337"/>
      <c r="H19" s="346"/>
    </row>
    <row r="20" spans="1:8" ht="12.75">
      <c r="A20" s="340"/>
      <c r="B20" s="341"/>
      <c r="C20" s="342"/>
      <c r="D20" s="343"/>
      <c r="E20" s="344"/>
      <c r="F20" s="345"/>
      <c r="G20" s="337"/>
      <c r="H20" s="346"/>
    </row>
    <row r="21" spans="1:8" ht="13.5" thickBot="1">
      <c r="A21" s="347"/>
      <c r="B21" s="348"/>
      <c r="C21" s="349"/>
      <c r="D21" s="350"/>
      <c r="E21" s="351"/>
      <c r="F21" s="352"/>
      <c r="G21" s="372"/>
      <c r="H21" s="353"/>
    </row>
    <row r="22" spans="1:4" ht="12.75">
      <c r="A22" s="373"/>
      <c r="B22" s="374"/>
      <c r="C22" s="375" t="s">
        <v>216</v>
      </c>
      <c r="D22" s="376">
        <f>COUNTA(B7:B21)</f>
        <v>1</v>
      </c>
    </row>
    <row r="23" spans="1:4" ht="38.25" customHeight="1" thickBot="1">
      <c r="A23" s="534" t="s">
        <v>295</v>
      </c>
      <c r="B23" s="535"/>
      <c r="C23" s="535"/>
      <c r="D23" s="377">
        <f>COUNTIF(E7:E21,"&gt;=30%")+COUNTIF(F7:F21,"Yes")</f>
        <v>0</v>
      </c>
    </row>
  </sheetData>
  <sheetProtection sheet="1" objects="1" scenarios="1" insertRows="0" deleteRows="0"/>
  <mergeCells count="1">
    <mergeCell ref="A23:C23"/>
  </mergeCells>
  <printOptions/>
  <pageMargins left="0.75" right="0.75" top="1" bottom="1" header="0.5" footer="0.5"/>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E23" sqref="E23"/>
    </sheetView>
  </sheetViews>
  <sheetFormatPr defaultColWidth="9.140625" defaultRowHeight="12.75"/>
  <cols>
    <col min="1" max="1" width="15.7109375" style="0" customWidth="1"/>
    <col min="2" max="2" width="25.57421875" style="0" customWidth="1"/>
    <col min="3" max="3" width="18.7109375" style="0" customWidth="1"/>
    <col min="4" max="4" width="8.7109375" style="0" customWidth="1"/>
    <col min="5" max="5" width="10.7109375" style="0" customWidth="1"/>
    <col min="6" max="8" width="15.7109375" style="0" customWidth="1"/>
    <col min="9" max="10" width="15.57421875" style="0" customWidth="1"/>
    <col min="11" max="11" width="24.7109375" style="0" customWidth="1"/>
  </cols>
  <sheetData>
    <row r="1" spans="1:11" ht="18">
      <c r="A1" s="188" t="str">
        <f>'FY2008 Data Report'!B3</f>
        <v>DOC - NOAA data</v>
      </c>
      <c r="B1" s="188"/>
      <c r="C1" s="188"/>
      <c r="D1" s="188"/>
      <c r="E1" s="188"/>
      <c r="F1" s="188"/>
      <c r="G1" s="188"/>
      <c r="H1" s="188"/>
      <c r="I1" s="317"/>
      <c r="J1" s="317"/>
      <c r="K1" s="317"/>
    </row>
    <row r="2" spans="1:11" ht="15.75">
      <c r="A2" s="316" t="s">
        <v>259</v>
      </c>
      <c r="B2" s="189"/>
      <c r="C2" s="189"/>
      <c r="D2" s="189"/>
      <c r="E2" s="189"/>
      <c r="F2" s="189"/>
      <c r="G2" s="189"/>
      <c r="H2" s="189"/>
      <c r="I2" s="317"/>
      <c r="J2" s="317"/>
      <c r="K2" s="317"/>
    </row>
    <row r="3" ht="13.5" thickBot="1"/>
    <row r="4" spans="1:11" ht="12.75">
      <c r="A4" s="379" t="s">
        <v>264</v>
      </c>
      <c r="B4" s="380"/>
      <c r="C4" s="379" t="s">
        <v>265</v>
      </c>
      <c r="D4" s="383"/>
      <c r="E4" s="380"/>
      <c r="F4" s="379" t="s">
        <v>267</v>
      </c>
      <c r="G4" s="380"/>
      <c r="H4" s="387" t="s">
        <v>269</v>
      </c>
      <c r="I4" s="383"/>
      <c r="J4" s="383"/>
      <c r="K4" s="380"/>
    </row>
    <row r="5" spans="1:12" s="319" customFormat="1" ht="36">
      <c r="A5" s="381" t="s">
        <v>260</v>
      </c>
      <c r="B5" s="382" t="s">
        <v>261</v>
      </c>
      <c r="C5" s="384" t="s">
        <v>262</v>
      </c>
      <c r="D5" s="321" t="s">
        <v>263</v>
      </c>
      <c r="E5" s="382" t="s">
        <v>266</v>
      </c>
      <c r="F5" s="381" t="s">
        <v>298</v>
      </c>
      <c r="G5" s="385" t="s">
        <v>268</v>
      </c>
      <c r="H5" s="378" t="s">
        <v>270</v>
      </c>
      <c r="I5" s="320" t="s">
        <v>271</v>
      </c>
      <c r="J5" s="320" t="s">
        <v>272</v>
      </c>
      <c r="K5" s="385" t="s">
        <v>273</v>
      </c>
      <c r="L5" s="318"/>
    </row>
    <row r="6" spans="1:11" ht="12.75">
      <c r="A6" s="418" t="s">
        <v>400</v>
      </c>
      <c r="B6" s="417" t="s">
        <v>374</v>
      </c>
      <c r="C6" s="414" t="s">
        <v>312</v>
      </c>
      <c r="D6" s="414" t="s">
        <v>311</v>
      </c>
      <c r="E6" s="415" t="s">
        <v>313</v>
      </c>
      <c r="F6" s="420">
        <v>958.3</v>
      </c>
      <c r="G6" s="416">
        <v>121.51459552333336</v>
      </c>
      <c r="H6" s="419" t="s">
        <v>428</v>
      </c>
      <c r="I6" s="413" t="s">
        <v>456</v>
      </c>
      <c r="J6" s="413" t="s">
        <v>457</v>
      </c>
      <c r="K6" s="421" t="s">
        <v>458</v>
      </c>
    </row>
    <row r="7" spans="1:11" ht="12.75">
      <c r="A7" s="418" t="s">
        <v>404</v>
      </c>
      <c r="B7" s="417" t="s">
        <v>378</v>
      </c>
      <c r="C7" s="414" t="s">
        <v>322</v>
      </c>
      <c r="D7" s="414" t="s">
        <v>323</v>
      </c>
      <c r="E7" s="415" t="s">
        <v>324</v>
      </c>
      <c r="F7" s="420">
        <v>489.68</v>
      </c>
      <c r="G7" s="416">
        <v>14.199265466666667</v>
      </c>
      <c r="H7" s="419" t="s">
        <v>432</v>
      </c>
      <c r="I7" s="413" t="s">
        <v>456</v>
      </c>
      <c r="J7" s="413" t="s">
        <v>457</v>
      </c>
      <c r="K7" s="421" t="s">
        <v>458</v>
      </c>
    </row>
    <row r="8" spans="1:11" ht="12.75">
      <c r="A8" s="418" t="s">
        <v>402</v>
      </c>
      <c r="B8" s="417" t="s">
        <v>376</v>
      </c>
      <c r="C8" s="414" t="s">
        <v>317</v>
      </c>
      <c r="D8" s="414" t="s">
        <v>318</v>
      </c>
      <c r="E8" s="415" t="s">
        <v>319</v>
      </c>
      <c r="F8" s="420">
        <v>338.8</v>
      </c>
      <c r="G8" s="416">
        <v>70.6</v>
      </c>
      <c r="H8" s="419" t="s">
        <v>430</v>
      </c>
      <c r="I8" s="413" t="s">
        <v>456</v>
      </c>
      <c r="J8" s="413" t="s">
        <v>457</v>
      </c>
      <c r="K8" s="421" t="s">
        <v>458</v>
      </c>
    </row>
    <row r="9" spans="1:11" ht="12.75">
      <c r="A9" s="418" t="s">
        <v>403</v>
      </c>
      <c r="B9" s="417" t="s">
        <v>377</v>
      </c>
      <c r="C9" s="414" t="s">
        <v>320</v>
      </c>
      <c r="D9" s="414" t="s">
        <v>311</v>
      </c>
      <c r="E9" s="415" t="s">
        <v>321</v>
      </c>
      <c r="F9" s="420">
        <v>126.979</v>
      </c>
      <c r="G9" s="416">
        <v>28.779134131</v>
      </c>
      <c r="H9" s="419" t="s">
        <v>431</v>
      </c>
      <c r="I9" s="413" t="s">
        <v>456</v>
      </c>
      <c r="J9" s="413" t="s">
        <v>457</v>
      </c>
      <c r="K9" s="421" t="s">
        <v>458</v>
      </c>
    </row>
    <row r="10" spans="1:11" ht="12.75">
      <c r="A10" s="418" t="s">
        <v>401</v>
      </c>
      <c r="B10" s="417" t="s">
        <v>375</v>
      </c>
      <c r="C10" s="414" t="s">
        <v>314</v>
      </c>
      <c r="D10" s="414" t="s">
        <v>315</v>
      </c>
      <c r="E10" s="415" t="s">
        <v>316</v>
      </c>
      <c r="F10" s="420">
        <v>68</v>
      </c>
      <c r="G10" s="416">
        <v>44.65061511100001</v>
      </c>
      <c r="H10" s="419" t="s">
        <v>429</v>
      </c>
      <c r="I10" s="413" t="s">
        <v>456</v>
      </c>
      <c r="J10" s="413" t="s">
        <v>457</v>
      </c>
      <c r="K10" s="421" t="s">
        <v>458</v>
      </c>
    </row>
    <row r="11" spans="1:11" ht="12.75">
      <c r="A11" s="418" t="s">
        <v>410</v>
      </c>
      <c r="B11" s="417" t="s">
        <v>383</v>
      </c>
      <c r="C11" s="414" t="s">
        <v>337</v>
      </c>
      <c r="D11" s="414" t="s">
        <v>323</v>
      </c>
      <c r="E11" s="415" t="s">
        <v>338</v>
      </c>
      <c r="F11" s="420">
        <v>63.106</v>
      </c>
      <c r="G11" s="416">
        <v>6.255333333333334</v>
      </c>
      <c r="H11" s="419" t="s">
        <v>438</v>
      </c>
      <c r="I11" s="413" t="s">
        <v>456</v>
      </c>
      <c r="J11" s="413" t="s">
        <v>457</v>
      </c>
      <c r="K11" s="421" t="s">
        <v>458</v>
      </c>
    </row>
    <row r="12" spans="1:11" ht="12.75">
      <c r="A12" s="418" t="s">
        <v>420</v>
      </c>
      <c r="B12" s="417" t="s">
        <v>392</v>
      </c>
      <c r="C12" s="414" t="s">
        <v>357</v>
      </c>
      <c r="D12" s="414" t="s">
        <v>349</v>
      </c>
      <c r="E12" s="415" t="s">
        <v>358</v>
      </c>
      <c r="F12" s="420">
        <v>52.422</v>
      </c>
      <c r="G12" s="416">
        <v>3.412</v>
      </c>
      <c r="H12" s="419" t="s">
        <v>448</v>
      </c>
      <c r="I12" s="413" t="s">
        <v>456</v>
      </c>
      <c r="J12" s="413" t="s">
        <v>457</v>
      </c>
      <c r="K12" s="421" t="s">
        <v>458</v>
      </c>
    </row>
    <row r="13" spans="1:11" ht="12.75">
      <c r="A13" s="418" t="s">
        <v>405</v>
      </c>
      <c r="B13" s="417" t="s">
        <v>379</v>
      </c>
      <c r="C13" s="414" t="s">
        <v>325</v>
      </c>
      <c r="D13" s="414" t="s">
        <v>326</v>
      </c>
      <c r="E13" s="415" t="s">
        <v>327</v>
      </c>
      <c r="F13" s="420">
        <v>50.774</v>
      </c>
      <c r="G13" s="416">
        <v>12.453800000000001</v>
      </c>
      <c r="H13" s="419" t="s">
        <v>433</v>
      </c>
      <c r="I13" s="413" t="s">
        <v>456</v>
      </c>
      <c r="J13" s="413" t="s">
        <v>457</v>
      </c>
      <c r="K13" s="421" t="s">
        <v>458</v>
      </c>
    </row>
    <row r="14" spans="1:11" ht="12.75">
      <c r="A14" s="418" t="s">
        <v>419</v>
      </c>
      <c r="B14" s="417" t="s">
        <v>391</v>
      </c>
      <c r="C14" s="414" t="s">
        <v>355</v>
      </c>
      <c r="D14" s="414" t="s">
        <v>326</v>
      </c>
      <c r="E14" s="415" t="s">
        <v>356</v>
      </c>
      <c r="F14" s="420">
        <v>49.839</v>
      </c>
      <c r="G14" s="416">
        <v>3.522390426333333</v>
      </c>
      <c r="H14" s="419" t="s">
        <v>447</v>
      </c>
      <c r="I14" s="413" t="s">
        <v>456</v>
      </c>
      <c r="J14" s="413" t="s">
        <v>457</v>
      </c>
      <c r="K14" s="421" t="s">
        <v>458</v>
      </c>
    </row>
    <row r="15" spans="1:11" ht="12.75">
      <c r="A15" s="418" t="s">
        <v>409</v>
      </c>
      <c r="B15" s="417" t="s">
        <v>379</v>
      </c>
      <c r="C15" s="414" t="s">
        <v>325</v>
      </c>
      <c r="D15" s="414" t="s">
        <v>326</v>
      </c>
      <c r="E15" s="415" t="s">
        <v>327</v>
      </c>
      <c r="F15" s="420">
        <v>45.7</v>
      </c>
      <c r="G15" s="416">
        <v>6.425933333333334</v>
      </c>
      <c r="H15" s="419" t="s">
        <v>437</v>
      </c>
      <c r="I15" s="413" t="s">
        <v>456</v>
      </c>
      <c r="J15" s="413" t="s">
        <v>457</v>
      </c>
      <c r="K15" s="421" t="s">
        <v>458</v>
      </c>
    </row>
    <row r="16" spans="1:11" ht="12.75">
      <c r="A16" s="418" t="s">
        <v>415</v>
      </c>
      <c r="B16" s="417" t="s">
        <v>387</v>
      </c>
      <c r="C16" s="414" t="s">
        <v>348</v>
      </c>
      <c r="D16" s="414" t="s">
        <v>349</v>
      </c>
      <c r="E16" s="415" t="s">
        <v>350</v>
      </c>
      <c r="F16" s="420">
        <v>45</v>
      </c>
      <c r="G16" s="416">
        <v>4.351506369466668</v>
      </c>
      <c r="H16" s="419" t="s">
        <v>443</v>
      </c>
      <c r="I16" s="413" t="s">
        <v>456</v>
      </c>
      <c r="J16" s="413" t="s">
        <v>457</v>
      </c>
      <c r="K16" s="421" t="s">
        <v>458</v>
      </c>
    </row>
    <row r="17" spans="1:11" ht="12.75">
      <c r="A17" s="418" t="s">
        <v>407</v>
      </c>
      <c r="B17" s="417" t="s">
        <v>381</v>
      </c>
      <c r="C17" s="414" t="s">
        <v>331</v>
      </c>
      <c r="D17" s="414" t="s">
        <v>332</v>
      </c>
      <c r="E17" s="415" t="s">
        <v>333</v>
      </c>
      <c r="F17" s="420">
        <v>41.22</v>
      </c>
      <c r="G17" s="416">
        <v>19.4688971</v>
      </c>
      <c r="H17" s="419" t="s">
        <v>435</v>
      </c>
      <c r="I17" s="413" t="s">
        <v>456</v>
      </c>
      <c r="J17" s="413" t="s">
        <v>457</v>
      </c>
      <c r="K17" s="421" t="s">
        <v>458</v>
      </c>
    </row>
    <row r="18" spans="1:11" ht="12.75">
      <c r="A18" s="418" t="s">
        <v>408</v>
      </c>
      <c r="B18" s="417" t="s">
        <v>382</v>
      </c>
      <c r="C18" s="414" t="s">
        <v>334</v>
      </c>
      <c r="D18" s="414" t="s">
        <v>335</v>
      </c>
      <c r="E18" s="415" t="s">
        <v>336</v>
      </c>
      <c r="F18" s="420">
        <v>40.078</v>
      </c>
      <c r="G18" s="416">
        <v>7.548793815666666</v>
      </c>
      <c r="H18" s="419" t="s">
        <v>436</v>
      </c>
      <c r="I18" s="413" t="s">
        <v>456</v>
      </c>
      <c r="J18" s="413" t="s">
        <v>457</v>
      </c>
      <c r="K18" s="421" t="s">
        <v>458</v>
      </c>
    </row>
    <row r="19" spans="1:11" ht="12.75">
      <c r="A19" s="418" t="s">
        <v>423</v>
      </c>
      <c r="B19" s="417" t="s">
        <v>395</v>
      </c>
      <c r="C19" s="414" t="s">
        <v>361</v>
      </c>
      <c r="D19" s="414" t="s">
        <v>362</v>
      </c>
      <c r="E19" s="415" t="s">
        <v>363</v>
      </c>
      <c r="F19" s="420">
        <v>35.3</v>
      </c>
      <c r="G19" s="416">
        <v>3.1131088</v>
      </c>
      <c r="H19" s="419" t="s">
        <v>451</v>
      </c>
      <c r="I19" s="413" t="s">
        <v>456</v>
      </c>
      <c r="J19" s="413" t="s">
        <v>457</v>
      </c>
      <c r="K19" s="421" t="s">
        <v>458</v>
      </c>
    </row>
    <row r="20" spans="1:11" ht="12.75">
      <c r="A20" s="418" t="s">
        <v>413</v>
      </c>
      <c r="B20" s="417" t="s">
        <v>385</v>
      </c>
      <c r="C20" s="414" t="s">
        <v>337</v>
      </c>
      <c r="D20" s="414" t="s">
        <v>323</v>
      </c>
      <c r="E20" s="415" t="s">
        <v>344</v>
      </c>
      <c r="F20" s="420">
        <v>32.5</v>
      </c>
      <c r="G20" s="416">
        <v>4.7700613</v>
      </c>
      <c r="H20" s="419" t="s">
        <v>441</v>
      </c>
      <c r="I20" s="413" t="s">
        <v>456</v>
      </c>
      <c r="J20" s="413" t="s">
        <v>457</v>
      </c>
      <c r="K20" s="421" t="s">
        <v>458</v>
      </c>
    </row>
    <row r="21" spans="1:11" ht="12.75">
      <c r="A21" s="418" t="s">
        <v>418</v>
      </c>
      <c r="B21" s="417" t="s">
        <v>390</v>
      </c>
      <c r="C21" s="414" t="s">
        <v>334</v>
      </c>
      <c r="D21" s="414" t="s">
        <v>335</v>
      </c>
      <c r="E21" s="415" t="s">
        <v>336</v>
      </c>
      <c r="F21" s="420">
        <v>29.584</v>
      </c>
      <c r="G21" s="416">
        <v>3.7054621393333336</v>
      </c>
      <c r="H21" s="419" t="s">
        <v>446</v>
      </c>
      <c r="I21" s="413" t="s">
        <v>456</v>
      </c>
      <c r="J21" s="413" t="s">
        <v>457</v>
      </c>
      <c r="K21" s="421" t="s">
        <v>458</v>
      </c>
    </row>
    <row r="22" spans="1:11" ht="12.75">
      <c r="A22" s="418" t="s">
        <v>411</v>
      </c>
      <c r="B22" s="417" t="s">
        <v>459</v>
      </c>
      <c r="C22" s="414" t="s">
        <v>339</v>
      </c>
      <c r="D22" s="414" t="s">
        <v>335</v>
      </c>
      <c r="E22" s="415" t="s">
        <v>340</v>
      </c>
      <c r="F22" s="420">
        <v>26.8</v>
      </c>
      <c r="G22" s="416">
        <v>10.02</v>
      </c>
      <c r="H22" s="419" t="s">
        <v>439</v>
      </c>
      <c r="I22" s="413" t="s">
        <v>456</v>
      </c>
      <c r="J22" s="413" t="s">
        <v>457</v>
      </c>
      <c r="K22" s="421" t="s">
        <v>458</v>
      </c>
    </row>
    <row r="23" spans="1:11" ht="12.75">
      <c r="A23" s="418" t="s">
        <v>426</v>
      </c>
      <c r="B23" s="417" t="s">
        <v>398</v>
      </c>
      <c r="C23" s="414" t="s">
        <v>368</v>
      </c>
      <c r="D23" s="414" t="s">
        <v>369</v>
      </c>
      <c r="E23" s="415" t="s">
        <v>370</v>
      </c>
      <c r="F23" s="420">
        <v>25.947</v>
      </c>
      <c r="G23" s="416">
        <v>2.7480259373333333</v>
      </c>
      <c r="H23" s="419" t="s">
        <v>454</v>
      </c>
      <c r="I23" s="413" t="s">
        <v>456</v>
      </c>
      <c r="J23" s="413" t="s">
        <v>457</v>
      </c>
      <c r="K23" s="421" t="s">
        <v>458</v>
      </c>
    </row>
    <row r="24" spans="1:11" ht="12.75">
      <c r="A24" s="418" t="s">
        <v>424</v>
      </c>
      <c r="B24" s="417" t="s">
        <v>396</v>
      </c>
      <c r="C24" s="414" t="s">
        <v>364</v>
      </c>
      <c r="D24" s="414" t="s">
        <v>354</v>
      </c>
      <c r="E24" s="415" t="s">
        <v>365</v>
      </c>
      <c r="F24" s="420">
        <v>24.4</v>
      </c>
      <c r="G24" s="416">
        <v>6.076422976</v>
      </c>
      <c r="H24" s="419" t="s">
        <v>452</v>
      </c>
      <c r="I24" s="413" t="s">
        <v>456</v>
      </c>
      <c r="J24" s="413" t="s">
        <v>457</v>
      </c>
      <c r="K24" s="421" t="s">
        <v>458</v>
      </c>
    </row>
    <row r="25" spans="1:11" ht="12.75">
      <c r="A25" s="418" t="s">
        <v>414</v>
      </c>
      <c r="B25" s="417" t="s">
        <v>386</v>
      </c>
      <c r="C25" s="414" t="s">
        <v>345</v>
      </c>
      <c r="D25" s="414" t="s">
        <v>346</v>
      </c>
      <c r="E25" s="415" t="s">
        <v>347</v>
      </c>
      <c r="F25" s="420">
        <v>24.006</v>
      </c>
      <c r="G25" s="416">
        <v>4.633447663333333</v>
      </c>
      <c r="H25" s="419" t="s">
        <v>442</v>
      </c>
      <c r="I25" s="413" t="s">
        <v>456</v>
      </c>
      <c r="J25" s="413" t="s">
        <v>457</v>
      </c>
      <c r="K25" s="421" t="s">
        <v>458</v>
      </c>
    </row>
    <row r="26" spans="1:11" ht="12.75">
      <c r="A26" s="418" t="s">
        <v>412</v>
      </c>
      <c r="B26" s="417" t="s">
        <v>384</v>
      </c>
      <c r="C26" s="414" t="s">
        <v>341</v>
      </c>
      <c r="D26" s="414" t="s">
        <v>342</v>
      </c>
      <c r="E26" s="415" t="s">
        <v>343</v>
      </c>
      <c r="F26" s="420">
        <v>23.53</v>
      </c>
      <c r="G26" s="416">
        <v>4.980079851666668</v>
      </c>
      <c r="H26" s="419" t="s">
        <v>440</v>
      </c>
      <c r="I26" s="413" t="s">
        <v>456</v>
      </c>
      <c r="J26" s="413" t="s">
        <v>457</v>
      </c>
      <c r="K26" s="421" t="s">
        <v>458</v>
      </c>
    </row>
    <row r="27" spans="1:11" ht="12.75">
      <c r="A27" s="418" t="s">
        <v>406</v>
      </c>
      <c r="B27" s="417" t="s">
        <v>380</v>
      </c>
      <c r="C27" s="414" t="s">
        <v>328</v>
      </c>
      <c r="D27" s="414" t="s">
        <v>329</v>
      </c>
      <c r="E27" s="415" t="s">
        <v>330</v>
      </c>
      <c r="F27" s="420">
        <v>18.1</v>
      </c>
      <c r="G27" s="416">
        <v>10.2690964</v>
      </c>
      <c r="H27" s="419" t="s">
        <v>434</v>
      </c>
      <c r="I27" s="413" t="s">
        <v>456</v>
      </c>
      <c r="J27" s="413" t="s">
        <v>457</v>
      </c>
      <c r="K27" s="421" t="s">
        <v>458</v>
      </c>
    </row>
    <row r="28" spans="1:11" ht="12.75">
      <c r="A28" s="418" t="s">
        <v>416</v>
      </c>
      <c r="B28" s="417" t="s">
        <v>388</v>
      </c>
      <c r="C28" s="414" t="s">
        <v>334</v>
      </c>
      <c r="D28" s="414" t="s">
        <v>335</v>
      </c>
      <c r="E28" s="415" t="s">
        <v>351</v>
      </c>
      <c r="F28" s="420">
        <v>17.876</v>
      </c>
      <c r="G28" s="416">
        <v>4.254024733333334</v>
      </c>
      <c r="H28" s="419" t="s">
        <v>444</v>
      </c>
      <c r="I28" s="413" t="s">
        <v>456</v>
      </c>
      <c r="J28" s="413" t="s">
        <v>457</v>
      </c>
      <c r="K28" s="421" t="s">
        <v>458</v>
      </c>
    </row>
    <row r="29" spans="1:11" ht="12.75">
      <c r="A29" s="418" t="s">
        <v>425</v>
      </c>
      <c r="B29" s="417" t="s">
        <v>397</v>
      </c>
      <c r="C29" s="414" t="s">
        <v>366</v>
      </c>
      <c r="D29" s="414" t="s">
        <v>329</v>
      </c>
      <c r="E29" s="415" t="s">
        <v>367</v>
      </c>
      <c r="F29" s="420">
        <v>12.136</v>
      </c>
      <c r="G29" s="416">
        <v>2.937402742</v>
      </c>
      <c r="H29" s="419" t="s">
        <v>453</v>
      </c>
      <c r="I29" s="413" t="s">
        <v>456</v>
      </c>
      <c r="J29" s="413" t="s">
        <v>457</v>
      </c>
      <c r="K29" s="421" t="s">
        <v>458</v>
      </c>
    </row>
    <row r="30" spans="1:11" ht="12.75">
      <c r="A30" s="418" t="s">
        <v>422</v>
      </c>
      <c r="B30" s="417" t="s">
        <v>394</v>
      </c>
      <c r="C30" s="414" t="s">
        <v>359</v>
      </c>
      <c r="D30" s="414" t="s">
        <v>354</v>
      </c>
      <c r="E30" s="415" t="s">
        <v>360</v>
      </c>
      <c r="F30" s="420">
        <v>10.5</v>
      </c>
      <c r="G30" s="416">
        <v>3.171466795</v>
      </c>
      <c r="H30" s="419" t="s">
        <v>450</v>
      </c>
      <c r="I30" s="413" t="s">
        <v>456</v>
      </c>
      <c r="J30" s="413" t="s">
        <v>457</v>
      </c>
      <c r="K30" s="421" t="s">
        <v>458</v>
      </c>
    </row>
    <row r="31" spans="1:11" ht="12.75">
      <c r="A31" s="418" t="s">
        <v>417</v>
      </c>
      <c r="B31" s="417" t="s">
        <v>389</v>
      </c>
      <c r="C31" s="414" t="s">
        <v>352</v>
      </c>
      <c r="D31" s="414" t="s">
        <v>342</v>
      </c>
      <c r="E31" s="415" t="s">
        <v>353</v>
      </c>
      <c r="F31" s="420">
        <v>10.417</v>
      </c>
      <c r="G31" s="416">
        <v>4.125420766666667</v>
      </c>
      <c r="H31" s="419" t="s">
        <v>445</v>
      </c>
      <c r="I31" s="413" t="s">
        <v>456</v>
      </c>
      <c r="J31" s="413" t="s">
        <v>457</v>
      </c>
      <c r="K31" s="421" t="s">
        <v>458</v>
      </c>
    </row>
    <row r="32" spans="1:11" ht="12.75">
      <c r="A32" s="418" t="s">
        <v>427</v>
      </c>
      <c r="B32" s="417" t="s">
        <v>399</v>
      </c>
      <c r="C32" s="414" t="s">
        <v>371</v>
      </c>
      <c r="D32" s="414" t="s">
        <v>372</v>
      </c>
      <c r="E32" s="415" t="s">
        <v>373</v>
      </c>
      <c r="F32" s="420">
        <v>5.6</v>
      </c>
      <c r="G32" s="416">
        <v>2.747524942</v>
      </c>
      <c r="H32" s="419" t="s">
        <v>455</v>
      </c>
      <c r="I32" s="413" t="s">
        <v>456</v>
      </c>
      <c r="J32" s="413" t="s">
        <v>457</v>
      </c>
      <c r="K32" s="421" t="s">
        <v>458</v>
      </c>
    </row>
    <row r="33" spans="1:11" ht="12.75">
      <c r="A33" s="418" t="s">
        <v>421</v>
      </c>
      <c r="B33" s="417" t="s">
        <v>393</v>
      </c>
      <c r="C33" s="414" t="s">
        <v>339</v>
      </c>
      <c r="D33" s="414" t="s">
        <v>335</v>
      </c>
      <c r="E33" s="415" t="s">
        <v>340</v>
      </c>
      <c r="F33" s="420">
        <v>5</v>
      </c>
      <c r="G33" s="416">
        <v>3.265434128</v>
      </c>
      <c r="H33" s="419" t="s">
        <v>449</v>
      </c>
      <c r="I33" s="413" t="s">
        <v>456</v>
      </c>
      <c r="J33" s="413" t="s">
        <v>457</v>
      </c>
      <c r="K33" s="421" t="s">
        <v>458</v>
      </c>
    </row>
    <row r="34" spans="1:11" ht="12.75">
      <c r="A34" s="418"/>
      <c r="B34" s="417"/>
      <c r="C34" s="414"/>
      <c r="D34" s="414"/>
      <c r="E34" s="415"/>
      <c r="F34" s="420"/>
      <c r="G34" s="416"/>
      <c r="H34" s="419"/>
      <c r="I34" s="413"/>
      <c r="J34" s="413"/>
      <c r="K34" s="421"/>
    </row>
    <row r="35" spans="1:11" ht="12.75">
      <c r="A35" s="418"/>
      <c r="B35" s="417"/>
      <c r="C35" s="414"/>
      <c r="D35" s="414"/>
      <c r="E35" s="415"/>
      <c r="F35" s="420"/>
      <c r="G35" s="416"/>
      <c r="H35" s="419"/>
      <c r="I35" s="413"/>
      <c r="J35" s="413"/>
      <c r="K35" s="421"/>
    </row>
    <row r="36" spans="1:11" ht="12.75">
      <c r="A36" s="418"/>
      <c r="B36" s="417"/>
      <c r="C36" s="414"/>
      <c r="D36" s="414"/>
      <c r="E36" s="415"/>
      <c r="F36" s="420"/>
      <c r="G36" s="416"/>
      <c r="H36" s="419"/>
      <c r="I36" s="413"/>
      <c r="J36" s="413"/>
      <c r="K36" s="421"/>
    </row>
    <row r="37" spans="1:11" ht="12.75">
      <c r="A37" s="418"/>
      <c r="B37" s="417"/>
      <c r="C37" s="414"/>
      <c r="D37" s="414"/>
      <c r="E37" s="415"/>
      <c r="F37" s="420"/>
      <c r="G37" s="416"/>
      <c r="H37" s="419"/>
      <c r="I37" s="413"/>
      <c r="J37" s="413"/>
      <c r="K37" s="421"/>
    </row>
    <row r="38" spans="1:11" ht="12.75">
      <c r="A38" s="418"/>
      <c r="B38" s="417"/>
      <c r="C38" s="414"/>
      <c r="D38" s="414"/>
      <c r="E38" s="415"/>
      <c r="F38" s="420"/>
      <c r="G38" s="416"/>
      <c r="H38" s="419"/>
      <c r="I38" s="413"/>
      <c r="J38" s="413"/>
      <c r="K38" s="421"/>
    </row>
    <row r="39" spans="1:11" ht="12.75">
      <c r="A39" s="418"/>
      <c r="B39" s="417"/>
      <c r="C39" s="414"/>
      <c r="D39" s="414"/>
      <c r="E39" s="415"/>
      <c r="F39" s="420"/>
      <c r="G39" s="416"/>
      <c r="H39" s="419"/>
      <c r="I39" s="413"/>
      <c r="J39" s="413"/>
      <c r="K39" s="421"/>
    </row>
    <row r="40" spans="1:11" ht="12.75">
      <c r="A40" s="418"/>
      <c r="B40" s="417"/>
      <c r="C40" s="414"/>
      <c r="D40" s="414"/>
      <c r="E40" s="415"/>
      <c r="F40" s="420"/>
      <c r="G40" s="416"/>
      <c r="H40" s="419"/>
      <c r="I40" s="413"/>
      <c r="J40" s="413"/>
      <c r="K40" s="421"/>
    </row>
    <row r="41" spans="1:11" ht="12.75">
      <c r="A41" s="418"/>
      <c r="B41" s="417"/>
      <c r="C41" s="414"/>
      <c r="D41" s="414"/>
      <c r="E41" s="415"/>
      <c r="F41" s="420"/>
      <c r="G41" s="416"/>
      <c r="H41" s="419"/>
      <c r="I41" s="413"/>
      <c r="J41" s="413"/>
      <c r="K41" s="421"/>
    </row>
    <row r="42" spans="1:11" ht="12.75">
      <c r="A42" s="418"/>
      <c r="B42" s="417"/>
      <c r="C42" s="414"/>
      <c r="D42" s="414"/>
      <c r="E42" s="415"/>
      <c r="F42" s="420"/>
      <c r="G42" s="416"/>
      <c r="H42" s="419"/>
      <c r="I42" s="413"/>
      <c r="J42" s="413"/>
      <c r="K42" s="421"/>
    </row>
    <row r="43" spans="1:11" ht="12.75">
      <c r="A43" s="418"/>
      <c r="B43" s="417"/>
      <c r="C43" s="414"/>
      <c r="D43" s="414"/>
      <c r="E43" s="415"/>
      <c r="F43" s="420"/>
      <c r="G43" s="416"/>
      <c r="H43" s="419"/>
      <c r="I43" s="413"/>
      <c r="J43" s="413"/>
      <c r="K43" s="421"/>
    </row>
    <row r="44" spans="1:11" ht="12.75">
      <c r="A44" s="418"/>
      <c r="B44" s="417"/>
      <c r="C44" s="414"/>
      <c r="D44" s="414"/>
      <c r="E44" s="415"/>
      <c r="F44" s="420"/>
      <c r="G44" s="416"/>
      <c r="H44" s="419"/>
      <c r="I44" s="413"/>
      <c r="J44" s="413"/>
      <c r="K44" s="421"/>
    </row>
    <row r="45" spans="1:11" ht="12.75">
      <c r="A45" s="418"/>
      <c r="B45" s="417"/>
      <c r="C45" s="414"/>
      <c r="D45" s="414"/>
      <c r="E45" s="415"/>
      <c r="F45" s="420"/>
      <c r="G45" s="416"/>
      <c r="H45" s="419"/>
      <c r="I45" s="413"/>
      <c r="J45" s="413"/>
      <c r="K45" s="421"/>
    </row>
    <row r="46" spans="1:11" ht="13.5" thickBot="1">
      <c r="A46" s="418" t="s">
        <v>176</v>
      </c>
      <c r="B46" s="417"/>
      <c r="C46" s="414"/>
      <c r="D46" s="414"/>
      <c r="E46" s="415"/>
      <c r="F46" s="420"/>
      <c r="G46" s="416"/>
      <c r="H46" s="419"/>
      <c r="I46" s="413"/>
      <c r="J46" s="413"/>
      <c r="K46" s="421"/>
    </row>
    <row r="47" spans="2:7" ht="12.75">
      <c r="B47" s="386"/>
      <c r="C47" s="388"/>
      <c r="D47" s="389"/>
      <c r="E47" s="389"/>
      <c r="F47" s="390" t="s">
        <v>299</v>
      </c>
      <c r="G47" s="391">
        <f>SUM(G6:G46)</f>
        <v>413.9992437848001</v>
      </c>
    </row>
    <row r="48" spans="3:7" ht="13.5" thickBot="1">
      <c r="C48" s="392"/>
      <c r="D48" s="393"/>
      <c r="E48" s="393"/>
      <c r="F48" s="394" t="s">
        <v>300</v>
      </c>
      <c r="G48" s="395">
        <f>G47/('FY2008 Data Report'!G20+'FY2008 Data Report'!G36)</f>
        <v>0.7549908704017508</v>
      </c>
    </row>
  </sheetData>
  <sheetProtection/>
  <autoFilter ref="A5:L5">
    <sortState ref="A6:L48">
      <sortCondition descending="1" sortBy="value" ref="F6:F48"/>
    </sortState>
  </autoFilter>
  <hyperlinks>
    <hyperlink ref="K6" r:id="rId1" display="Will.Freeman@noaa.gov"/>
    <hyperlink ref="K10" r:id="rId2" display="Will.Freeman@noaa.gov"/>
    <hyperlink ref="K8" r:id="rId3" display="Will.Freeman@noaa.gov"/>
    <hyperlink ref="K9" r:id="rId4" display="Will.Freeman@noaa.gov"/>
    <hyperlink ref="K7" r:id="rId5" display="Will.Freeman@noaa.gov"/>
    <hyperlink ref="K13" r:id="rId6" display="Will.Freeman@noaa.gov"/>
    <hyperlink ref="K27" r:id="rId7" display="Will.Freeman@noaa.gov"/>
    <hyperlink ref="K17" r:id="rId8" display="Will.Freeman@noaa.gov"/>
    <hyperlink ref="K18" r:id="rId9" display="Will.Freeman@noaa.gov"/>
    <hyperlink ref="K15" r:id="rId10" display="Will.Freeman@noaa.gov"/>
    <hyperlink ref="K11" r:id="rId11" display="Will.Freeman@noaa.gov"/>
    <hyperlink ref="K22" r:id="rId12" display="Will.Freeman@noaa.gov"/>
  </hyperlinks>
  <printOptions/>
  <pageMargins left="0.75" right="0.75" top="1" bottom="1" header="0.5" footer="0.5"/>
  <pageSetup fitToHeight="1" fitToWidth="1" horizontalDpi="600" verticalDpi="600" orientation="landscape" scale="67" r:id="rId15"/>
  <legacyDrawing r:id="rId14"/>
</worksheet>
</file>

<file path=xl/worksheets/sheet5.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I14" sqref="I14"/>
    </sheetView>
  </sheetViews>
  <sheetFormatPr defaultColWidth="9.140625" defaultRowHeight="12.75"/>
  <cols>
    <col min="1" max="1" width="32.28125" style="35" customWidth="1"/>
    <col min="2" max="4" width="13.7109375" style="35" customWidth="1"/>
    <col min="5" max="16384" width="9.140625" style="35" customWidth="1"/>
  </cols>
  <sheetData>
    <row r="1" spans="1:4" ht="25.5" customHeight="1">
      <c r="A1" s="537" t="s">
        <v>102</v>
      </c>
      <c r="B1" s="538"/>
      <c r="C1" s="538"/>
      <c r="D1" s="538"/>
    </row>
    <row r="2" spans="1:4" ht="12.75">
      <c r="A2" s="37" t="s">
        <v>65</v>
      </c>
      <c r="B2" s="36"/>
      <c r="C2" s="36"/>
      <c r="D2" s="36"/>
    </row>
    <row r="3" spans="1:4" ht="12.75">
      <c r="A3" s="37"/>
      <c r="B3" s="36"/>
      <c r="C3" s="36"/>
      <c r="D3" s="36"/>
    </row>
    <row r="4" spans="1:4" ht="12.75">
      <c r="A4" s="5" t="s">
        <v>71</v>
      </c>
      <c r="B4" s="36"/>
      <c r="C4" s="36"/>
      <c r="D4" s="36"/>
    </row>
    <row r="5" spans="1:4" ht="63.75">
      <c r="A5" s="536" t="s">
        <v>64</v>
      </c>
      <c r="B5" s="38" t="s">
        <v>62</v>
      </c>
      <c r="C5" s="38" t="s">
        <v>63</v>
      </c>
      <c r="D5" s="38" t="s">
        <v>196</v>
      </c>
    </row>
    <row r="6" spans="1:4" ht="12.75">
      <c r="A6" s="536"/>
      <c r="B6" s="38" t="s">
        <v>66</v>
      </c>
      <c r="C6" s="38" t="s">
        <v>66</v>
      </c>
      <c r="D6" s="38" t="s">
        <v>66</v>
      </c>
    </row>
    <row r="7" spans="1:4" ht="12.75">
      <c r="A7" s="39" t="s">
        <v>67</v>
      </c>
      <c r="B7" s="21">
        <v>0</v>
      </c>
      <c r="C7" s="21">
        <v>0</v>
      </c>
      <c r="D7" s="21">
        <v>0</v>
      </c>
    </row>
    <row r="8" spans="1:4" ht="12.75">
      <c r="A8" s="39" t="s">
        <v>68</v>
      </c>
      <c r="B8" s="21">
        <v>0</v>
      </c>
      <c r="C8" s="21">
        <v>0</v>
      </c>
      <c r="D8" s="21">
        <v>0</v>
      </c>
    </row>
    <row r="9" spans="1:4" ht="12.75">
      <c r="A9" s="39" t="s">
        <v>69</v>
      </c>
      <c r="B9" s="21">
        <v>0</v>
      </c>
      <c r="C9" s="21">
        <v>0</v>
      </c>
      <c r="D9" s="21">
        <v>0</v>
      </c>
    </row>
    <row r="10" spans="1:4" ht="12.75">
      <c r="A10" s="40" t="s">
        <v>61</v>
      </c>
      <c r="B10" s="41">
        <f>SUM(B7:B9)</f>
        <v>0</v>
      </c>
      <c r="C10" s="41">
        <f>SUM(C7:C9)</f>
        <v>0</v>
      </c>
      <c r="D10" s="41">
        <f>SUM(D7:D9)</f>
        <v>0</v>
      </c>
    </row>
    <row r="11" ht="12.75"/>
    <row r="12" ht="12.75"/>
    <row r="13" spans="1:4" ht="12.75">
      <c r="A13" s="5" t="s">
        <v>72</v>
      </c>
      <c r="B13" s="36"/>
      <c r="C13" s="36"/>
      <c r="D13" s="36"/>
    </row>
    <row r="14" spans="1:4" ht="63.75">
      <c r="A14" s="536" t="s">
        <v>64</v>
      </c>
      <c r="B14" s="38" t="s">
        <v>62</v>
      </c>
      <c r="C14" s="38" t="s">
        <v>63</v>
      </c>
      <c r="D14" s="38" t="s">
        <v>196</v>
      </c>
    </row>
    <row r="15" spans="1:4" ht="12.75">
      <c r="A15" s="536"/>
      <c r="B15" s="38" t="s">
        <v>66</v>
      </c>
      <c r="C15" s="38" t="s">
        <v>66</v>
      </c>
      <c r="D15" s="38" t="s">
        <v>66</v>
      </c>
    </row>
    <row r="16" spans="1:4" ht="12.75">
      <c r="A16" s="39" t="s">
        <v>67</v>
      </c>
      <c r="B16" s="21">
        <v>0</v>
      </c>
      <c r="C16" s="21">
        <v>0</v>
      </c>
      <c r="D16" s="21">
        <v>0</v>
      </c>
    </row>
    <row r="17" spans="1:4" ht="12.75">
      <c r="A17" s="39" t="s">
        <v>68</v>
      </c>
      <c r="B17" s="21">
        <v>0</v>
      </c>
      <c r="C17" s="21">
        <v>0</v>
      </c>
      <c r="D17" s="21">
        <v>0</v>
      </c>
    </row>
    <row r="18" spans="1:4" ht="12.75">
      <c r="A18" s="39" t="s">
        <v>69</v>
      </c>
      <c r="B18" s="21">
        <v>0</v>
      </c>
      <c r="C18" s="21">
        <v>0</v>
      </c>
      <c r="D18" s="21">
        <v>0</v>
      </c>
    </row>
    <row r="19" spans="1:4" ht="12.75">
      <c r="A19" s="40" t="s">
        <v>61</v>
      </c>
      <c r="B19" s="41">
        <f>SUM(B16:B18)</f>
        <v>0</v>
      </c>
      <c r="C19" s="41">
        <f>SUM(C16:C18)</f>
        <v>0</v>
      </c>
      <c r="D19" s="41">
        <f>SUM(D16:D18)</f>
        <v>0</v>
      </c>
    </row>
  </sheetData>
  <sheetProtection sheet="1" objects="1" scenarios="1" formatCells="0" formatColumns="0" formatRows="0" insertRows="0" deleteRows="0"/>
  <mergeCells count="3">
    <mergeCell ref="A5:A6"/>
    <mergeCell ref="A1:D1"/>
    <mergeCell ref="A14:A15"/>
  </mergeCells>
  <printOptions/>
  <pageMargins left="0.75" right="0.75" top="1" bottom="1" header="0.5" footer="0.5"/>
  <pageSetup fitToHeight="1" fitToWidth="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William L Freeman</cp:lastModifiedBy>
  <cp:lastPrinted>2008-09-04T18:09:24Z</cp:lastPrinted>
  <dcterms:created xsi:type="dcterms:W3CDTF">2000-06-02T15:21:20Z</dcterms:created>
  <dcterms:modified xsi:type="dcterms:W3CDTF">2008-11-24T21:32:59Z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