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6" windowWidth="12120" windowHeight="8472" tabRatio="657" activeTab="0"/>
  </bookViews>
  <sheets>
    <sheet name="INPUT - OUTPUT" sheetId="1" r:id="rId1"/>
    <sheet name="FA and GSE Acquire CERs" sheetId="2" r:id="rId2"/>
    <sheet name="Feedthru to AATe" sheetId="3" r:id="rId3"/>
  </sheets>
  <definedNames/>
  <calcPr fullCalcOnLoad="1"/>
</workbook>
</file>

<file path=xl/comments2.xml><?xml version="1.0" encoding="utf-8"?>
<comments xmlns="http://schemas.openxmlformats.org/spreadsheetml/2006/main">
  <authors>
    <author>A satisfied Microsoft Office user</author>
    <author>zapate</author>
  </authors>
  <commentList>
    <comment ref="J109" authorId="0">
      <text>
        <r>
          <rPr>
            <sz val="12"/>
            <rFont val="Tahoma"/>
            <family val="2"/>
          </rPr>
          <t>Note that this number is derived from $28.19M divided by orbiter dimensions (122, 78.06 and 56.67) plus the dimension factors (75, 72 and 38) in the C of F equation to the right (yielding 197, 150 and 95).</t>
        </r>
        <r>
          <rPr>
            <sz val="10"/>
            <rFont val="Tahoma"/>
            <family val="2"/>
          </rPr>
          <t xml:space="preserve">
</t>
        </r>
      </text>
    </comment>
    <comment ref="K109" authorId="0">
      <text>
        <r>
          <rPr>
            <sz val="12"/>
            <rFont val="Tahoma"/>
            <family val="2"/>
          </rPr>
          <t>Note that this number is just $173.94M divided by the C of F of $28.19M.</t>
        </r>
      </text>
    </comment>
    <comment ref="A108" authorId="0">
      <text>
        <r>
          <rPr>
            <sz val="10"/>
            <rFont val="Tahoma"/>
            <family val="2"/>
          </rPr>
          <t>Dimension factors used here are 75, 72 and 38 for L,W and H.  Consider these margin on dimensions.  This margin may actually represent un-necessary space or baggage from a complex system such as Shuttle i.e. space for shops, GSE, parts and tools storage, etc.</t>
        </r>
      </text>
    </comment>
    <comment ref="A59" authorId="0">
      <text>
        <r>
          <rPr>
            <sz val="10"/>
            <rFont val="Tahoma"/>
            <family val="2"/>
          </rPr>
          <t>Shuttle CERs assume a firing rooms a firing rooms a firing room and any variation is picked up only by a cost reduction factor or variation in the size of the room - which ultimately is just double speak for a cost reduction factor and can be represented entirely by the cost reduction factor.</t>
        </r>
      </text>
    </comment>
    <comment ref="J73" authorId="0">
      <text>
        <r>
          <rPr>
            <sz val="12"/>
            <rFont val="Tahoma"/>
            <family val="2"/>
          </rPr>
          <t>This value is $307.75M divided by the volume dimensions of 390 by 325 by 265. The space factors in the C of F equation of 230, 190 and 81 yield the dimensions of 160, 135 and 184 which are the MLP L and W dimensions and the hieght of the stack (alone).</t>
        </r>
      </text>
    </comment>
    <comment ref="K73" authorId="0">
      <text>
        <r>
          <rPr>
            <sz val="12"/>
            <rFont val="Tahoma"/>
            <family val="2"/>
          </rPr>
          <t>Note that this value is $437M divided by the $307.75M number from C of F. 
AND that it is an exact same value as derived differently for the FSS.</t>
        </r>
      </text>
    </comment>
    <comment ref="A72" authorId="0">
      <text>
        <r>
          <rPr>
            <sz val="10"/>
            <rFont val="Tahoma"/>
            <family val="2"/>
          </rPr>
          <t>Shuttle CERs assume a VTHL launch facility is a facility is a facility.  Only cost reduction factors and size generate variation.
For dimension factors see the equations to the right; dimensions added to basic vehicle dimensions are based on that Shuttle dimensions in must yield Shuttle dollars out.</t>
        </r>
      </text>
    </comment>
    <comment ref="A121" authorId="0">
      <text>
        <r>
          <rPr>
            <sz val="12"/>
            <rFont val="Tahoma"/>
            <family val="2"/>
          </rPr>
          <t>Shuttle CERs assume a integrate, transfer, launch scenario i.e. with MLP, cells, platforms, etc.
MLP is NOT included here.</t>
        </r>
      </text>
    </comment>
    <comment ref="J47" authorId="0">
      <text>
        <r>
          <rPr>
            <sz val="12"/>
            <rFont val="Tahoma"/>
            <family val="2"/>
          </rPr>
          <t>Note that this number is derived from $19.4M divided by 217 by 71 by 105, which, minus the L,W,H of an orbiter payload at 15, 15 and 60 yields the space factors of 202, 56, and 45 used in the C of F calculation.</t>
        </r>
        <r>
          <rPr>
            <sz val="10"/>
            <rFont val="Tahoma"/>
            <family val="2"/>
          </rPr>
          <t xml:space="preserve">
</t>
        </r>
      </text>
    </comment>
    <comment ref="K47" authorId="0">
      <text>
        <r>
          <rPr>
            <sz val="12"/>
            <rFont val="Tahoma"/>
            <family val="2"/>
          </rPr>
          <t>Note that this number is just $39.96M divided by the C of F of $19.4M.</t>
        </r>
      </text>
    </comment>
    <comment ref="J60" authorId="0">
      <text>
        <r>
          <rPr>
            <sz val="12"/>
            <rFont val="Tahoma"/>
            <family val="2"/>
          </rPr>
          <t>Note that this number is derived from $2.75M divided by volume dimensions of 120 by 90 by 15, LCC type dimensions.</t>
        </r>
        <r>
          <rPr>
            <sz val="10"/>
            <rFont val="Tahoma"/>
            <family val="2"/>
          </rPr>
          <t xml:space="preserve">
</t>
        </r>
      </text>
    </comment>
    <comment ref="K60" authorId="0">
      <text>
        <r>
          <rPr>
            <sz val="12"/>
            <rFont val="Tahoma"/>
            <family val="2"/>
          </rPr>
          <t>Note that this number is just $37.48M in GSE costs divided by the $2.75M C of F cost.</t>
        </r>
      </text>
    </comment>
    <comment ref="A85" authorId="0">
      <text>
        <r>
          <rPr>
            <sz val="10"/>
            <rFont val="Tahoma"/>
            <family val="2"/>
          </rPr>
          <t>Shuttle CERs assume a VTHL launch facility is a facility is a facility.  Only cost reduction factors and size generate variation.
For dimension factors see the equations to the right; dimensions added to basic vehicle dimensions are based on that Shuttle dimensions in must yield Shuttle dollars out.</t>
        </r>
      </text>
    </comment>
    <comment ref="J86" authorId="1">
      <text>
        <r>
          <rPr>
            <sz val="10"/>
            <rFont val="Tahoma"/>
            <family val="2"/>
          </rPr>
          <t>This value is 264.3M divided by volume dimensions of 390, 325 and 402. The space factors of 230, 190 and 218 yield STS dimension (input) measures of 160, 135 and 184 which are the L and W of the MLP and the hieght of the stack (alone).</t>
        </r>
      </text>
    </comment>
    <comment ref="K86" authorId="1">
      <text>
        <r>
          <rPr>
            <sz val="10"/>
            <rFont val="Tahoma"/>
            <family val="2"/>
          </rPr>
          <t xml:space="preserve">Note that this is $375.3M divided by the $264.3M used in the C of F factor and that it is the same as the RSS factor above derived with different values.
</t>
        </r>
      </text>
    </comment>
    <comment ref="R80" authorId="1">
      <text>
        <r>
          <rPr>
            <b/>
            <sz val="10"/>
            <rFont val="Tahoma"/>
            <family val="2"/>
          </rPr>
          <t xml:space="preserve">Per ET Sys Def Handbook
</t>
        </r>
        <r>
          <rPr>
            <sz val="8"/>
            <rFont val="Tahoma"/>
            <family val="0"/>
          </rPr>
          <t xml:space="preserve">
</t>
        </r>
      </text>
    </comment>
    <comment ref="R78" authorId="1">
      <text>
        <r>
          <rPr>
            <b/>
            <sz val="10"/>
            <rFont val="Tahoma"/>
            <family val="2"/>
          </rPr>
          <t>Per ET Sys Def Handbook</t>
        </r>
      </text>
    </comment>
    <comment ref="R79" authorId="1">
      <text>
        <r>
          <rPr>
            <b/>
            <sz val="10"/>
            <rFont val="Tahoma"/>
            <family val="2"/>
          </rPr>
          <t xml:space="preserve">Per ET Sys Def Handbook
</t>
        </r>
        <r>
          <rPr>
            <sz val="8"/>
            <rFont val="Tahoma"/>
            <family val="0"/>
          </rPr>
          <t xml:space="preserve">
</t>
        </r>
      </text>
    </comment>
    <comment ref="J122" authorId="1">
      <text>
        <r>
          <rPr>
            <b/>
            <sz val="12"/>
            <rFont val="Tahoma"/>
            <family val="2"/>
          </rPr>
          <t>This is $124.72M divided by volume dimensions of 280 by 240 by 525. With space factors of 120, 105, and 376 the resulting inputs would be 160, 135 (the MLP L and W) and 149 (the SRB hieght).</t>
        </r>
      </text>
    </comment>
    <comment ref="K122" authorId="1">
      <text>
        <r>
          <rPr>
            <b/>
            <sz val="12"/>
            <rFont val="Tahoma"/>
            <family val="2"/>
          </rPr>
          <t>This is a value of $71.09M divided by 124.72, the CofF yielding the 0.57.</t>
        </r>
        <r>
          <rPr>
            <sz val="8"/>
            <rFont val="Tahoma"/>
            <family val="0"/>
          </rPr>
          <t xml:space="preserve">
</t>
        </r>
      </text>
    </comment>
    <comment ref="B75" authorId="1">
      <text>
        <r>
          <rPr>
            <sz val="12"/>
            <rFont val="Tahoma"/>
            <family val="2"/>
          </rPr>
          <t>Taken from MLP scaling below</t>
        </r>
      </text>
    </comment>
    <comment ref="C75" authorId="1">
      <text>
        <r>
          <rPr>
            <b/>
            <sz val="12"/>
            <rFont val="Tahoma"/>
            <family val="2"/>
          </rPr>
          <t>Taken from MLP scaling below</t>
        </r>
        <r>
          <rPr>
            <sz val="8"/>
            <rFont val="Tahoma"/>
            <family val="0"/>
          </rPr>
          <t xml:space="preserve">
</t>
        </r>
      </text>
    </comment>
    <comment ref="B88" authorId="1">
      <text>
        <r>
          <rPr>
            <b/>
            <sz val="12"/>
            <rFont val="Tahoma"/>
            <family val="2"/>
          </rPr>
          <t>Taken from MLP scaling below</t>
        </r>
        <r>
          <rPr>
            <sz val="8"/>
            <rFont val="Tahoma"/>
            <family val="0"/>
          </rPr>
          <t xml:space="preserve">
</t>
        </r>
      </text>
    </comment>
    <comment ref="C88" authorId="1">
      <text>
        <r>
          <rPr>
            <b/>
            <sz val="12"/>
            <rFont val="Tahoma"/>
            <family val="2"/>
          </rPr>
          <t>Taken from MLP scaling below</t>
        </r>
        <r>
          <rPr>
            <sz val="12"/>
            <rFont val="Tahoma"/>
            <family val="2"/>
          </rPr>
          <t xml:space="preserve">
</t>
        </r>
      </text>
    </comment>
    <comment ref="B148" authorId="1">
      <text>
        <r>
          <rPr>
            <sz val="12"/>
            <rFont val="Tahoma"/>
            <family val="2"/>
          </rPr>
          <t>Derived from Rubberized MLP above.</t>
        </r>
      </text>
    </comment>
    <comment ref="C148" authorId="1">
      <text>
        <r>
          <rPr>
            <b/>
            <sz val="12"/>
            <rFont val="Tahoma"/>
            <family val="2"/>
          </rPr>
          <t>Derived from Rubberized MLP above.</t>
        </r>
      </text>
    </comment>
    <comment ref="J146" authorId="1">
      <text>
        <r>
          <rPr>
            <b/>
            <sz val="12"/>
            <rFont val="Tahoma"/>
            <family val="2"/>
          </rPr>
          <t>This value is $98.06M divided by MLP volume of 160 by 135 by 47 (the last value of which is MLP of 25' and pedestals of 22').</t>
        </r>
      </text>
    </comment>
    <comment ref="K146" authorId="1">
      <text>
        <r>
          <rPr>
            <sz val="12"/>
            <rFont val="Tahoma"/>
            <family val="2"/>
          </rPr>
          <t>This is $70.61M divided by the C of F of $98.06M.</t>
        </r>
        <r>
          <rPr>
            <sz val="8"/>
            <rFont val="Tahoma"/>
            <family val="0"/>
          </rPr>
          <t xml:space="preserve">
</t>
        </r>
      </text>
    </comment>
    <comment ref="Q21" authorId="1">
      <text>
        <r>
          <rPr>
            <b/>
            <sz val="12"/>
            <rFont val="Tahoma"/>
            <family val="2"/>
          </rPr>
          <t>Slight discrpancy caused here due to SRB NOT used as input dimension in new concepts. Hence rather than 149 as input to Integration for VAB you use the hieght dimension like 184 (equivalent) for STS.</t>
        </r>
        <r>
          <rPr>
            <sz val="12"/>
            <rFont val="Tahoma"/>
            <family val="2"/>
          </rPr>
          <t xml:space="preserve">
</t>
        </r>
      </text>
    </comment>
  </commentList>
</comments>
</file>

<file path=xl/sharedStrings.xml><?xml version="1.0" encoding="utf-8"?>
<sst xmlns="http://schemas.openxmlformats.org/spreadsheetml/2006/main" count="309" uniqueCount="170">
  <si>
    <t>The 12 Spaceport Modules</t>
  </si>
  <si>
    <t>FA $M</t>
  </si>
  <si>
    <t>GSE $M</t>
  </si>
  <si>
    <t>Specific notes; apply to uncorrected numbers:</t>
  </si>
  <si>
    <t>PAYLOAD / CARGO PROCESSING</t>
  </si>
  <si>
    <t>TRAFFIC / FLIGHT CONTROL</t>
  </si>
  <si>
    <t>LAUNCH</t>
  </si>
  <si>
    <t>LANDING / RECOVERY</t>
  </si>
  <si>
    <t>VEHICLE TURNAROUND</t>
  </si>
  <si>
    <t>VEHICLE ASSEMBLY / INTEGRATION</t>
  </si>
  <si>
    <t>VEHICLE DEPOT MAINTENANCE</t>
  </si>
  <si>
    <t>SPACEPORT SUPPORT INFRASTRUCT.</t>
  </si>
  <si>
    <t>CONCEPT UNIQUE LOGISTICS</t>
  </si>
  <si>
    <t>TRANS.SYS. OPS PLAN. &amp; MANGMNT.</t>
  </si>
  <si>
    <t>EXPENDABLE ELEMENT</t>
  </si>
  <si>
    <t>COMMUNITY INFRASTRUCTURE</t>
  </si>
  <si>
    <t>\</t>
  </si>
  <si>
    <t>Concept (in a horizontal layout)</t>
  </si>
  <si>
    <t>Length of Vehicle (ft)</t>
  </si>
  <si>
    <t>Width of Vehicle (ft)</t>
  </si>
  <si>
    <t>Hieght of Vehicle (ft)</t>
  </si>
  <si>
    <t>Initial Spares Factor (% GSE e.g. "0.065")</t>
  </si>
  <si>
    <t>C of F Factor 87$/Ft^3</t>
  </si>
  <si>
    <t>GSE Factor</t>
  </si>
  <si>
    <t>C of F ($M)</t>
  </si>
  <si>
    <t>GSE ($M)</t>
  </si>
  <si>
    <t>Initial Sparing</t>
  </si>
  <si>
    <t>TOTAL COST PER FACILITY</t>
  </si>
  <si>
    <t>Argus Test OK</t>
  </si>
  <si>
    <t>Turnaround Facility &gt;</t>
  </si>
  <si>
    <t>Shuttle</t>
  </si>
  <si>
    <t>TSTO HL Orbiter</t>
  </si>
  <si>
    <t>TSTO HL Booster</t>
  </si>
  <si>
    <t>LFBB</t>
  </si>
  <si>
    <t>Length of Payload (ft)</t>
  </si>
  <si>
    <t>Width of Payload (ft)</t>
  </si>
  <si>
    <t>Hieght of Payload (ft)</t>
  </si>
  <si>
    <t>Cost Reduce Factor C of F</t>
  </si>
  <si>
    <t>Cost Reduce Factor GSE</t>
  </si>
  <si>
    <t>Cost Reduce Factor Spares</t>
  </si>
  <si>
    <t>Length of Room (ft)</t>
  </si>
  <si>
    <t>Width of Room (ft)</t>
  </si>
  <si>
    <t>Hieght of Room (ft)</t>
  </si>
  <si>
    <t>Traffic / Flight Control Facility &gt;</t>
  </si>
  <si>
    <t>GVTHL Test OK</t>
  </si>
  <si>
    <t>Shuttle Test OK</t>
  </si>
  <si>
    <t>TSTO test OK</t>
  </si>
  <si>
    <t>TSTO 2 w adds</t>
  </si>
  <si>
    <t>ISAT SSTO</t>
  </si>
  <si>
    <t>Sparing</t>
  </si>
  <si>
    <t>321-867-6234</t>
  </si>
  <si>
    <t>KSC YA-C</t>
  </si>
  <si>
    <t>Zapata, Edgar</t>
  </si>
  <si>
    <t>Total</t>
  </si>
  <si>
    <t>Cost</t>
  </si>
  <si>
    <t>See Below-Generated Based on Dim. Inputs</t>
  </si>
  <si>
    <t>Lv</t>
  </si>
  <si>
    <t>Wv</t>
  </si>
  <si>
    <t>Hv</t>
  </si>
  <si>
    <t>Ls</t>
  </si>
  <si>
    <t>Ws</t>
  </si>
  <si>
    <t>Hs</t>
  </si>
  <si>
    <t>Lp</t>
  </si>
  <si>
    <t>Wp</t>
  </si>
  <si>
    <t>Hp</t>
  </si>
  <si>
    <t>These Cost Estimating Relationships (CER's) are based on Shuttle / KSC Type Facilities and GSE.</t>
  </si>
  <si>
    <t>Escalation Factor FY $87 to $97 Dollars</t>
  </si>
  <si>
    <t>Initial Spares Factor (% GSE e.g. "0.065"=6.5%)</t>
  </si>
  <si>
    <t>SHUTTLE BASELINE</t>
  </si>
  <si>
    <t>*Use "New Concept" Row of Below Sheets*</t>
  </si>
  <si>
    <t>SUMS &gt;</t>
  </si>
  <si>
    <t>TOTALS &gt;</t>
  </si>
  <si>
    <t>Integration Cell Type (VAB derived)</t>
  </si>
  <si>
    <t>MLP Derived</t>
  </si>
  <si>
    <t>New Concept Name &gt;</t>
  </si>
  <si>
    <t>Width Vehicle (usually same as wingspan) &gt;</t>
  </si>
  <si>
    <t>Hieght Vehicle (standing on landing gear) &gt;</t>
  </si>
  <si>
    <t>Length Vehicle (end of engine to nose) &gt;</t>
  </si>
  <si>
    <t>Length, Stacked &gt;</t>
  </si>
  <si>
    <t>LP+FSS</t>
  </si>
  <si>
    <t>LP+RSS</t>
  </si>
  <si>
    <t>What are STS stacked exact?</t>
  </si>
  <si>
    <t>Length, Payload (may be diameter)&gt;</t>
  </si>
  <si>
    <t>Width, Payload (may be diameter)&gt;</t>
  </si>
  <si>
    <t>Hieght, Payload (longest dimension)&gt;</t>
  </si>
  <si>
    <t>OK - From COMET / OCM VPF CER's of 11.99 and 2.06</t>
  </si>
  <si>
    <t>OK - From COMET / OCM LCC CER's of 16.98 and 13.63</t>
  </si>
  <si>
    <t>ET Dia</t>
  </si>
  <si>
    <t>Orb Ht on Gear</t>
  </si>
  <si>
    <t>&lt; SUM</t>
  </si>
  <si>
    <t>&lt; =L, Orb Gear Down+ET</t>
  </si>
  <si>
    <t>&lt; =W, Orb Wingspan</t>
  </si>
  <si>
    <t>&lt; =H, Hieght stack</t>
  </si>
  <si>
    <t>Landing Facility &gt;</t>
  </si>
  <si>
    <t>SINGLE STRING</t>
  </si>
  <si>
    <t>Length of Runway (ft)</t>
  </si>
  <si>
    <t>Width of Runway (ft)</t>
  </si>
  <si>
    <t>Depth of Concrete (ft)</t>
  </si>
  <si>
    <t>C o F Factor</t>
  </si>
  <si>
    <t>Adjusted to Higher GSE Factor than COMET / OCM</t>
  </si>
  <si>
    <t>Deescalated STS should be: $19.4M &amp; 39.96M C of F and GSE respectively. Payload size dependent.</t>
  </si>
  <si>
    <t>Deescalated STS should be: $2.75M &amp; 37.48M C of F and GSE respectively. Room size dependent i.e operability.</t>
  </si>
  <si>
    <r>
      <t xml:space="preserve">Deescalated STS should be: $307.75M &amp; $437M Cof F and GSE respectively. </t>
    </r>
    <r>
      <rPr>
        <b/>
        <i/>
        <u val="single"/>
        <sz val="10"/>
        <rFont val="Arial"/>
        <family val="2"/>
      </rPr>
      <t>VT only</t>
    </r>
    <r>
      <rPr>
        <sz val="10"/>
        <rFont val="Arial"/>
        <family val="0"/>
      </rPr>
      <t>, Stack hieght dependent.</t>
    </r>
  </si>
  <si>
    <r>
      <t xml:space="preserve">Deescalated STS should be: $264.3M &amp; $375.3M Cof F and GSE respectively. </t>
    </r>
    <r>
      <rPr>
        <b/>
        <i/>
        <u val="single"/>
        <sz val="10"/>
        <rFont val="Arial"/>
        <family val="2"/>
      </rPr>
      <t>VT only</t>
    </r>
    <r>
      <rPr>
        <sz val="10"/>
        <rFont val="Arial"/>
        <family val="0"/>
      </rPr>
      <t>, Stack hieght dependent.</t>
    </r>
  </si>
  <si>
    <t>Hieght, Vehicle (long dimension) &gt;</t>
  </si>
  <si>
    <t>Width, Stacked (may be wingspan)&gt;</t>
  </si>
  <si>
    <t>Concept (in fully integrated position)</t>
  </si>
  <si>
    <t>Deescalated STS should be: $28.19M &amp; $173.94M C of F and GSE respectively.</t>
  </si>
  <si>
    <t>FIXED / OUTPUTS</t>
  </si>
  <si>
    <t>USER / INPUTS</t>
  </si>
  <si>
    <t>STS Baseline. (FIXED)</t>
  </si>
  <si>
    <t>Color Codes &gt;</t>
  </si>
  <si>
    <r>
      <t xml:space="preserve">FACILITY / GSE ACQUISITION COST ESTIMATION USING </t>
    </r>
    <r>
      <rPr>
        <b/>
        <u val="single"/>
        <sz val="10"/>
        <rFont val="Arial"/>
        <family val="0"/>
      </rPr>
      <t>TRADITIONAL CER</t>
    </r>
    <r>
      <rPr>
        <sz val="10"/>
        <rFont val="Arial"/>
        <family val="0"/>
      </rPr>
      <t xml:space="preserve"> RELATIONS (traceable to GOCM).</t>
    </r>
  </si>
  <si>
    <t>INPUTS</t>
  </si>
  <si>
    <t>Instructions  &gt;</t>
  </si>
  <si>
    <t>Launch Facility (FSS Type) &gt;</t>
  </si>
  <si>
    <t>Launch Facility (RSS Type) &gt;</t>
  </si>
  <si>
    <t>OK - From COMET / OCM Turnaround CER's of 10.04 and 6.17. Perfect match to orbiter dimensions as far as space factors.</t>
  </si>
  <si>
    <t xml:space="preserve">Does the concept in study deviate markedly from a "possible" set of functions of horizontal landing, turnaround, integration / move to vertical, transfer and launch? </t>
  </si>
  <si>
    <t>Payload / Cargo Processing Dedicated VPF Type Facility &gt;</t>
  </si>
  <si>
    <t>Used in Turnaround Fac/GSE calculation</t>
  </si>
  <si>
    <t>Used in Launch and Integration Fac/GSE calculation</t>
  </si>
  <si>
    <t>Used in Payload Fac/GSE calculation</t>
  </si>
  <si>
    <t>Deescalated STS should be: $124.72M &amp; $71.09M C of F and GSE respectively.</t>
  </si>
  <si>
    <t>Integration  Facility / MLP Type Impacts &gt;</t>
  </si>
  <si>
    <t>NOTE: Space factors in the CER calculation for LAUNCH (RSS AND FSS) and for INTEGRATION hinge on the MLP dimensions of 160' by 135' acreage.</t>
  </si>
  <si>
    <t>STS</t>
  </si>
  <si>
    <t>OK - From COMET / OCM LP+FSS CER's of 5.19 and 1.42.</t>
  </si>
  <si>
    <t>OK - From COMET / OCM…CER's of 3.54 and 0.57</t>
  </si>
  <si>
    <t>Integration  Facility / VAB Type Impacts &gt;</t>
  </si>
  <si>
    <t>MLP L</t>
  </si>
  <si>
    <t>MLP W</t>
  </si>
  <si>
    <t>MLP H</t>
  </si>
  <si>
    <t>Width of Stack (ft) (MLP Derived)</t>
  </si>
  <si>
    <t>Length of Stack (ft) (MLP Derived)</t>
  </si>
  <si>
    <t>Hieght of Stack (ft) (how tall) (MLP up)</t>
  </si>
  <si>
    <t xml:space="preserve">    Length here may be apx. Hieght vehicle</t>
  </si>
  <si>
    <t xml:space="preserve">    Hieght here may be Length vehicle</t>
  </si>
  <si>
    <t>Hieght of Stack (ft) (how tall) (SRB derived)</t>
  </si>
  <si>
    <t>STS MLP is 165' by 135' by 47', Derived MLP is &gt;</t>
  </si>
  <si>
    <t>Length of Vehicle Stack (ft)</t>
  </si>
  <si>
    <t>Width of Vehicle Stack (ft)</t>
  </si>
  <si>
    <t>Height of Vehicle Stack (ft)</t>
  </si>
  <si>
    <t>Scaled MLP L (ft)</t>
  </si>
  <si>
    <t>Scaled MLP W (ft)</t>
  </si>
  <si>
    <t>Scaled MLP H (ft)</t>
  </si>
  <si>
    <t>which requires MLP type inputs on Length and Width.</t>
  </si>
  <si>
    <t xml:space="preserve">&lt; Feeds to Launch (RSS and FSS) and Integration (VAB and MLP) calculation </t>
  </si>
  <si>
    <t>OK - From COMET / OCM Landing CER of $5 a cubic foot for a 300' Wide by 1.5 deep by 17,000' section yields $38.3M for STS</t>
  </si>
  <si>
    <t>25% of inline Modules (indicated in BLUE)   &gt;</t>
  </si>
  <si>
    <t>Zero for Now</t>
  </si>
  <si>
    <t>Deescalated STS should be: $98.06M &amp; $70.61M C of F and GSE respectively.</t>
  </si>
  <si>
    <t>OK - From COMET / OCM…CER's of 96.59 and 0.72…uses direct scalable generated MLP dimensions…does not alter VAB for larger MLP!</t>
  </si>
  <si>
    <t>USE THIS SHEET ONLY FOR REUSABLES FOR NOW</t>
  </si>
  <si>
    <t xml:space="preserve">    &lt; Length here may be apx. Hieght vehicle</t>
  </si>
  <si>
    <t xml:space="preserve">    &lt; Hieght here may be Length vehicle</t>
  </si>
  <si>
    <t>&lt; DeEscalated STS should be $4,414. Escalated should be $6,533.</t>
  </si>
  <si>
    <t>STS Settings</t>
  </si>
  <si>
    <t>FAC</t>
  </si>
  <si>
    <t>GSE</t>
  </si>
  <si>
    <t>CUT/PASTE THESE VALUES INTO AATe DBASE Sheet in the 2 FAC GSE COLUMNS</t>
  </si>
  <si>
    <t>(Must UnProtect First)</t>
  </si>
  <si>
    <t>OK - From COMET / OCM LP+RSS CER's of 9.16 and 1.42</t>
  </si>
  <si>
    <t xml:space="preserve">(How to use this workbook in the simplest way) (1) Fill in Tab Sheet "INPUT - OUTPUT" (2) results come out to the </t>
  </si>
  <si>
    <t>right or in this tab sheet or in the same INPUT-OUTPUT tab sheet.</t>
  </si>
  <si>
    <t>Concept Name&gt;</t>
  </si>
  <si>
    <t>INPUTS (Green)</t>
  </si>
  <si>
    <t>(Step 1) ENTER ALL DIMENSIONS IN FEET (X')</t>
  </si>
  <si>
    <t>(Step 2) ENTER CONCEPT NAME</t>
  </si>
  <si>
    <t xml:space="preserve">                                                                 OUTPUTS - FACGSE ACQUISITION COSTS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</si>
</sst>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quot;$&quot;#,##0.0\ ;\(&quot;$&quot;#,##0.00\)"/>
    <numFmt numFmtId="166" formatCode="0.0%"/>
  </numFmts>
  <fonts count="27">
    <font>
      <sz val="10"/>
      <name val="Arial"/>
      <family val="0"/>
    </font>
    <font>
      <b/>
      <sz val="10"/>
      <name val="Arial"/>
      <family val="0"/>
    </font>
    <font>
      <i/>
      <sz val="10"/>
      <name val="Arial"/>
      <family val="0"/>
    </font>
    <font>
      <b/>
      <i/>
      <sz val="10"/>
      <name val="Arial"/>
      <family val="0"/>
    </font>
    <font>
      <sz val="10"/>
      <color indexed="8"/>
      <name val="Arial"/>
      <family val="2"/>
    </font>
    <font>
      <b/>
      <sz val="10"/>
      <color indexed="10"/>
      <name val="Arial"/>
      <family val="0"/>
    </font>
    <font>
      <b/>
      <u val="single"/>
      <sz val="10"/>
      <name val="Arial"/>
      <family val="0"/>
    </font>
    <font>
      <sz val="10"/>
      <color indexed="12"/>
      <name val="Arial"/>
      <family val="2"/>
    </font>
    <font>
      <b/>
      <sz val="10"/>
      <color indexed="9"/>
      <name val="Arial"/>
      <family val="2"/>
    </font>
    <font>
      <sz val="10"/>
      <color indexed="9"/>
      <name val="Arial"/>
      <family val="2"/>
    </font>
    <font>
      <sz val="10"/>
      <name val="Helv"/>
      <family val="0"/>
    </font>
    <font>
      <sz val="8"/>
      <name val="Tahoma"/>
      <family val="0"/>
    </font>
    <font>
      <sz val="8"/>
      <color indexed="12"/>
      <name val="Arial"/>
      <family val="2"/>
    </font>
    <font>
      <sz val="8"/>
      <name val="Arial"/>
      <family val="2"/>
    </font>
    <font>
      <sz val="10"/>
      <name val="Tahoma"/>
      <family val="2"/>
    </font>
    <font>
      <b/>
      <sz val="12"/>
      <color indexed="10"/>
      <name val="Arial"/>
      <family val="2"/>
    </font>
    <font>
      <u val="single"/>
      <sz val="7"/>
      <color indexed="12"/>
      <name val="Arial"/>
      <family val="0"/>
    </font>
    <font>
      <u val="single"/>
      <sz val="7"/>
      <color indexed="36"/>
      <name val="Arial"/>
      <family val="0"/>
    </font>
    <font>
      <b/>
      <sz val="10"/>
      <name val="Tahoma"/>
      <family val="2"/>
    </font>
    <font>
      <b/>
      <sz val="14"/>
      <color indexed="13"/>
      <name val="Arial"/>
      <family val="2"/>
    </font>
    <font>
      <sz val="12"/>
      <name val="Tahoma"/>
      <family val="2"/>
    </font>
    <font>
      <b/>
      <i/>
      <u val="single"/>
      <sz val="10"/>
      <name val="Arial"/>
      <family val="2"/>
    </font>
    <font>
      <b/>
      <sz val="12"/>
      <name val="Arial"/>
      <family val="2"/>
    </font>
    <font>
      <b/>
      <sz val="12"/>
      <name val="Tahoma"/>
      <family val="2"/>
    </font>
    <font>
      <sz val="10"/>
      <color indexed="10"/>
      <name val="Arial"/>
      <family val="2"/>
    </font>
    <font>
      <sz val="10"/>
      <color indexed="8"/>
      <name val="Arial Narrow"/>
      <family val="2"/>
    </font>
    <font>
      <b/>
      <sz val="8"/>
      <name val="Arial"/>
      <family val="2"/>
    </font>
  </fonts>
  <fills count="12">
    <fill>
      <patternFill/>
    </fill>
    <fill>
      <patternFill patternType="gray125"/>
    </fill>
    <fill>
      <patternFill patternType="solid">
        <fgColor indexed="13"/>
        <bgColor indexed="64"/>
      </patternFill>
    </fill>
    <fill>
      <patternFill patternType="solid">
        <fgColor indexed="11"/>
        <bgColor indexed="64"/>
      </patternFill>
    </fill>
    <fill>
      <patternFill patternType="solid">
        <fgColor indexed="29"/>
        <bgColor indexed="64"/>
      </patternFill>
    </fill>
    <fill>
      <patternFill patternType="solid">
        <fgColor indexed="8"/>
        <bgColor indexed="64"/>
      </patternFill>
    </fill>
    <fill>
      <patternFill patternType="solid">
        <fgColor indexed="9"/>
        <bgColor indexed="64"/>
      </patternFill>
    </fill>
    <fill>
      <patternFill patternType="solid">
        <fgColor indexed="44"/>
        <bgColor indexed="64"/>
      </patternFill>
    </fill>
    <fill>
      <patternFill patternType="solid">
        <fgColor indexed="26"/>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
      <left>
        <color indexed="63"/>
      </left>
      <right style="thin"/>
      <top style="thin"/>
      <bottom style="thin"/>
    </border>
    <border>
      <left style="medium"/>
      <right style="medium"/>
      <top style="medium"/>
      <bottom>
        <color indexed="63"/>
      </bottom>
    </border>
    <border>
      <left style="medium"/>
      <right style="thin"/>
      <top style="medium"/>
      <bottom style="mediu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
      <left style="medium"/>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medium"/>
      <top>
        <color indexed="63"/>
      </top>
      <bottom style="medium"/>
    </border>
    <border>
      <left style="medium"/>
      <right style="medium"/>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cellStyleXfs>
  <cellXfs count="194">
    <xf numFmtId="0" fontId="0" fillId="0" borderId="0" xfId="0" applyAlignment="1">
      <alignment/>
    </xf>
    <xf numFmtId="0" fontId="0" fillId="0" borderId="0" xfId="0" applyAlignment="1" applyProtection="1">
      <alignment/>
      <protection/>
    </xf>
    <xf numFmtId="0" fontId="0" fillId="2" borderId="0" xfId="0" applyFill="1" applyAlignment="1" applyProtection="1">
      <alignment/>
      <protection/>
    </xf>
    <xf numFmtId="0" fontId="1" fillId="0" borderId="0" xfId="0" applyFont="1" applyFill="1" applyAlignment="1" applyProtection="1">
      <alignment/>
      <protection/>
    </xf>
    <xf numFmtId="0" fontId="0" fillId="0" borderId="0" xfId="0" applyFill="1" applyAlignment="1" applyProtection="1">
      <alignment/>
      <protection/>
    </xf>
    <xf numFmtId="0" fontId="0" fillId="3" borderId="1" xfId="0" applyFill="1" applyBorder="1" applyAlignment="1" applyProtection="1">
      <alignment/>
      <protection/>
    </xf>
    <xf numFmtId="0" fontId="0" fillId="4" borderId="1" xfId="0" applyFill="1" applyBorder="1" applyAlignment="1" applyProtection="1">
      <alignment/>
      <protection/>
    </xf>
    <xf numFmtId="17" fontId="8" fillId="5" borderId="0" xfId="0" applyNumberFormat="1" applyFont="1" applyFill="1" applyAlignment="1" applyProtection="1">
      <alignment/>
      <protection/>
    </xf>
    <xf numFmtId="0" fontId="0" fillId="6" borderId="2" xfId="0" applyFill="1" applyBorder="1" applyAlignment="1" applyProtection="1">
      <alignment/>
      <protection/>
    </xf>
    <xf numFmtId="0" fontId="0" fillId="6" borderId="3" xfId="0" applyFill="1" applyBorder="1" applyAlignment="1" applyProtection="1">
      <alignment/>
      <protection/>
    </xf>
    <xf numFmtId="0" fontId="0" fillId="6" borderId="4" xfId="0" applyFill="1" applyBorder="1" applyAlignment="1" applyProtection="1">
      <alignment/>
      <protection/>
    </xf>
    <xf numFmtId="0" fontId="8" fillId="5" borderId="0" xfId="0" applyFont="1" applyFill="1" applyAlignment="1" applyProtection="1">
      <alignment/>
      <protection/>
    </xf>
    <xf numFmtId="0" fontId="0" fillId="6" borderId="5" xfId="0" applyFill="1" applyBorder="1" applyAlignment="1" applyProtection="1">
      <alignment/>
      <protection/>
    </xf>
    <xf numFmtId="0" fontId="0" fillId="6" borderId="6" xfId="0" applyFill="1" applyBorder="1" applyAlignment="1" applyProtection="1">
      <alignment/>
      <protection/>
    </xf>
    <xf numFmtId="0" fontId="0" fillId="6" borderId="7" xfId="0" applyFill="1" applyBorder="1" applyAlignment="1" applyProtection="1">
      <alignment/>
      <protection/>
    </xf>
    <xf numFmtId="0" fontId="9" fillId="5" borderId="0" xfId="0" applyFont="1" applyFill="1" applyAlignment="1" applyProtection="1">
      <alignment/>
      <protection/>
    </xf>
    <xf numFmtId="0" fontId="7" fillId="0" borderId="0" xfId="0" applyFont="1" applyAlignment="1" applyProtection="1">
      <alignment/>
      <protection/>
    </xf>
    <xf numFmtId="0" fontId="12" fillId="7" borderId="0" xfId="0" applyFont="1" applyFill="1" applyAlignment="1" applyProtection="1">
      <alignment/>
      <protection/>
    </xf>
    <xf numFmtId="0" fontId="13" fillId="7" borderId="0" xfId="0" applyFont="1" applyFill="1" applyAlignment="1" applyProtection="1">
      <alignment/>
      <protection/>
    </xf>
    <xf numFmtId="0" fontId="0" fillId="5" borderId="0" xfId="0" applyFill="1" applyAlignment="1" applyProtection="1">
      <alignment/>
      <protection/>
    </xf>
    <xf numFmtId="0" fontId="8" fillId="5" borderId="0" xfId="0" applyFont="1" applyFill="1" applyAlignment="1" applyProtection="1">
      <alignment horizontal="center"/>
      <protection/>
    </xf>
    <xf numFmtId="42" fontId="0" fillId="4" borderId="1" xfId="0" applyNumberFormat="1" applyFill="1" applyBorder="1" applyAlignment="1" applyProtection="1">
      <alignment/>
      <protection/>
    </xf>
    <xf numFmtId="0" fontId="0" fillId="6" borderId="8" xfId="0" applyFill="1" applyBorder="1" applyAlignment="1" applyProtection="1">
      <alignment/>
      <protection/>
    </xf>
    <xf numFmtId="0" fontId="0" fillId="6" borderId="0" xfId="0" applyFill="1" applyBorder="1" applyAlignment="1" applyProtection="1">
      <alignment/>
      <protection/>
    </xf>
    <xf numFmtId="0" fontId="0" fillId="6" borderId="9" xfId="0" applyFill="1" applyBorder="1" applyAlignment="1" applyProtection="1">
      <alignment/>
      <protection/>
    </xf>
    <xf numFmtId="0" fontId="4" fillId="6" borderId="8" xfId="0" applyFont="1" applyFill="1" applyBorder="1" applyAlignment="1" applyProtection="1">
      <alignment/>
      <protection/>
    </xf>
    <xf numFmtId="0" fontId="4" fillId="6" borderId="5" xfId="0" applyFont="1" applyFill="1" applyBorder="1" applyAlignment="1" applyProtection="1">
      <alignment/>
      <protection/>
    </xf>
    <xf numFmtId="42" fontId="0" fillId="6" borderId="0" xfId="0" applyNumberFormat="1" applyFill="1" applyBorder="1" applyAlignment="1" applyProtection="1">
      <alignment/>
      <protection/>
    </xf>
    <xf numFmtId="0" fontId="7" fillId="5" borderId="0" xfId="0" applyFont="1" applyFill="1" applyAlignment="1" applyProtection="1">
      <alignment/>
      <protection/>
    </xf>
    <xf numFmtId="0" fontId="0" fillId="0" borderId="0" xfId="0" applyAlignment="1" applyProtection="1">
      <alignment horizontal="center" wrapText="1"/>
      <protection/>
    </xf>
    <xf numFmtId="0" fontId="0" fillId="0" borderId="10" xfId="0" applyBorder="1" applyAlignment="1" applyProtection="1">
      <alignment wrapText="1"/>
      <protection/>
    </xf>
    <xf numFmtId="0" fontId="0" fillId="0" borderId="11" xfId="0" applyBorder="1" applyAlignment="1" applyProtection="1">
      <alignment wrapText="1"/>
      <protection/>
    </xf>
    <xf numFmtId="0" fontId="0" fillId="0" borderId="12" xfId="0" applyBorder="1" applyAlignment="1" applyProtection="1">
      <alignment wrapText="1"/>
      <protection/>
    </xf>
    <xf numFmtId="0" fontId="0" fillId="8" borderId="1" xfId="0" applyFill="1" applyBorder="1" applyAlignment="1" applyProtection="1">
      <alignment/>
      <protection/>
    </xf>
    <xf numFmtId="0" fontId="4" fillId="4" borderId="1" xfId="0" applyFont="1" applyFill="1" applyBorder="1" applyAlignment="1" applyProtection="1">
      <alignment/>
      <protection/>
    </xf>
    <xf numFmtId="2" fontId="0" fillId="4" borderId="1" xfId="0" applyNumberFormat="1" applyFill="1" applyBorder="1" applyAlignment="1" applyProtection="1">
      <alignment/>
      <protection/>
    </xf>
    <xf numFmtId="39" fontId="10" fillId="4" borderId="1" xfId="0" applyNumberFormat="1" applyFont="1" applyFill="1" applyBorder="1" applyAlignment="1" applyProtection="1">
      <alignment/>
      <protection/>
    </xf>
    <xf numFmtId="4" fontId="10" fillId="4" borderId="1" xfId="0" applyNumberFormat="1" applyFont="1" applyFill="1" applyBorder="1" applyAlignment="1" applyProtection="1">
      <alignment/>
      <protection/>
    </xf>
    <xf numFmtId="0" fontId="0" fillId="0" borderId="0" xfId="0" applyAlignment="1" applyProtection="1">
      <alignment wrapText="1"/>
      <protection/>
    </xf>
    <xf numFmtId="0" fontId="0" fillId="0" borderId="0" xfId="0" applyBorder="1" applyAlignment="1" applyProtection="1">
      <alignment/>
      <protection/>
    </xf>
    <xf numFmtId="0" fontId="7" fillId="0" borderId="0" xfId="0" applyFont="1" applyFill="1" applyAlignment="1" applyProtection="1">
      <alignment/>
      <protection/>
    </xf>
    <xf numFmtId="0" fontId="0" fillId="0" borderId="0" xfId="0" applyFill="1" applyAlignment="1">
      <alignment/>
    </xf>
    <xf numFmtId="0" fontId="0" fillId="0" borderId="0" xfId="0" applyFill="1" applyBorder="1" applyAlignment="1" applyProtection="1">
      <alignment/>
      <protection/>
    </xf>
    <xf numFmtId="0" fontId="4" fillId="4" borderId="13" xfId="0" applyFont="1" applyFill="1" applyBorder="1" applyAlignment="1" applyProtection="1">
      <alignment/>
      <protection/>
    </xf>
    <xf numFmtId="2" fontId="0" fillId="4" borderId="13" xfId="0" applyNumberFormat="1" applyFill="1" applyBorder="1" applyAlignment="1" applyProtection="1">
      <alignment/>
      <protection/>
    </xf>
    <xf numFmtId="0" fontId="0" fillId="0" borderId="5" xfId="0" applyBorder="1" applyAlignment="1" applyProtection="1">
      <alignment wrapText="1"/>
      <protection/>
    </xf>
    <xf numFmtId="0" fontId="0" fillId="0" borderId="6" xfId="0" applyBorder="1" applyAlignment="1" applyProtection="1">
      <alignment wrapText="1"/>
      <protection/>
    </xf>
    <xf numFmtId="0" fontId="0" fillId="0" borderId="7" xfId="0" applyBorder="1" applyAlignment="1" applyProtection="1">
      <alignment wrapText="1"/>
      <protection/>
    </xf>
    <xf numFmtId="0" fontId="0" fillId="9" borderId="11" xfId="0" applyFill="1" applyBorder="1" applyAlignment="1" applyProtection="1">
      <alignment/>
      <protection/>
    </xf>
    <xf numFmtId="0" fontId="0" fillId="9" borderId="12" xfId="0" applyFill="1" applyBorder="1" applyAlignment="1" applyProtection="1">
      <alignment/>
      <protection/>
    </xf>
    <xf numFmtId="0" fontId="5" fillId="9" borderId="11" xfId="0" applyFont="1" applyFill="1" applyBorder="1" applyAlignment="1" applyProtection="1">
      <alignment horizontal="left"/>
      <protection/>
    </xf>
    <xf numFmtId="0" fontId="5" fillId="9" borderId="12" xfId="0" applyFont="1" applyFill="1" applyBorder="1" applyAlignment="1" applyProtection="1">
      <alignment horizontal="left"/>
      <protection/>
    </xf>
    <xf numFmtId="0" fontId="15" fillId="9" borderId="10" xfId="0" applyFont="1" applyFill="1" applyBorder="1" applyAlignment="1" applyProtection="1">
      <alignment horizontal="left" vertical="center"/>
      <protection/>
    </xf>
    <xf numFmtId="0" fontId="0" fillId="10" borderId="1" xfId="0" applyFill="1" applyBorder="1" applyAlignment="1" applyProtection="1">
      <alignment/>
      <protection/>
    </xf>
    <xf numFmtId="0" fontId="0" fillId="0" borderId="2" xfId="0" applyBorder="1" applyAlignment="1" applyProtection="1">
      <alignment horizontal="center" wrapText="1"/>
      <protection/>
    </xf>
    <xf numFmtId="0" fontId="0" fillId="0" borderId="3" xfId="0" applyBorder="1" applyAlignment="1" applyProtection="1">
      <alignment horizontal="center"/>
      <protection/>
    </xf>
    <xf numFmtId="0" fontId="0" fillId="0" borderId="3" xfId="0" applyBorder="1" applyAlignment="1" applyProtection="1">
      <alignment horizontal="center" wrapText="1"/>
      <protection/>
    </xf>
    <xf numFmtId="0" fontId="0" fillId="0" borderId="4" xfId="0" applyBorder="1" applyAlignment="1" applyProtection="1">
      <alignment horizontal="center" wrapText="1"/>
      <protection/>
    </xf>
    <xf numFmtId="0" fontId="8" fillId="0" borderId="0" xfId="0" applyFont="1" applyFill="1" applyBorder="1" applyAlignment="1" applyProtection="1">
      <alignment/>
      <protection/>
    </xf>
    <xf numFmtId="0" fontId="0" fillId="2" borderId="0" xfId="0" applyFont="1" applyFill="1" applyAlignment="1" applyProtection="1">
      <alignment horizontal="left"/>
      <protection/>
    </xf>
    <xf numFmtId="0" fontId="0" fillId="0" borderId="0" xfId="0" applyAlignment="1" applyProtection="1">
      <alignment horizontal="right"/>
      <protection/>
    </xf>
    <xf numFmtId="0" fontId="7" fillId="7" borderId="0" xfId="0" applyFont="1" applyFill="1" applyBorder="1" applyAlignment="1" applyProtection="1">
      <alignment/>
      <protection/>
    </xf>
    <xf numFmtId="0" fontId="7" fillId="7" borderId="0" xfId="0" applyFont="1" applyFill="1" applyBorder="1" applyAlignment="1" applyProtection="1">
      <alignment horizontal="right"/>
      <protection/>
    </xf>
    <xf numFmtId="0" fontId="7" fillId="7" borderId="2" xfId="0" applyFont="1" applyFill="1" applyBorder="1" applyAlignment="1" applyProtection="1">
      <alignment/>
      <protection/>
    </xf>
    <xf numFmtId="0" fontId="7" fillId="7" borderId="3" xfId="0" applyFont="1" applyFill="1" applyBorder="1" applyAlignment="1" applyProtection="1">
      <alignment/>
      <protection/>
    </xf>
    <xf numFmtId="0" fontId="7" fillId="7" borderId="8" xfId="0" applyFont="1" applyFill="1" applyBorder="1" applyAlignment="1" applyProtection="1">
      <alignment/>
      <protection/>
    </xf>
    <xf numFmtId="42" fontId="0" fillId="4" borderId="14" xfId="0" applyNumberFormat="1" applyFill="1" applyBorder="1" applyAlignment="1" applyProtection="1">
      <alignment/>
      <protection/>
    </xf>
    <xf numFmtId="0" fontId="9" fillId="5" borderId="2" xfId="0" applyFont="1" applyFill="1" applyBorder="1" applyAlignment="1" applyProtection="1">
      <alignment/>
      <protection/>
    </xf>
    <xf numFmtId="0" fontId="9" fillId="5" borderId="3" xfId="0" applyFont="1" applyFill="1" applyBorder="1" applyAlignment="1" applyProtection="1">
      <alignment/>
      <protection/>
    </xf>
    <xf numFmtId="0" fontId="0" fillId="5" borderId="4" xfId="0" applyFill="1" applyBorder="1" applyAlignment="1" applyProtection="1">
      <alignment/>
      <protection/>
    </xf>
    <xf numFmtId="0" fontId="0" fillId="10" borderId="14" xfId="0" applyFill="1" applyBorder="1" applyAlignment="1" applyProtection="1">
      <alignment/>
      <protection/>
    </xf>
    <xf numFmtId="0" fontId="0" fillId="0" borderId="15" xfId="0" applyBorder="1" applyAlignment="1" applyProtection="1">
      <alignment horizontal="center" wrapText="1"/>
      <protection/>
    </xf>
    <xf numFmtId="0" fontId="0" fillId="9" borderId="10" xfId="0" applyFill="1" applyBorder="1" applyAlignment="1" applyProtection="1">
      <alignment/>
      <protection/>
    </xf>
    <xf numFmtId="0" fontId="0" fillId="8" borderId="13" xfId="0" applyFill="1" applyBorder="1" applyAlignment="1" applyProtection="1">
      <alignment/>
      <protection/>
    </xf>
    <xf numFmtId="39" fontId="10" fillId="4" borderId="13" xfId="0" applyNumberFormat="1" applyFont="1" applyFill="1" applyBorder="1" applyAlignment="1" applyProtection="1">
      <alignment/>
      <protection/>
    </xf>
    <xf numFmtId="4" fontId="10" fillId="4" borderId="13" xfId="0" applyNumberFormat="1" applyFont="1" applyFill="1" applyBorder="1" applyAlignment="1" applyProtection="1">
      <alignment/>
      <protection/>
    </xf>
    <xf numFmtId="0" fontId="15" fillId="9" borderId="5" xfId="0" applyFont="1" applyFill="1" applyBorder="1" applyAlignment="1" applyProtection="1">
      <alignment horizontal="left" vertical="center"/>
      <protection/>
    </xf>
    <xf numFmtId="0" fontId="0" fillId="9" borderId="6" xfId="0" applyFill="1" applyBorder="1" applyAlignment="1" applyProtection="1">
      <alignment/>
      <protection/>
    </xf>
    <xf numFmtId="0" fontId="0" fillId="9" borderId="7" xfId="0" applyFill="1" applyBorder="1" applyAlignment="1" applyProtection="1">
      <alignment/>
      <protection/>
    </xf>
    <xf numFmtId="0" fontId="13" fillId="11" borderId="0" xfId="0" applyFont="1" applyFill="1" applyAlignment="1" applyProtection="1">
      <alignment/>
      <protection/>
    </xf>
    <xf numFmtId="0" fontId="0" fillId="11" borderId="15" xfId="0" applyFont="1" applyFill="1" applyBorder="1" applyAlignment="1" applyProtection="1">
      <alignment horizontal="center" wrapText="1"/>
      <protection/>
    </xf>
    <xf numFmtId="0" fontId="0" fillId="11" borderId="2" xfId="0" applyFont="1" applyFill="1" applyBorder="1" applyAlignment="1" applyProtection="1">
      <alignment/>
      <protection/>
    </xf>
    <xf numFmtId="0" fontId="13" fillId="11" borderId="3" xfId="0" applyFont="1" applyFill="1" applyBorder="1" applyAlignment="1" applyProtection="1">
      <alignment/>
      <protection/>
    </xf>
    <xf numFmtId="0" fontId="13" fillId="11" borderId="4" xfId="0" applyFont="1" applyFill="1" applyBorder="1" applyAlignment="1" applyProtection="1">
      <alignment/>
      <protection/>
    </xf>
    <xf numFmtId="0" fontId="0" fillId="11" borderId="8" xfId="0" applyFont="1" applyFill="1" applyBorder="1" applyAlignment="1" applyProtection="1">
      <alignment/>
      <protection/>
    </xf>
    <xf numFmtId="0" fontId="13" fillId="11" borderId="0" xfId="0" applyFont="1" applyFill="1" applyBorder="1" applyAlignment="1" applyProtection="1">
      <alignment/>
      <protection/>
    </xf>
    <xf numFmtId="0" fontId="13" fillId="11" borderId="9" xfId="0" applyFont="1" applyFill="1" applyBorder="1" applyAlignment="1" applyProtection="1">
      <alignment/>
      <protection/>
    </xf>
    <xf numFmtId="0" fontId="0" fillId="11" borderId="9" xfId="0" applyFill="1" applyBorder="1" applyAlignment="1" applyProtection="1">
      <alignment/>
      <protection/>
    </xf>
    <xf numFmtId="0" fontId="0" fillId="11" borderId="5" xfId="0" applyFill="1" applyBorder="1" applyAlignment="1" applyProtection="1">
      <alignment/>
      <protection/>
    </xf>
    <xf numFmtId="0" fontId="0" fillId="11" borderId="6" xfId="0" applyFill="1" applyBorder="1" applyAlignment="1" applyProtection="1">
      <alignment/>
      <protection/>
    </xf>
    <xf numFmtId="0" fontId="0" fillId="11" borderId="7" xfId="0" applyFill="1" applyBorder="1" applyAlignment="1" applyProtection="1">
      <alignment/>
      <protection/>
    </xf>
    <xf numFmtId="0" fontId="19" fillId="5" borderId="0" xfId="0" applyFont="1" applyFill="1" applyAlignment="1" applyProtection="1">
      <alignment/>
      <protection/>
    </xf>
    <xf numFmtId="0" fontId="0" fillId="5" borderId="0" xfId="0" applyFont="1" applyFill="1" applyAlignment="1" applyProtection="1">
      <alignment/>
      <protection/>
    </xf>
    <xf numFmtId="0" fontId="0" fillId="9" borderId="1" xfId="0" applyFill="1" applyBorder="1" applyAlignment="1" applyProtection="1">
      <alignment/>
      <protection/>
    </xf>
    <xf numFmtId="42" fontId="0" fillId="4" borderId="13" xfId="0" applyNumberFormat="1" applyFill="1" applyBorder="1" applyAlignment="1" applyProtection="1">
      <alignment/>
      <protection/>
    </xf>
    <xf numFmtId="0" fontId="0" fillId="10" borderId="13" xfId="0" applyFill="1" applyBorder="1" applyAlignment="1" applyProtection="1">
      <alignment/>
      <protection/>
    </xf>
    <xf numFmtId="42" fontId="0" fillId="0" borderId="0" xfId="0" applyNumberFormat="1" applyFill="1" applyBorder="1" applyAlignment="1" applyProtection="1">
      <alignment/>
      <protection/>
    </xf>
    <xf numFmtId="0" fontId="0" fillId="11" borderId="0" xfId="0" applyFill="1" applyAlignment="1" applyProtection="1">
      <alignment/>
      <protection/>
    </xf>
    <xf numFmtId="0" fontId="0" fillId="11" borderId="8" xfId="0" applyFill="1" applyBorder="1" applyAlignment="1" applyProtection="1">
      <alignment/>
      <protection/>
    </xf>
    <xf numFmtId="0" fontId="0" fillId="11" borderId="0" xfId="0" applyFill="1" applyBorder="1" applyAlignment="1" applyProtection="1">
      <alignment/>
      <protection/>
    </xf>
    <xf numFmtId="0" fontId="1" fillId="4" borderId="16" xfId="0" applyFont="1" applyFill="1" applyBorder="1" applyAlignment="1" applyProtection="1">
      <alignment/>
      <protection/>
    </xf>
    <xf numFmtId="0" fontId="1" fillId="0" borderId="0" xfId="0" applyFont="1" applyFill="1" applyAlignment="1" applyProtection="1">
      <alignment horizontal="left"/>
      <protection/>
    </xf>
    <xf numFmtId="0" fontId="0" fillId="10" borderId="17" xfId="0" applyFill="1" applyBorder="1" applyAlignment="1" applyProtection="1">
      <alignment/>
      <protection/>
    </xf>
    <xf numFmtId="0" fontId="0" fillId="10" borderId="18" xfId="0" applyFill="1" applyBorder="1" applyAlignment="1" applyProtection="1">
      <alignment/>
      <protection/>
    </xf>
    <xf numFmtId="0" fontId="1" fillId="7" borderId="1" xfId="0" applyFont="1" applyFill="1" applyBorder="1" applyAlignment="1" applyProtection="1">
      <alignment/>
      <protection/>
    </xf>
    <xf numFmtId="0" fontId="0" fillId="8" borderId="19" xfId="0" applyFill="1" applyBorder="1" applyAlignment="1" applyProtection="1">
      <alignment/>
      <protection/>
    </xf>
    <xf numFmtId="0" fontId="0" fillId="6" borderId="6" xfId="0" applyFill="1" applyBorder="1" applyAlignment="1">
      <alignment/>
    </xf>
    <xf numFmtId="0" fontId="0" fillId="6" borderId="3" xfId="0" applyFill="1" applyBorder="1" applyAlignment="1">
      <alignment/>
    </xf>
    <xf numFmtId="0" fontId="0" fillId="6" borderId="4" xfId="0" applyFill="1" applyBorder="1" applyAlignment="1">
      <alignment/>
    </xf>
    <xf numFmtId="0" fontId="0" fillId="6" borderId="0" xfId="0" applyFill="1" applyBorder="1" applyAlignment="1">
      <alignment/>
    </xf>
    <xf numFmtId="0" fontId="0" fillId="6" borderId="9" xfId="0" applyFill="1" applyBorder="1" applyAlignment="1">
      <alignment/>
    </xf>
    <xf numFmtId="0" fontId="5" fillId="9" borderId="6" xfId="0" applyFont="1" applyFill="1" applyBorder="1" applyAlignment="1" applyProtection="1">
      <alignment horizontal="left"/>
      <protection/>
    </xf>
    <xf numFmtId="0" fontId="5" fillId="9" borderId="7" xfId="0" applyFont="1" applyFill="1" applyBorder="1" applyAlignment="1" applyProtection="1">
      <alignment horizontal="left"/>
      <protection/>
    </xf>
    <xf numFmtId="0" fontId="15" fillId="9" borderId="8" xfId="0" applyFont="1" applyFill="1" applyBorder="1" applyAlignment="1" applyProtection="1">
      <alignment horizontal="left" vertical="center"/>
      <protection/>
    </xf>
    <xf numFmtId="0" fontId="0" fillId="0" borderId="20" xfId="0" applyFill="1" applyBorder="1" applyAlignment="1" applyProtection="1">
      <alignment/>
      <protection/>
    </xf>
    <xf numFmtId="0" fontId="1" fillId="7" borderId="13" xfId="0" applyFont="1" applyFill="1" applyBorder="1" applyAlignment="1" applyProtection="1">
      <alignment/>
      <protection/>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Fill="1" applyAlignment="1" applyProtection="1">
      <alignment horizontal="right"/>
      <protection/>
    </xf>
    <xf numFmtId="0" fontId="0" fillId="0" borderId="10" xfId="0" applyFill="1" applyBorder="1" applyAlignment="1">
      <alignment wrapText="1"/>
    </xf>
    <xf numFmtId="0" fontId="0" fillId="0" borderId="11" xfId="0" applyBorder="1" applyAlignment="1">
      <alignment wrapText="1"/>
    </xf>
    <xf numFmtId="0" fontId="0" fillId="0" borderId="12" xfId="0" applyBorder="1" applyAlignment="1">
      <alignment wrapText="1"/>
    </xf>
    <xf numFmtId="0" fontId="0" fillId="4" borderId="20" xfId="0" applyFill="1" applyBorder="1" applyAlignment="1" applyProtection="1">
      <alignment/>
      <protection/>
    </xf>
    <xf numFmtId="0" fontId="1" fillId="4" borderId="1" xfId="0" applyFont="1" applyFill="1" applyBorder="1" applyAlignment="1" applyProtection="1">
      <alignment/>
      <protection/>
    </xf>
    <xf numFmtId="0" fontId="1" fillId="4" borderId="13" xfId="0" applyFont="1" applyFill="1" applyBorder="1" applyAlignment="1" applyProtection="1">
      <alignment/>
      <protection/>
    </xf>
    <xf numFmtId="0" fontId="0" fillId="0" borderId="11" xfId="0" applyFill="1" applyBorder="1" applyAlignment="1">
      <alignment wrapText="1"/>
    </xf>
    <xf numFmtId="0" fontId="0" fillId="0" borderId="12" xfId="0" applyFill="1" applyBorder="1" applyAlignment="1">
      <alignment wrapText="1"/>
    </xf>
    <xf numFmtId="0" fontId="1" fillId="7" borderId="20" xfId="0" applyFont="1" applyFill="1" applyBorder="1" applyAlignment="1" applyProtection="1">
      <alignment/>
      <protection/>
    </xf>
    <xf numFmtId="0" fontId="0" fillId="9" borderId="20" xfId="0" applyFill="1" applyBorder="1" applyAlignment="1" applyProtection="1">
      <alignment/>
      <protection/>
    </xf>
    <xf numFmtId="0" fontId="0" fillId="9" borderId="10" xfId="0" applyFont="1" applyFill="1" applyBorder="1" applyAlignment="1" applyProtection="1">
      <alignment/>
      <protection/>
    </xf>
    <xf numFmtId="0" fontId="0" fillId="9" borderId="11" xfId="0" applyFont="1" applyFill="1" applyBorder="1" applyAlignment="1" applyProtection="1">
      <alignment/>
      <protection/>
    </xf>
    <xf numFmtId="0" fontId="0" fillId="9" borderId="12" xfId="0" applyFont="1" applyFill="1" applyBorder="1" applyAlignment="1" applyProtection="1">
      <alignment/>
      <protection/>
    </xf>
    <xf numFmtId="0" fontId="7" fillId="6" borderId="3" xfId="0" applyFont="1" applyFill="1" applyBorder="1" applyAlignment="1" applyProtection="1">
      <alignment/>
      <protection/>
    </xf>
    <xf numFmtId="0" fontId="7" fillId="6" borderId="0" xfId="0" applyFont="1" applyFill="1" applyBorder="1" applyAlignment="1" applyProtection="1">
      <alignment/>
      <protection/>
    </xf>
    <xf numFmtId="0" fontId="7" fillId="6" borderId="6" xfId="0" applyFont="1" applyFill="1" applyBorder="1" applyAlignment="1" applyProtection="1">
      <alignment/>
      <protection/>
    </xf>
    <xf numFmtId="0" fontId="0" fillId="10" borderId="1" xfId="0" applyFill="1" applyBorder="1" applyAlignment="1" applyProtection="1">
      <alignment/>
      <protection locked="0"/>
    </xf>
    <xf numFmtId="0" fontId="0" fillId="10" borderId="20" xfId="0" applyFill="1" applyBorder="1" applyAlignment="1" applyProtection="1">
      <alignment/>
      <protection locked="0"/>
    </xf>
    <xf numFmtId="0" fontId="8" fillId="5" borderId="0" xfId="0" applyFont="1" applyFill="1" applyAlignment="1" applyProtection="1">
      <alignment horizontal="left"/>
      <protection/>
    </xf>
    <xf numFmtId="0" fontId="1" fillId="4" borderId="20" xfId="0" applyFont="1" applyFill="1" applyBorder="1" applyAlignment="1" applyProtection="1">
      <alignment/>
      <protection/>
    </xf>
    <xf numFmtId="0" fontId="1" fillId="4" borderId="14" xfId="0" applyFont="1" applyFill="1" applyBorder="1" applyAlignment="1" applyProtection="1">
      <alignment/>
      <protection/>
    </xf>
    <xf numFmtId="0" fontId="0" fillId="6" borderId="0" xfId="0" applyFill="1" applyAlignment="1" applyProtection="1">
      <alignment/>
      <protection/>
    </xf>
    <xf numFmtId="0" fontId="0" fillId="6" borderId="0" xfId="0" applyFill="1" applyAlignment="1" applyProtection="1">
      <alignment horizontal="right"/>
      <protection/>
    </xf>
    <xf numFmtId="0" fontId="1" fillId="10" borderId="21" xfId="0" applyFont="1" applyFill="1" applyBorder="1" applyAlignment="1" applyProtection="1">
      <alignment/>
      <protection/>
    </xf>
    <xf numFmtId="0" fontId="0" fillId="10" borderId="22" xfId="0" applyFill="1" applyBorder="1" applyAlignment="1" applyProtection="1">
      <alignment/>
      <protection/>
    </xf>
    <xf numFmtId="0" fontId="1" fillId="4" borderId="21" xfId="0" applyFont="1" applyFill="1" applyBorder="1" applyAlignment="1" applyProtection="1">
      <alignment/>
      <protection/>
    </xf>
    <xf numFmtId="0" fontId="1" fillId="4" borderId="23" xfId="0" applyFont="1" applyFill="1" applyBorder="1" applyAlignment="1" applyProtection="1">
      <alignment/>
      <protection/>
    </xf>
    <xf numFmtId="0" fontId="1" fillId="7" borderId="5" xfId="0" applyFont="1" applyFill="1" applyBorder="1" applyAlignment="1" applyProtection="1">
      <alignment/>
      <protection/>
    </xf>
    <xf numFmtId="0" fontId="0" fillId="7" borderId="7" xfId="0" applyFont="1" applyFill="1" applyBorder="1" applyAlignment="1" applyProtection="1">
      <alignment/>
      <protection/>
    </xf>
    <xf numFmtId="0" fontId="1" fillId="7" borderId="24" xfId="0" applyFont="1" applyFill="1" applyBorder="1" applyAlignment="1" applyProtection="1">
      <alignment/>
      <protection/>
    </xf>
    <xf numFmtId="1" fontId="1" fillId="4" borderId="16" xfId="0" applyNumberFormat="1" applyFont="1" applyFill="1" applyBorder="1" applyAlignment="1" applyProtection="1">
      <alignment/>
      <protection/>
    </xf>
    <xf numFmtId="0" fontId="0" fillId="2" borderId="3" xfId="0" applyFill="1" applyBorder="1" applyAlignment="1" applyProtection="1">
      <alignment/>
      <protection/>
    </xf>
    <xf numFmtId="0" fontId="0" fillId="6" borderId="0" xfId="0" applyFill="1" applyBorder="1" applyAlignment="1" applyProtection="1">
      <alignment horizontal="left"/>
      <protection/>
    </xf>
    <xf numFmtId="0" fontId="0" fillId="2" borderId="0" xfId="0" applyFill="1" applyBorder="1" applyAlignment="1" applyProtection="1">
      <alignment/>
      <protection/>
    </xf>
    <xf numFmtId="42" fontId="0" fillId="0" borderId="1" xfId="0" applyNumberFormat="1" applyBorder="1" applyAlignment="1">
      <alignment/>
    </xf>
    <xf numFmtId="0" fontId="0" fillId="2" borderId="0" xfId="0" applyFill="1" applyAlignment="1">
      <alignment/>
    </xf>
    <xf numFmtId="0" fontId="1" fillId="2" borderId="0" xfId="0" applyFont="1" applyFill="1" applyAlignment="1">
      <alignment/>
    </xf>
    <xf numFmtId="0" fontId="1" fillId="6" borderId="3" xfId="0" applyFont="1" applyFill="1" applyBorder="1" applyAlignment="1" applyProtection="1">
      <alignment/>
      <protection/>
    </xf>
    <xf numFmtId="0" fontId="1" fillId="6" borderId="6" xfId="0" applyFont="1" applyFill="1" applyBorder="1" applyAlignment="1">
      <alignment/>
    </xf>
    <xf numFmtId="0" fontId="0" fillId="6" borderId="8" xfId="0" applyFill="1" applyBorder="1" applyAlignment="1">
      <alignment/>
    </xf>
    <xf numFmtId="0" fontId="22" fillId="2" borderId="2" xfId="0" applyFont="1" applyFill="1" applyBorder="1" applyAlignment="1" applyProtection="1">
      <alignment/>
      <protection/>
    </xf>
    <xf numFmtId="0" fontId="0" fillId="2" borderId="4" xfId="0" applyFill="1" applyBorder="1" applyAlignment="1" applyProtection="1">
      <alignment/>
      <protection/>
    </xf>
    <xf numFmtId="0" fontId="0" fillId="2" borderId="5" xfId="0" applyFill="1" applyBorder="1" applyAlignment="1">
      <alignment/>
    </xf>
    <xf numFmtId="0" fontId="0" fillId="2" borderId="7" xfId="0" applyFill="1" applyBorder="1" applyAlignment="1">
      <alignment/>
    </xf>
    <xf numFmtId="0" fontId="1" fillId="6" borderId="0" xfId="0" applyFont="1" applyFill="1" applyAlignment="1" applyProtection="1">
      <alignment horizontal="right"/>
      <protection/>
    </xf>
    <xf numFmtId="0" fontId="1" fillId="6" borderId="0" xfId="0" applyFont="1" applyFill="1" applyAlignment="1" applyProtection="1">
      <alignment/>
      <protection/>
    </xf>
    <xf numFmtId="0" fontId="1" fillId="6" borderId="15" xfId="0" applyFont="1" applyFill="1" applyBorder="1" applyAlignment="1" applyProtection="1">
      <alignment horizontal="right"/>
      <protection/>
    </xf>
    <xf numFmtId="0" fontId="1" fillId="6" borderId="25" xfId="0" applyFont="1" applyFill="1" applyBorder="1" applyAlignment="1" applyProtection="1">
      <alignment horizontal="right"/>
      <protection/>
    </xf>
    <xf numFmtId="0" fontId="1" fillId="6" borderId="24" xfId="0" applyFont="1" applyFill="1" applyBorder="1" applyAlignment="1" applyProtection="1">
      <alignment horizontal="right"/>
      <protection/>
    </xf>
    <xf numFmtId="0" fontId="24" fillId="9" borderId="2" xfId="0" applyFont="1" applyFill="1" applyBorder="1" applyAlignment="1">
      <alignment/>
    </xf>
    <xf numFmtId="0" fontId="24" fillId="9" borderId="3" xfId="0" applyFont="1" applyFill="1" applyBorder="1" applyAlignment="1">
      <alignment/>
    </xf>
    <xf numFmtId="0" fontId="0" fillId="9" borderId="3" xfId="0" applyFill="1" applyBorder="1" applyAlignment="1">
      <alignment/>
    </xf>
    <xf numFmtId="0" fontId="0" fillId="9" borderId="4" xfId="0" applyFill="1" applyBorder="1" applyAlignment="1" applyProtection="1">
      <alignment/>
      <protection/>
    </xf>
    <xf numFmtId="0" fontId="24" fillId="9" borderId="5" xfId="0" applyFont="1" applyFill="1" applyBorder="1" applyAlignment="1">
      <alignment/>
    </xf>
    <xf numFmtId="0" fontId="24" fillId="9" borderId="6" xfId="0" applyFont="1" applyFill="1" applyBorder="1" applyAlignment="1">
      <alignment/>
    </xf>
    <xf numFmtId="0" fontId="0" fillId="9" borderId="6" xfId="0" applyFill="1" applyBorder="1" applyAlignment="1">
      <alignment/>
    </xf>
    <xf numFmtId="42" fontId="0" fillId="9" borderId="0" xfId="0" applyNumberFormat="1" applyFill="1" applyAlignment="1">
      <alignment/>
    </xf>
    <xf numFmtId="42" fontId="0" fillId="0" borderId="14" xfId="0" applyNumberFormat="1" applyBorder="1" applyAlignment="1">
      <alignment/>
    </xf>
    <xf numFmtId="0" fontId="25" fillId="0" borderId="26" xfId="0" applyFont="1" applyFill="1" applyBorder="1" applyAlignment="1">
      <alignment/>
    </xf>
    <xf numFmtId="0" fontId="25" fillId="0" borderId="27" xfId="0" applyFont="1" applyFill="1" applyBorder="1" applyAlignment="1">
      <alignment/>
    </xf>
    <xf numFmtId="0" fontId="25" fillId="0" borderId="28" xfId="0" applyFont="1" applyFill="1" applyBorder="1" applyAlignment="1">
      <alignment/>
    </xf>
    <xf numFmtId="0" fontId="1" fillId="0" borderId="0" xfId="0" applyFont="1" applyAlignment="1">
      <alignment horizontal="center"/>
    </xf>
    <xf numFmtId="0" fontId="0" fillId="6" borderId="12" xfId="0" applyFill="1" applyBorder="1" applyAlignment="1" applyProtection="1">
      <alignment/>
      <protection/>
    </xf>
    <xf numFmtId="0" fontId="0" fillId="10" borderId="13" xfId="0" applyFill="1" applyBorder="1" applyAlignment="1" applyProtection="1">
      <alignment/>
      <protection locked="0"/>
    </xf>
    <xf numFmtId="0" fontId="22" fillId="6" borderId="10" xfId="0" applyFont="1" applyFill="1" applyBorder="1" applyAlignment="1" applyProtection="1">
      <alignment/>
      <protection/>
    </xf>
    <xf numFmtId="0" fontId="22" fillId="2" borderId="0" xfId="0" applyFont="1" applyFill="1" applyBorder="1" applyAlignment="1" applyProtection="1">
      <alignment horizontal="left"/>
      <protection/>
    </xf>
    <xf numFmtId="0" fontId="22" fillId="2" borderId="3" xfId="0" applyFont="1" applyFill="1" applyBorder="1" applyAlignment="1" applyProtection="1">
      <alignment horizontal="left"/>
      <protection/>
    </xf>
    <xf numFmtId="0" fontId="22" fillId="11" borderId="10" xfId="0" applyFont="1" applyFill="1" applyBorder="1" applyAlignment="1" applyProtection="1">
      <alignment horizontal="left"/>
      <protection/>
    </xf>
    <xf numFmtId="0" fontId="1" fillId="11" borderId="11" xfId="0" applyFont="1" applyFill="1" applyBorder="1" applyAlignment="1" applyProtection="1">
      <alignment horizontal="left"/>
      <protection/>
    </xf>
    <xf numFmtId="0" fontId="1" fillId="11" borderId="11" xfId="0" applyFont="1" applyFill="1" applyBorder="1" applyAlignment="1" applyProtection="1">
      <alignment/>
      <protection/>
    </xf>
    <xf numFmtId="0" fontId="0" fillId="11" borderId="12" xfId="0" applyFill="1" applyBorder="1" applyAlignment="1" applyProtection="1">
      <alignment/>
      <protection/>
    </xf>
    <xf numFmtId="1" fontId="1" fillId="4" borderId="21" xfId="0" applyNumberFormat="1" applyFont="1" applyFill="1" applyBorder="1" applyAlignment="1" applyProtection="1">
      <alignment horizontal="right"/>
      <protection/>
    </xf>
    <xf numFmtId="0" fontId="0" fillId="11" borderId="11" xfId="0" applyFill="1" applyBorder="1" applyAlignment="1">
      <alignment/>
    </xf>
    <xf numFmtId="0" fontId="0" fillId="11" borderId="11" xfId="0" applyFill="1" applyBorder="1" applyAlignment="1" applyProtection="1">
      <alignmen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ksc.nasa.gov/shuttle/nexgen/rlvhp.ht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0</xdr:row>
      <xdr:rowOff>66675</xdr:rowOff>
    </xdr:from>
    <xdr:to>
      <xdr:col>5</xdr:col>
      <xdr:colOff>295275</xdr:colOff>
      <xdr:row>0</xdr:row>
      <xdr:rowOff>85725</xdr:rowOff>
    </xdr:to>
    <xdr:sp>
      <xdr:nvSpPr>
        <xdr:cNvPr id="1" name="Line 5"/>
        <xdr:cNvSpPr>
          <a:spLocks/>
        </xdr:cNvSpPr>
      </xdr:nvSpPr>
      <xdr:spPr>
        <a:xfrm>
          <a:off x="3429000" y="66675"/>
          <a:ext cx="2276475" cy="190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0</xdr:row>
      <xdr:rowOff>85725</xdr:rowOff>
    </xdr:from>
    <xdr:to>
      <xdr:col>5</xdr:col>
      <xdr:colOff>295275</xdr:colOff>
      <xdr:row>1</xdr:row>
      <xdr:rowOff>152400</xdr:rowOff>
    </xdr:to>
    <xdr:sp>
      <xdr:nvSpPr>
        <xdr:cNvPr id="2" name="Line 6"/>
        <xdr:cNvSpPr>
          <a:spLocks/>
        </xdr:cNvSpPr>
      </xdr:nvSpPr>
      <xdr:spPr>
        <a:xfrm>
          <a:off x="5705475" y="85725"/>
          <a:ext cx="0" cy="2952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2457450</xdr:colOff>
      <xdr:row>13</xdr:row>
      <xdr:rowOff>114300</xdr:rowOff>
    </xdr:from>
    <xdr:to>
      <xdr:col>4</xdr:col>
      <xdr:colOff>476250</xdr:colOff>
      <xdr:row>13</xdr:row>
      <xdr:rowOff>114300</xdr:rowOff>
    </xdr:to>
    <xdr:sp>
      <xdr:nvSpPr>
        <xdr:cNvPr id="3" name="Line 7"/>
        <xdr:cNvSpPr>
          <a:spLocks/>
        </xdr:cNvSpPr>
      </xdr:nvSpPr>
      <xdr:spPr>
        <a:xfrm>
          <a:off x="2457450" y="2362200"/>
          <a:ext cx="281940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247650</xdr:colOff>
      <xdr:row>27</xdr:row>
      <xdr:rowOff>85725</xdr:rowOff>
    </xdr:from>
    <xdr:to>
      <xdr:col>9</xdr:col>
      <xdr:colOff>514350</xdr:colOff>
      <xdr:row>37</xdr:row>
      <xdr:rowOff>142875</xdr:rowOff>
    </xdr:to>
    <xdr:sp>
      <xdr:nvSpPr>
        <xdr:cNvPr id="4" name="TextBox 13"/>
        <xdr:cNvSpPr txBox="1">
          <a:spLocks noChangeArrowheads="1"/>
        </xdr:cNvSpPr>
      </xdr:nvSpPr>
      <xdr:spPr>
        <a:xfrm>
          <a:off x="6267450" y="4772025"/>
          <a:ext cx="2095500" cy="1676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1" i="0" u="none" baseline="0">
              <a:latin typeface="Arial"/>
              <a:ea typeface="Arial"/>
              <a:cs typeface="Arial"/>
            </a:rPr>
            <a:t>A Spaceport Facility and Ground Support Equipment (GSE) Acquisition Cost Estimator
</a:t>
          </a:r>
          <a:r>
            <a:rPr lang="en-US" cap="none" sz="1000" b="1" i="0" u="none" baseline="0">
              <a:latin typeface="Arial"/>
              <a:ea typeface="Arial"/>
              <a:cs typeface="Arial"/>
            </a:rPr>
            <a:t>Edgar Zapata
Kennedy Space Center
YA-C
321-867-6234</a:t>
          </a:r>
        </a:p>
      </xdr:txBody>
    </xdr:sp>
    <xdr:clientData/>
  </xdr:twoCellAnchor>
  <xdr:twoCellAnchor>
    <xdr:from>
      <xdr:col>7</xdr:col>
      <xdr:colOff>276225</xdr:colOff>
      <xdr:row>18</xdr:row>
      <xdr:rowOff>114300</xdr:rowOff>
    </xdr:from>
    <xdr:to>
      <xdr:col>8</xdr:col>
      <xdr:colOff>438150</xdr:colOff>
      <xdr:row>22</xdr:row>
      <xdr:rowOff>104775</xdr:rowOff>
    </xdr:to>
    <xdr:pic>
      <xdr:nvPicPr>
        <xdr:cNvPr id="5" name="Picture 14"/>
        <xdr:cNvPicPr preferRelativeResize="1">
          <a:picLocks noChangeAspect="1"/>
        </xdr:cNvPicPr>
      </xdr:nvPicPr>
      <xdr:blipFill>
        <a:blip r:embed="rId1"/>
        <a:stretch>
          <a:fillRect/>
        </a:stretch>
      </xdr:blipFill>
      <xdr:spPr>
        <a:xfrm>
          <a:off x="6905625" y="3343275"/>
          <a:ext cx="771525" cy="638175"/>
        </a:xfrm>
        <a:prstGeom prst="rect">
          <a:avLst/>
        </a:prstGeom>
        <a:noFill/>
        <a:ln w="9525" cmpd="sng">
          <a:noFill/>
        </a:ln>
      </xdr:spPr>
    </xdr:pic>
    <xdr:clientData/>
  </xdr:twoCellAnchor>
  <xdr:twoCellAnchor>
    <xdr:from>
      <xdr:col>6</xdr:col>
      <xdr:colOff>238125</xdr:colOff>
      <xdr:row>23</xdr:row>
      <xdr:rowOff>19050</xdr:rowOff>
    </xdr:from>
    <xdr:to>
      <xdr:col>9</xdr:col>
      <xdr:colOff>466725</xdr:colOff>
      <xdr:row>27</xdr:row>
      <xdr:rowOff>0</xdr:rowOff>
    </xdr:to>
    <xdr:sp>
      <xdr:nvSpPr>
        <xdr:cNvPr id="6" name="AutoShape 16"/>
        <xdr:cNvSpPr>
          <a:spLocks/>
        </xdr:cNvSpPr>
      </xdr:nvSpPr>
      <xdr:spPr>
        <a:xfrm>
          <a:off x="6257925" y="4057650"/>
          <a:ext cx="2057400" cy="628650"/>
        </a:xfrm>
        <a:prstGeom prst="rect"/>
        <a:noFill/>
      </xdr:spPr>
      <xdr:txBody>
        <a:bodyPr fromWordArt="1" wrap="none" lIns="91440" tIns="45720" rIns="91440" bIns="45720">
          <a:prstTxWarp prst="textPlain"/>
        </a:bodyPr>
        <a:p>
          <a:pPr algn="ctr"/>
          <a:r>
            <a:rPr sz="3600" kern="10" spc="720">
              <a:ln w="9525" cmpd="sng">
                <a:noFill/>
              </a:ln>
              <a:gradFill rotWithShape="1">
                <a:gsLst>
                  <a:gs pos="0">
                    <a:srgbClr val="AAAAAA"/>
                  </a:gs>
                  <a:gs pos="100000">
                    <a:srgbClr val="FFFFFF"/>
                  </a:gs>
                </a:gsLst>
                <a:lin ang="5400000" scaled="1"/>
              </a:gradFill>
              <a:effectLst>
                <a:outerShdw dist="45790" dir="3378595" algn="ctr">
                  <a:srgbClr val="4D4D4D">
                    <a:alpha val="100000"/>
                  </a:srgbClr>
                </a:outerShdw>
              </a:effectLst>
              <a:latin typeface="Arial Black"/>
              <a:cs typeface="Arial Black"/>
            </a:rPr>
            <a:t>FACGSE</a:t>
          </a:r>
        </a:p>
      </xdr:txBody>
    </xdr:sp>
    <xdr:clientData/>
  </xdr:twoCellAnchor>
  <xdr:twoCellAnchor>
    <xdr:from>
      <xdr:col>7</xdr:col>
      <xdr:colOff>171450</xdr:colOff>
      <xdr:row>38</xdr:row>
      <xdr:rowOff>123825</xdr:rowOff>
    </xdr:from>
    <xdr:to>
      <xdr:col>8</xdr:col>
      <xdr:colOff>590550</xdr:colOff>
      <xdr:row>40</xdr:row>
      <xdr:rowOff>47625</xdr:rowOff>
    </xdr:to>
    <xdr:sp>
      <xdr:nvSpPr>
        <xdr:cNvPr id="7" name="AutoShape 17">
          <a:hlinkClick r:id="rId2"/>
        </xdr:cNvPr>
        <xdr:cNvSpPr>
          <a:spLocks/>
        </xdr:cNvSpPr>
      </xdr:nvSpPr>
      <xdr:spPr>
        <a:xfrm>
          <a:off x="6800850" y="6591300"/>
          <a:ext cx="1028700" cy="266700"/>
        </a:xfrm>
        <a:prstGeom prst="rect"/>
        <a:noFill/>
      </xdr:spPr>
      <xdr:txBody>
        <a:bodyPr fromWordArt="1" wrap="none">
          <a:prstTxWarp prst="textPlain"/>
        </a:bodyPr>
        <a:p>
          <a:pPr algn="ctr"/>
          <a:r>
            <a:rPr sz="1200" kern="10" spc="240">
              <a:ln w="9525" cmpd="sng">
                <a:noFill/>
              </a:ln>
              <a:gradFill rotWithShape="1">
                <a:gsLst>
                  <a:gs pos="0">
                    <a:srgbClr val="AAAAAA"/>
                  </a:gs>
                  <a:gs pos="100000">
                    <a:srgbClr val="FFFFFF"/>
                  </a:gs>
                </a:gsLst>
                <a:lin ang="5400000" scaled="1"/>
              </a:gradFill>
              <a:effectLst>
                <a:outerShdw dist="45790" dir="3378595" algn="ctr">
                  <a:srgbClr val="4D4D4D">
                    <a:alpha val="100000"/>
                  </a:srgbClr>
                </a:outerShdw>
              </a:effectLst>
              <a:latin typeface="Arial Black"/>
              <a:cs typeface="Arial Black"/>
            </a:rPr>
            <a:t>Nexgen Site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400050</xdr:colOff>
      <xdr:row>33</xdr:row>
      <xdr:rowOff>85725</xdr:rowOff>
    </xdr:from>
    <xdr:to>
      <xdr:col>9</xdr:col>
      <xdr:colOff>400050</xdr:colOff>
      <xdr:row>41</xdr:row>
      <xdr:rowOff>114300</xdr:rowOff>
    </xdr:to>
    <xdr:sp>
      <xdr:nvSpPr>
        <xdr:cNvPr id="1" name="Line 73"/>
        <xdr:cNvSpPr>
          <a:spLocks/>
        </xdr:cNvSpPr>
      </xdr:nvSpPr>
      <xdr:spPr>
        <a:xfrm>
          <a:off x="7077075" y="5648325"/>
          <a:ext cx="0" cy="1362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32</xdr:row>
      <xdr:rowOff>85725</xdr:rowOff>
    </xdr:from>
    <xdr:to>
      <xdr:col>8</xdr:col>
      <xdr:colOff>771525</xdr:colOff>
      <xdr:row>32</xdr:row>
      <xdr:rowOff>85725</xdr:rowOff>
    </xdr:to>
    <xdr:sp>
      <xdr:nvSpPr>
        <xdr:cNvPr id="2" name="Line 74"/>
        <xdr:cNvSpPr>
          <a:spLocks/>
        </xdr:cNvSpPr>
      </xdr:nvSpPr>
      <xdr:spPr>
        <a:xfrm flipH="1">
          <a:off x="5248275" y="5486400"/>
          <a:ext cx="1333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114300</xdr:colOff>
      <xdr:row>33</xdr:row>
      <xdr:rowOff>28575</xdr:rowOff>
    </xdr:from>
    <xdr:to>
      <xdr:col>11</xdr:col>
      <xdr:colOff>114300</xdr:colOff>
      <xdr:row>35</xdr:row>
      <xdr:rowOff>142875</xdr:rowOff>
    </xdr:to>
    <xdr:sp>
      <xdr:nvSpPr>
        <xdr:cNvPr id="3" name="Line 76"/>
        <xdr:cNvSpPr>
          <a:spLocks/>
        </xdr:cNvSpPr>
      </xdr:nvSpPr>
      <xdr:spPr>
        <a:xfrm>
          <a:off x="7962900" y="5591175"/>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123825</xdr:colOff>
      <xdr:row>34</xdr:row>
      <xdr:rowOff>47625</xdr:rowOff>
    </xdr:from>
    <xdr:to>
      <xdr:col>11</xdr:col>
      <xdr:colOff>704850</xdr:colOff>
      <xdr:row>34</xdr:row>
      <xdr:rowOff>47625</xdr:rowOff>
    </xdr:to>
    <xdr:sp>
      <xdr:nvSpPr>
        <xdr:cNvPr id="4" name="Line 77"/>
        <xdr:cNvSpPr>
          <a:spLocks/>
        </xdr:cNvSpPr>
      </xdr:nvSpPr>
      <xdr:spPr>
        <a:xfrm>
          <a:off x="7972425" y="5772150"/>
          <a:ext cx="581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123825</xdr:colOff>
      <xdr:row>36</xdr:row>
      <xdr:rowOff>28575</xdr:rowOff>
    </xdr:from>
    <xdr:to>
      <xdr:col>11</xdr:col>
      <xdr:colOff>123825</xdr:colOff>
      <xdr:row>38</xdr:row>
      <xdr:rowOff>142875</xdr:rowOff>
    </xdr:to>
    <xdr:sp>
      <xdr:nvSpPr>
        <xdr:cNvPr id="5" name="Line 78"/>
        <xdr:cNvSpPr>
          <a:spLocks/>
        </xdr:cNvSpPr>
      </xdr:nvSpPr>
      <xdr:spPr>
        <a:xfrm>
          <a:off x="7972425" y="608647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123825</xdr:colOff>
      <xdr:row>37</xdr:row>
      <xdr:rowOff>104775</xdr:rowOff>
    </xdr:from>
    <xdr:to>
      <xdr:col>14</xdr:col>
      <xdr:colOff>514350</xdr:colOff>
      <xdr:row>37</xdr:row>
      <xdr:rowOff>104775</xdr:rowOff>
    </xdr:to>
    <xdr:sp>
      <xdr:nvSpPr>
        <xdr:cNvPr id="6" name="Line 79"/>
        <xdr:cNvSpPr>
          <a:spLocks/>
        </xdr:cNvSpPr>
      </xdr:nvSpPr>
      <xdr:spPr>
        <a:xfrm>
          <a:off x="7972425" y="6334125"/>
          <a:ext cx="2714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66675</xdr:colOff>
      <xdr:row>39</xdr:row>
      <xdr:rowOff>76200</xdr:rowOff>
    </xdr:from>
    <xdr:to>
      <xdr:col>11</xdr:col>
      <xdr:colOff>66675</xdr:colOff>
      <xdr:row>41</xdr:row>
      <xdr:rowOff>142875</xdr:rowOff>
    </xdr:to>
    <xdr:sp>
      <xdr:nvSpPr>
        <xdr:cNvPr id="7" name="Line 80"/>
        <xdr:cNvSpPr>
          <a:spLocks/>
        </xdr:cNvSpPr>
      </xdr:nvSpPr>
      <xdr:spPr>
        <a:xfrm flipH="1">
          <a:off x="7915275" y="6648450"/>
          <a:ext cx="0"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40</xdr:row>
      <xdr:rowOff>76200</xdr:rowOff>
    </xdr:from>
    <xdr:to>
      <xdr:col>11</xdr:col>
      <xdr:colOff>742950</xdr:colOff>
      <xdr:row>40</xdr:row>
      <xdr:rowOff>76200</xdr:rowOff>
    </xdr:to>
    <xdr:sp>
      <xdr:nvSpPr>
        <xdr:cNvPr id="8" name="Line 82"/>
        <xdr:cNvSpPr>
          <a:spLocks/>
        </xdr:cNvSpPr>
      </xdr:nvSpPr>
      <xdr:spPr>
        <a:xfrm>
          <a:off x="7924800" y="6810375"/>
          <a:ext cx="666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9</xdr:row>
      <xdr:rowOff>9525</xdr:rowOff>
    </xdr:from>
    <xdr:to>
      <xdr:col>4</xdr:col>
      <xdr:colOff>9525</xdr:colOff>
      <xdr:row>9</xdr:row>
      <xdr:rowOff>9525</xdr:rowOff>
    </xdr:to>
    <xdr:sp>
      <xdr:nvSpPr>
        <xdr:cNvPr id="1" name="Line 2"/>
        <xdr:cNvSpPr>
          <a:spLocks/>
        </xdr:cNvSpPr>
      </xdr:nvSpPr>
      <xdr:spPr>
        <a:xfrm>
          <a:off x="3724275" y="2390775"/>
          <a:ext cx="914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2162175</xdr:colOff>
      <xdr:row>2</xdr:row>
      <xdr:rowOff>152400</xdr:rowOff>
    </xdr:from>
    <xdr:to>
      <xdr:col>3</xdr:col>
      <xdr:colOff>200025</xdr:colOff>
      <xdr:row>15</xdr:row>
      <xdr:rowOff>0</xdr:rowOff>
    </xdr:to>
    <xdr:sp>
      <xdr:nvSpPr>
        <xdr:cNvPr id="2" name="Oval 3"/>
        <xdr:cNvSpPr>
          <a:spLocks/>
        </xdr:cNvSpPr>
      </xdr:nvSpPr>
      <xdr:spPr>
        <a:xfrm>
          <a:off x="2162175" y="476250"/>
          <a:ext cx="1609725" cy="379095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image" Target="../media/image2.png"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L43"/>
  <sheetViews>
    <sheetView showGridLines="0" tabSelected="1" zoomScale="75" zoomScaleNormal="75" workbookViewId="0" topLeftCell="A1">
      <selection activeCell="M20" sqref="M20"/>
    </sheetView>
  </sheetViews>
  <sheetFormatPr defaultColWidth="9.140625" defaultRowHeight="12.75"/>
  <cols>
    <col min="1" max="1" width="41.00390625" style="0" customWidth="1"/>
    <col min="4" max="4" width="12.7109375" style="0" customWidth="1"/>
  </cols>
  <sheetData>
    <row r="1" spans="1:12" ht="18" customHeight="1">
      <c r="A1" s="186" t="s">
        <v>167</v>
      </c>
      <c r="B1" s="151"/>
      <c r="C1" s="151"/>
      <c r="D1" s="151"/>
      <c r="E1" s="9"/>
      <c r="F1" s="9"/>
      <c r="G1" s="9"/>
      <c r="H1" s="9"/>
      <c r="I1" s="9"/>
      <c r="J1" s="9"/>
      <c r="K1" s="10"/>
      <c r="L1" s="1"/>
    </row>
    <row r="2" spans="1:12" ht="13.5" thickBot="1">
      <c r="A2" s="23"/>
      <c r="B2" s="23"/>
      <c r="C2" s="23"/>
      <c r="D2" s="23"/>
      <c r="E2" s="23"/>
      <c r="F2" s="23"/>
      <c r="G2" s="23"/>
      <c r="H2" s="23"/>
      <c r="I2" s="23"/>
      <c r="J2" s="23"/>
      <c r="K2" s="24"/>
      <c r="L2" s="1"/>
    </row>
    <row r="3" spans="1:12" ht="15.75" thickBot="1">
      <c r="A3" s="141"/>
      <c r="B3" s="141"/>
      <c r="C3" s="23"/>
      <c r="D3" s="23"/>
      <c r="E3" s="184" t="s">
        <v>166</v>
      </c>
      <c r="F3" s="182"/>
      <c r="G3" s="23"/>
      <c r="H3" s="23"/>
      <c r="I3" s="23"/>
      <c r="J3" s="23"/>
      <c r="K3" s="24"/>
      <c r="L3" s="1"/>
    </row>
    <row r="4" spans="1:12" ht="12.75">
      <c r="A4" s="8"/>
      <c r="B4" s="9"/>
      <c r="C4" s="9"/>
      <c r="D4" s="166" t="s">
        <v>77</v>
      </c>
      <c r="E4" s="23" t="s">
        <v>56</v>
      </c>
      <c r="F4" s="183">
        <v>122</v>
      </c>
      <c r="G4" s="23"/>
      <c r="H4" s="23"/>
      <c r="I4" s="23"/>
      <c r="J4" s="23"/>
      <c r="K4" s="24"/>
      <c r="L4" s="1"/>
    </row>
    <row r="5" spans="1:12" ht="12.75">
      <c r="A5" s="22"/>
      <c r="B5" s="23"/>
      <c r="C5" s="23"/>
      <c r="D5" s="167" t="s">
        <v>75</v>
      </c>
      <c r="E5" s="23" t="s">
        <v>57</v>
      </c>
      <c r="F5" s="136">
        <v>78.06</v>
      </c>
      <c r="G5" s="23"/>
      <c r="H5" s="23"/>
      <c r="I5" s="23"/>
      <c r="J5" s="23"/>
      <c r="K5" s="24"/>
      <c r="L5" s="1"/>
    </row>
    <row r="6" spans="1:12" ht="13.5" thickBot="1">
      <c r="A6" s="12"/>
      <c r="B6" s="13"/>
      <c r="C6" s="13"/>
      <c r="D6" s="168" t="s">
        <v>76</v>
      </c>
      <c r="E6" s="23" t="s">
        <v>58</v>
      </c>
      <c r="F6" s="136">
        <v>56.67</v>
      </c>
      <c r="G6" s="23"/>
      <c r="H6" s="23"/>
      <c r="I6" s="23"/>
      <c r="J6" s="23"/>
      <c r="K6" s="24"/>
      <c r="L6" s="1"/>
    </row>
    <row r="7" spans="1:12" ht="12.75">
      <c r="A7" s="8"/>
      <c r="B7" s="133"/>
      <c r="C7" s="9"/>
      <c r="D7" s="166" t="s">
        <v>78</v>
      </c>
      <c r="E7" s="23" t="s">
        <v>59</v>
      </c>
      <c r="F7" s="136">
        <v>76.6</v>
      </c>
      <c r="G7" s="152" t="s">
        <v>154</v>
      </c>
      <c r="H7" s="23"/>
      <c r="I7" s="23"/>
      <c r="J7" s="23"/>
      <c r="K7" s="24"/>
      <c r="L7" s="1"/>
    </row>
    <row r="8" spans="1:12" ht="12.75">
      <c r="A8" s="22"/>
      <c r="B8" s="134"/>
      <c r="C8" s="23"/>
      <c r="D8" s="167" t="s">
        <v>105</v>
      </c>
      <c r="E8" s="23" t="s">
        <v>60</v>
      </c>
      <c r="F8" s="136">
        <v>78.06</v>
      </c>
      <c r="G8" s="23"/>
      <c r="H8" s="23"/>
      <c r="I8" s="23"/>
      <c r="J8" s="23"/>
      <c r="K8" s="24"/>
      <c r="L8" s="1"/>
    </row>
    <row r="9" spans="1:12" ht="13.5" thickBot="1">
      <c r="A9" s="12"/>
      <c r="B9" s="135"/>
      <c r="C9" s="13"/>
      <c r="D9" s="168" t="s">
        <v>104</v>
      </c>
      <c r="E9" s="23" t="s">
        <v>61</v>
      </c>
      <c r="F9" s="136">
        <v>184</v>
      </c>
      <c r="G9" s="23" t="s">
        <v>155</v>
      </c>
      <c r="H9" s="23"/>
      <c r="I9" s="23"/>
      <c r="J9" s="23"/>
      <c r="K9" s="24"/>
      <c r="L9" s="1"/>
    </row>
    <row r="10" spans="1:12" ht="12.75">
      <c r="A10" s="22"/>
      <c r="B10" s="134"/>
      <c r="C10" s="23"/>
      <c r="D10" s="167" t="s">
        <v>82</v>
      </c>
      <c r="E10" s="23" t="s">
        <v>62</v>
      </c>
      <c r="F10" s="136">
        <v>15</v>
      </c>
      <c r="G10" s="23"/>
      <c r="H10" s="23"/>
      <c r="I10" s="23"/>
      <c r="J10" s="23"/>
      <c r="K10" s="24"/>
      <c r="L10" s="1"/>
    </row>
    <row r="11" spans="1:12" ht="12.75">
      <c r="A11" s="22"/>
      <c r="B11" s="134"/>
      <c r="C11" s="23"/>
      <c r="D11" s="167" t="s">
        <v>83</v>
      </c>
      <c r="E11" s="23" t="s">
        <v>63</v>
      </c>
      <c r="F11" s="136">
        <v>15</v>
      </c>
      <c r="G11" s="23"/>
      <c r="H11" s="23"/>
      <c r="I11" s="23"/>
      <c r="J11" s="23"/>
      <c r="K11" s="24"/>
      <c r="L11" s="1"/>
    </row>
    <row r="12" spans="1:12" ht="13.5" thickBot="1">
      <c r="A12" s="12"/>
      <c r="B12" s="135"/>
      <c r="C12" s="13"/>
      <c r="D12" s="168" t="s">
        <v>84</v>
      </c>
      <c r="E12" s="23" t="s">
        <v>64</v>
      </c>
      <c r="F12" s="136">
        <v>60</v>
      </c>
      <c r="G12" s="23"/>
      <c r="H12" s="23"/>
      <c r="I12" s="23"/>
      <c r="J12" s="23"/>
      <c r="K12" s="24"/>
      <c r="L12" s="1"/>
    </row>
    <row r="13" spans="1:12" ht="12.75">
      <c r="A13" s="23"/>
      <c r="B13" s="23"/>
      <c r="C13" s="23"/>
      <c r="D13" s="23"/>
      <c r="E13" s="23"/>
      <c r="F13" s="23"/>
      <c r="G13" s="23"/>
      <c r="H13" s="23"/>
      <c r="I13" s="23"/>
      <c r="J13" s="23"/>
      <c r="K13" s="24"/>
      <c r="L13" s="1"/>
    </row>
    <row r="14" spans="1:12" ht="17.25" customHeight="1">
      <c r="A14" s="185" t="s">
        <v>168</v>
      </c>
      <c r="B14" s="153"/>
      <c r="C14" s="153"/>
      <c r="D14" s="153"/>
      <c r="E14" s="23"/>
      <c r="F14" s="137" t="s">
        <v>157</v>
      </c>
      <c r="G14" s="70"/>
      <c r="H14" s="23"/>
      <c r="I14" s="23"/>
      <c r="J14" s="23"/>
      <c r="K14" s="24"/>
      <c r="L14" s="1"/>
    </row>
    <row r="15" spans="1:12" ht="13.5" thickBot="1">
      <c r="A15" s="23"/>
      <c r="B15" s="23"/>
      <c r="C15" s="23"/>
      <c r="D15" s="23"/>
      <c r="E15" s="23"/>
      <c r="F15" s="23"/>
      <c r="G15" s="23"/>
      <c r="H15" s="23"/>
      <c r="I15" s="23"/>
      <c r="J15" s="23"/>
      <c r="K15" s="24"/>
      <c r="L15" s="1"/>
    </row>
    <row r="16" spans="1:12" ht="15.75" thickBot="1">
      <c r="A16" s="187" t="s">
        <v>169</v>
      </c>
      <c r="B16" s="192"/>
      <c r="C16" s="188"/>
      <c r="D16" s="189"/>
      <c r="E16" s="188"/>
      <c r="F16" s="193"/>
      <c r="G16" s="193"/>
      <c r="H16" s="193"/>
      <c r="I16" s="193"/>
      <c r="J16" s="193"/>
      <c r="K16" s="190"/>
      <c r="L16" s="1"/>
    </row>
    <row r="17" spans="1:12" ht="13.5" thickBot="1">
      <c r="A17" s="191" t="s">
        <v>165</v>
      </c>
      <c r="B17" s="19"/>
      <c r="C17" s="11" t="str">
        <f>'INPUT - OUTPUT'!F14</f>
        <v>STS Settings</v>
      </c>
      <c r="D17" s="92"/>
      <c r="E17" s="19"/>
      <c r="F17" s="1"/>
      <c r="G17" s="1"/>
      <c r="H17" s="1"/>
      <c r="I17" s="1"/>
      <c r="J17" s="1"/>
      <c r="K17" s="1"/>
      <c r="L17" s="1"/>
    </row>
    <row r="18" spans="1:12" ht="17.25">
      <c r="A18" s="1"/>
      <c r="B18" s="19"/>
      <c r="C18" s="91" t="s">
        <v>94</v>
      </c>
      <c r="D18" s="19"/>
      <c r="E18" s="19"/>
      <c r="F18" s="1"/>
      <c r="G18" s="1"/>
      <c r="H18" s="1"/>
      <c r="I18" s="1"/>
      <c r="J18" s="1"/>
      <c r="K18" s="1"/>
      <c r="L18" s="1"/>
    </row>
    <row r="19" spans="1:12" ht="12.75">
      <c r="A19" s="1"/>
      <c r="B19" s="11"/>
      <c r="C19" s="11"/>
      <c r="D19" s="20"/>
      <c r="E19" s="20" t="s">
        <v>53</v>
      </c>
      <c r="F19" s="1"/>
      <c r="G19" s="1"/>
      <c r="H19" s="1"/>
      <c r="I19" s="1"/>
      <c r="J19" s="1"/>
      <c r="K19" s="1"/>
      <c r="L19" s="1"/>
    </row>
    <row r="20" spans="1:12" ht="12.75">
      <c r="A20" s="1"/>
      <c r="B20" s="20" t="s">
        <v>1</v>
      </c>
      <c r="C20" s="20" t="s">
        <v>2</v>
      </c>
      <c r="D20" s="20" t="s">
        <v>49</v>
      </c>
      <c r="E20" s="20" t="s">
        <v>54</v>
      </c>
      <c r="F20" s="1"/>
      <c r="G20" s="1"/>
      <c r="H20" s="1"/>
      <c r="I20" s="1"/>
      <c r="J20" s="1"/>
      <c r="K20" s="1"/>
      <c r="L20" s="1"/>
    </row>
    <row r="21" spans="1:12" ht="12.75">
      <c r="A21" s="165" t="str">
        <f>'FA and GSE Acquire CERs'!A13</f>
        <v>PAYLOAD / CARGO PROCESSING</v>
      </c>
      <c r="B21" s="66">
        <f>'FA and GSE Acquire CERs'!Q13</f>
        <v>28.711999999999996</v>
      </c>
      <c r="C21" s="66">
        <f>'FA and GSE Acquire CERs'!R13</f>
        <v>59.1408</v>
      </c>
      <c r="D21" s="66">
        <f>'FA and GSE Acquire CERs'!S13</f>
        <v>3.8441520000000002</v>
      </c>
      <c r="E21" s="66">
        <f>'FA and GSE Acquire CERs'!T13</f>
        <v>91.696952</v>
      </c>
      <c r="F21" s="1"/>
      <c r="G21" s="1"/>
      <c r="H21" s="1"/>
      <c r="I21" s="1"/>
      <c r="J21" s="1"/>
      <c r="K21" s="1"/>
      <c r="L21" s="1"/>
    </row>
    <row r="22" spans="1:12" ht="12.75">
      <c r="A22" s="165" t="str">
        <f>'FA and GSE Acquire CERs'!A14</f>
        <v>TRAFFIC / FLIGHT CONTROL</v>
      </c>
      <c r="B22" s="66">
        <f>'FA and GSE Acquire CERs'!Q14</f>
        <v>4.07</v>
      </c>
      <c r="C22" s="66">
        <f>'FA and GSE Acquire CERs'!R14</f>
        <v>55.4704</v>
      </c>
      <c r="D22" s="66">
        <f>'FA and GSE Acquire CERs'!S14</f>
        <v>3.605576</v>
      </c>
      <c r="E22" s="66">
        <f>'FA and GSE Acquire CERs'!T14</f>
        <v>63.145976</v>
      </c>
      <c r="F22" s="1"/>
      <c r="G22" s="1"/>
      <c r="H22" s="1"/>
      <c r="I22" s="1"/>
      <c r="J22" s="1"/>
      <c r="K22" s="1"/>
      <c r="L22" s="1"/>
    </row>
    <row r="23" spans="1:12" ht="12.75">
      <c r="A23" s="165" t="str">
        <f>'FA and GSE Acquire CERs'!A15</f>
        <v>LAUNCH</v>
      </c>
      <c r="B23" s="66">
        <f>'FA and GSE Acquire CERs'!Q15</f>
        <v>846.634</v>
      </c>
      <c r="C23" s="66">
        <f>'FA and GSE Acquire CERs'!R15</f>
        <v>1202.2039999999997</v>
      </c>
      <c r="D23" s="66">
        <f>'FA and GSE Acquire CERs'!S15</f>
        <v>78.14326</v>
      </c>
      <c r="E23" s="66">
        <f>'FA and GSE Acquire CERs'!T15</f>
        <v>2126.9812599999996</v>
      </c>
      <c r="F23" s="1"/>
      <c r="G23" s="1"/>
      <c r="H23" s="1"/>
      <c r="I23" s="1"/>
      <c r="J23" s="1"/>
      <c r="K23" s="1"/>
      <c r="L23" s="1"/>
    </row>
    <row r="24" spans="1:12" ht="12.75">
      <c r="A24" s="142" t="str">
        <f>'FA and GSE Acquire CERs'!C16</f>
        <v>LP+RSS</v>
      </c>
      <c r="B24" s="66">
        <f>'FA and GSE Acquire CERs'!Q16</f>
        <v>455.46999999999997</v>
      </c>
      <c r="C24" s="66">
        <f>'FA and GSE Acquire CERs'!R16</f>
        <v>646.7599999999999</v>
      </c>
      <c r="D24" s="66">
        <f>'FA and GSE Acquire CERs'!S16</f>
        <v>42.03939999999999</v>
      </c>
      <c r="E24" s="66">
        <f>'FA and GSE Acquire CERs'!T16</f>
        <v>1144.2693999999997</v>
      </c>
      <c r="F24" s="1"/>
      <c r="G24" s="1"/>
      <c r="H24" s="1"/>
      <c r="I24" s="1"/>
      <c r="J24" s="1"/>
      <c r="K24" s="1"/>
      <c r="L24" s="1"/>
    </row>
    <row r="25" spans="1:12" ht="12.75">
      <c r="A25" s="142" t="str">
        <f>'FA and GSE Acquire CERs'!C17</f>
        <v>LP+FSS</v>
      </c>
      <c r="B25" s="66">
        <f>'FA and GSE Acquire CERs'!Q17</f>
        <v>391.164</v>
      </c>
      <c r="C25" s="66">
        <f>'FA and GSE Acquire CERs'!R17</f>
        <v>555.444</v>
      </c>
      <c r="D25" s="66">
        <f>'FA and GSE Acquire CERs'!S17</f>
        <v>36.10386</v>
      </c>
      <c r="E25" s="66">
        <f>'FA and GSE Acquire CERs'!T17</f>
        <v>982.7118599999999</v>
      </c>
      <c r="F25" s="1"/>
      <c r="G25" s="1"/>
      <c r="H25" s="1"/>
      <c r="I25" s="1"/>
      <c r="J25" s="1"/>
      <c r="K25" s="1"/>
      <c r="L25" s="1"/>
    </row>
    <row r="26" spans="1:12" ht="12.75">
      <c r="A26" s="165" t="str">
        <f>'FA and GSE Acquire CERs'!A18</f>
        <v>LANDING / RECOVERY</v>
      </c>
      <c r="B26" s="66">
        <f>'FA and GSE Acquire CERs'!Q18</f>
        <v>56.61</v>
      </c>
      <c r="C26" s="66">
        <f>'FA and GSE Acquire CERs'!R18</f>
        <v>56.61</v>
      </c>
      <c r="D26" s="66">
        <f>'FA and GSE Acquire CERs'!S18</f>
        <v>3.67965</v>
      </c>
      <c r="E26" s="66">
        <f>'FA and GSE Acquire CERs'!T18</f>
        <v>116.89965</v>
      </c>
      <c r="F26" s="1"/>
      <c r="G26" s="1"/>
      <c r="H26" s="1"/>
      <c r="I26" s="1"/>
      <c r="J26" s="1"/>
      <c r="K26" s="1"/>
      <c r="L26" s="1"/>
    </row>
    <row r="27" spans="1:12" ht="12.75">
      <c r="A27" s="165" t="str">
        <f>'FA and GSE Acquire CERs'!A19</f>
        <v>VEHICLE TURNAROUND</v>
      </c>
      <c r="B27" s="66">
        <f>'FA and GSE Acquire CERs'!Q19</f>
        <v>41.59290423580632</v>
      </c>
      <c r="C27" s="66">
        <f>'FA and GSE Acquire CERs'!R19</f>
        <v>256.6395800913853</v>
      </c>
      <c r="D27" s="66">
        <f>'FA and GSE Acquire CERs'!S19</f>
        <v>16.681572705940045</v>
      </c>
      <c r="E27" s="66">
        <f>'FA and GSE Acquire CERs'!T19</f>
        <v>314.91405703313166</v>
      </c>
      <c r="F27" s="1"/>
      <c r="G27" s="1"/>
      <c r="H27" s="1"/>
      <c r="I27" s="1"/>
      <c r="J27" s="1"/>
      <c r="K27" s="1"/>
      <c r="L27" s="1"/>
    </row>
    <row r="28" spans="1:12" ht="12.75">
      <c r="A28" s="165" t="str">
        <f>'FA and GSE Acquire CERs'!A20</f>
        <v>VEHICLE ASSEMBLY / INTEGRATION</v>
      </c>
      <c r="B28" s="66">
        <f>'FA and GSE Acquire CERs'!Q20</f>
        <v>342.0201066666667</v>
      </c>
      <c r="C28" s="66">
        <f>'FA and GSE Acquire CERs'!R20</f>
        <v>216.73021333333335</v>
      </c>
      <c r="D28" s="66">
        <f>'FA and GSE Acquire CERs'!S20</f>
        <v>14.087463866666669</v>
      </c>
      <c r="E28" s="66">
        <f>'FA and GSE Acquire CERs'!T20</f>
        <v>572.8377838666668</v>
      </c>
      <c r="F28" s="1"/>
      <c r="G28" s="1"/>
      <c r="H28" s="1"/>
      <c r="I28" s="1"/>
      <c r="J28" s="1"/>
      <c r="K28" s="1"/>
      <c r="L28" s="1"/>
    </row>
    <row r="29" spans="1:12" ht="12.75">
      <c r="A29" s="142" t="str">
        <f>'FA and GSE Acquire CERs'!C21</f>
        <v>Integration Cell Type (VAB derived)</v>
      </c>
      <c r="B29" s="66">
        <f>'FA and GSE Acquire CERs'!Q21</f>
        <v>196.89130666666668</v>
      </c>
      <c r="C29" s="66">
        <f>'FA and GSE Acquire CERs'!R21</f>
        <v>112.22741333333335</v>
      </c>
      <c r="D29" s="66">
        <f>'FA and GSE Acquire CERs'!S21</f>
        <v>7.294781866666668</v>
      </c>
      <c r="E29" s="66">
        <f>'FA and GSE Acquire CERs'!T21</f>
        <v>316.4135018666667</v>
      </c>
      <c r="F29" s="1"/>
      <c r="G29" s="1"/>
      <c r="H29" s="1"/>
      <c r="I29" s="1"/>
      <c r="J29" s="1"/>
      <c r="K29" s="1"/>
      <c r="L29" s="1"/>
    </row>
    <row r="30" spans="1:12" ht="12.75">
      <c r="A30" s="142" t="str">
        <f>'FA and GSE Acquire CERs'!C22</f>
        <v>MLP Derived</v>
      </c>
      <c r="B30" s="66">
        <f>'FA and GSE Acquire CERs'!Q22</f>
        <v>145.1288</v>
      </c>
      <c r="C30" s="66">
        <f>'FA and GSE Acquire CERs'!R22</f>
        <v>104.50280000000001</v>
      </c>
      <c r="D30" s="66">
        <f>'FA and GSE Acquire CERs'!S22</f>
        <v>6.792682000000001</v>
      </c>
      <c r="E30" s="66">
        <f>'FA and GSE Acquire CERs'!T22</f>
        <v>256.424282</v>
      </c>
      <c r="F30" s="1"/>
      <c r="G30" s="1"/>
      <c r="H30" s="1"/>
      <c r="I30" s="1"/>
      <c r="J30" s="1"/>
      <c r="K30" s="1"/>
      <c r="L30" s="1"/>
    </row>
    <row r="31" spans="1:12" ht="12.75">
      <c r="A31" s="165" t="str">
        <f>'FA and GSE Acquire CERs'!A23</f>
        <v>VEHICLE DEPOT MAINTENANCE</v>
      </c>
      <c r="B31" s="66">
        <f>'FA and GSE Acquire CERs'!Q23</f>
        <v>329.90975272561826</v>
      </c>
      <c r="C31" s="66">
        <f>'FA and GSE Acquire CERs'!R23</f>
        <v>461.69874835617964</v>
      </c>
      <c r="D31" s="66">
        <f>'FA and GSE Acquire CERs'!S23</f>
        <v>30.010418643151674</v>
      </c>
      <c r="E31" s="66">
        <f>'FA and GSE Acquire CERs'!T23</f>
        <v>821.6189197249495</v>
      </c>
      <c r="F31" s="1"/>
      <c r="G31" s="1"/>
      <c r="H31" s="1"/>
      <c r="I31" s="1"/>
      <c r="J31" s="1"/>
      <c r="K31" s="1"/>
      <c r="L31" s="1"/>
    </row>
    <row r="32" spans="1:12" ht="12.75">
      <c r="A32" s="165" t="str">
        <f>'FA and GSE Acquire CERs'!A24</f>
        <v>SPACEPORT SUPPORT INFRASTRUCT.</v>
      </c>
      <c r="B32" s="66">
        <f>'FA and GSE Acquire CERs'!Q24</f>
        <v>329.90975272561826</v>
      </c>
      <c r="C32" s="66">
        <f>'FA and GSE Acquire CERs'!R24</f>
        <v>461.69874835617964</v>
      </c>
      <c r="D32" s="66">
        <f>'FA and GSE Acquire CERs'!S24</f>
        <v>30.010418643151674</v>
      </c>
      <c r="E32" s="66">
        <f>'FA and GSE Acquire CERs'!T24</f>
        <v>821.6189197249495</v>
      </c>
      <c r="F32" s="1"/>
      <c r="G32" s="1"/>
      <c r="H32" s="1"/>
      <c r="I32" s="1"/>
      <c r="J32" s="1"/>
      <c r="K32" s="1"/>
      <c r="L32" s="1"/>
    </row>
    <row r="33" spans="1:12" ht="12.75">
      <c r="A33" s="165" t="str">
        <f>'FA and GSE Acquire CERs'!A25</f>
        <v>CONCEPT UNIQUE LOGISTICS</v>
      </c>
      <c r="B33" s="66">
        <f>'FA and GSE Acquire CERs'!Q25</f>
        <v>329.90975272561826</v>
      </c>
      <c r="C33" s="66">
        <f>'FA and GSE Acquire CERs'!R25</f>
        <v>461.69874835617964</v>
      </c>
      <c r="D33" s="66">
        <f>'FA and GSE Acquire CERs'!S25</f>
        <v>30.010418643151674</v>
      </c>
      <c r="E33" s="66">
        <f>'FA and GSE Acquire CERs'!T25</f>
        <v>821.6189197249495</v>
      </c>
      <c r="F33" s="1"/>
      <c r="G33" s="1"/>
      <c r="H33" s="1"/>
      <c r="I33" s="1"/>
      <c r="J33" s="1"/>
      <c r="K33" s="1"/>
      <c r="L33" s="1"/>
    </row>
    <row r="34" spans="1:12" ht="12.75">
      <c r="A34" s="165" t="str">
        <f>'FA and GSE Acquire CERs'!A26</f>
        <v>TRANS.SYS. OPS PLAN. &amp; MANGMNT.</v>
      </c>
      <c r="B34" s="66">
        <f>'FA and GSE Acquire CERs'!Q26</f>
        <v>329.90975272561826</v>
      </c>
      <c r="C34" s="66">
        <f>'FA and GSE Acquire CERs'!R26</f>
        <v>461.69874835617964</v>
      </c>
      <c r="D34" s="66">
        <f>'FA and GSE Acquire CERs'!S26</f>
        <v>30.010418643151674</v>
      </c>
      <c r="E34" s="66">
        <f>'FA and GSE Acquire CERs'!T26</f>
        <v>821.6189197249495</v>
      </c>
      <c r="F34" s="1"/>
      <c r="G34" s="1"/>
      <c r="H34" s="1"/>
      <c r="I34" s="1"/>
      <c r="J34" s="1"/>
      <c r="K34" s="1"/>
      <c r="L34" s="1"/>
    </row>
    <row r="35" spans="1:12" ht="12.75">
      <c r="A35" s="165" t="str">
        <f>'FA and GSE Acquire CERs'!A27</f>
        <v>EXPENDABLE ELEMENT</v>
      </c>
      <c r="B35" s="66">
        <f>'FA and GSE Acquire CERs'!Q27</f>
        <v>0</v>
      </c>
      <c r="C35" s="66">
        <f>'FA and GSE Acquire CERs'!R27</f>
        <v>0</v>
      </c>
      <c r="D35" s="66">
        <f>'FA and GSE Acquire CERs'!S27</f>
        <v>0</v>
      </c>
      <c r="E35" s="66">
        <f>'FA and GSE Acquire CERs'!T27</f>
        <v>0</v>
      </c>
      <c r="F35" s="1"/>
      <c r="G35" s="1"/>
      <c r="H35" s="1"/>
      <c r="I35" s="1"/>
      <c r="J35" s="1"/>
      <c r="K35" s="1"/>
      <c r="L35" s="1"/>
    </row>
    <row r="36" spans="1:12" ht="12.75">
      <c r="A36" s="165" t="str">
        <f>'FA and GSE Acquire CERs'!A28</f>
        <v>COMMUNITY INFRASTRUCTURE</v>
      </c>
      <c r="B36" s="66">
        <f>'FA and GSE Acquire CERs'!Q28</f>
        <v>0</v>
      </c>
      <c r="C36" s="66">
        <f>'FA and GSE Acquire CERs'!R28</f>
        <v>0</v>
      </c>
      <c r="D36" s="66">
        <f>'FA and GSE Acquire CERs'!S28</f>
        <v>0</v>
      </c>
      <c r="E36" s="66">
        <f>'FA and GSE Acquire CERs'!T28</f>
        <v>0</v>
      </c>
      <c r="F36" s="1"/>
      <c r="G36" s="1"/>
      <c r="H36" s="1"/>
      <c r="I36" s="1"/>
      <c r="J36" s="1"/>
      <c r="K36" s="1"/>
      <c r="L36" s="1"/>
    </row>
    <row r="37" spans="1:12" ht="12.75">
      <c r="A37" s="141">
        <f>'FA and GSE Acquire CERs'!A29</f>
        <v>0</v>
      </c>
      <c r="B37" s="66">
        <f>'FA and GSE Acquire CERs'!Q29</f>
        <v>2639.278021804946</v>
      </c>
      <c r="C37" s="66">
        <f>'FA and GSE Acquire CERs'!R29</f>
        <v>3693.589986849437</v>
      </c>
      <c r="D37" s="66">
        <f>'FA and GSE Acquire CERs'!S29</f>
        <v>240.0833491452134</v>
      </c>
      <c r="E37" s="66">
        <f>'FA and GSE Acquire CERs'!T29</f>
        <v>6572.951357799596</v>
      </c>
      <c r="F37" s="1"/>
      <c r="G37" s="1"/>
      <c r="H37" s="1"/>
      <c r="I37" s="1"/>
      <c r="J37" s="1"/>
      <c r="K37" s="1"/>
      <c r="L37" s="1"/>
    </row>
    <row r="38" spans="1:12" ht="12.75">
      <c r="A38" s="1"/>
      <c r="B38" s="66">
        <f>'FA and GSE Acquire CERs'!Q30</f>
        <v>6572.951357799596</v>
      </c>
      <c r="C38" s="1"/>
      <c r="D38" s="1"/>
      <c r="E38" s="1"/>
      <c r="F38" s="1"/>
      <c r="G38" s="1"/>
      <c r="H38" s="1"/>
      <c r="I38" s="1"/>
      <c r="J38" s="1"/>
      <c r="K38" s="1"/>
      <c r="L38" s="1"/>
    </row>
    <row r="39" spans="1:12" ht="13.5" thickBot="1">
      <c r="A39" s="1"/>
      <c r="B39" s="1"/>
      <c r="C39" s="1"/>
      <c r="D39" s="1"/>
      <c r="E39" s="1"/>
      <c r="F39" s="1"/>
      <c r="G39" s="1"/>
      <c r="H39" s="1"/>
      <c r="I39" s="1"/>
      <c r="J39" s="1"/>
      <c r="K39" s="1"/>
      <c r="L39" s="1"/>
    </row>
    <row r="40" spans="1:12" ht="13.5" thickBot="1">
      <c r="A40" s="141"/>
      <c r="B40" s="141"/>
      <c r="C40" s="141"/>
      <c r="D40" s="164" t="s">
        <v>139</v>
      </c>
      <c r="E40" s="150">
        <f>'FA and GSE Acquire CERs'!H138</f>
        <v>160</v>
      </c>
      <c r="F40" s="1"/>
      <c r="G40" s="1"/>
      <c r="H40" s="1"/>
      <c r="I40" s="1"/>
      <c r="J40" s="1"/>
      <c r="K40" s="1"/>
      <c r="L40" s="1"/>
    </row>
    <row r="41" spans="1:12" ht="13.5" thickBot="1">
      <c r="A41" s="4"/>
      <c r="B41" s="4"/>
      <c r="C41" s="4"/>
      <c r="D41" s="4"/>
      <c r="E41" s="150">
        <f>'FA and GSE Acquire CERs'!I138</f>
        <v>135</v>
      </c>
      <c r="F41" s="1"/>
      <c r="G41" s="1"/>
      <c r="H41" s="1"/>
      <c r="I41" s="1"/>
      <c r="J41" s="1"/>
      <c r="K41" s="1"/>
      <c r="L41" s="1"/>
    </row>
    <row r="42" spans="1:12" ht="13.5" thickBot="1">
      <c r="A42" s="4"/>
      <c r="B42" s="4"/>
      <c r="C42" s="4"/>
      <c r="D42" s="4"/>
      <c r="E42" s="150">
        <f>'FA and GSE Acquire CERs'!J138</f>
        <v>47</v>
      </c>
      <c r="F42" s="1"/>
      <c r="G42" s="1"/>
      <c r="H42" s="1"/>
      <c r="I42" s="1"/>
      <c r="J42" s="1"/>
      <c r="K42" s="1"/>
      <c r="L42" s="1"/>
    </row>
    <row r="43" spans="1:12" ht="12.75">
      <c r="A43" s="1"/>
      <c r="B43" s="1"/>
      <c r="C43" s="1"/>
      <c r="D43" s="1"/>
      <c r="E43" s="1"/>
      <c r="F43" s="1"/>
      <c r="G43" s="1"/>
      <c r="H43" s="1"/>
      <c r="I43" s="1"/>
      <c r="J43" s="1"/>
      <c r="K43" s="1"/>
      <c r="L43" s="1"/>
    </row>
  </sheetData>
  <sheetProtection sheet="1" objects="1" scenarios="1"/>
  <printOptions/>
  <pageMargins left="0.75" right="0.75" top="1" bottom="1" header="0.5" footer="0.5"/>
  <pageSetup fitToHeight="1" fitToWidth="1" horizontalDpi="600" verticalDpi="600" orientation="portrait" scale="67" r:id="rId4"/>
  <drawing r:id="rId2"/>
  <legacyDrawing r:id="rId1"/>
  <picture r:id="rId3"/>
</worksheet>
</file>

<file path=xl/worksheets/sheet2.xml><?xml version="1.0" encoding="utf-8"?>
<worksheet xmlns="http://schemas.openxmlformats.org/spreadsheetml/2006/main" xmlns:r="http://schemas.openxmlformats.org/officeDocument/2006/relationships">
  <sheetPr codeName="Sheet2">
    <outlinePr summaryBelow="0"/>
    <pageSetUpPr fitToPage="1"/>
  </sheetPr>
  <dimension ref="A1:Z194"/>
  <sheetViews>
    <sheetView zoomScale="69" zoomScaleNormal="69" workbookViewId="0" topLeftCell="A1">
      <pane ySplit="31" topLeftCell="BM138" activePane="bottomLeft" state="frozen"/>
      <selection pane="topLeft" activeCell="A1" sqref="A1"/>
      <selection pane="bottomLeft" activeCell="M43" sqref="M43"/>
    </sheetView>
  </sheetViews>
  <sheetFormatPr defaultColWidth="9.140625" defaultRowHeight="12.75" outlineLevelRow="1"/>
  <cols>
    <col min="1" max="1" width="17.7109375" style="0" customWidth="1"/>
    <col min="2" max="2" width="8.421875" style="0" customWidth="1"/>
    <col min="3" max="3" width="11.28125" style="0" customWidth="1"/>
    <col min="4" max="4" width="9.140625" style="0" customWidth="1"/>
    <col min="5" max="5" width="10.57421875" style="0" customWidth="1"/>
    <col min="6" max="6" width="9.57421875" style="0" customWidth="1"/>
    <col min="7" max="7" width="9.8515625" style="0" customWidth="1"/>
    <col min="8" max="8" width="10.57421875" style="0" customWidth="1"/>
    <col min="9" max="9" width="13.00390625" style="0" customWidth="1"/>
    <col min="10" max="10" width="10.140625" style="0" customWidth="1"/>
    <col min="11" max="11" width="7.421875" style="0" customWidth="1"/>
    <col min="12" max="12" width="11.8515625" style="0" customWidth="1"/>
    <col min="13" max="13" width="12.8515625" style="0" customWidth="1"/>
    <col min="14" max="14" width="10.140625" style="0" customWidth="1"/>
    <col min="15" max="15" width="9.00390625" style="0" bestFit="1" customWidth="1"/>
    <col min="16" max="16" width="9.28125" style="0" customWidth="1"/>
    <col min="17" max="18" width="10.28125" style="0" bestFit="1" customWidth="1"/>
    <col min="19" max="19" width="9.00390625" style="0" bestFit="1" customWidth="1"/>
    <col min="20" max="20" width="10.57421875" style="0" customWidth="1"/>
  </cols>
  <sheetData>
    <row r="1" spans="1:17" ht="12.75">
      <c r="A1" s="7" t="s">
        <v>50</v>
      </c>
      <c r="C1" s="8" t="s">
        <v>112</v>
      </c>
      <c r="D1" s="9"/>
      <c r="E1" s="9"/>
      <c r="F1" s="9"/>
      <c r="G1" s="9"/>
      <c r="H1" s="9"/>
      <c r="I1" s="9"/>
      <c r="J1" s="9"/>
      <c r="K1" s="9"/>
      <c r="L1" s="9"/>
      <c r="M1" s="9"/>
      <c r="N1" s="9"/>
      <c r="O1" s="9"/>
      <c r="P1" s="107"/>
      <c r="Q1" s="108"/>
    </row>
    <row r="2" spans="1:17" ht="12.75">
      <c r="A2" s="11" t="s">
        <v>51</v>
      </c>
      <c r="C2" s="22" t="s">
        <v>65</v>
      </c>
      <c r="D2" s="23"/>
      <c r="E2" s="23"/>
      <c r="F2" s="23"/>
      <c r="G2" s="23"/>
      <c r="H2" s="23"/>
      <c r="I2" s="23"/>
      <c r="J2" s="23"/>
      <c r="K2" s="23"/>
      <c r="L2" s="23"/>
      <c r="M2" s="23"/>
      <c r="N2" s="23"/>
      <c r="O2" s="23"/>
      <c r="P2" s="109"/>
      <c r="Q2" s="110"/>
    </row>
    <row r="3" spans="1:17" ht="13.5" thickBot="1">
      <c r="A3" s="11" t="s">
        <v>52</v>
      </c>
      <c r="C3" s="159" t="s">
        <v>118</v>
      </c>
      <c r="D3" s="109"/>
      <c r="E3" s="109"/>
      <c r="F3" s="109"/>
      <c r="G3" s="109"/>
      <c r="H3" s="109"/>
      <c r="I3" s="109"/>
      <c r="J3" s="109"/>
      <c r="K3" s="109"/>
      <c r="L3" s="109"/>
      <c r="M3" s="109"/>
      <c r="N3" s="109"/>
      <c r="O3" s="109"/>
      <c r="P3" s="109"/>
      <c r="Q3" s="110"/>
    </row>
    <row r="4" spans="2:26" ht="20.25" customHeight="1">
      <c r="B4" s="1"/>
      <c r="C4" s="160" t="s">
        <v>114</v>
      </c>
      <c r="D4" s="161"/>
      <c r="E4" s="157" t="s">
        <v>163</v>
      </c>
      <c r="F4" s="9"/>
      <c r="G4" s="9"/>
      <c r="H4" s="9"/>
      <c r="I4" s="9"/>
      <c r="J4" s="9"/>
      <c r="K4" s="9"/>
      <c r="L4" s="9"/>
      <c r="M4" s="9"/>
      <c r="N4" s="9"/>
      <c r="O4" s="9"/>
      <c r="P4" s="9"/>
      <c r="Q4" s="10"/>
      <c r="R4" s="1"/>
      <c r="S4" s="1"/>
      <c r="T4" s="1"/>
      <c r="U4" s="1"/>
      <c r="V4" s="1"/>
      <c r="W4" s="1"/>
      <c r="X4" s="1"/>
      <c r="Y4" s="1"/>
      <c r="Z4" s="1"/>
    </row>
    <row r="5" spans="2:26" ht="13.5" thickBot="1">
      <c r="B5" s="1"/>
      <c r="C5" s="162"/>
      <c r="D5" s="163"/>
      <c r="E5" s="158" t="s">
        <v>164</v>
      </c>
      <c r="F5" s="106"/>
      <c r="G5" s="106"/>
      <c r="H5" s="106"/>
      <c r="I5" s="106"/>
      <c r="J5" s="106"/>
      <c r="K5" s="13"/>
      <c r="L5" s="13"/>
      <c r="M5" s="13"/>
      <c r="N5" s="13"/>
      <c r="O5" s="13"/>
      <c r="P5" s="13"/>
      <c r="Q5" s="14"/>
      <c r="R5" s="1"/>
      <c r="S5" s="1"/>
      <c r="T5" s="1"/>
      <c r="U5" s="1"/>
      <c r="V5" s="1"/>
      <c r="W5" s="1"/>
      <c r="X5" s="1"/>
      <c r="Y5" s="1"/>
      <c r="Z5" s="1"/>
    </row>
    <row r="6" spans="2:26" ht="13.5" thickBot="1">
      <c r="B6" s="1"/>
      <c r="C6" s="3" t="s">
        <v>111</v>
      </c>
      <c r="D6" s="1"/>
      <c r="E6" s="143" t="s">
        <v>109</v>
      </c>
      <c r="F6" s="144"/>
      <c r="G6" s="145" t="s">
        <v>108</v>
      </c>
      <c r="H6" s="146"/>
      <c r="I6" s="147" t="s">
        <v>110</v>
      </c>
      <c r="J6" s="148"/>
      <c r="K6" s="149"/>
      <c r="M6" s="1"/>
      <c r="N6" s="1"/>
      <c r="O6" s="1"/>
      <c r="P6" s="1"/>
      <c r="Q6" s="1"/>
      <c r="R6" s="1"/>
      <c r="S6" s="1"/>
      <c r="T6" s="1"/>
      <c r="U6" s="1"/>
      <c r="V6" s="1"/>
      <c r="W6" s="1"/>
      <c r="X6" s="1"/>
      <c r="Y6" s="1"/>
      <c r="Z6" s="1"/>
    </row>
    <row r="7" spans="1:26" ht="12.75">
      <c r="A7" s="1"/>
      <c r="B7" s="1"/>
      <c r="C7" s="1"/>
      <c r="E7" s="155" t="s">
        <v>161</v>
      </c>
      <c r="F7" s="155"/>
      <c r="L7" s="1"/>
      <c r="M7" s="1"/>
      <c r="N7" s="1"/>
      <c r="O7" s="1"/>
      <c r="P7" s="1"/>
      <c r="Q7" s="1"/>
      <c r="R7" s="1"/>
      <c r="S7" s="1"/>
      <c r="T7" s="1"/>
      <c r="U7" s="1"/>
      <c r="V7" s="1"/>
      <c r="W7" s="1"/>
      <c r="X7" s="1"/>
      <c r="Y7" s="1"/>
      <c r="Z7" s="1"/>
    </row>
    <row r="8" spans="1:26" ht="12.75">
      <c r="A8" s="1"/>
      <c r="B8" s="1"/>
      <c r="C8" s="1"/>
      <c r="D8" s="16"/>
      <c r="E8" s="1"/>
      <c r="F8" s="58"/>
      <c r="G8" s="58"/>
      <c r="H8" s="1"/>
      <c r="I8" s="1"/>
      <c r="J8" s="1"/>
      <c r="K8" s="1"/>
      <c r="L8" s="1"/>
      <c r="M8" s="1"/>
      <c r="N8" s="1"/>
      <c r="O8" s="1"/>
      <c r="P8" s="1"/>
      <c r="Q8" s="59" t="s">
        <v>69</v>
      </c>
      <c r="R8" s="2"/>
      <c r="S8" s="2"/>
      <c r="T8" s="2"/>
      <c r="U8" s="1"/>
      <c r="V8" s="1"/>
      <c r="W8" s="1"/>
      <c r="X8" s="1"/>
      <c r="Y8" s="1"/>
      <c r="Z8" s="1"/>
    </row>
    <row r="9" spans="1:26" ht="12.75">
      <c r="A9" s="1"/>
      <c r="B9" s="1"/>
      <c r="C9" s="1"/>
      <c r="D9" s="11"/>
      <c r="E9" s="11" t="s">
        <v>68</v>
      </c>
      <c r="F9" s="11"/>
      <c r="G9" s="15"/>
      <c r="H9" s="1"/>
      <c r="I9" s="1"/>
      <c r="J9" s="1"/>
      <c r="K9" s="1"/>
      <c r="L9" s="1"/>
      <c r="M9" s="1"/>
      <c r="N9" s="1"/>
      <c r="O9" s="1"/>
      <c r="P9" s="1"/>
      <c r="Q9" s="19"/>
      <c r="R9" s="138" t="str">
        <f>'INPUT - OUTPUT'!F14</f>
        <v>STS Settings</v>
      </c>
      <c r="S9" s="92"/>
      <c r="T9" s="19"/>
      <c r="U9" s="1"/>
      <c r="V9" s="1"/>
      <c r="W9" s="1"/>
      <c r="X9" s="1"/>
      <c r="Y9" s="1"/>
      <c r="Z9" s="1"/>
    </row>
    <row r="10" spans="1:26" ht="18">
      <c r="A10" s="17" t="s">
        <v>55</v>
      </c>
      <c r="B10" s="18"/>
      <c r="C10" s="18"/>
      <c r="D10" s="15"/>
      <c r="E10" s="91" t="s">
        <v>94</v>
      </c>
      <c r="F10" s="15"/>
      <c r="G10" s="15"/>
      <c r="H10" s="1"/>
      <c r="I10" s="1"/>
      <c r="J10" s="1"/>
      <c r="K10" s="1"/>
      <c r="L10" s="1"/>
      <c r="M10" s="1"/>
      <c r="N10" s="1"/>
      <c r="O10" s="1"/>
      <c r="P10" s="1"/>
      <c r="Q10" s="19"/>
      <c r="R10" s="91" t="s">
        <v>94</v>
      </c>
      <c r="S10" s="19"/>
      <c r="T10" s="19"/>
      <c r="U10" s="1"/>
      <c r="V10" s="1"/>
      <c r="W10" s="1"/>
      <c r="X10" s="1"/>
      <c r="Y10" s="1"/>
      <c r="Z10" s="1"/>
    </row>
    <row r="11" spans="1:26" ht="13.5" thickBot="1">
      <c r="A11" s="16"/>
      <c r="B11" s="1"/>
      <c r="C11" s="1"/>
      <c r="D11" s="15"/>
      <c r="E11" s="19"/>
      <c r="F11" s="15"/>
      <c r="G11" s="20" t="s">
        <v>53</v>
      </c>
      <c r="H11" s="1"/>
      <c r="I11" s="1"/>
      <c r="J11" s="1"/>
      <c r="K11" s="1"/>
      <c r="L11" s="1"/>
      <c r="M11" s="1"/>
      <c r="N11" s="1"/>
      <c r="O11" s="1"/>
      <c r="P11" s="1"/>
      <c r="Q11" s="11"/>
      <c r="R11" s="11"/>
      <c r="S11" s="20"/>
      <c r="T11" s="20" t="s">
        <v>53</v>
      </c>
      <c r="U11" s="1"/>
      <c r="V11" s="1"/>
      <c r="W11" s="1"/>
      <c r="X11" s="1"/>
      <c r="Y11" s="1"/>
      <c r="Z11" s="1"/>
    </row>
    <row r="12" spans="1:26" ht="13.5" thickBot="1">
      <c r="A12" s="15" t="s">
        <v>0</v>
      </c>
      <c r="B12" s="15"/>
      <c r="C12" s="15"/>
      <c r="D12" s="20" t="s">
        <v>1</v>
      </c>
      <c r="E12" s="20" t="s">
        <v>2</v>
      </c>
      <c r="F12" s="20" t="s">
        <v>49</v>
      </c>
      <c r="G12" s="20" t="s">
        <v>54</v>
      </c>
      <c r="H12" s="67" t="s">
        <v>3</v>
      </c>
      <c r="I12" s="68"/>
      <c r="J12" s="68"/>
      <c r="K12" s="68"/>
      <c r="L12" s="69"/>
      <c r="M12" s="1"/>
      <c r="N12" s="1"/>
      <c r="O12" s="1"/>
      <c r="P12" s="1"/>
      <c r="Q12" s="20" t="s">
        <v>1</v>
      </c>
      <c r="R12" s="20" t="s">
        <v>2</v>
      </c>
      <c r="S12" s="20" t="s">
        <v>49</v>
      </c>
      <c r="T12" s="20" t="s">
        <v>54</v>
      </c>
      <c r="U12" s="1"/>
      <c r="V12" s="1"/>
      <c r="W12" s="1"/>
      <c r="X12" s="1"/>
      <c r="Y12" s="1"/>
      <c r="Z12" s="1"/>
    </row>
    <row r="13" spans="1:26" ht="12.75">
      <c r="A13" s="63" t="s">
        <v>4</v>
      </c>
      <c r="B13" s="64"/>
      <c r="C13" s="64"/>
      <c r="D13" s="21">
        <f>M49</f>
        <v>28.711999999999996</v>
      </c>
      <c r="E13" s="21">
        <f>N49</f>
        <v>59.1408</v>
      </c>
      <c r="F13" s="21">
        <f>O49</f>
        <v>3.8441520000000002</v>
      </c>
      <c r="G13" s="21">
        <f>SUM(D13:F13)</f>
        <v>91.696952</v>
      </c>
      <c r="H13" s="8" t="s">
        <v>100</v>
      </c>
      <c r="I13" s="9"/>
      <c r="J13" s="9"/>
      <c r="K13" s="9"/>
      <c r="L13" s="9"/>
      <c r="M13" s="9"/>
      <c r="N13" s="9"/>
      <c r="O13" s="9"/>
      <c r="P13" s="10"/>
      <c r="Q13" s="66">
        <f>M51</f>
        <v>28.711999999999996</v>
      </c>
      <c r="R13" s="21">
        <f>N51</f>
        <v>59.1408</v>
      </c>
      <c r="S13" s="21">
        <f>O51</f>
        <v>3.8441520000000002</v>
      </c>
      <c r="T13" s="21">
        <f>SUM(Q13:S13)</f>
        <v>91.696952</v>
      </c>
      <c r="U13" s="1"/>
      <c r="V13" s="1"/>
      <c r="W13" s="1"/>
      <c r="X13" s="1"/>
      <c r="Y13" s="1"/>
      <c r="Z13" s="1"/>
    </row>
    <row r="14" spans="1:26" ht="12.75">
      <c r="A14" s="65" t="s">
        <v>5</v>
      </c>
      <c r="B14" s="61"/>
      <c r="C14" s="61"/>
      <c r="D14" s="21">
        <f>M62</f>
        <v>4.07</v>
      </c>
      <c r="E14" s="21">
        <f>N62</f>
        <v>55.4704</v>
      </c>
      <c r="F14" s="21">
        <f>O62</f>
        <v>3.605576</v>
      </c>
      <c r="G14" s="21">
        <f>SUM(D14:F14)</f>
        <v>63.145976</v>
      </c>
      <c r="H14" s="22" t="s">
        <v>101</v>
      </c>
      <c r="I14" s="23"/>
      <c r="J14" s="23"/>
      <c r="K14" s="23"/>
      <c r="L14" s="23"/>
      <c r="M14" s="23"/>
      <c r="N14" s="23"/>
      <c r="O14" s="23"/>
      <c r="P14" s="24"/>
      <c r="Q14" s="66">
        <f>M64</f>
        <v>4.07</v>
      </c>
      <c r="R14" s="21">
        <f>N64</f>
        <v>55.4704</v>
      </c>
      <c r="S14" s="21">
        <f>O64</f>
        <v>3.605576</v>
      </c>
      <c r="T14" s="21">
        <f aca="true" t="shared" si="0" ref="T14:T28">SUM(Q14:S14)</f>
        <v>63.145976</v>
      </c>
      <c r="U14" s="1"/>
      <c r="V14" s="1"/>
      <c r="W14" s="1"/>
      <c r="X14" s="1"/>
      <c r="Y14" s="1"/>
      <c r="Z14" s="1"/>
    </row>
    <row r="15" spans="1:26" ht="12.75">
      <c r="A15" s="65" t="s">
        <v>6</v>
      </c>
      <c r="B15" s="61"/>
      <c r="C15" s="61"/>
      <c r="D15" s="21">
        <f>SUM(D16:D17)</f>
        <v>846.634</v>
      </c>
      <c r="E15" s="21">
        <f>SUM(E16:E17)</f>
        <v>1202.2039999999997</v>
      </c>
      <c r="F15" s="21">
        <f>SUM(F16:F17)</f>
        <v>78.14326</v>
      </c>
      <c r="G15" s="21">
        <f aca="true" t="shared" si="1" ref="G15:G28">SUM(D15:F15)</f>
        <v>2126.9812599999996</v>
      </c>
      <c r="H15" s="1"/>
      <c r="I15" s="23"/>
      <c r="J15" s="23"/>
      <c r="K15" s="23"/>
      <c r="L15" s="23"/>
      <c r="M15" s="23"/>
      <c r="N15" s="23"/>
      <c r="O15" s="23"/>
      <c r="P15" s="24"/>
      <c r="Q15" s="66">
        <f>SUM(Q16:Q17)</f>
        <v>846.634</v>
      </c>
      <c r="R15" s="66">
        <f>SUM(R16:R17)</f>
        <v>1202.2039999999997</v>
      </c>
      <c r="S15" s="66">
        <f>SUM(S16:S17)</f>
        <v>78.14326</v>
      </c>
      <c r="T15" s="21">
        <f t="shared" si="0"/>
        <v>2126.9812599999996</v>
      </c>
      <c r="U15" s="1"/>
      <c r="V15" s="1"/>
      <c r="W15" s="1"/>
      <c r="X15" s="1"/>
      <c r="Y15" s="1"/>
      <c r="Z15" s="1"/>
    </row>
    <row r="16" spans="1:26" ht="12.75" outlineLevel="1">
      <c r="A16" s="65"/>
      <c r="B16" s="61"/>
      <c r="C16" s="62" t="s">
        <v>80</v>
      </c>
      <c r="D16" s="21">
        <f>M74</f>
        <v>455.46999999999997</v>
      </c>
      <c r="E16" s="21">
        <f>N74</f>
        <v>646.7599999999999</v>
      </c>
      <c r="F16" s="21">
        <f>O74</f>
        <v>42.03939999999999</v>
      </c>
      <c r="G16" s="21">
        <f>SUM(D16:F16)</f>
        <v>1144.2693999999997</v>
      </c>
      <c r="H16" s="22" t="s">
        <v>102</v>
      </c>
      <c r="I16" s="23"/>
      <c r="J16" s="23"/>
      <c r="K16" s="23"/>
      <c r="L16" s="23"/>
      <c r="M16" s="23"/>
      <c r="N16" s="23"/>
      <c r="O16" s="23"/>
      <c r="P16" s="24"/>
      <c r="Q16" s="66">
        <f>M75</f>
        <v>455.46999999999997</v>
      </c>
      <c r="R16" s="21">
        <f>N75</f>
        <v>646.7599999999999</v>
      </c>
      <c r="S16" s="21">
        <f>O75</f>
        <v>42.03939999999999</v>
      </c>
      <c r="T16" s="21">
        <f t="shared" si="0"/>
        <v>1144.2693999999997</v>
      </c>
      <c r="U16" s="1"/>
      <c r="V16" s="1"/>
      <c r="W16" s="1"/>
      <c r="X16" s="1"/>
      <c r="Y16" s="1"/>
      <c r="Z16" s="1"/>
    </row>
    <row r="17" spans="1:26" ht="12.75" outlineLevel="1">
      <c r="A17" s="65"/>
      <c r="B17" s="61"/>
      <c r="C17" s="62" t="s">
        <v>79</v>
      </c>
      <c r="D17" s="21">
        <f>M87</f>
        <v>391.164</v>
      </c>
      <c r="E17" s="21">
        <f>N87</f>
        <v>555.444</v>
      </c>
      <c r="F17" s="21">
        <f>O87</f>
        <v>36.10386</v>
      </c>
      <c r="G17" s="21">
        <f>SUM(D17:F17)</f>
        <v>982.7118599999999</v>
      </c>
      <c r="H17" s="22" t="s">
        <v>103</v>
      </c>
      <c r="I17" s="23"/>
      <c r="J17" s="23"/>
      <c r="K17" s="23"/>
      <c r="L17" s="23"/>
      <c r="M17" s="23"/>
      <c r="N17" s="23"/>
      <c r="O17" s="23"/>
      <c r="P17" s="24"/>
      <c r="Q17" s="66">
        <f>M88</f>
        <v>391.164</v>
      </c>
      <c r="R17" s="21">
        <f>N88</f>
        <v>555.444</v>
      </c>
      <c r="S17" s="21">
        <f>O88</f>
        <v>36.10386</v>
      </c>
      <c r="T17" s="21">
        <f t="shared" si="0"/>
        <v>982.7118599999999</v>
      </c>
      <c r="U17" s="1"/>
      <c r="V17" s="1"/>
      <c r="W17" s="1"/>
      <c r="X17" s="1"/>
      <c r="Y17" s="1"/>
      <c r="Z17" s="1"/>
    </row>
    <row r="18" spans="1:26" ht="12.75">
      <c r="A18" s="65" t="s">
        <v>7</v>
      </c>
      <c r="B18" s="65"/>
      <c r="C18" s="65"/>
      <c r="D18" s="21">
        <f>M100</f>
        <v>56.61</v>
      </c>
      <c r="E18" s="21">
        <f>N100</f>
        <v>56.61</v>
      </c>
      <c r="F18" s="21">
        <f>O100</f>
        <v>3.67965</v>
      </c>
      <c r="G18" s="21">
        <f t="shared" si="1"/>
        <v>116.89965</v>
      </c>
      <c r="H18" s="22" t="s">
        <v>99</v>
      </c>
      <c r="I18" s="23"/>
      <c r="J18" s="23"/>
      <c r="K18" s="23"/>
      <c r="L18" s="23"/>
      <c r="M18" s="23"/>
      <c r="N18" s="23"/>
      <c r="O18" s="23"/>
      <c r="P18" s="24"/>
      <c r="Q18" s="66">
        <f>M101</f>
        <v>56.61</v>
      </c>
      <c r="R18" s="21">
        <f>N101</f>
        <v>56.61</v>
      </c>
      <c r="S18" s="21">
        <f>O101</f>
        <v>3.67965</v>
      </c>
      <c r="T18" s="21">
        <f t="shared" si="0"/>
        <v>116.89965</v>
      </c>
      <c r="U18" s="1"/>
      <c r="V18" s="1"/>
      <c r="W18" s="1"/>
      <c r="X18" s="1"/>
      <c r="Y18" s="1"/>
      <c r="Z18" s="1"/>
    </row>
    <row r="19" spans="1:26" ht="12.75">
      <c r="A19" s="65" t="s">
        <v>8</v>
      </c>
      <c r="B19" s="61"/>
      <c r="C19" s="61"/>
      <c r="D19" s="21">
        <f>M111</f>
        <v>41.59290423580632</v>
      </c>
      <c r="E19" s="21">
        <f>N111</f>
        <v>256.6395800913853</v>
      </c>
      <c r="F19" s="21">
        <f>O111</f>
        <v>16.681572705940045</v>
      </c>
      <c r="G19" s="21">
        <f t="shared" si="1"/>
        <v>314.91405703313166</v>
      </c>
      <c r="H19" s="22" t="s">
        <v>107</v>
      </c>
      <c r="I19" s="23"/>
      <c r="J19" s="23"/>
      <c r="K19" s="23"/>
      <c r="L19" s="23"/>
      <c r="M19" s="23"/>
      <c r="N19" s="23"/>
      <c r="O19" s="23"/>
      <c r="P19" s="24"/>
      <c r="Q19" s="66">
        <f>M116</f>
        <v>41.59290423580632</v>
      </c>
      <c r="R19" s="21">
        <f>N116</f>
        <v>256.6395800913853</v>
      </c>
      <c r="S19" s="21">
        <f>O116</f>
        <v>16.681572705940045</v>
      </c>
      <c r="T19" s="21">
        <f t="shared" si="0"/>
        <v>314.91405703313166</v>
      </c>
      <c r="U19" s="1"/>
      <c r="V19" s="1"/>
      <c r="W19" s="1"/>
      <c r="X19" s="1"/>
      <c r="Y19" s="1"/>
      <c r="Z19" s="1"/>
    </row>
    <row r="20" spans="1:26" ht="12.75">
      <c r="A20" s="65" t="s">
        <v>9</v>
      </c>
      <c r="B20" s="61"/>
      <c r="C20" s="61"/>
      <c r="D20" s="21">
        <f>SUM(D21:D22)</f>
        <v>329.7144</v>
      </c>
      <c r="E20" s="21">
        <f>SUM(E21:E22)</f>
        <v>209.716</v>
      </c>
      <c r="F20" s="21">
        <f>SUM(F21:F22)</f>
        <v>13.631540000000001</v>
      </c>
      <c r="G20" s="21">
        <f t="shared" si="1"/>
        <v>553.0619399999999</v>
      </c>
      <c r="H20" s="22"/>
      <c r="I20" s="23"/>
      <c r="J20" s="23"/>
      <c r="K20" s="23"/>
      <c r="L20" s="23"/>
      <c r="M20" s="23"/>
      <c r="N20" s="23"/>
      <c r="O20" s="23"/>
      <c r="P20" s="24"/>
      <c r="Q20" s="66">
        <f>SUM(Q21:Q22)</f>
        <v>342.0201066666667</v>
      </c>
      <c r="R20" s="21">
        <f>SUM(R21:R22)</f>
        <v>216.73021333333335</v>
      </c>
      <c r="S20" s="21">
        <f>SUM(S21:S22)</f>
        <v>14.087463866666669</v>
      </c>
      <c r="T20" s="21">
        <f t="shared" si="0"/>
        <v>572.8377838666668</v>
      </c>
      <c r="U20" s="1"/>
      <c r="V20" s="1"/>
      <c r="W20" s="1"/>
      <c r="X20" s="1"/>
      <c r="Y20" s="1"/>
      <c r="Z20" s="1"/>
    </row>
    <row r="21" spans="1:26" ht="12.75" outlineLevel="1">
      <c r="A21" s="65"/>
      <c r="B21" s="61"/>
      <c r="C21" s="62" t="s">
        <v>72</v>
      </c>
      <c r="D21" s="21">
        <f>M124</f>
        <v>184.5856</v>
      </c>
      <c r="E21" s="21">
        <f>N124</f>
        <v>105.2132</v>
      </c>
      <c r="F21" s="21">
        <f>O124</f>
        <v>6.838858</v>
      </c>
      <c r="G21" s="21">
        <f t="shared" si="1"/>
        <v>296.63765800000004</v>
      </c>
      <c r="H21" s="22" t="s">
        <v>123</v>
      </c>
      <c r="I21" s="23"/>
      <c r="J21" s="23"/>
      <c r="K21" s="23"/>
      <c r="L21" s="23"/>
      <c r="M21" s="23"/>
      <c r="N21" s="23"/>
      <c r="O21" s="23"/>
      <c r="P21" s="24"/>
      <c r="Q21" s="66">
        <f>M129</f>
        <v>196.89130666666668</v>
      </c>
      <c r="R21" s="21">
        <f>N129</f>
        <v>112.22741333333335</v>
      </c>
      <c r="S21" s="21">
        <f>O129</f>
        <v>7.294781866666668</v>
      </c>
      <c r="T21" s="21">
        <f t="shared" si="0"/>
        <v>316.4135018666667</v>
      </c>
      <c r="U21" s="1"/>
      <c r="V21" s="1"/>
      <c r="W21" s="1"/>
      <c r="X21" s="1"/>
      <c r="Y21" s="1"/>
      <c r="Z21" s="1"/>
    </row>
    <row r="22" spans="1:26" ht="12.75" outlineLevel="1">
      <c r="A22" s="65"/>
      <c r="B22" s="61"/>
      <c r="C22" s="62" t="s">
        <v>73</v>
      </c>
      <c r="D22" s="21">
        <f>M147</f>
        <v>145.1288</v>
      </c>
      <c r="E22" s="21">
        <f>N147</f>
        <v>104.50280000000001</v>
      </c>
      <c r="F22" s="21">
        <f>O147</f>
        <v>6.792682000000001</v>
      </c>
      <c r="G22" s="21">
        <f t="shared" si="1"/>
        <v>256.424282</v>
      </c>
      <c r="H22" s="22" t="s">
        <v>151</v>
      </c>
      <c r="I22" s="23"/>
      <c r="J22" s="23"/>
      <c r="K22" s="23"/>
      <c r="L22" s="23"/>
      <c r="M22" s="23"/>
      <c r="N22" s="23"/>
      <c r="O22" s="23"/>
      <c r="P22" s="24"/>
      <c r="Q22" s="66">
        <f>M148</f>
        <v>145.1288</v>
      </c>
      <c r="R22" s="21">
        <f>N148</f>
        <v>104.50280000000001</v>
      </c>
      <c r="S22" s="21">
        <f>O148</f>
        <v>6.792682000000001</v>
      </c>
      <c r="T22" s="21">
        <f t="shared" si="0"/>
        <v>256.424282</v>
      </c>
      <c r="U22" s="1"/>
      <c r="V22" s="1"/>
      <c r="W22" s="1"/>
      <c r="X22" s="1"/>
      <c r="Y22" s="1"/>
      <c r="Z22" s="1"/>
    </row>
    <row r="23" spans="1:26" ht="12.75">
      <c r="A23" s="25" t="s">
        <v>10</v>
      </c>
      <c r="B23" s="23"/>
      <c r="C23" s="23"/>
      <c r="D23" s="21">
        <f>0.25*SUM(D13:D15)+0.25*SUM(D18:D20)+0.25*D27</f>
        <v>326.83332605895157</v>
      </c>
      <c r="E23" s="21">
        <f>0.25*SUM(E13:E15)+0.25*SUM(E18:E20)+0.25*E27</f>
        <v>459.9451950228463</v>
      </c>
      <c r="F23" s="21">
        <f>0.25*SUM(F13:F15)+0.25*SUM(F18:F20)+0.25*F27</f>
        <v>29.896437676485007</v>
      </c>
      <c r="G23" s="21">
        <f t="shared" si="1"/>
        <v>816.6749587582829</v>
      </c>
      <c r="H23" s="22" t="s">
        <v>149</v>
      </c>
      <c r="I23" s="23"/>
      <c r="J23" s="23"/>
      <c r="K23" s="23"/>
      <c r="L23" s="61"/>
      <c r="M23" s="23"/>
      <c r="N23" s="23"/>
      <c r="O23" s="23"/>
      <c r="P23" s="24"/>
      <c r="Q23" s="21">
        <f>0.25*SUM(Q13:Q15)+0.25*SUM(Q18:Q20)+0.25*Q27</f>
        <v>329.90975272561826</v>
      </c>
      <c r="R23" s="21">
        <f>0.25*SUM(R13:R15)+0.25*SUM(R18:R20)+0.25*R27</f>
        <v>461.69874835617964</v>
      </c>
      <c r="S23" s="21">
        <f>0.25*SUM(S13:S15)+0.25*SUM(S18:S20)+0.25*S27</f>
        <v>30.010418643151674</v>
      </c>
      <c r="T23" s="21">
        <f t="shared" si="0"/>
        <v>821.6189197249495</v>
      </c>
      <c r="U23" s="1"/>
      <c r="V23" s="1"/>
      <c r="W23" s="1"/>
      <c r="X23" s="1"/>
      <c r="Y23" s="1"/>
      <c r="Z23" s="1"/>
    </row>
    <row r="24" spans="1:26" ht="12.75">
      <c r="A24" s="25" t="s">
        <v>11</v>
      </c>
      <c r="B24" s="23"/>
      <c r="C24" s="23"/>
      <c r="D24" s="21">
        <f>D23</f>
        <v>326.83332605895157</v>
      </c>
      <c r="E24" s="21">
        <f aca="true" t="shared" si="2" ref="E24:F26">E23</f>
        <v>459.9451950228463</v>
      </c>
      <c r="F24" s="21">
        <f t="shared" si="2"/>
        <v>29.896437676485007</v>
      </c>
      <c r="G24" s="21">
        <f t="shared" si="1"/>
        <v>816.6749587582829</v>
      </c>
      <c r="H24" s="22" t="s">
        <v>149</v>
      </c>
      <c r="I24" s="23"/>
      <c r="J24" s="23"/>
      <c r="K24" s="23"/>
      <c r="L24" s="23"/>
      <c r="M24" s="23"/>
      <c r="N24" s="23"/>
      <c r="O24" s="23"/>
      <c r="P24" s="24"/>
      <c r="Q24" s="21">
        <f aca="true" t="shared" si="3" ref="Q24:S26">Q23</f>
        <v>329.90975272561826</v>
      </c>
      <c r="R24" s="21">
        <f t="shared" si="3"/>
        <v>461.69874835617964</v>
      </c>
      <c r="S24" s="21">
        <f t="shared" si="3"/>
        <v>30.010418643151674</v>
      </c>
      <c r="T24" s="21">
        <f t="shared" si="0"/>
        <v>821.6189197249495</v>
      </c>
      <c r="U24" s="1"/>
      <c r="V24" s="1"/>
      <c r="W24" s="1"/>
      <c r="X24" s="1"/>
      <c r="Y24" s="1"/>
      <c r="Z24" s="1"/>
    </row>
    <row r="25" spans="1:26" ht="12.75">
      <c r="A25" s="25" t="s">
        <v>12</v>
      </c>
      <c r="B25" s="23"/>
      <c r="C25" s="23"/>
      <c r="D25" s="21">
        <f>D24</f>
        <v>326.83332605895157</v>
      </c>
      <c r="E25" s="21">
        <f t="shared" si="2"/>
        <v>459.9451950228463</v>
      </c>
      <c r="F25" s="21">
        <f t="shared" si="2"/>
        <v>29.896437676485007</v>
      </c>
      <c r="G25" s="21">
        <f t="shared" si="1"/>
        <v>816.6749587582829</v>
      </c>
      <c r="H25" s="22" t="s">
        <v>149</v>
      </c>
      <c r="I25" s="23"/>
      <c r="J25" s="23"/>
      <c r="L25" s="23"/>
      <c r="M25" s="23"/>
      <c r="N25" s="23"/>
      <c r="O25" s="23"/>
      <c r="P25" s="24"/>
      <c r="Q25" s="21">
        <f t="shared" si="3"/>
        <v>329.90975272561826</v>
      </c>
      <c r="R25" s="21">
        <f t="shared" si="3"/>
        <v>461.69874835617964</v>
      </c>
      <c r="S25" s="21">
        <f t="shared" si="3"/>
        <v>30.010418643151674</v>
      </c>
      <c r="T25" s="21">
        <f t="shared" si="0"/>
        <v>821.6189197249495</v>
      </c>
      <c r="U25" s="1"/>
      <c r="V25" s="1"/>
      <c r="W25" s="1"/>
      <c r="X25" s="1"/>
      <c r="Y25" s="1"/>
      <c r="Z25" s="1"/>
    </row>
    <row r="26" spans="1:26" ht="12.75">
      <c r="A26" s="25" t="s">
        <v>13</v>
      </c>
      <c r="B26" s="23"/>
      <c r="C26" s="23"/>
      <c r="D26" s="21">
        <f>D25</f>
        <v>326.83332605895157</v>
      </c>
      <c r="E26" s="21">
        <f t="shared" si="2"/>
        <v>459.9451950228463</v>
      </c>
      <c r="F26" s="21">
        <f t="shared" si="2"/>
        <v>29.896437676485007</v>
      </c>
      <c r="G26" s="21">
        <f t="shared" si="1"/>
        <v>816.6749587582829</v>
      </c>
      <c r="H26" s="22" t="s">
        <v>149</v>
      </c>
      <c r="I26" s="23"/>
      <c r="J26" s="23"/>
      <c r="K26" s="23"/>
      <c r="L26" s="23"/>
      <c r="M26" s="23"/>
      <c r="N26" s="23"/>
      <c r="O26" s="23"/>
      <c r="P26" s="24"/>
      <c r="Q26" s="21">
        <f t="shared" si="3"/>
        <v>329.90975272561826</v>
      </c>
      <c r="R26" s="21">
        <f t="shared" si="3"/>
        <v>461.69874835617964</v>
      </c>
      <c r="S26" s="21">
        <f t="shared" si="3"/>
        <v>30.010418643151674</v>
      </c>
      <c r="T26" s="21">
        <f t="shared" si="0"/>
        <v>821.6189197249495</v>
      </c>
      <c r="U26" s="1"/>
      <c r="V26" s="1"/>
      <c r="W26" s="1"/>
      <c r="X26" s="1"/>
      <c r="Y26" s="1"/>
      <c r="Z26" s="1"/>
    </row>
    <row r="27" spans="1:26" ht="12.75">
      <c r="A27" s="65" t="s">
        <v>14</v>
      </c>
      <c r="B27" s="61"/>
      <c r="C27" s="61"/>
      <c r="D27" s="21">
        <v>0</v>
      </c>
      <c r="E27" s="21">
        <v>0</v>
      </c>
      <c r="F27" s="21">
        <v>0</v>
      </c>
      <c r="G27" s="21">
        <f t="shared" si="1"/>
        <v>0</v>
      </c>
      <c r="H27" s="22" t="s">
        <v>153</v>
      </c>
      <c r="I27" s="23"/>
      <c r="J27" s="23"/>
      <c r="K27" s="23"/>
      <c r="L27" s="23"/>
      <c r="M27" s="23"/>
      <c r="N27" s="23"/>
      <c r="O27" s="23"/>
      <c r="P27" s="24"/>
      <c r="Q27" s="66">
        <v>0</v>
      </c>
      <c r="R27" s="21">
        <v>0</v>
      </c>
      <c r="S27" s="21">
        <v>0</v>
      </c>
      <c r="T27" s="21">
        <f t="shared" si="0"/>
        <v>0</v>
      </c>
      <c r="U27" s="1"/>
      <c r="V27" s="1"/>
      <c r="W27" s="1"/>
      <c r="X27" s="1"/>
      <c r="Y27" s="1"/>
      <c r="Z27" s="1"/>
    </row>
    <row r="28" spans="1:26" ht="13.5" thickBot="1">
      <c r="A28" s="26" t="s">
        <v>15</v>
      </c>
      <c r="B28" s="13"/>
      <c r="C28" s="13"/>
      <c r="D28" s="21">
        <v>0</v>
      </c>
      <c r="E28" s="21">
        <v>0</v>
      </c>
      <c r="F28" s="21">
        <v>0</v>
      </c>
      <c r="G28" s="21">
        <f t="shared" si="1"/>
        <v>0</v>
      </c>
      <c r="H28" s="12" t="s">
        <v>150</v>
      </c>
      <c r="I28" s="13"/>
      <c r="J28" s="13"/>
      <c r="K28" s="13"/>
      <c r="L28" s="13"/>
      <c r="M28" s="13"/>
      <c r="N28" s="13"/>
      <c r="O28" s="13"/>
      <c r="P28" s="14"/>
      <c r="Q28" s="66">
        <v>0</v>
      </c>
      <c r="R28" s="21">
        <v>0</v>
      </c>
      <c r="S28" s="21">
        <v>0</v>
      </c>
      <c r="T28" s="21">
        <f t="shared" si="0"/>
        <v>0</v>
      </c>
      <c r="U28" s="1"/>
      <c r="V28" s="1"/>
      <c r="W28" s="1"/>
      <c r="X28" s="1"/>
      <c r="Y28" s="1"/>
      <c r="Z28" s="1"/>
    </row>
    <row r="29" spans="1:26" ht="12.75">
      <c r="A29" s="16"/>
      <c r="B29" s="1"/>
      <c r="C29" s="60" t="s">
        <v>70</v>
      </c>
      <c r="D29" s="21">
        <f>SUM(D13:D15)+SUM(D18:D20)+SUM(D23:D28)</f>
        <v>2614.6666084716126</v>
      </c>
      <c r="E29" s="21">
        <f>SUM(E13:E15)+SUM(E18:E20)+SUM(E23:E28)</f>
        <v>3679.5615601827703</v>
      </c>
      <c r="F29" s="21">
        <f>SUM(F13:F15)+SUM(F18:F20)+SUM(F23:F28)</f>
        <v>239.17150141188006</v>
      </c>
      <c r="G29" s="21">
        <f>SUM(G13:G15)+SUM(G18:G20)+SUM(G23:G28)</f>
        <v>6533.399670066263</v>
      </c>
      <c r="H29" s="1"/>
      <c r="I29" s="1"/>
      <c r="J29" s="1"/>
      <c r="N29" s="1"/>
      <c r="O29" s="1"/>
      <c r="P29" s="60" t="s">
        <v>70</v>
      </c>
      <c r="Q29" s="21">
        <f>SUM(Q13:Q15)+SUM(Q18:Q20)+SUM(Q23:Q28)</f>
        <v>2639.278021804946</v>
      </c>
      <c r="R29" s="21">
        <f>SUM(R13:R15)+SUM(R18:R20)+SUM(R23:R28)</f>
        <v>3693.589986849437</v>
      </c>
      <c r="S29" s="21">
        <f>SUM(S13:S15)+SUM(S18:S20)+SUM(S23:S28)</f>
        <v>240.0833491452134</v>
      </c>
      <c r="T29" s="21">
        <f>SUM(T13:T15)+SUM(T18:T20)+SUM(T23:T28)</f>
        <v>6572.951357799596</v>
      </c>
      <c r="U29" s="1"/>
      <c r="V29" s="1"/>
      <c r="W29" s="1"/>
      <c r="X29" s="1"/>
      <c r="Y29" s="1"/>
      <c r="Z29" s="1"/>
    </row>
    <row r="30" spans="1:26" ht="12.75">
      <c r="A30" s="16"/>
      <c r="B30" s="1"/>
      <c r="C30" s="60" t="s">
        <v>71</v>
      </c>
      <c r="D30" s="21">
        <f>SUM(D29:F29)</f>
        <v>6533.399670066263</v>
      </c>
      <c r="E30" s="39" t="s">
        <v>156</v>
      </c>
      <c r="F30" s="39"/>
      <c r="G30" s="27"/>
      <c r="H30" s="1"/>
      <c r="I30" s="1"/>
      <c r="J30" s="1"/>
      <c r="K30" s="1"/>
      <c r="L30" s="1"/>
      <c r="M30" s="1"/>
      <c r="N30" s="1"/>
      <c r="O30" s="1"/>
      <c r="P30" s="60" t="s">
        <v>71</v>
      </c>
      <c r="Q30" s="21">
        <f>SUM(Q29:S29)</f>
        <v>6572.951357799596</v>
      </c>
      <c r="R30" s="1"/>
      <c r="S30" s="1"/>
      <c r="T30" s="1"/>
      <c r="U30" s="1"/>
      <c r="V30" s="1"/>
      <c r="W30" s="1"/>
      <c r="X30" s="1"/>
      <c r="Y30" s="1"/>
      <c r="Z30" s="1"/>
    </row>
    <row r="31" spans="1:26" ht="12.75">
      <c r="A31" s="19"/>
      <c r="B31" s="19"/>
      <c r="C31" s="19"/>
      <c r="D31" s="28"/>
      <c r="E31" s="19"/>
      <c r="F31" s="19" t="s">
        <v>16</v>
      </c>
      <c r="G31" s="19"/>
      <c r="H31" s="19"/>
      <c r="I31" s="19"/>
      <c r="J31" s="19"/>
      <c r="K31" s="19"/>
      <c r="L31" s="19"/>
      <c r="M31" s="19"/>
      <c r="N31" s="19"/>
      <c r="O31" s="19"/>
      <c r="P31" s="19"/>
      <c r="Q31" s="19"/>
      <c r="R31" s="19"/>
      <c r="S31" s="19"/>
      <c r="T31" s="19"/>
      <c r="U31" s="1"/>
      <c r="V31" s="1"/>
      <c r="W31" s="1"/>
      <c r="X31" s="1"/>
      <c r="Y31" s="1"/>
      <c r="Z31" s="1"/>
    </row>
    <row r="32" spans="1:26" s="41" customFormat="1" ht="12.75">
      <c r="A32" s="4"/>
      <c r="B32" s="4"/>
      <c r="C32" s="4"/>
      <c r="D32" s="40"/>
      <c r="E32" s="4"/>
      <c r="F32" s="4"/>
      <c r="G32" s="4"/>
      <c r="H32" s="4"/>
      <c r="I32" s="4"/>
      <c r="J32" s="4"/>
      <c r="K32" s="4"/>
      <c r="L32" s="4"/>
      <c r="M32" s="4"/>
      <c r="N32" s="4"/>
      <c r="O32" s="4"/>
      <c r="P32" s="4"/>
      <c r="Q32" s="4"/>
      <c r="R32" s="4"/>
      <c r="S32" s="4"/>
      <c r="T32" s="4"/>
      <c r="U32" s="4"/>
      <c r="V32" s="4"/>
      <c r="W32" s="4"/>
      <c r="X32" s="4"/>
      <c r="Y32" s="4"/>
      <c r="Z32" s="4"/>
    </row>
    <row r="33" spans="1:26" s="41" customFormat="1" ht="12.75">
      <c r="A33" s="3"/>
      <c r="B33" s="4"/>
      <c r="C33" s="101" t="s">
        <v>74</v>
      </c>
      <c r="E33" s="4"/>
      <c r="F33" s="139" t="str">
        <f>'INPUT - OUTPUT'!F14</f>
        <v>STS Settings</v>
      </c>
      <c r="G33" s="140"/>
      <c r="H33" s="4"/>
      <c r="I33" s="4"/>
      <c r="J33" s="3" t="s">
        <v>113</v>
      </c>
      <c r="L33" s="4"/>
      <c r="M33" s="4"/>
      <c r="N33" s="4"/>
      <c r="O33" s="4"/>
      <c r="P33" s="4"/>
      <c r="Q33" s="4"/>
      <c r="R33" s="4"/>
      <c r="S33" s="4"/>
      <c r="T33" s="4"/>
      <c r="U33" s="4"/>
      <c r="V33" s="4"/>
      <c r="W33" s="4"/>
      <c r="X33" s="4"/>
      <c r="Y33" s="4"/>
      <c r="Z33" s="4"/>
    </row>
    <row r="34" spans="1:26" s="41" customFormat="1" ht="12.75">
      <c r="A34" s="4"/>
      <c r="B34" s="4"/>
      <c r="C34" s="4"/>
      <c r="D34" s="4"/>
      <c r="E34" s="4"/>
      <c r="F34" s="42" t="s">
        <v>77</v>
      </c>
      <c r="G34" s="4"/>
      <c r="H34" s="4"/>
      <c r="I34" s="4"/>
      <c r="J34" s="4" t="s">
        <v>56</v>
      </c>
      <c r="K34" s="124">
        <f>'INPUT - OUTPUT'!F4</f>
        <v>122</v>
      </c>
      <c r="L34" s="4"/>
      <c r="M34" s="4"/>
      <c r="N34" s="4"/>
      <c r="O34" s="4"/>
      <c r="P34" s="4"/>
      <c r="Q34" s="4"/>
      <c r="R34" s="4"/>
      <c r="S34" s="4"/>
      <c r="T34" s="4"/>
      <c r="U34" s="4"/>
      <c r="V34" s="4"/>
      <c r="W34" s="4"/>
      <c r="X34" s="4"/>
      <c r="Y34" s="4"/>
      <c r="Z34" s="4"/>
    </row>
    <row r="35" spans="1:26" s="41" customFormat="1" ht="12.75">
      <c r="A35" s="4"/>
      <c r="B35" s="4"/>
      <c r="C35" s="4"/>
      <c r="D35" s="4"/>
      <c r="E35" s="4"/>
      <c r="F35" s="42" t="s">
        <v>75</v>
      </c>
      <c r="G35" s="4"/>
      <c r="H35" s="4"/>
      <c r="I35" s="4"/>
      <c r="J35" s="4" t="s">
        <v>57</v>
      </c>
      <c r="K35" s="124">
        <f>'INPUT - OUTPUT'!F5</f>
        <v>78.06</v>
      </c>
      <c r="L35" s="4"/>
      <c r="M35" s="4" t="s">
        <v>120</v>
      </c>
      <c r="N35" s="4"/>
      <c r="O35" s="4"/>
      <c r="P35" s="4"/>
      <c r="Q35" s="4"/>
      <c r="R35" s="4"/>
      <c r="S35" s="4"/>
      <c r="T35" s="4"/>
      <c r="U35" s="4"/>
      <c r="V35" s="4"/>
      <c r="W35" s="4"/>
      <c r="X35" s="4"/>
      <c r="Y35" s="4"/>
      <c r="Z35" s="4"/>
    </row>
    <row r="36" spans="1:26" s="41" customFormat="1" ht="13.5" thickBot="1">
      <c r="A36" s="4"/>
      <c r="B36" s="4"/>
      <c r="C36" s="4"/>
      <c r="D36" s="4"/>
      <c r="E36" s="4"/>
      <c r="F36" s="42" t="s">
        <v>76</v>
      </c>
      <c r="G36" s="4"/>
      <c r="H36" s="4"/>
      <c r="I36" s="4"/>
      <c r="J36" s="4" t="s">
        <v>58</v>
      </c>
      <c r="K36" s="124">
        <f>'INPUT - OUTPUT'!F6</f>
        <v>56.67</v>
      </c>
      <c r="L36" s="4"/>
      <c r="M36" s="4"/>
      <c r="N36" s="4"/>
      <c r="O36" s="4"/>
      <c r="P36" s="4"/>
      <c r="Q36" s="4"/>
      <c r="R36" s="4"/>
      <c r="S36" s="4"/>
      <c r="T36" s="4"/>
      <c r="U36" s="4"/>
      <c r="V36" s="4"/>
      <c r="W36" s="4"/>
      <c r="X36" s="4"/>
      <c r="Y36" s="4"/>
      <c r="Z36" s="4"/>
    </row>
    <row r="37" spans="1:26" s="41" customFormat="1" ht="13.5" thickBot="1">
      <c r="A37" s="4"/>
      <c r="B37" s="4"/>
      <c r="C37" s="4"/>
      <c r="D37" s="119" t="s">
        <v>139</v>
      </c>
      <c r="E37" s="100">
        <f>H138</f>
        <v>160</v>
      </c>
      <c r="F37" s="42" t="s">
        <v>78</v>
      </c>
      <c r="G37" s="40"/>
      <c r="H37" s="4"/>
      <c r="I37" s="4"/>
      <c r="J37" s="4" t="s">
        <v>59</v>
      </c>
      <c r="K37" s="124">
        <f>'INPUT - OUTPUT'!F7</f>
        <v>76.6</v>
      </c>
      <c r="L37" s="4" t="s">
        <v>136</v>
      </c>
      <c r="M37" s="4"/>
      <c r="N37" s="4"/>
      <c r="O37" s="4"/>
      <c r="P37" s="4"/>
      <c r="Q37" s="4"/>
      <c r="R37" s="4"/>
      <c r="S37" s="4"/>
      <c r="T37" s="4"/>
      <c r="U37" s="4"/>
      <c r="V37" s="4"/>
      <c r="W37" s="4"/>
      <c r="X37" s="4"/>
      <c r="Y37" s="4"/>
      <c r="Z37" s="4"/>
    </row>
    <row r="38" spans="1:26" s="41" customFormat="1" ht="13.5" thickBot="1">
      <c r="A38" s="4"/>
      <c r="B38" s="4"/>
      <c r="C38" s="4"/>
      <c r="D38" s="4"/>
      <c r="E38" s="100">
        <f>I138</f>
        <v>135</v>
      </c>
      <c r="F38" s="42" t="s">
        <v>105</v>
      </c>
      <c r="G38" s="40"/>
      <c r="H38" s="4"/>
      <c r="I38" s="4"/>
      <c r="J38" s="4" t="s">
        <v>60</v>
      </c>
      <c r="K38" s="124">
        <f>'INPUT - OUTPUT'!F8</f>
        <v>78.06</v>
      </c>
      <c r="L38" s="4"/>
      <c r="M38" s="4"/>
      <c r="N38" s="4"/>
      <c r="O38" s="4"/>
      <c r="P38" s="4" t="s">
        <v>121</v>
      </c>
      <c r="Q38" s="4"/>
      <c r="R38" s="4"/>
      <c r="S38" s="4"/>
      <c r="T38" s="4"/>
      <c r="U38" s="4"/>
      <c r="V38" s="4"/>
      <c r="W38" s="4"/>
      <c r="X38" s="4"/>
      <c r="Y38" s="4"/>
      <c r="Z38" s="4"/>
    </row>
    <row r="39" spans="1:26" s="41" customFormat="1" ht="13.5" thickBot="1">
      <c r="A39" s="4"/>
      <c r="B39" s="4"/>
      <c r="C39" s="4"/>
      <c r="D39" s="4"/>
      <c r="E39" s="100">
        <f>J138</f>
        <v>47</v>
      </c>
      <c r="F39" s="42" t="s">
        <v>104</v>
      </c>
      <c r="G39" s="40"/>
      <c r="H39" s="4"/>
      <c r="I39" s="4"/>
      <c r="J39" s="4" t="s">
        <v>61</v>
      </c>
      <c r="K39" s="124">
        <f>'INPUT - OUTPUT'!F9</f>
        <v>184</v>
      </c>
      <c r="L39" s="4" t="s">
        <v>137</v>
      </c>
      <c r="M39" s="4"/>
      <c r="N39" s="4"/>
      <c r="O39" s="4"/>
      <c r="P39" s="4"/>
      <c r="Q39" s="4"/>
      <c r="R39" s="4"/>
      <c r="S39" s="4"/>
      <c r="T39" s="4"/>
      <c r="U39" s="4"/>
      <c r="V39" s="4"/>
      <c r="W39" s="4"/>
      <c r="X39" s="4"/>
      <c r="Y39" s="4"/>
      <c r="Z39" s="4"/>
    </row>
    <row r="40" spans="1:26" s="41" customFormat="1" ht="12.75">
      <c r="A40" s="4"/>
      <c r="B40" s="4"/>
      <c r="C40" s="4"/>
      <c r="D40" s="4"/>
      <c r="E40" s="4"/>
      <c r="F40" s="42" t="s">
        <v>82</v>
      </c>
      <c r="G40" s="40"/>
      <c r="H40" s="4"/>
      <c r="I40" s="4"/>
      <c r="J40" s="4" t="s">
        <v>62</v>
      </c>
      <c r="K40" s="124">
        <f>'INPUT - OUTPUT'!F10</f>
        <v>15</v>
      </c>
      <c r="L40" s="4"/>
      <c r="M40" s="4"/>
      <c r="N40" s="4"/>
      <c r="O40" s="4"/>
      <c r="P40" s="4"/>
      <c r="Q40" s="4"/>
      <c r="R40" s="4"/>
      <c r="S40" s="4"/>
      <c r="T40" s="4"/>
      <c r="U40" s="4"/>
      <c r="V40" s="4"/>
      <c r="W40" s="4"/>
      <c r="X40" s="4"/>
      <c r="Y40" s="4"/>
      <c r="Z40" s="4"/>
    </row>
    <row r="41" spans="1:26" s="41" customFormat="1" ht="12.75">
      <c r="A41" s="4"/>
      <c r="B41" s="4"/>
      <c r="C41" s="4"/>
      <c r="D41" s="4"/>
      <c r="E41" s="4"/>
      <c r="F41" s="42" t="s">
        <v>83</v>
      </c>
      <c r="G41" s="40"/>
      <c r="H41" s="4"/>
      <c r="I41" s="4"/>
      <c r="J41" s="4" t="s">
        <v>63</v>
      </c>
      <c r="K41" s="124">
        <f>'INPUT - OUTPUT'!F11</f>
        <v>15</v>
      </c>
      <c r="L41" s="4"/>
      <c r="M41" s="4" t="s">
        <v>122</v>
      </c>
      <c r="N41" s="4"/>
      <c r="O41" s="4"/>
      <c r="P41" s="4"/>
      <c r="Q41" s="4"/>
      <c r="R41" s="4"/>
      <c r="S41" s="4"/>
      <c r="T41" s="4"/>
      <c r="U41" s="4"/>
      <c r="V41" s="4"/>
      <c r="W41" s="4"/>
      <c r="X41" s="4"/>
      <c r="Y41" s="4"/>
      <c r="Z41" s="4"/>
    </row>
    <row r="42" spans="1:26" s="41" customFormat="1" ht="12.75">
      <c r="A42" s="4"/>
      <c r="B42" s="4"/>
      <c r="C42" s="4"/>
      <c r="D42" s="4"/>
      <c r="E42" s="4"/>
      <c r="F42" s="42" t="s">
        <v>84</v>
      </c>
      <c r="G42" s="40"/>
      <c r="H42" s="4"/>
      <c r="I42" s="4"/>
      <c r="J42" s="4" t="s">
        <v>64</v>
      </c>
      <c r="K42" s="124">
        <f>'INPUT - OUTPUT'!F12</f>
        <v>60</v>
      </c>
      <c r="L42" s="4"/>
      <c r="M42" s="4"/>
      <c r="N42" s="4"/>
      <c r="O42" s="4"/>
      <c r="P42" s="4"/>
      <c r="Q42" s="4"/>
      <c r="R42" s="4"/>
      <c r="S42" s="4"/>
      <c r="T42" s="4"/>
      <c r="U42" s="4"/>
      <c r="V42" s="4"/>
      <c r="W42" s="4"/>
      <c r="X42" s="4"/>
      <c r="Y42" s="4"/>
      <c r="Z42" s="4"/>
    </row>
    <row r="43" spans="1:26" s="41" customFormat="1" ht="12.75">
      <c r="A43" s="4"/>
      <c r="B43" s="4"/>
      <c r="C43" s="4"/>
      <c r="D43" s="40"/>
      <c r="E43" s="4"/>
      <c r="F43" s="4"/>
      <c r="G43" s="4"/>
      <c r="H43" s="4"/>
      <c r="I43" s="4"/>
      <c r="J43" s="4"/>
      <c r="K43" s="4"/>
      <c r="L43" s="4"/>
      <c r="M43" s="4"/>
      <c r="N43" s="4"/>
      <c r="O43" s="4"/>
      <c r="P43" s="4"/>
      <c r="Q43" s="4"/>
      <c r="R43" s="4"/>
      <c r="S43" s="4"/>
      <c r="T43" s="4"/>
      <c r="U43" s="4"/>
      <c r="V43" s="4"/>
      <c r="W43" s="4"/>
      <c r="X43" s="4"/>
      <c r="Y43" s="4"/>
      <c r="Z43" s="4"/>
    </row>
    <row r="44" spans="1:26" ht="13.5" thickBo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3.5" thickBot="1">
      <c r="A45" s="72" t="s">
        <v>85</v>
      </c>
      <c r="B45" s="48"/>
      <c r="C45" s="48"/>
      <c r="D45" s="48"/>
      <c r="E45" s="48"/>
      <c r="F45" s="48"/>
      <c r="G45" s="49"/>
      <c r="H45" s="1"/>
      <c r="I45" s="1"/>
      <c r="J45" s="1"/>
      <c r="K45" s="1"/>
      <c r="L45" s="1"/>
      <c r="M45" s="1"/>
      <c r="N45" s="1"/>
      <c r="O45" s="1"/>
      <c r="P45" s="1"/>
      <c r="Q45" s="1"/>
      <c r="R45" s="1"/>
      <c r="S45" s="1"/>
      <c r="T45" s="1"/>
      <c r="U45" s="1"/>
      <c r="V45" s="1"/>
      <c r="W45" s="1"/>
      <c r="X45" s="1"/>
      <c r="Y45" s="1"/>
      <c r="Z45" s="1"/>
    </row>
    <row r="46" spans="1:26" ht="30" customHeight="1" thickBot="1">
      <c r="A46" s="52" t="s">
        <v>119</v>
      </c>
      <c r="B46" s="48"/>
      <c r="C46" s="48"/>
      <c r="D46" s="48"/>
      <c r="E46" s="48"/>
      <c r="F46" s="48"/>
      <c r="G46" s="49"/>
      <c r="H46" s="1"/>
      <c r="I46" s="1"/>
      <c r="J46" s="1"/>
      <c r="K46" s="1"/>
      <c r="L46" s="1"/>
      <c r="M46" s="1"/>
      <c r="N46" s="1"/>
      <c r="O46" s="1"/>
      <c r="P46" s="1"/>
      <c r="Q46" s="1"/>
      <c r="R46" s="1"/>
      <c r="S46" s="1"/>
      <c r="T46" s="1"/>
      <c r="U46" s="1"/>
      <c r="V46" s="1"/>
      <c r="W46" s="1"/>
      <c r="X46" s="1"/>
      <c r="Y46" s="1"/>
      <c r="Z46" s="1"/>
    </row>
    <row r="47" spans="1:26" ht="73.5" customHeight="1" thickBot="1">
      <c r="A47" s="71" t="s">
        <v>17</v>
      </c>
      <c r="B47" s="30" t="s">
        <v>34</v>
      </c>
      <c r="C47" s="31" t="s">
        <v>35</v>
      </c>
      <c r="D47" s="32" t="s">
        <v>36</v>
      </c>
      <c r="E47" s="30" t="s">
        <v>37</v>
      </c>
      <c r="F47" s="31" t="s">
        <v>38</v>
      </c>
      <c r="G47" s="32" t="s">
        <v>39</v>
      </c>
      <c r="H47" s="31" t="s">
        <v>66</v>
      </c>
      <c r="I47" s="31" t="s">
        <v>67</v>
      </c>
      <c r="J47" s="31" t="s">
        <v>22</v>
      </c>
      <c r="K47" s="32" t="s">
        <v>23</v>
      </c>
      <c r="L47" s="1"/>
      <c r="M47" s="54" t="s">
        <v>24</v>
      </c>
      <c r="N47" s="55" t="s">
        <v>25</v>
      </c>
      <c r="O47" s="56" t="s">
        <v>26</v>
      </c>
      <c r="P47" s="57" t="s">
        <v>27</v>
      </c>
      <c r="Q47" s="1"/>
      <c r="R47" s="1"/>
      <c r="S47" s="1"/>
      <c r="T47" s="1"/>
      <c r="U47" s="1"/>
      <c r="V47" s="1"/>
      <c r="W47" s="1"/>
      <c r="X47" s="1"/>
      <c r="Y47" s="1"/>
      <c r="Z47" s="1"/>
    </row>
    <row r="48" spans="1:26" ht="12.75">
      <c r="A48" s="105" t="s">
        <v>28</v>
      </c>
      <c r="B48" s="102">
        <v>15</v>
      </c>
      <c r="C48" s="102">
        <v>15</v>
      </c>
      <c r="D48" s="102">
        <v>30</v>
      </c>
      <c r="E48" s="102"/>
      <c r="F48" s="70"/>
      <c r="G48" s="70"/>
      <c r="H48" s="43">
        <v>1.48</v>
      </c>
      <c r="I48" s="70">
        <v>0.065</v>
      </c>
      <c r="J48" s="44">
        <f>19.4*10^6/(217*71*105)</f>
        <v>11.992075339904249</v>
      </c>
      <c r="K48" s="44">
        <f>39.96/19.4</f>
        <v>2.05979381443299</v>
      </c>
      <c r="L48" s="1"/>
      <c r="M48" s="21">
        <f>J48*(202+B48)*(56+C48)*(45+D48)/10^6*(1-E48)*H48</f>
        <v>20.508571428571425</v>
      </c>
      <c r="N48" s="21">
        <f>M48*K48*(1-F48)</f>
        <v>42.243428571428566</v>
      </c>
      <c r="O48" s="21">
        <f>N48*I48*(1-G48)</f>
        <v>2.745822857142857</v>
      </c>
      <c r="P48" s="21">
        <f aca="true" t="shared" si="4" ref="P48:P56">SUM(M48:O48)</f>
        <v>65.49782285714285</v>
      </c>
      <c r="Q48" s="1"/>
      <c r="R48" s="1"/>
      <c r="S48" s="1"/>
      <c r="T48" s="1"/>
      <c r="U48" s="1"/>
      <c r="V48" s="1"/>
      <c r="W48" s="1"/>
      <c r="X48" s="1"/>
      <c r="Y48" s="1"/>
      <c r="Z48" s="1"/>
    </row>
    <row r="49" spans="1:26" ht="12.75">
      <c r="A49" s="104" t="s">
        <v>30</v>
      </c>
      <c r="B49" s="104">
        <v>15</v>
      </c>
      <c r="C49" s="104">
        <v>15</v>
      </c>
      <c r="D49" s="104">
        <v>60</v>
      </c>
      <c r="E49" s="70"/>
      <c r="F49" s="70"/>
      <c r="G49" s="70"/>
      <c r="H49" s="43">
        <v>1.48</v>
      </c>
      <c r="I49" s="70">
        <v>0.065</v>
      </c>
      <c r="J49" s="44">
        <f aca="true" t="shared" si="5" ref="J49:J56">19.4*10^6/(217*71*105)</f>
        <v>11.992075339904249</v>
      </c>
      <c r="K49" s="44">
        <f aca="true" t="shared" si="6" ref="K49:K56">39.96/19.4</f>
        <v>2.05979381443299</v>
      </c>
      <c r="L49" s="1"/>
      <c r="M49" s="21">
        <f aca="true" t="shared" si="7" ref="M49:M56">J49*(202+B49)*(56+C49)*(45+D49)/10^6*(1-E49)*H49</f>
        <v>28.711999999999996</v>
      </c>
      <c r="N49" s="21">
        <f aca="true" t="shared" si="8" ref="N49:N56">M49*K49*(1-F49)</f>
        <v>59.1408</v>
      </c>
      <c r="O49" s="21">
        <f aca="true" t="shared" si="9" ref="O49:O56">N49*I49*(1-G49)</f>
        <v>3.8441520000000002</v>
      </c>
      <c r="P49" s="21">
        <f t="shared" si="4"/>
        <v>91.696952</v>
      </c>
      <c r="Q49" s="1"/>
      <c r="R49" s="1"/>
      <c r="S49" s="1"/>
      <c r="T49" s="1"/>
      <c r="U49" s="1"/>
      <c r="V49" s="1"/>
      <c r="W49" s="1"/>
      <c r="X49" s="1"/>
      <c r="Y49" s="1"/>
      <c r="Z49" s="1"/>
    </row>
    <row r="50" spans="1:26" ht="12.75">
      <c r="A50" s="73" t="str">
        <f>A128</f>
        <v>ISAT SSTO</v>
      </c>
      <c r="B50" s="103">
        <v>15</v>
      </c>
      <c r="C50" s="103">
        <v>15</v>
      </c>
      <c r="D50" s="103">
        <v>55</v>
      </c>
      <c r="E50" s="103"/>
      <c r="F50" s="70"/>
      <c r="G50" s="70"/>
      <c r="H50" s="43">
        <v>1.48</v>
      </c>
      <c r="I50" s="70">
        <v>0.065</v>
      </c>
      <c r="J50" s="44">
        <f t="shared" si="5"/>
        <v>11.992075339904249</v>
      </c>
      <c r="K50" s="44">
        <f t="shared" si="6"/>
        <v>2.05979381443299</v>
      </c>
      <c r="L50" s="1"/>
      <c r="M50" s="21">
        <f t="shared" si="7"/>
        <v>27.344761904761906</v>
      </c>
      <c r="N50" s="21">
        <f t="shared" si="8"/>
        <v>56.32457142857144</v>
      </c>
      <c r="O50" s="21">
        <f t="shared" si="9"/>
        <v>3.6610971428571437</v>
      </c>
      <c r="P50" s="21">
        <f t="shared" si="4"/>
        <v>87.33043047619049</v>
      </c>
      <c r="Q50" s="1"/>
      <c r="R50" s="1"/>
      <c r="S50" s="1"/>
      <c r="T50" s="1"/>
      <c r="U50" s="1"/>
      <c r="V50" s="1"/>
      <c r="W50" s="1"/>
      <c r="X50" s="1"/>
      <c r="Y50" s="1"/>
      <c r="Z50" s="1"/>
    </row>
    <row r="51" spans="1:26" ht="12.75">
      <c r="A51" s="6" t="str">
        <f>F33</f>
        <v>STS Settings</v>
      </c>
      <c r="B51" s="6">
        <f>K40</f>
        <v>15</v>
      </c>
      <c r="C51" s="6">
        <f>K41</f>
        <v>15</v>
      </c>
      <c r="D51" s="6">
        <f>K42</f>
        <v>60</v>
      </c>
      <c r="E51" s="70"/>
      <c r="F51" s="70"/>
      <c r="G51" s="70"/>
      <c r="H51" s="43">
        <v>1.48</v>
      </c>
      <c r="I51" s="70">
        <v>0.065</v>
      </c>
      <c r="J51" s="44">
        <f t="shared" si="5"/>
        <v>11.992075339904249</v>
      </c>
      <c r="K51" s="44">
        <f t="shared" si="6"/>
        <v>2.05979381443299</v>
      </c>
      <c r="L51" s="1"/>
      <c r="M51" s="21">
        <f t="shared" si="7"/>
        <v>28.711999999999996</v>
      </c>
      <c r="N51" s="21">
        <f t="shared" si="8"/>
        <v>59.1408</v>
      </c>
      <c r="O51" s="21">
        <f t="shared" si="9"/>
        <v>3.8441520000000002</v>
      </c>
      <c r="P51" s="21">
        <f t="shared" si="4"/>
        <v>91.696952</v>
      </c>
      <c r="Q51" s="1"/>
      <c r="R51" s="1"/>
      <c r="S51" s="1"/>
      <c r="T51" s="1"/>
      <c r="U51" s="1"/>
      <c r="V51" s="1"/>
      <c r="W51" s="1"/>
      <c r="X51" s="1"/>
      <c r="Y51" s="1"/>
      <c r="Z51" s="1"/>
    </row>
    <row r="52" spans="1:26" ht="12.75">
      <c r="A52" s="33"/>
      <c r="B52" s="70"/>
      <c r="C52" s="70"/>
      <c r="D52" s="70"/>
      <c r="E52" s="70"/>
      <c r="F52" s="70"/>
      <c r="G52" s="70"/>
      <c r="H52" s="43">
        <v>1.48</v>
      </c>
      <c r="I52" s="70">
        <v>0.065</v>
      </c>
      <c r="J52" s="44">
        <f t="shared" si="5"/>
        <v>11.992075339904249</v>
      </c>
      <c r="K52" s="44">
        <f t="shared" si="6"/>
        <v>2.05979381443299</v>
      </c>
      <c r="L52" s="1"/>
      <c r="M52" s="21">
        <f t="shared" si="7"/>
        <v>9.03458012591679</v>
      </c>
      <c r="N52" s="21">
        <f t="shared" si="8"/>
        <v>18.609372259362626</v>
      </c>
      <c r="O52" s="21">
        <f t="shared" si="9"/>
        <v>1.2096091968585707</v>
      </c>
      <c r="P52" s="21">
        <f t="shared" si="4"/>
        <v>28.853561582137985</v>
      </c>
      <c r="Q52" s="1"/>
      <c r="R52" s="1"/>
      <c r="S52" s="1"/>
      <c r="T52" s="1"/>
      <c r="U52" s="1"/>
      <c r="V52" s="1"/>
      <c r="W52" s="1"/>
      <c r="X52" s="1"/>
      <c r="Y52" s="1"/>
      <c r="Z52" s="1"/>
    </row>
    <row r="53" spans="1:26" ht="12.75">
      <c r="A53" s="33"/>
      <c r="B53" s="70"/>
      <c r="C53" s="70"/>
      <c r="D53" s="70"/>
      <c r="E53" s="70"/>
      <c r="F53" s="70"/>
      <c r="G53" s="70"/>
      <c r="H53" s="43">
        <v>1.48</v>
      </c>
      <c r="I53" s="70">
        <v>0.065</v>
      </c>
      <c r="J53" s="44">
        <f t="shared" si="5"/>
        <v>11.992075339904249</v>
      </c>
      <c r="K53" s="44">
        <f t="shared" si="6"/>
        <v>2.05979381443299</v>
      </c>
      <c r="L53" s="1"/>
      <c r="M53" s="21">
        <f t="shared" si="7"/>
        <v>9.03458012591679</v>
      </c>
      <c r="N53" s="21">
        <f t="shared" si="8"/>
        <v>18.609372259362626</v>
      </c>
      <c r="O53" s="21">
        <f t="shared" si="9"/>
        <v>1.2096091968585707</v>
      </c>
      <c r="P53" s="21">
        <f t="shared" si="4"/>
        <v>28.853561582137985</v>
      </c>
      <c r="Q53" s="1"/>
      <c r="R53" s="1"/>
      <c r="S53" s="1"/>
      <c r="T53" s="1"/>
      <c r="U53" s="1"/>
      <c r="V53" s="1"/>
      <c r="W53" s="1"/>
      <c r="X53" s="1"/>
      <c r="Y53" s="1"/>
      <c r="Z53" s="1"/>
    </row>
    <row r="54" spans="1:26" ht="12.75">
      <c r="A54" s="33"/>
      <c r="B54" s="70"/>
      <c r="C54" s="70"/>
      <c r="D54" s="70"/>
      <c r="E54" s="70"/>
      <c r="F54" s="70"/>
      <c r="G54" s="70"/>
      <c r="H54" s="43">
        <v>1.48</v>
      </c>
      <c r="I54" s="70">
        <v>0.065</v>
      </c>
      <c r="J54" s="44">
        <f t="shared" si="5"/>
        <v>11.992075339904249</v>
      </c>
      <c r="K54" s="44">
        <f t="shared" si="6"/>
        <v>2.05979381443299</v>
      </c>
      <c r="L54" s="1"/>
      <c r="M54" s="21">
        <f t="shared" si="7"/>
        <v>9.03458012591679</v>
      </c>
      <c r="N54" s="21">
        <f t="shared" si="8"/>
        <v>18.609372259362626</v>
      </c>
      <c r="O54" s="21">
        <f t="shared" si="9"/>
        <v>1.2096091968585707</v>
      </c>
      <c r="P54" s="21">
        <f t="shared" si="4"/>
        <v>28.853561582137985</v>
      </c>
      <c r="Q54" s="1"/>
      <c r="R54" s="1"/>
      <c r="S54" s="1"/>
      <c r="T54" s="1"/>
      <c r="U54" s="1"/>
      <c r="V54" s="1"/>
      <c r="W54" s="1"/>
      <c r="X54" s="1"/>
      <c r="Y54" s="1"/>
      <c r="Z54" s="1"/>
    </row>
    <row r="55" spans="1:26" ht="12.75">
      <c r="A55" s="33"/>
      <c r="B55" s="70"/>
      <c r="C55" s="70"/>
      <c r="D55" s="70"/>
      <c r="E55" s="70"/>
      <c r="F55" s="70"/>
      <c r="G55" s="70"/>
      <c r="H55" s="43">
        <v>1.48</v>
      </c>
      <c r="I55" s="70">
        <v>0.065</v>
      </c>
      <c r="J55" s="44">
        <f t="shared" si="5"/>
        <v>11.992075339904249</v>
      </c>
      <c r="K55" s="44">
        <f t="shared" si="6"/>
        <v>2.05979381443299</v>
      </c>
      <c r="L55" s="1"/>
      <c r="M55" s="21">
        <f t="shared" si="7"/>
        <v>9.03458012591679</v>
      </c>
      <c r="N55" s="21">
        <f t="shared" si="8"/>
        <v>18.609372259362626</v>
      </c>
      <c r="O55" s="21">
        <f t="shared" si="9"/>
        <v>1.2096091968585707</v>
      </c>
      <c r="P55" s="21">
        <f t="shared" si="4"/>
        <v>28.853561582137985</v>
      </c>
      <c r="Q55" s="1"/>
      <c r="R55" s="1"/>
      <c r="S55" s="1"/>
      <c r="T55" s="1"/>
      <c r="U55" s="1"/>
      <c r="V55" s="1"/>
      <c r="W55" s="1"/>
      <c r="X55" s="1"/>
      <c r="Y55" s="1"/>
      <c r="Z55" s="1"/>
    </row>
    <row r="56" spans="1:26" ht="12.75">
      <c r="A56" s="33"/>
      <c r="B56" s="70"/>
      <c r="C56" s="70"/>
      <c r="D56" s="70"/>
      <c r="E56" s="70"/>
      <c r="F56" s="70"/>
      <c r="G56" s="70"/>
      <c r="H56" s="43">
        <v>1.48</v>
      </c>
      <c r="I56" s="70">
        <v>0.065</v>
      </c>
      <c r="J56" s="44">
        <f t="shared" si="5"/>
        <v>11.992075339904249</v>
      </c>
      <c r="K56" s="44">
        <f t="shared" si="6"/>
        <v>2.05979381443299</v>
      </c>
      <c r="L56" s="1"/>
      <c r="M56" s="21">
        <f t="shared" si="7"/>
        <v>9.03458012591679</v>
      </c>
      <c r="N56" s="21">
        <f t="shared" si="8"/>
        <v>18.609372259362626</v>
      </c>
      <c r="O56" s="21">
        <f t="shared" si="9"/>
        <v>1.2096091968585707</v>
      </c>
      <c r="P56" s="21">
        <f t="shared" si="4"/>
        <v>28.853561582137985</v>
      </c>
      <c r="Q56" s="1"/>
      <c r="R56" s="1"/>
      <c r="S56" s="1"/>
      <c r="T56" s="1"/>
      <c r="U56" s="1"/>
      <c r="V56" s="1"/>
      <c r="W56" s="1"/>
      <c r="X56" s="1"/>
      <c r="Y56" s="1"/>
      <c r="Z56" s="1"/>
    </row>
    <row r="57" spans="1:26" ht="13.5" thickBo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3.5" thickBot="1">
      <c r="A58" s="72" t="s">
        <v>86</v>
      </c>
      <c r="B58" s="48"/>
      <c r="C58" s="48"/>
      <c r="D58" s="48"/>
      <c r="E58" s="48"/>
      <c r="F58" s="48"/>
      <c r="G58" s="49"/>
      <c r="H58" s="1"/>
      <c r="I58" s="1"/>
      <c r="J58" s="1"/>
      <c r="K58" s="1"/>
      <c r="L58" s="1"/>
      <c r="M58" s="1"/>
      <c r="N58" s="1"/>
      <c r="O58" s="1"/>
      <c r="P58" s="1"/>
      <c r="Q58" s="1"/>
      <c r="R58" s="1"/>
      <c r="S58" s="1"/>
      <c r="T58" s="1"/>
      <c r="U58" s="1"/>
      <c r="V58" s="1"/>
      <c r="W58" s="1"/>
      <c r="X58" s="1"/>
      <c r="Y58" s="1"/>
      <c r="Z58" s="1"/>
    </row>
    <row r="59" spans="1:26" ht="27" customHeight="1" thickBot="1">
      <c r="A59" s="52" t="s">
        <v>43</v>
      </c>
      <c r="B59" s="48"/>
      <c r="C59" s="48"/>
      <c r="D59" s="48"/>
      <c r="E59" s="48"/>
      <c r="F59" s="48"/>
      <c r="G59" s="49"/>
      <c r="H59" s="1"/>
      <c r="I59" s="1"/>
      <c r="J59" s="1"/>
      <c r="K59" s="1"/>
      <c r="L59" s="1"/>
      <c r="M59" s="1"/>
      <c r="N59" s="1"/>
      <c r="O59" s="1"/>
      <c r="P59" s="1"/>
      <c r="Q59" s="1"/>
      <c r="R59" s="1"/>
      <c r="S59" s="1"/>
      <c r="T59" s="1"/>
      <c r="U59" s="1"/>
      <c r="V59" s="1"/>
      <c r="W59" s="1"/>
      <c r="X59" s="1"/>
      <c r="Y59" s="1"/>
      <c r="Z59" s="1"/>
    </row>
    <row r="60" spans="1:26" ht="60" customHeight="1" thickBot="1">
      <c r="A60" s="1"/>
      <c r="B60" s="30" t="s">
        <v>40</v>
      </c>
      <c r="C60" s="31" t="s">
        <v>41</v>
      </c>
      <c r="D60" s="32" t="s">
        <v>42</v>
      </c>
      <c r="E60" s="30" t="s">
        <v>37</v>
      </c>
      <c r="F60" s="31" t="s">
        <v>38</v>
      </c>
      <c r="G60" s="32" t="s">
        <v>39</v>
      </c>
      <c r="H60" s="31" t="s">
        <v>66</v>
      </c>
      <c r="I60" s="31" t="s">
        <v>67</v>
      </c>
      <c r="J60" s="31" t="s">
        <v>22</v>
      </c>
      <c r="K60" s="32" t="s">
        <v>23</v>
      </c>
      <c r="L60" s="1"/>
      <c r="M60" s="54" t="s">
        <v>24</v>
      </c>
      <c r="N60" s="55" t="s">
        <v>25</v>
      </c>
      <c r="O60" s="56" t="s">
        <v>26</v>
      </c>
      <c r="P60" s="57" t="s">
        <v>27</v>
      </c>
      <c r="Q60" s="1"/>
      <c r="R60" s="1"/>
      <c r="S60" s="1"/>
      <c r="T60" s="1"/>
      <c r="U60" s="1"/>
      <c r="V60" s="1"/>
      <c r="W60" s="1"/>
      <c r="X60" s="1"/>
      <c r="Y60" s="1"/>
      <c r="Z60" s="1"/>
    </row>
    <row r="61" spans="1:26" ht="12.75">
      <c r="A61" s="33" t="s">
        <v>44</v>
      </c>
      <c r="B61" s="70">
        <v>120</v>
      </c>
      <c r="C61" s="70">
        <v>90</v>
      </c>
      <c r="D61" s="70">
        <v>15</v>
      </c>
      <c r="E61" s="70"/>
      <c r="F61" s="70"/>
      <c r="G61" s="70"/>
      <c r="H61" s="34">
        <v>1.48</v>
      </c>
      <c r="I61" s="70">
        <v>0.065</v>
      </c>
      <c r="J61" s="36">
        <f aca="true" t="shared" si="10" ref="J61:J69">2.75*10^6/(120*90*15)</f>
        <v>16.97530864197531</v>
      </c>
      <c r="K61" s="37">
        <f aca="true" t="shared" si="11" ref="K61:K69">37.48/2.75</f>
        <v>13.629090909090907</v>
      </c>
      <c r="L61" s="1"/>
      <c r="M61" s="21">
        <f>J61*(B61*C61*D61)*(1-E61)/1000000*H61</f>
        <v>4.07</v>
      </c>
      <c r="N61" s="21">
        <f>M61*K61*(1-F61)</f>
        <v>55.4704</v>
      </c>
      <c r="O61" s="21">
        <f>N61*I61*(1-G61)</f>
        <v>3.605576</v>
      </c>
      <c r="P61" s="21">
        <f aca="true" t="shared" si="12" ref="P61:P69">SUM(M61:O61)</f>
        <v>63.145976</v>
      </c>
      <c r="Q61" s="1"/>
      <c r="R61" s="1"/>
      <c r="S61" s="1"/>
      <c r="T61" s="1"/>
      <c r="U61" s="1"/>
      <c r="V61" s="1"/>
      <c r="W61" s="1"/>
      <c r="X61" s="1"/>
      <c r="Y61" s="1"/>
      <c r="Z61" s="1"/>
    </row>
    <row r="62" spans="1:26" ht="12.75">
      <c r="A62" s="104" t="s">
        <v>30</v>
      </c>
      <c r="B62" s="104">
        <v>120</v>
      </c>
      <c r="C62" s="104">
        <v>90</v>
      </c>
      <c r="D62" s="104">
        <v>15</v>
      </c>
      <c r="E62" s="70"/>
      <c r="F62" s="70"/>
      <c r="G62" s="70"/>
      <c r="H62" s="34">
        <v>1.48</v>
      </c>
      <c r="I62" s="70">
        <v>0.065</v>
      </c>
      <c r="J62" s="36">
        <f t="shared" si="10"/>
        <v>16.97530864197531</v>
      </c>
      <c r="K62" s="37">
        <f t="shared" si="11"/>
        <v>13.629090909090907</v>
      </c>
      <c r="L62" s="1"/>
      <c r="M62" s="21">
        <f aca="true" t="shared" si="13" ref="M62:M69">J62*(B62*C62*D62)*(1-E62)/1000000*H62</f>
        <v>4.07</v>
      </c>
      <c r="N62" s="21">
        <f aca="true" t="shared" si="14" ref="N62:N69">M62*K62*(1-F62)</f>
        <v>55.4704</v>
      </c>
      <c r="O62" s="21">
        <f aca="true" t="shared" si="15" ref="O62:O69">N62*I62*(1-G62)</f>
        <v>3.605576</v>
      </c>
      <c r="P62" s="21">
        <f t="shared" si="12"/>
        <v>63.145976</v>
      </c>
      <c r="Q62" s="1"/>
      <c r="R62" s="1"/>
      <c r="S62" s="1"/>
      <c r="T62" s="1"/>
      <c r="U62" s="1"/>
      <c r="V62" s="1"/>
      <c r="W62" s="1"/>
      <c r="X62" s="1"/>
      <c r="Y62" s="1"/>
      <c r="Z62" s="1"/>
    </row>
    <row r="63" spans="1:26" ht="12.75">
      <c r="A63" s="33" t="str">
        <f>A115</f>
        <v>ISAT SSTO</v>
      </c>
      <c r="B63" s="70">
        <v>120</v>
      </c>
      <c r="C63" s="70">
        <v>90</v>
      </c>
      <c r="D63" s="70">
        <v>15</v>
      </c>
      <c r="E63" s="70"/>
      <c r="F63" s="70"/>
      <c r="G63" s="70"/>
      <c r="H63" s="34">
        <v>1.48</v>
      </c>
      <c r="I63" s="70">
        <v>0.065</v>
      </c>
      <c r="J63" s="36">
        <f t="shared" si="10"/>
        <v>16.97530864197531</v>
      </c>
      <c r="K63" s="37">
        <f t="shared" si="11"/>
        <v>13.629090909090907</v>
      </c>
      <c r="L63" s="1"/>
      <c r="M63" s="21">
        <f t="shared" si="13"/>
        <v>4.07</v>
      </c>
      <c r="N63" s="21">
        <f t="shared" si="14"/>
        <v>55.4704</v>
      </c>
      <c r="O63" s="21">
        <f t="shared" si="15"/>
        <v>3.605576</v>
      </c>
      <c r="P63" s="21">
        <f t="shared" si="12"/>
        <v>63.145976</v>
      </c>
      <c r="Q63" s="1"/>
      <c r="R63" s="1"/>
      <c r="S63" s="1"/>
      <c r="T63" s="1"/>
      <c r="U63" s="1"/>
      <c r="V63" s="1"/>
      <c r="W63" s="1"/>
      <c r="X63" s="1"/>
      <c r="Y63" s="1"/>
      <c r="Z63" s="1"/>
    </row>
    <row r="64" spans="1:26" ht="12.75">
      <c r="A64" s="6" t="str">
        <f>F33</f>
        <v>STS Settings</v>
      </c>
      <c r="B64" s="70">
        <v>120</v>
      </c>
      <c r="C64" s="70">
        <v>90</v>
      </c>
      <c r="D64" s="70">
        <v>15</v>
      </c>
      <c r="E64" s="70"/>
      <c r="F64" s="70"/>
      <c r="G64" s="70"/>
      <c r="H64" s="34">
        <v>1.48</v>
      </c>
      <c r="I64" s="70">
        <v>0.065</v>
      </c>
      <c r="J64" s="36">
        <f t="shared" si="10"/>
        <v>16.97530864197531</v>
      </c>
      <c r="K64" s="37">
        <f t="shared" si="11"/>
        <v>13.629090909090907</v>
      </c>
      <c r="L64" s="1"/>
      <c r="M64" s="21">
        <f t="shared" si="13"/>
        <v>4.07</v>
      </c>
      <c r="N64" s="21">
        <f t="shared" si="14"/>
        <v>55.4704</v>
      </c>
      <c r="O64" s="21">
        <f t="shared" si="15"/>
        <v>3.605576</v>
      </c>
      <c r="P64" s="21">
        <f t="shared" si="12"/>
        <v>63.145976</v>
      </c>
      <c r="Q64" s="1"/>
      <c r="R64" s="1"/>
      <c r="S64" s="1"/>
      <c r="T64" s="1"/>
      <c r="U64" s="1"/>
      <c r="V64" s="1"/>
      <c r="W64" s="1"/>
      <c r="X64" s="1"/>
      <c r="Y64" s="1"/>
      <c r="Z64" s="1"/>
    </row>
    <row r="65" spans="1:26" ht="12.75">
      <c r="A65" s="33"/>
      <c r="B65" s="70"/>
      <c r="C65" s="70"/>
      <c r="D65" s="70"/>
      <c r="E65" s="70"/>
      <c r="F65" s="70"/>
      <c r="G65" s="70"/>
      <c r="H65" s="34">
        <v>1.48</v>
      </c>
      <c r="I65" s="70">
        <v>0.065</v>
      </c>
      <c r="J65" s="36">
        <f t="shared" si="10"/>
        <v>16.97530864197531</v>
      </c>
      <c r="K65" s="37">
        <f t="shared" si="11"/>
        <v>13.629090909090907</v>
      </c>
      <c r="L65" s="1"/>
      <c r="M65" s="21">
        <f t="shared" si="13"/>
        <v>0</v>
      </c>
      <c r="N65" s="21">
        <f t="shared" si="14"/>
        <v>0</v>
      </c>
      <c r="O65" s="21">
        <f t="shared" si="15"/>
        <v>0</v>
      </c>
      <c r="P65" s="21">
        <f t="shared" si="12"/>
        <v>0</v>
      </c>
      <c r="Q65" s="1"/>
      <c r="R65" s="1"/>
      <c r="S65" s="1"/>
      <c r="T65" s="1"/>
      <c r="U65" s="1"/>
      <c r="V65" s="1"/>
      <c r="W65" s="1"/>
      <c r="X65" s="1"/>
      <c r="Y65" s="1"/>
      <c r="Z65" s="1"/>
    </row>
    <row r="66" spans="1:26" ht="12.75">
      <c r="A66" s="33"/>
      <c r="B66" s="70"/>
      <c r="C66" s="70"/>
      <c r="D66" s="70"/>
      <c r="E66" s="70"/>
      <c r="F66" s="70"/>
      <c r="G66" s="70"/>
      <c r="H66" s="34">
        <v>1.48</v>
      </c>
      <c r="I66" s="70">
        <v>0.065</v>
      </c>
      <c r="J66" s="36">
        <f t="shared" si="10"/>
        <v>16.97530864197531</v>
      </c>
      <c r="K66" s="37">
        <f t="shared" si="11"/>
        <v>13.629090909090907</v>
      </c>
      <c r="L66" s="1"/>
      <c r="M66" s="21">
        <f t="shared" si="13"/>
        <v>0</v>
      </c>
      <c r="N66" s="21">
        <f t="shared" si="14"/>
        <v>0</v>
      </c>
      <c r="O66" s="21">
        <f t="shared" si="15"/>
        <v>0</v>
      </c>
      <c r="P66" s="21">
        <f t="shared" si="12"/>
        <v>0</v>
      </c>
      <c r="Q66" s="1"/>
      <c r="R66" s="1"/>
      <c r="S66" s="1"/>
      <c r="T66" s="1"/>
      <c r="U66" s="1"/>
      <c r="V66" s="1"/>
      <c r="W66" s="1"/>
      <c r="X66" s="1"/>
      <c r="Y66" s="1"/>
      <c r="Z66" s="1"/>
    </row>
    <row r="67" spans="1:26" ht="12.75">
      <c r="A67" s="33"/>
      <c r="B67" s="70"/>
      <c r="C67" s="70"/>
      <c r="D67" s="70"/>
      <c r="E67" s="70"/>
      <c r="F67" s="70"/>
      <c r="G67" s="70"/>
      <c r="H67" s="34">
        <v>1.48</v>
      </c>
      <c r="I67" s="70">
        <v>0.065</v>
      </c>
      <c r="J67" s="36">
        <f t="shared" si="10"/>
        <v>16.97530864197531</v>
      </c>
      <c r="K67" s="37">
        <f t="shared" si="11"/>
        <v>13.629090909090907</v>
      </c>
      <c r="L67" s="1"/>
      <c r="M67" s="21">
        <f t="shared" si="13"/>
        <v>0</v>
      </c>
      <c r="N67" s="21">
        <f t="shared" si="14"/>
        <v>0</v>
      </c>
      <c r="O67" s="21">
        <f t="shared" si="15"/>
        <v>0</v>
      </c>
      <c r="P67" s="21">
        <f t="shared" si="12"/>
        <v>0</v>
      </c>
      <c r="Q67" s="1"/>
      <c r="R67" s="1"/>
      <c r="S67" s="1"/>
      <c r="T67" s="1"/>
      <c r="U67" s="1"/>
      <c r="V67" s="1"/>
      <c r="W67" s="1"/>
      <c r="X67" s="1"/>
      <c r="Y67" s="1"/>
      <c r="Z67" s="1"/>
    </row>
    <row r="68" spans="1:26" ht="12.75">
      <c r="A68" s="33"/>
      <c r="B68" s="70"/>
      <c r="C68" s="70"/>
      <c r="D68" s="70"/>
      <c r="E68" s="70"/>
      <c r="F68" s="70"/>
      <c r="G68" s="70"/>
      <c r="H68" s="34">
        <v>1.48</v>
      </c>
      <c r="I68" s="70">
        <v>0.065</v>
      </c>
      <c r="J68" s="36">
        <f t="shared" si="10"/>
        <v>16.97530864197531</v>
      </c>
      <c r="K68" s="37">
        <f t="shared" si="11"/>
        <v>13.629090909090907</v>
      </c>
      <c r="L68" s="1"/>
      <c r="M68" s="21">
        <f t="shared" si="13"/>
        <v>0</v>
      </c>
      <c r="N68" s="21">
        <f t="shared" si="14"/>
        <v>0</v>
      </c>
      <c r="O68" s="21">
        <f t="shared" si="15"/>
        <v>0</v>
      </c>
      <c r="P68" s="21">
        <f t="shared" si="12"/>
        <v>0</v>
      </c>
      <c r="Q68" s="1"/>
      <c r="R68" s="1"/>
      <c r="S68" s="1"/>
      <c r="T68" s="1"/>
      <c r="U68" s="1"/>
      <c r="V68" s="1"/>
      <c r="W68" s="1"/>
      <c r="X68" s="1"/>
      <c r="Y68" s="1"/>
      <c r="Z68" s="1"/>
    </row>
    <row r="69" spans="1:26" ht="12.75">
      <c r="A69" s="33"/>
      <c r="B69" s="70"/>
      <c r="C69" s="70"/>
      <c r="D69" s="70"/>
      <c r="E69" s="70"/>
      <c r="F69" s="70"/>
      <c r="G69" s="70"/>
      <c r="H69" s="34">
        <v>1.48</v>
      </c>
      <c r="I69" s="70">
        <v>0.065</v>
      </c>
      <c r="J69" s="36">
        <f t="shared" si="10"/>
        <v>16.97530864197531</v>
      </c>
      <c r="K69" s="37">
        <f t="shared" si="11"/>
        <v>13.629090909090907</v>
      </c>
      <c r="L69" s="1"/>
      <c r="M69" s="21">
        <f t="shared" si="13"/>
        <v>0</v>
      </c>
      <c r="N69" s="21">
        <f t="shared" si="14"/>
        <v>0</v>
      </c>
      <c r="O69" s="21">
        <f t="shared" si="15"/>
        <v>0</v>
      </c>
      <c r="P69" s="21">
        <f t="shared" si="12"/>
        <v>0</v>
      </c>
      <c r="Q69" s="1"/>
      <c r="R69" s="1"/>
      <c r="S69" s="1"/>
      <c r="T69" s="1"/>
      <c r="U69" s="1"/>
      <c r="V69" s="1"/>
      <c r="W69" s="1"/>
      <c r="X69" s="1"/>
      <c r="Y69" s="1"/>
      <c r="Z69" s="1"/>
    </row>
    <row r="70" spans="1:26" ht="13.5" thickBo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3.5" thickBot="1">
      <c r="A71" s="72" t="s">
        <v>162</v>
      </c>
      <c r="B71" s="48"/>
      <c r="C71" s="48"/>
      <c r="D71" s="48"/>
      <c r="E71" s="48"/>
      <c r="F71" s="48"/>
      <c r="G71" s="48"/>
      <c r="H71" s="49"/>
      <c r="I71" s="42"/>
      <c r="J71" s="42"/>
      <c r="K71" s="42"/>
      <c r="L71" s="1"/>
      <c r="M71" s="1"/>
      <c r="N71" s="1"/>
      <c r="O71" s="1"/>
      <c r="P71" s="1"/>
      <c r="Q71" s="1"/>
      <c r="R71" s="1"/>
      <c r="S71" s="1"/>
      <c r="T71" s="1"/>
      <c r="U71" s="1"/>
      <c r="V71" s="1"/>
      <c r="W71" s="1"/>
      <c r="X71" s="1"/>
      <c r="Y71" s="1"/>
      <c r="Z71" s="1"/>
    </row>
    <row r="72" spans="1:26" ht="24" customHeight="1" thickBot="1">
      <c r="A72" s="76" t="s">
        <v>116</v>
      </c>
      <c r="B72" s="77"/>
      <c r="C72" s="77"/>
      <c r="D72" s="77"/>
      <c r="E72" s="77"/>
      <c r="F72" s="77"/>
      <c r="G72" s="78"/>
      <c r="H72" s="1"/>
      <c r="I72" s="1"/>
      <c r="J72" s="1"/>
      <c r="K72" s="1"/>
      <c r="L72" s="1"/>
      <c r="M72" s="1"/>
      <c r="N72" s="1"/>
      <c r="O72" s="1"/>
      <c r="P72" s="1"/>
      <c r="Q72" s="1"/>
      <c r="R72" s="1"/>
      <c r="S72" s="1"/>
      <c r="T72" s="1"/>
      <c r="U72" s="1"/>
      <c r="V72" s="1"/>
      <c r="W72" s="1"/>
      <c r="X72" s="1"/>
      <c r="Y72" s="1"/>
      <c r="Z72" s="1"/>
    </row>
    <row r="73" spans="1:26" ht="75" customHeight="1" thickBot="1">
      <c r="A73" s="38" t="s">
        <v>106</v>
      </c>
      <c r="B73" s="30" t="s">
        <v>134</v>
      </c>
      <c r="C73" s="31" t="s">
        <v>133</v>
      </c>
      <c r="D73" s="32" t="s">
        <v>135</v>
      </c>
      <c r="E73" s="30" t="s">
        <v>37</v>
      </c>
      <c r="F73" s="31" t="s">
        <v>38</v>
      </c>
      <c r="G73" s="32" t="s">
        <v>39</v>
      </c>
      <c r="H73" s="30" t="s">
        <v>66</v>
      </c>
      <c r="I73" s="31" t="s">
        <v>67</v>
      </c>
      <c r="J73" s="31" t="s">
        <v>22</v>
      </c>
      <c r="K73" s="32" t="s">
        <v>23</v>
      </c>
      <c r="L73" s="38"/>
      <c r="M73" s="30" t="s">
        <v>24</v>
      </c>
      <c r="N73" s="31" t="s">
        <v>25</v>
      </c>
      <c r="O73" s="31" t="s">
        <v>26</v>
      </c>
      <c r="P73" s="32" t="s">
        <v>27</v>
      </c>
      <c r="Q73" s="1"/>
      <c r="R73" s="97"/>
      <c r="S73" s="80" t="s">
        <v>81</v>
      </c>
      <c r="T73" s="79"/>
      <c r="U73" s="1"/>
      <c r="V73" s="1"/>
      <c r="W73" s="1"/>
      <c r="X73" s="1"/>
      <c r="Y73" s="1"/>
      <c r="Z73" s="1"/>
    </row>
    <row r="74" spans="1:26" ht="12.75">
      <c r="A74" s="104" t="s">
        <v>45</v>
      </c>
      <c r="B74" s="104">
        <v>160</v>
      </c>
      <c r="C74" s="104">
        <v>135</v>
      </c>
      <c r="D74" s="104">
        <v>184</v>
      </c>
      <c r="E74" s="70">
        <v>0</v>
      </c>
      <c r="F74" s="70">
        <v>0</v>
      </c>
      <c r="G74" s="70">
        <v>0</v>
      </c>
      <c r="H74" s="43">
        <v>1.48</v>
      </c>
      <c r="I74" s="70">
        <v>0.065</v>
      </c>
      <c r="J74" s="74">
        <f>307.75*10^6/(390*325*265)</f>
        <v>9.162293922816419</v>
      </c>
      <c r="K74" s="75">
        <f>437/307.75</f>
        <v>1.4199837530463038</v>
      </c>
      <c r="L74" s="1"/>
      <c r="M74" s="21">
        <f>J74*(B74+230)*(C74+190)*(D74+81)/1000000*(1-E74)*H74</f>
        <v>455.46999999999997</v>
      </c>
      <c r="N74" s="21">
        <f>M74*K74*(1-F74)</f>
        <v>646.7599999999999</v>
      </c>
      <c r="O74" s="21">
        <f>N74*I74*(1-G74)</f>
        <v>42.03939999999999</v>
      </c>
      <c r="P74" s="21">
        <f aca="true" t="shared" si="16" ref="P74:P82">SUM(M74:O74)</f>
        <v>1144.2693999999997</v>
      </c>
      <c r="Q74" s="1"/>
      <c r="R74" s="81">
        <v>27.5</v>
      </c>
      <c r="S74" s="82" t="s">
        <v>87</v>
      </c>
      <c r="T74" s="83"/>
      <c r="U74" s="1"/>
      <c r="V74" s="1"/>
      <c r="W74" s="1"/>
      <c r="X74" s="1"/>
      <c r="Y74" s="1"/>
      <c r="Z74" s="1"/>
    </row>
    <row r="75" spans="1:26" ht="12.75">
      <c r="A75" s="34" t="str">
        <f>F33</f>
        <v>STS Settings</v>
      </c>
      <c r="B75" s="34">
        <f>H138</f>
        <v>160</v>
      </c>
      <c r="C75" s="34">
        <f>I138</f>
        <v>135</v>
      </c>
      <c r="D75" s="34">
        <f>K39</f>
        <v>184</v>
      </c>
      <c r="E75" s="70"/>
      <c r="F75" s="70"/>
      <c r="G75" s="70"/>
      <c r="H75" s="34">
        <v>1.48</v>
      </c>
      <c r="I75" s="70">
        <v>0.065</v>
      </c>
      <c r="J75" s="74">
        <f aca="true" t="shared" si="17" ref="J75:J82">307.75*10^6/(390*325*265)</f>
        <v>9.162293922816419</v>
      </c>
      <c r="K75" s="75">
        <f aca="true" t="shared" si="18" ref="K75:K82">437/307.75</f>
        <v>1.4199837530463038</v>
      </c>
      <c r="L75" s="1"/>
      <c r="M75" s="21">
        <f aca="true" t="shared" si="19" ref="M75:M82">J75*(B75+230)*(C75+190)*(D75+81)/1000000*(1-E75)*H75</f>
        <v>455.46999999999997</v>
      </c>
      <c r="N75" s="21">
        <f aca="true" t="shared" si="20" ref="N75:N82">M75*K75*(1-F75)</f>
        <v>646.7599999999999</v>
      </c>
      <c r="O75" s="21">
        <f aca="true" t="shared" si="21" ref="O75:O82">N75*I75*(1-G75)</f>
        <v>42.03939999999999</v>
      </c>
      <c r="P75" s="21">
        <f t="shared" si="16"/>
        <v>1144.2693999999997</v>
      </c>
      <c r="Q75" s="1"/>
      <c r="R75" s="84">
        <v>56</v>
      </c>
      <c r="S75" s="85" t="s">
        <v>88</v>
      </c>
      <c r="T75" s="86"/>
      <c r="U75" s="1"/>
      <c r="V75" s="1"/>
      <c r="W75" s="1"/>
      <c r="X75" s="1"/>
      <c r="Y75" s="1"/>
      <c r="Z75" s="1"/>
    </row>
    <row r="76" spans="1:26" ht="12.75">
      <c r="A76" s="33" t="str">
        <f>A115</f>
        <v>ISAT SSTO</v>
      </c>
      <c r="B76" s="70">
        <v>135</v>
      </c>
      <c r="C76" s="70">
        <v>60</v>
      </c>
      <c r="D76" s="70">
        <v>224</v>
      </c>
      <c r="E76" s="70"/>
      <c r="F76" s="70"/>
      <c r="G76" s="70"/>
      <c r="H76" s="34">
        <v>1.48</v>
      </c>
      <c r="I76" s="70">
        <v>0.065</v>
      </c>
      <c r="J76" s="74">
        <f t="shared" si="17"/>
        <v>9.162293922816419</v>
      </c>
      <c r="K76" s="75">
        <f t="shared" si="18"/>
        <v>1.4199837530463038</v>
      </c>
      <c r="L76" s="1"/>
      <c r="M76" s="21">
        <f t="shared" si="19"/>
        <v>377.397177254289</v>
      </c>
      <c r="N76" s="21">
        <f t="shared" si="20"/>
        <v>535.8978601466264</v>
      </c>
      <c r="O76" s="21">
        <f t="shared" si="21"/>
        <v>34.83336090953072</v>
      </c>
      <c r="P76" s="21">
        <f t="shared" si="16"/>
        <v>948.1283983104461</v>
      </c>
      <c r="Q76" s="4"/>
      <c r="R76" s="84">
        <f>R74+R75</f>
        <v>83.5</v>
      </c>
      <c r="S76" s="85" t="s">
        <v>89</v>
      </c>
      <c r="T76" s="86"/>
      <c r="U76" s="1"/>
      <c r="V76" s="1"/>
      <c r="W76" s="1"/>
      <c r="X76" s="1"/>
      <c r="Y76" s="1"/>
      <c r="Z76" s="1"/>
    </row>
    <row r="77" spans="1:26" ht="12.75">
      <c r="A77" s="33"/>
      <c r="B77" s="70"/>
      <c r="C77" s="70"/>
      <c r="D77" s="70"/>
      <c r="E77" s="70"/>
      <c r="F77" s="70"/>
      <c r="G77" s="70"/>
      <c r="H77" s="34">
        <v>1.48</v>
      </c>
      <c r="I77" s="70">
        <v>0.065</v>
      </c>
      <c r="J77" s="74">
        <f t="shared" si="17"/>
        <v>9.162293922816419</v>
      </c>
      <c r="K77" s="75">
        <f t="shared" si="18"/>
        <v>1.4199837530463038</v>
      </c>
      <c r="L77" s="1"/>
      <c r="M77" s="21">
        <f t="shared" si="19"/>
        <v>47.99902226191804</v>
      </c>
      <c r="N77" s="21">
        <f t="shared" si="20"/>
        <v>68.15783177403146</v>
      </c>
      <c r="O77" s="21">
        <f t="shared" si="21"/>
        <v>4.430259065312045</v>
      </c>
      <c r="P77" s="21">
        <f t="shared" si="16"/>
        <v>120.58711310126155</v>
      </c>
      <c r="Q77" s="1"/>
      <c r="R77" s="84"/>
      <c r="S77" s="85"/>
      <c r="T77" s="86"/>
      <c r="U77" s="1"/>
      <c r="V77" s="1"/>
      <c r="W77" s="1"/>
      <c r="X77" s="1"/>
      <c r="Y77" s="1"/>
      <c r="Z77" s="1"/>
    </row>
    <row r="78" spans="1:26" ht="12.75">
      <c r="A78" s="33"/>
      <c r="B78" s="70"/>
      <c r="C78" s="70"/>
      <c r="D78" s="70"/>
      <c r="E78" s="70"/>
      <c r="F78" s="70"/>
      <c r="G78" s="70"/>
      <c r="H78" s="34">
        <v>1.48</v>
      </c>
      <c r="I78" s="70">
        <v>0.065</v>
      </c>
      <c r="J78" s="74">
        <f t="shared" si="17"/>
        <v>9.162293922816419</v>
      </c>
      <c r="K78" s="75">
        <f t="shared" si="18"/>
        <v>1.4199837530463038</v>
      </c>
      <c r="L78" s="1"/>
      <c r="M78" s="21">
        <f t="shared" si="19"/>
        <v>47.99902226191804</v>
      </c>
      <c r="N78" s="21">
        <f t="shared" si="20"/>
        <v>68.15783177403146</v>
      </c>
      <c r="O78" s="21">
        <f t="shared" si="21"/>
        <v>4.430259065312045</v>
      </c>
      <c r="P78" s="21">
        <f t="shared" si="16"/>
        <v>120.58711310126155</v>
      </c>
      <c r="Q78" s="60"/>
      <c r="R78" s="84">
        <v>76.6</v>
      </c>
      <c r="S78" s="85" t="s">
        <v>90</v>
      </c>
      <c r="T78" s="86"/>
      <c r="U78" s="1"/>
      <c r="V78" s="1"/>
      <c r="W78" s="1"/>
      <c r="X78" s="1"/>
      <c r="Y78" s="1"/>
      <c r="Z78" s="1"/>
    </row>
    <row r="79" spans="1:26" ht="12.75">
      <c r="A79" s="33"/>
      <c r="B79" s="70"/>
      <c r="C79" s="70"/>
      <c r="D79" s="70"/>
      <c r="E79" s="70"/>
      <c r="F79" s="70"/>
      <c r="G79" s="70"/>
      <c r="H79" s="34">
        <v>1.48</v>
      </c>
      <c r="I79" s="70">
        <v>0.065</v>
      </c>
      <c r="J79" s="74">
        <f t="shared" si="17"/>
        <v>9.162293922816419</v>
      </c>
      <c r="K79" s="75">
        <f t="shared" si="18"/>
        <v>1.4199837530463038</v>
      </c>
      <c r="L79" s="1"/>
      <c r="M79" s="21">
        <f t="shared" si="19"/>
        <v>47.99902226191804</v>
      </c>
      <c r="N79" s="21">
        <f t="shared" si="20"/>
        <v>68.15783177403146</v>
      </c>
      <c r="O79" s="21">
        <f t="shared" si="21"/>
        <v>4.430259065312045</v>
      </c>
      <c r="P79" s="21">
        <f t="shared" si="16"/>
        <v>120.58711310126155</v>
      </c>
      <c r="Q79" s="60"/>
      <c r="R79" s="84">
        <v>78.06</v>
      </c>
      <c r="S79" s="85" t="s">
        <v>91</v>
      </c>
      <c r="T79" s="86"/>
      <c r="U79" s="1"/>
      <c r="V79" s="1"/>
      <c r="W79" s="1"/>
      <c r="X79" s="1"/>
      <c r="Y79" s="1"/>
      <c r="Z79" s="1"/>
    </row>
    <row r="80" spans="1:26" ht="12.75">
      <c r="A80" s="33"/>
      <c r="B80" s="70"/>
      <c r="C80" s="70"/>
      <c r="D80" s="70"/>
      <c r="E80" s="70"/>
      <c r="F80" s="70"/>
      <c r="G80" s="70"/>
      <c r="H80" s="34">
        <v>1.48</v>
      </c>
      <c r="I80" s="70">
        <v>0.065</v>
      </c>
      <c r="J80" s="74">
        <f t="shared" si="17"/>
        <v>9.162293922816419</v>
      </c>
      <c r="K80" s="75">
        <f t="shared" si="18"/>
        <v>1.4199837530463038</v>
      </c>
      <c r="L80" s="1"/>
      <c r="M80" s="21">
        <f t="shared" si="19"/>
        <v>47.99902226191804</v>
      </c>
      <c r="N80" s="21">
        <f t="shared" si="20"/>
        <v>68.15783177403146</v>
      </c>
      <c r="O80" s="21">
        <f t="shared" si="21"/>
        <v>4.430259065312045</v>
      </c>
      <c r="P80" s="21">
        <f t="shared" si="16"/>
        <v>120.58711310126155</v>
      </c>
      <c r="Q80" s="60"/>
      <c r="R80" s="84">
        <v>184.2</v>
      </c>
      <c r="S80" s="85" t="s">
        <v>92</v>
      </c>
      <c r="T80" s="86"/>
      <c r="U80" s="1"/>
      <c r="V80" s="1"/>
      <c r="W80" s="1"/>
      <c r="X80" s="1"/>
      <c r="Y80" s="1"/>
      <c r="Z80" s="1"/>
    </row>
    <row r="81" spans="1:26" ht="12.75">
      <c r="A81" s="33"/>
      <c r="B81" s="70"/>
      <c r="C81" s="70"/>
      <c r="D81" s="70"/>
      <c r="E81" s="70"/>
      <c r="F81" s="70"/>
      <c r="G81" s="70"/>
      <c r="H81" s="34">
        <v>1.48</v>
      </c>
      <c r="I81" s="70">
        <v>0.065</v>
      </c>
      <c r="J81" s="74">
        <f t="shared" si="17"/>
        <v>9.162293922816419</v>
      </c>
      <c r="K81" s="75">
        <f t="shared" si="18"/>
        <v>1.4199837530463038</v>
      </c>
      <c r="L81" s="1"/>
      <c r="M81" s="21">
        <f t="shared" si="19"/>
        <v>47.99902226191804</v>
      </c>
      <c r="N81" s="21">
        <f t="shared" si="20"/>
        <v>68.15783177403146</v>
      </c>
      <c r="O81" s="21">
        <f t="shared" si="21"/>
        <v>4.430259065312045</v>
      </c>
      <c r="P81" s="21">
        <f t="shared" si="16"/>
        <v>120.58711310126155</v>
      </c>
      <c r="Q81" s="1"/>
      <c r="R81" s="98"/>
      <c r="S81" s="99"/>
      <c r="T81" s="87"/>
      <c r="U81" s="1"/>
      <c r="V81" s="1"/>
      <c r="W81" s="1"/>
      <c r="X81" s="1"/>
      <c r="Y81" s="1"/>
      <c r="Z81" s="1"/>
    </row>
    <row r="82" spans="1:26" ht="13.5" thickBot="1">
      <c r="A82" s="33"/>
      <c r="B82" s="70"/>
      <c r="C82" s="70"/>
      <c r="D82" s="70"/>
      <c r="E82" s="70"/>
      <c r="F82" s="70"/>
      <c r="G82" s="70"/>
      <c r="H82" s="34">
        <v>1.48</v>
      </c>
      <c r="I82" s="70">
        <v>0.065</v>
      </c>
      <c r="J82" s="74">
        <f t="shared" si="17"/>
        <v>9.162293922816419</v>
      </c>
      <c r="K82" s="75">
        <f t="shared" si="18"/>
        <v>1.4199837530463038</v>
      </c>
      <c r="L82" s="1"/>
      <c r="M82" s="21">
        <f t="shared" si="19"/>
        <v>47.99902226191804</v>
      </c>
      <c r="N82" s="21">
        <f t="shared" si="20"/>
        <v>68.15783177403146</v>
      </c>
      <c r="O82" s="21">
        <f t="shared" si="21"/>
        <v>4.430259065312045</v>
      </c>
      <c r="P82" s="21">
        <f t="shared" si="16"/>
        <v>120.58711310126155</v>
      </c>
      <c r="Q82" s="1"/>
      <c r="R82" s="88"/>
      <c r="S82" s="89"/>
      <c r="T82" s="90"/>
      <c r="U82" s="1"/>
      <c r="V82" s="1"/>
      <c r="W82" s="1"/>
      <c r="X82" s="1"/>
      <c r="Y82" s="1"/>
      <c r="Z82" s="1"/>
    </row>
    <row r="83" spans="1:26" ht="13.5" thickBo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5" thickBot="1">
      <c r="A84" s="72" t="s">
        <v>127</v>
      </c>
      <c r="B84" s="48"/>
      <c r="C84" s="48"/>
      <c r="D84" s="48"/>
      <c r="E84" s="48"/>
      <c r="F84" s="48"/>
      <c r="G84" s="48"/>
      <c r="H84" s="49"/>
      <c r="I84" s="1"/>
      <c r="J84" s="1"/>
      <c r="K84" s="1"/>
      <c r="L84" s="1"/>
      <c r="M84" s="1"/>
      <c r="N84" s="1"/>
      <c r="O84" s="1"/>
      <c r="P84" s="1"/>
      <c r="Q84" s="1"/>
      <c r="R84" s="1"/>
      <c r="S84" s="1"/>
      <c r="T84" s="1"/>
      <c r="U84" s="1"/>
      <c r="V84" s="1"/>
      <c r="W84" s="1"/>
      <c r="X84" s="1"/>
      <c r="Y84" s="1"/>
      <c r="Z84" s="1"/>
    </row>
    <row r="85" spans="1:26" ht="26.25" customHeight="1" thickBot="1">
      <c r="A85" s="76" t="s">
        <v>115</v>
      </c>
      <c r="B85" s="77"/>
      <c r="C85" s="77"/>
      <c r="D85" s="77"/>
      <c r="E85" s="77"/>
      <c r="F85" s="77"/>
      <c r="G85" s="78"/>
      <c r="H85" s="1"/>
      <c r="I85" s="1"/>
      <c r="J85" s="1"/>
      <c r="K85" s="1"/>
      <c r="L85" s="1"/>
      <c r="M85" s="1"/>
      <c r="N85" s="1"/>
      <c r="O85" s="1"/>
      <c r="P85" s="1"/>
      <c r="Q85" s="1"/>
      <c r="R85" s="1"/>
      <c r="S85" s="1"/>
      <c r="T85" s="1"/>
      <c r="U85" s="1"/>
      <c r="V85" s="1"/>
      <c r="W85" s="1"/>
      <c r="X85" s="1"/>
      <c r="Y85" s="1"/>
      <c r="Z85" s="1"/>
    </row>
    <row r="86" spans="1:26" ht="66.75" customHeight="1" thickBot="1">
      <c r="A86" s="38" t="s">
        <v>106</v>
      </c>
      <c r="B86" s="30" t="s">
        <v>134</v>
      </c>
      <c r="C86" s="31" t="s">
        <v>133</v>
      </c>
      <c r="D86" s="32" t="s">
        <v>135</v>
      </c>
      <c r="E86" s="30" t="s">
        <v>37</v>
      </c>
      <c r="F86" s="31" t="s">
        <v>38</v>
      </c>
      <c r="G86" s="32" t="s">
        <v>39</v>
      </c>
      <c r="H86" s="30" t="s">
        <v>66</v>
      </c>
      <c r="I86" s="31" t="s">
        <v>67</v>
      </c>
      <c r="J86" s="31" t="s">
        <v>22</v>
      </c>
      <c r="K86" s="32" t="s">
        <v>23</v>
      </c>
      <c r="L86" s="38"/>
      <c r="M86" s="30" t="s">
        <v>24</v>
      </c>
      <c r="N86" s="31" t="s">
        <v>25</v>
      </c>
      <c r="O86" s="31" t="s">
        <v>26</v>
      </c>
      <c r="P86" s="32" t="s">
        <v>27</v>
      </c>
      <c r="Q86" s="1"/>
      <c r="R86" s="1"/>
      <c r="S86" s="1"/>
      <c r="T86" s="1"/>
      <c r="U86" s="1"/>
      <c r="V86" s="1"/>
      <c r="W86" s="1"/>
      <c r="X86" s="1"/>
      <c r="Y86" s="1"/>
      <c r="Z86" s="1"/>
    </row>
    <row r="87" spans="1:26" ht="12.75">
      <c r="A87" s="104" t="s">
        <v>45</v>
      </c>
      <c r="B87" s="104">
        <v>160</v>
      </c>
      <c r="C87" s="104">
        <v>135</v>
      </c>
      <c r="D87" s="104">
        <v>184</v>
      </c>
      <c r="E87" s="70">
        <v>0</v>
      </c>
      <c r="F87" s="70">
        <v>0</v>
      </c>
      <c r="G87" s="70">
        <v>0</v>
      </c>
      <c r="H87" s="43">
        <v>1.48</v>
      </c>
      <c r="I87" s="70">
        <v>0.065</v>
      </c>
      <c r="J87" s="74">
        <f>264.3*10^6/(390*325*402)</f>
        <v>5.187082339780388</v>
      </c>
      <c r="K87" s="75">
        <f>375.3/264.3</f>
        <v>1.4199772985244041</v>
      </c>
      <c r="L87" s="1"/>
      <c r="M87" s="21">
        <f>J87*(B87+230)*(C87+190)*(D87+218)/1000000*(1-E87)*H87</f>
        <v>391.164</v>
      </c>
      <c r="N87" s="21">
        <f>M87*K87*(1-F87)</f>
        <v>555.444</v>
      </c>
      <c r="O87" s="21">
        <f>N87*I87*(1-G87)</f>
        <v>36.10386</v>
      </c>
      <c r="P87" s="21">
        <f aca="true" t="shared" si="22" ref="P87:P95">SUM(M87:O87)</f>
        <v>982.7118599999999</v>
      </c>
      <c r="Q87" s="1"/>
      <c r="R87" s="1"/>
      <c r="S87" s="1"/>
      <c r="T87" s="1"/>
      <c r="U87" s="1"/>
      <c r="V87" s="1"/>
      <c r="W87" s="1"/>
      <c r="X87" s="1"/>
      <c r="Y87" s="1"/>
      <c r="Z87" s="1"/>
    </row>
    <row r="88" spans="1:26" ht="12.75">
      <c r="A88" s="34" t="str">
        <f>F33</f>
        <v>STS Settings</v>
      </c>
      <c r="B88" s="34">
        <f>H138</f>
        <v>160</v>
      </c>
      <c r="C88" s="34">
        <f>I138</f>
        <v>135</v>
      </c>
      <c r="D88" s="34">
        <f>K39</f>
        <v>184</v>
      </c>
      <c r="E88" s="70"/>
      <c r="F88" s="70"/>
      <c r="G88" s="70"/>
      <c r="H88" s="34">
        <v>1.48</v>
      </c>
      <c r="I88" s="70">
        <v>0.065</v>
      </c>
      <c r="J88" s="74">
        <f aca="true" t="shared" si="23" ref="J88:J95">264.3*10^6/(390*325*402)</f>
        <v>5.187082339780388</v>
      </c>
      <c r="K88" s="37">
        <f aca="true" t="shared" si="24" ref="K88:K95">375.3/264.3</f>
        <v>1.4199772985244041</v>
      </c>
      <c r="L88" s="1"/>
      <c r="M88" s="21">
        <f aca="true" t="shared" si="25" ref="M88:M95">J88*(B88+230)*(C88+190)*(D88+218)/1000000*(1-E88)*H88</f>
        <v>391.164</v>
      </c>
      <c r="N88" s="21">
        <f aca="true" t="shared" si="26" ref="N88:N95">M88*K88*(1-F88)</f>
        <v>555.444</v>
      </c>
      <c r="O88" s="21">
        <f aca="true" t="shared" si="27" ref="O88:O95">N88*I88*(1-G88)</f>
        <v>36.10386</v>
      </c>
      <c r="P88" s="21">
        <f t="shared" si="22"/>
        <v>982.7118599999999</v>
      </c>
      <c r="Q88" s="1"/>
      <c r="R88" s="1"/>
      <c r="S88" s="1"/>
      <c r="T88" s="1"/>
      <c r="U88" s="1"/>
      <c r="V88" s="1"/>
      <c r="W88" s="1"/>
      <c r="X88" s="1"/>
      <c r="Y88" s="1"/>
      <c r="Z88" s="1"/>
    </row>
    <row r="89" spans="1:26" ht="12.75">
      <c r="A89" s="33" t="str">
        <f>A128</f>
        <v>ISAT SSTO</v>
      </c>
      <c r="B89" s="70">
        <v>135</v>
      </c>
      <c r="C89" s="70">
        <v>60</v>
      </c>
      <c r="D89" s="70">
        <v>224</v>
      </c>
      <c r="E89" s="70"/>
      <c r="F89" s="70"/>
      <c r="G89" s="70"/>
      <c r="H89" s="34">
        <v>1.48</v>
      </c>
      <c r="I89" s="70">
        <v>0.065</v>
      </c>
      <c r="J89" s="74">
        <f t="shared" si="23"/>
        <v>5.187082339780388</v>
      </c>
      <c r="K89" s="37">
        <f t="shared" si="24"/>
        <v>1.4199772985244041</v>
      </c>
      <c r="L89" s="1"/>
      <c r="M89" s="21">
        <f t="shared" si="25"/>
        <v>309.6278377344049</v>
      </c>
      <c r="N89" s="21">
        <f t="shared" si="26"/>
        <v>439.66450057405285</v>
      </c>
      <c r="O89" s="21">
        <f t="shared" si="27"/>
        <v>28.578192537313438</v>
      </c>
      <c r="P89" s="21">
        <f t="shared" si="22"/>
        <v>777.8705308457712</v>
      </c>
      <c r="Q89" s="1"/>
      <c r="R89" s="1"/>
      <c r="S89" s="1"/>
      <c r="T89" s="1"/>
      <c r="U89" s="1"/>
      <c r="V89" s="1"/>
      <c r="W89" s="1"/>
      <c r="X89" s="1"/>
      <c r="Y89" s="1"/>
      <c r="Z89" s="1"/>
    </row>
    <row r="90" spans="1:26" ht="12.75">
      <c r="A90" s="33"/>
      <c r="B90" s="70"/>
      <c r="C90" s="70"/>
      <c r="D90" s="70"/>
      <c r="E90" s="70"/>
      <c r="F90" s="70"/>
      <c r="G90" s="70"/>
      <c r="H90" s="34">
        <v>1.48</v>
      </c>
      <c r="I90" s="70">
        <v>0.065</v>
      </c>
      <c r="J90" s="74">
        <f t="shared" si="23"/>
        <v>5.187082339780388</v>
      </c>
      <c r="K90" s="37">
        <f t="shared" si="24"/>
        <v>1.4199772985244041</v>
      </c>
      <c r="L90" s="1"/>
      <c r="M90" s="21">
        <f t="shared" si="25"/>
        <v>73.13458275486474</v>
      </c>
      <c r="N90" s="21">
        <f t="shared" si="26"/>
        <v>103.8494472489623</v>
      </c>
      <c r="O90" s="21">
        <f t="shared" si="27"/>
        <v>6.75021407118255</v>
      </c>
      <c r="P90" s="21">
        <f t="shared" si="22"/>
        <v>183.7342440750096</v>
      </c>
      <c r="Q90" s="1"/>
      <c r="R90" s="1"/>
      <c r="S90" s="1"/>
      <c r="T90" s="1"/>
      <c r="U90" s="1"/>
      <c r="V90" s="1"/>
      <c r="W90" s="1"/>
      <c r="X90" s="1"/>
      <c r="Y90" s="1"/>
      <c r="Z90" s="1"/>
    </row>
    <row r="91" spans="1:26" ht="12.75">
      <c r="A91" s="33"/>
      <c r="B91" s="70"/>
      <c r="C91" s="70"/>
      <c r="D91" s="70"/>
      <c r="E91" s="70"/>
      <c r="F91" s="70"/>
      <c r="G91" s="70"/>
      <c r="H91" s="34">
        <v>1.48</v>
      </c>
      <c r="I91" s="70">
        <v>0.065</v>
      </c>
      <c r="J91" s="74">
        <f t="shared" si="23"/>
        <v>5.187082339780388</v>
      </c>
      <c r="K91" s="37">
        <f t="shared" si="24"/>
        <v>1.4199772985244041</v>
      </c>
      <c r="L91" s="1"/>
      <c r="M91" s="21">
        <f t="shared" si="25"/>
        <v>73.13458275486474</v>
      </c>
      <c r="N91" s="21">
        <f t="shared" si="26"/>
        <v>103.8494472489623</v>
      </c>
      <c r="O91" s="21">
        <f t="shared" si="27"/>
        <v>6.75021407118255</v>
      </c>
      <c r="P91" s="21">
        <f t="shared" si="22"/>
        <v>183.7342440750096</v>
      </c>
      <c r="Q91" s="1"/>
      <c r="R91" s="1"/>
      <c r="S91" s="1"/>
      <c r="T91" s="1"/>
      <c r="U91" s="1"/>
      <c r="V91" s="1"/>
      <c r="W91" s="1"/>
      <c r="X91" s="1"/>
      <c r="Y91" s="1"/>
      <c r="Z91" s="1"/>
    </row>
    <row r="92" spans="1:26" ht="12.75">
      <c r="A92" s="33"/>
      <c r="B92" s="70"/>
      <c r="C92" s="70"/>
      <c r="D92" s="70"/>
      <c r="E92" s="70"/>
      <c r="F92" s="70"/>
      <c r="G92" s="70"/>
      <c r="H92" s="34">
        <v>1.48</v>
      </c>
      <c r="I92" s="70">
        <v>0.065</v>
      </c>
      <c r="J92" s="74">
        <f t="shared" si="23"/>
        <v>5.187082339780388</v>
      </c>
      <c r="K92" s="37">
        <f t="shared" si="24"/>
        <v>1.4199772985244041</v>
      </c>
      <c r="L92" s="1"/>
      <c r="M92" s="21">
        <f t="shared" si="25"/>
        <v>73.13458275486474</v>
      </c>
      <c r="N92" s="21">
        <f t="shared" si="26"/>
        <v>103.8494472489623</v>
      </c>
      <c r="O92" s="21">
        <f t="shared" si="27"/>
        <v>6.75021407118255</v>
      </c>
      <c r="P92" s="21">
        <f t="shared" si="22"/>
        <v>183.7342440750096</v>
      </c>
      <c r="Q92" s="1"/>
      <c r="R92" s="1"/>
      <c r="S92" s="1"/>
      <c r="T92" s="1"/>
      <c r="U92" s="1"/>
      <c r="V92" s="1"/>
      <c r="W92" s="1"/>
      <c r="X92" s="1"/>
      <c r="Y92" s="1"/>
      <c r="Z92" s="1"/>
    </row>
    <row r="93" spans="1:26" ht="12.75">
      <c r="A93" s="33"/>
      <c r="B93" s="70"/>
      <c r="C93" s="70"/>
      <c r="D93" s="70"/>
      <c r="E93" s="70"/>
      <c r="F93" s="70"/>
      <c r="G93" s="70"/>
      <c r="H93" s="34">
        <v>1.48</v>
      </c>
      <c r="I93" s="70">
        <v>0.065</v>
      </c>
      <c r="J93" s="74">
        <f t="shared" si="23"/>
        <v>5.187082339780388</v>
      </c>
      <c r="K93" s="37">
        <f t="shared" si="24"/>
        <v>1.4199772985244041</v>
      </c>
      <c r="L93" s="1"/>
      <c r="M93" s="21">
        <f t="shared" si="25"/>
        <v>73.13458275486474</v>
      </c>
      <c r="N93" s="21">
        <f t="shared" si="26"/>
        <v>103.8494472489623</v>
      </c>
      <c r="O93" s="21">
        <f t="shared" si="27"/>
        <v>6.75021407118255</v>
      </c>
      <c r="P93" s="21">
        <f t="shared" si="22"/>
        <v>183.7342440750096</v>
      </c>
      <c r="Q93" s="1"/>
      <c r="R93" s="1"/>
      <c r="S93" s="1"/>
      <c r="T93" s="1"/>
      <c r="U93" s="1"/>
      <c r="V93" s="1"/>
      <c r="W93" s="1"/>
      <c r="X93" s="1"/>
      <c r="Y93" s="1"/>
      <c r="Z93" s="1"/>
    </row>
    <row r="94" spans="1:26" ht="12.75">
      <c r="A94" s="33"/>
      <c r="B94" s="70"/>
      <c r="C94" s="70"/>
      <c r="D94" s="70"/>
      <c r="E94" s="70"/>
      <c r="F94" s="70"/>
      <c r="G94" s="70"/>
      <c r="H94" s="34">
        <v>1.48</v>
      </c>
      <c r="I94" s="70">
        <v>0.065</v>
      </c>
      <c r="J94" s="74">
        <f t="shared" si="23"/>
        <v>5.187082339780388</v>
      </c>
      <c r="K94" s="37">
        <f t="shared" si="24"/>
        <v>1.4199772985244041</v>
      </c>
      <c r="L94" s="1"/>
      <c r="M94" s="21">
        <f t="shared" si="25"/>
        <v>73.13458275486474</v>
      </c>
      <c r="N94" s="21">
        <f t="shared" si="26"/>
        <v>103.8494472489623</v>
      </c>
      <c r="O94" s="21">
        <f t="shared" si="27"/>
        <v>6.75021407118255</v>
      </c>
      <c r="P94" s="21">
        <f t="shared" si="22"/>
        <v>183.7342440750096</v>
      </c>
      <c r="Q94" s="1"/>
      <c r="R94" s="1"/>
      <c r="S94" s="1"/>
      <c r="T94" s="1"/>
      <c r="U94" s="1"/>
      <c r="V94" s="1"/>
      <c r="W94" s="1"/>
      <c r="X94" s="1"/>
      <c r="Y94" s="1"/>
      <c r="Z94" s="1"/>
    </row>
    <row r="95" spans="1:26" ht="12.75">
      <c r="A95" s="33"/>
      <c r="B95" s="70"/>
      <c r="C95" s="70"/>
      <c r="D95" s="70"/>
      <c r="E95" s="70"/>
      <c r="F95" s="70"/>
      <c r="G95" s="70"/>
      <c r="H95" s="34">
        <v>1.48</v>
      </c>
      <c r="I95" s="70">
        <v>0.065</v>
      </c>
      <c r="J95" s="74">
        <f t="shared" si="23"/>
        <v>5.187082339780388</v>
      </c>
      <c r="K95" s="37">
        <f t="shared" si="24"/>
        <v>1.4199772985244041</v>
      </c>
      <c r="L95" s="1"/>
      <c r="M95" s="21">
        <f t="shared" si="25"/>
        <v>73.13458275486474</v>
      </c>
      <c r="N95" s="21">
        <f t="shared" si="26"/>
        <v>103.8494472489623</v>
      </c>
      <c r="O95" s="21">
        <f t="shared" si="27"/>
        <v>6.75021407118255</v>
      </c>
      <c r="P95" s="21">
        <f t="shared" si="22"/>
        <v>183.7342440750096</v>
      </c>
      <c r="Q95" s="1"/>
      <c r="R95" s="1"/>
      <c r="S95" s="1"/>
      <c r="T95" s="1"/>
      <c r="U95" s="1"/>
      <c r="V95" s="1"/>
      <c r="W95" s="1"/>
      <c r="X95" s="1"/>
      <c r="Y95" s="1"/>
      <c r="Z95" s="1"/>
    </row>
    <row r="96" spans="1:26" ht="13.5" thickBo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5" thickBot="1">
      <c r="A97" s="72" t="s">
        <v>148</v>
      </c>
      <c r="B97" s="48"/>
      <c r="C97" s="48"/>
      <c r="D97" s="48"/>
      <c r="E97" s="48"/>
      <c r="F97" s="48"/>
      <c r="G97" s="48"/>
      <c r="H97" s="48"/>
      <c r="I97" s="48"/>
      <c r="J97" s="48"/>
      <c r="K97" s="49"/>
      <c r="L97" s="1"/>
      <c r="M97" s="1"/>
      <c r="N97" s="1"/>
      <c r="O97" s="1"/>
      <c r="P97" s="1"/>
      <c r="Q97" s="1"/>
      <c r="R97" s="1"/>
      <c r="S97" s="1"/>
      <c r="T97" s="1"/>
      <c r="U97" s="1"/>
      <c r="V97" s="1"/>
      <c r="W97" s="1"/>
      <c r="X97" s="1"/>
      <c r="Y97" s="1"/>
      <c r="Z97" s="1"/>
    </row>
    <row r="98" spans="1:26" ht="25.5" customHeight="1" thickBot="1">
      <c r="A98" s="76" t="s">
        <v>93</v>
      </c>
      <c r="B98" s="77"/>
      <c r="C98" s="77"/>
      <c r="D98" s="77"/>
      <c r="E98" s="77"/>
      <c r="F98" s="77"/>
      <c r="G98" s="78"/>
      <c r="H98" s="1"/>
      <c r="I98" s="1"/>
      <c r="J98" s="1"/>
      <c r="K98" s="1"/>
      <c r="L98" s="1"/>
      <c r="M98" s="1"/>
      <c r="N98" s="1"/>
      <c r="O98" s="1"/>
      <c r="P98" s="1"/>
      <c r="Q98" s="1"/>
      <c r="R98" s="1"/>
      <c r="S98" s="1"/>
      <c r="T98" s="1"/>
      <c r="U98" s="1"/>
      <c r="V98" s="1"/>
      <c r="W98" s="1"/>
      <c r="X98" s="1"/>
      <c r="Y98" s="1"/>
      <c r="Z98" s="1"/>
    </row>
    <row r="99" spans="1:26" ht="54" customHeight="1" thickBot="1">
      <c r="A99" s="38"/>
      <c r="B99" s="30" t="s">
        <v>95</v>
      </c>
      <c r="C99" s="31" t="s">
        <v>96</v>
      </c>
      <c r="D99" s="32" t="s">
        <v>97</v>
      </c>
      <c r="E99" s="30" t="s">
        <v>37</v>
      </c>
      <c r="F99" s="31" t="s">
        <v>38</v>
      </c>
      <c r="G99" s="32" t="s">
        <v>39</v>
      </c>
      <c r="H99" s="30" t="s">
        <v>66</v>
      </c>
      <c r="I99" s="31" t="s">
        <v>67</v>
      </c>
      <c r="J99" s="31" t="s">
        <v>98</v>
      </c>
      <c r="K99" s="32" t="s">
        <v>23</v>
      </c>
      <c r="L99" s="38"/>
      <c r="M99" s="30" t="s">
        <v>24</v>
      </c>
      <c r="N99" s="31" t="s">
        <v>25</v>
      </c>
      <c r="O99" s="31" t="s">
        <v>26</v>
      </c>
      <c r="P99" s="32" t="s">
        <v>27</v>
      </c>
      <c r="Q99" s="1"/>
      <c r="R99" s="1"/>
      <c r="S99" s="1"/>
      <c r="T99" s="1"/>
      <c r="U99" s="1"/>
      <c r="V99" s="1"/>
      <c r="W99" s="1"/>
      <c r="X99" s="1"/>
      <c r="Y99" s="1"/>
      <c r="Z99" s="1"/>
    </row>
    <row r="100" spans="1:26" ht="12.75">
      <c r="A100" s="104" t="s">
        <v>45</v>
      </c>
      <c r="B100" s="104">
        <v>17000</v>
      </c>
      <c r="C100" s="104">
        <v>300</v>
      </c>
      <c r="D100" s="104">
        <v>1.5</v>
      </c>
      <c r="E100" s="95"/>
      <c r="F100" s="95"/>
      <c r="G100" s="95"/>
      <c r="H100" s="74">
        <v>1.48</v>
      </c>
      <c r="I100" s="70">
        <v>0.065</v>
      </c>
      <c r="J100" s="74">
        <v>5</v>
      </c>
      <c r="K100" s="74">
        <v>1</v>
      </c>
      <c r="L100" s="1"/>
      <c r="M100" s="94">
        <f aca="true" t="shared" si="28" ref="M100:M105">J100*B100*C100*D100/10^6*(1-E100)*H100</f>
        <v>56.61</v>
      </c>
      <c r="N100" s="94">
        <f aca="true" t="shared" si="29" ref="N100:N105">K100*M100*(1-F100)</f>
        <v>56.61</v>
      </c>
      <c r="O100" s="94">
        <f aca="true" t="shared" si="30" ref="O100:O105">I100*N100*(1-G100)</f>
        <v>3.67965</v>
      </c>
      <c r="P100" s="94">
        <f aca="true" t="shared" si="31" ref="P100:P105">SUM(M100:O100)</f>
        <v>116.89965</v>
      </c>
      <c r="Q100" s="1"/>
      <c r="R100" s="1"/>
      <c r="S100" s="1"/>
      <c r="T100" s="1"/>
      <c r="U100" s="1"/>
      <c r="V100" s="1"/>
      <c r="W100" s="1"/>
      <c r="X100" s="1"/>
      <c r="Y100" s="1"/>
      <c r="Z100" s="1"/>
    </row>
    <row r="101" spans="1:26" ht="12.75">
      <c r="A101" s="34" t="str">
        <f>F33</f>
        <v>STS Settings</v>
      </c>
      <c r="B101" s="34">
        <v>17000</v>
      </c>
      <c r="C101" s="34">
        <v>300</v>
      </c>
      <c r="D101" s="34">
        <v>1.5</v>
      </c>
      <c r="E101" s="53"/>
      <c r="F101" s="53"/>
      <c r="G101" s="53"/>
      <c r="H101" s="74">
        <v>1.48</v>
      </c>
      <c r="I101" s="70">
        <v>0.065</v>
      </c>
      <c r="J101" s="74">
        <v>5</v>
      </c>
      <c r="K101" s="74">
        <v>1</v>
      </c>
      <c r="L101" s="1"/>
      <c r="M101" s="94">
        <f t="shared" si="28"/>
        <v>56.61</v>
      </c>
      <c r="N101" s="21">
        <f t="shared" si="29"/>
        <v>56.61</v>
      </c>
      <c r="O101" s="21">
        <f t="shared" si="30"/>
        <v>3.67965</v>
      </c>
      <c r="P101" s="21">
        <f t="shared" si="31"/>
        <v>116.89965</v>
      </c>
      <c r="Q101" s="1"/>
      <c r="R101" s="1"/>
      <c r="S101" s="1"/>
      <c r="T101" s="1"/>
      <c r="U101" s="1"/>
      <c r="V101" s="1"/>
      <c r="W101" s="1"/>
      <c r="X101" s="1"/>
      <c r="Y101" s="1"/>
      <c r="Z101" s="1"/>
    </row>
    <row r="102" spans="1:26" ht="12.75">
      <c r="A102" s="93"/>
      <c r="B102" s="53"/>
      <c r="C102" s="53"/>
      <c r="D102" s="53"/>
      <c r="E102" s="53"/>
      <c r="F102" s="53"/>
      <c r="G102" s="53"/>
      <c r="H102" s="74">
        <v>1.48</v>
      </c>
      <c r="I102" s="70">
        <v>0.065</v>
      </c>
      <c r="J102" s="74">
        <v>5</v>
      </c>
      <c r="K102" s="74">
        <v>1</v>
      </c>
      <c r="L102" s="1"/>
      <c r="M102" s="94">
        <f t="shared" si="28"/>
        <v>0</v>
      </c>
      <c r="N102" s="21">
        <f t="shared" si="29"/>
        <v>0</v>
      </c>
      <c r="O102" s="21">
        <f t="shared" si="30"/>
        <v>0</v>
      </c>
      <c r="P102" s="21">
        <f t="shared" si="31"/>
        <v>0</v>
      </c>
      <c r="Q102" s="1"/>
      <c r="R102" s="1"/>
      <c r="S102" s="1"/>
      <c r="T102" s="1"/>
      <c r="U102" s="1"/>
      <c r="V102" s="1"/>
      <c r="W102" s="1"/>
      <c r="X102" s="1"/>
      <c r="Y102" s="1"/>
      <c r="Z102" s="1"/>
    </row>
    <row r="103" spans="1:26" ht="12.75">
      <c r="A103" s="93"/>
      <c r="B103" s="53"/>
      <c r="C103" s="53"/>
      <c r="D103" s="53"/>
      <c r="E103" s="53"/>
      <c r="F103" s="53"/>
      <c r="G103" s="53"/>
      <c r="H103" s="74">
        <v>1.48</v>
      </c>
      <c r="I103" s="70">
        <v>0.065</v>
      </c>
      <c r="J103" s="74">
        <v>5</v>
      </c>
      <c r="K103" s="74">
        <v>1</v>
      </c>
      <c r="L103" s="1"/>
      <c r="M103" s="94">
        <f t="shared" si="28"/>
        <v>0</v>
      </c>
      <c r="N103" s="21">
        <f t="shared" si="29"/>
        <v>0</v>
      </c>
      <c r="O103" s="21">
        <f t="shared" si="30"/>
        <v>0</v>
      </c>
      <c r="P103" s="21">
        <f t="shared" si="31"/>
        <v>0</v>
      </c>
      <c r="Q103" s="1"/>
      <c r="R103" s="1"/>
      <c r="S103" s="1"/>
      <c r="T103" s="1"/>
      <c r="U103" s="1"/>
      <c r="V103" s="1"/>
      <c r="W103" s="1"/>
      <c r="X103" s="1"/>
      <c r="Y103" s="1"/>
      <c r="Z103" s="1"/>
    </row>
    <row r="104" spans="1:26" ht="12.75">
      <c r="A104" s="93"/>
      <c r="B104" s="53"/>
      <c r="C104" s="53"/>
      <c r="D104" s="53"/>
      <c r="E104" s="53"/>
      <c r="F104" s="53"/>
      <c r="G104" s="53"/>
      <c r="H104" s="74">
        <v>1.48</v>
      </c>
      <c r="I104" s="70">
        <v>0.065</v>
      </c>
      <c r="J104" s="74">
        <v>5</v>
      </c>
      <c r="K104" s="74">
        <v>1</v>
      </c>
      <c r="L104" s="1"/>
      <c r="M104" s="94">
        <f t="shared" si="28"/>
        <v>0</v>
      </c>
      <c r="N104" s="21">
        <f t="shared" si="29"/>
        <v>0</v>
      </c>
      <c r="O104" s="21">
        <f t="shared" si="30"/>
        <v>0</v>
      </c>
      <c r="P104" s="21">
        <f t="shared" si="31"/>
        <v>0</v>
      </c>
      <c r="Q104" s="1"/>
      <c r="R104" s="1"/>
      <c r="S104" s="1"/>
      <c r="T104" s="1"/>
      <c r="U104" s="1"/>
      <c r="V104" s="1"/>
      <c r="W104" s="1"/>
      <c r="X104" s="1"/>
      <c r="Y104" s="1"/>
      <c r="Z104" s="1"/>
    </row>
    <row r="105" spans="1:26" ht="12.75">
      <c r="A105" s="93"/>
      <c r="B105" s="53"/>
      <c r="C105" s="53"/>
      <c r="D105" s="53"/>
      <c r="E105" s="53"/>
      <c r="F105" s="53"/>
      <c r="G105" s="53"/>
      <c r="H105" s="74">
        <v>1.48</v>
      </c>
      <c r="I105" s="70">
        <v>0.065</v>
      </c>
      <c r="J105" s="74">
        <v>5</v>
      </c>
      <c r="K105" s="74">
        <v>1</v>
      </c>
      <c r="L105" s="1"/>
      <c r="M105" s="94">
        <f t="shared" si="28"/>
        <v>0</v>
      </c>
      <c r="N105" s="21">
        <f t="shared" si="29"/>
        <v>0</v>
      </c>
      <c r="O105" s="21">
        <f t="shared" si="30"/>
        <v>0</v>
      </c>
      <c r="P105" s="21">
        <f t="shared" si="31"/>
        <v>0</v>
      </c>
      <c r="Q105" s="1"/>
      <c r="R105" s="1"/>
      <c r="S105" s="1"/>
      <c r="T105" s="1"/>
      <c r="U105" s="1"/>
      <c r="V105" s="1"/>
      <c r="W105" s="1"/>
      <c r="X105" s="1"/>
      <c r="Y105" s="1"/>
      <c r="Z105" s="1"/>
    </row>
    <row r="106" spans="1:26" ht="13.5" thickBo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5" thickBot="1">
      <c r="A107" s="72" t="s">
        <v>117</v>
      </c>
      <c r="B107" s="48"/>
      <c r="C107" s="48"/>
      <c r="D107" s="48"/>
      <c r="E107" s="48"/>
      <c r="F107" s="48"/>
      <c r="G107" s="48"/>
      <c r="H107" s="48"/>
      <c r="I107" s="48"/>
      <c r="J107" s="49"/>
      <c r="K107" s="1"/>
      <c r="L107" s="1"/>
      <c r="M107" s="1"/>
      <c r="N107" s="1"/>
      <c r="O107" s="1"/>
      <c r="P107" s="1"/>
      <c r="Q107" s="1"/>
      <c r="R107" s="1"/>
      <c r="S107" s="1"/>
      <c r="T107" s="1"/>
      <c r="U107" s="1"/>
      <c r="V107" s="1"/>
      <c r="W107" s="1"/>
      <c r="X107" s="1"/>
      <c r="Y107" s="1"/>
      <c r="Z107" s="1"/>
    </row>
    <row r="108" spans="1:26" ht="27" customHeight="1" thickBot="1">
      <c r="A108" s="76" t="s">
        <v>29</v>
      </c>
      <c r="B108" s="77"/>
      <c r="C108" s="77"/>
      <c r="D108" s="77"/>
      <c r="E108" s="77"/>
      <c r="F108" s="77"/>
      <c r="G108" s="78"/>
      <c r="H108" s="1"/>
      <c r="I108" s="1"/>
      <c r="J108" s="1"/>
      <c r="K108" s="1"/>
      <c r="L108" s="1"/>
      <c r="M108" s="1"/>
      <c r="N108" s="1"/>
      <c r="O108" s="1"/>
      <c r="P108" s="1"/>
      <c r="Q108" s="1"/>
      <c r="R108" s="1"/>
      <c r="S108" s="1"/>
      <c r="T108" s="1"/>
      <c r="U108" s="1"/>
      <c r="V108" s="1"/>
      <c r="W108" s="1"/>
      <c r="X108" s="1"/>
      <c r="Y108" s="1"/>
      <c r="Z108" s="1"/>
    </row>
    <row r="109" spans="1:26" ht="64.5" thickBot="1">
      <c r="A109" s="29" t="s">
        <v>17</v>
      </c>
      <c r="B109" s="30" t="s">
        <v>18</v>
      </c>
      <c r="C109" s="31" t="s">
        <v>19</v>
      </c>
      <c r="D109" s="32" t="s">
        <v>20</v>
      </c>
      <c r="E109" s="30" t="s">
        <v>37</v>
      </c>
      <c r="F109" s="31" t="s">
        <v>38</v>
      </c>
      <c r="G109" s="32" t="s">
        <v>39</v>
      </c>
      <c r="H109" s="30" t="s">
        <v>66</v>
      </c>
      <c r="I109" s="31" t="s">
        <v>21</v>
      </c>
      <c r="J109" s="31" t="s">
        <v>22</v>
      </c>
      <c r="K109" s="32" t="s">
        <v>23</v>
      </c>
      <c r="L109" s="1"/>
      <c r="M109" s="54" t="s">
        <v>24</v>
      </c>
      <c r="N109" s="55" t="s">
        <v>25</v>
      </c>
      <c r="O109" s="56" t="s">
        <v>26</v>
      </c>
      <c r="P109" s="57" t="s">
        <v>27</v>
      </c>
      <c r="Q109" s="1"/>
      <c r="R109" s="1"/>
      <c r="S109" s="1"/>
      <c r="T109" s="1"/>
      <c r="U109" s="1"/>
      <c r="V109" s="1"/>
      <c r="W109" s="1"/>
      <c r="X109" s="1"/>
      <c r="Y109" s="1"/>
      <c r="Z109" s="1"/>
    </row>
    <row r="110" spans="1:26" ht="12.75">
      <c r="A110" s="33" t="s">
        <v>28</v>
      </c>
      <c r="B110" s="53">
        <v>227</v>
      </c>
      <c r="C110" s="53">
        <v>58.9</v>
      </c>
      <c r="D110" s="53">
        <v>35</v>
      </c>
      <c r="E110" s="53">
        <v>0</v>
      </c>
      <c r="F110" s="53">
        <v>0</v>
      </c>
      <c r="G110" s="53">
        <v>0</v>
      </c>
      <c r="H110" s="34">
        <v>1.48</v>
      </c>
      <c r="I110" s="70">
        <v>0.065</v>
      </c>
      <c r="J110" s="35">
        <f>28190000/(197*150*95)</f>
        <v>10.041855908807552</v>
      </c>
      <c r="K110" s="35">
        <f>173.94/28.19</f>
        <v>6.170273146505853</v>
      </c>
      <c r="L110" s="1"/>
      <c r="M110" s="21">
        <f>J110*(75+B110)*(72+C110)*(38+D110)/1000000*(1-E110)*H110</f>
        <v>42.888923962482856</v>
      </c>
      <c r="N110" s="21">
        <f>M110*K110*(1-F110)</f>
        <v>264.63637580823934</v>
      </c>
      <c r="O110" s="21">
        <f>N110*I110*(1-G110)</f>
        <v>17.20136442753556</v>
      </c>
      <c r="P110" s="21">
        <f>SUM(M110:O110)</f>
        <v>324.72666419825777</v>
      </c>
      <c r="Q110" s="1"/>
      <c r="R110" s="1"/>
      <c r="S110" s="1"/>
      <c r="T110" s="1"/>
      <c r="U110" s="1"/>
      <c r="V110" s="1"/>
      <c r="W110" s="1"/>
      <c r="X110" s="1"/>
      <c r="Y110" s="1"/>
      <c r="Z110" s="1"/>
    </row>
    <row r="111" spans="1:26" ht="12.75">
      <c r="A111" s="104" t="s">
        <v>30</v>
      </c>
      <c r="B111" s="104">
        <f>K34</f>
        <v>122</v>
      </c>
      <c r="C111" s="104">
        <f>K35</f>
        <v>78.06</v>
      </c>
      <c r="D111" s="104">
        <f>K36</f>
        <v>56.67</v>
      </c>
      <c r="E111" s="53">
        <v>0</v>
      </c>
      <c r="F111" s="53">
        <v>0</v>
      </c>
      <c r="G111" s="53">
        <v>0</v>
      </c>
      <c r="H111" s="34">
        <v>1.48</v>
      </c>
      <c r="I111" s="70">
        <v>0.065</v>
      </c>
      <c r="J111" s="35">
        <f aca="true" t="shared" si="32" ref="J111:J118">28190000/(197*150*95)</f>
        <v>10.041855908807552</v>
      </c>
      <c r="K111" s="35">
        <f aca="true" t="shared" si="33" ref="K111:K118">173.94/28.19</f>
        <v>6.170273146505853</v>
      </c>
      <c r="L111" s="1"/>
      <c r="M111" s="21">
        <f aca="true" t="shared" si="34" ref="M111:M118">J111*(75+B111)*(72+C111)*(38+D111)/1000000*(1-E111)*H111</f>
        <v>41.59290423580632</v>
      </c>
      <c r="N111" s="21">
        <f aca="true" t="shared" si="35" ref="N111:N118">M111*K111*(1-F111)</f>
        <v>256.6395800913853</v>
      </c>
      <c r="O111" s="21">
        <f aca="true" t="shared" si="36" ref="O111:O118">N111*I111*(1-G111)</f>
        <v>16.681572705940045</v>
      </c>
      <c r="P111" s="21">
        <f aca="true" t="shared" si="37" ref="P111:P118">SUM(M111:O111)</f>
        <v>314.91405703313166</v>
      </c>
      <c r="Q111" s="1"/>
      <c r="R111" s="1"/>
      <c r="S111" s="1"/>
      <c r="T111" s="1"/>
      <c r="U111" s="1"/>
      <c r="V111" s="1"/>
      <c r="W111" s="1"/>
      <c r="X111" s="1"/>
      <c r="Y111" s="1"/>
      <c r="Z111" s="1"/>
    </row>
    <row r="112" spans="1:26" ht="12.75">
      <c r="A112" s="33" t="s">
        <v>31</v>
      </c>
      <c r="B112" s="53">
        <v>224</v>
      </c>
      <c r="C112" s="53">
        <v>136</v>
      </c>
      <c r="D112" s="53">
        <v>100</v>
      </c>
      <c r="E112" s="53"/>
      <c r="F112" s="53"/>
      <c r="G112" s="53"/>
      <c r="H112" s="34">
        <v>1.48</v>
      </c>
      <c r="I112" s="70">
        <v>0.065</v>
      </c>
      <c r="J112" s="35">
        <f t="shared" si="32"/>
        <v>10.041855908807552</v>
      </c>
      <c r="K112" s="35">
        <f t="shared" si="33"/>
        <v>6.170273146505853</v>
      </c>
      <c r="L112" s="1"/>
      <c r="M112" s="21">
        <f t="shared" si="34"/>
        <v>127.55259849147743</v>
      </c>
      <c r="N112" s="21">
        <f t="shared" si="35"/>
        <v>787.0343732390061</v>
      </c>
      <c r="O112" s="21">
        <f t="shared" si="36"/>
        <v>51.1572342605354</v>
      </c>
      <c r="P112" s="21">
        <f t="shared" si="37"/>
        <v>965.7442059910188</v>
      </c>
      <c r="Q112" s="1"/>
      <c r="R112" s="1"/>
      <c r="S112" s="1"/>
      <c r="T112" s="1"/>
      <c r="U112" s="1"/>
      <c r="V112" s="1"/>
      <c r="W112" s="1"/>
      <c r="X112" s="1"/>
      <c r="Y112" s="1"/>
      <c r="Z112" s="1"/>
    </row>
    <row r="113" spans="1:26" ht="12.75">
      <c r="A113" s="33" t="s">
        <v>32</v>
      </c>
      <c r="B113" s="53"/>
      <c r="C113" s="53"/>
      <c r="D113" s="53"/>
      <c r="E113" s="53"/>
      <c r="F113" s="53"/>
      <c r="G113" s="53"/>
      <c r="H113" s="34">
        <v>1.48</v>
      </c>
      <c r="I113" s="70">
        <v>0.065</v>
      </c>
      <c r="J113" s="35">
        <f t="shared" si="32"/>
        <v>10.041855908807552</v>
      </c>
      <c r="K113" s="35">
        <f t="shared" si="33"/>
        <v>6.170273146505853</v>
      </c>
      <c r="L113" s="1"/>
      <c r="M113" s="21">
        <f t="shared" si="34"/>
        <v>3.0496714720812186</v>
      </c>
      <c r="N113" s="21">
        <f t="shared" si="35"/>
        <v>18.817305989847718</v>
      </c>
      <c r="O113" s="21">
        <f t="shared" si="36"/>
        <v>1.2231248893401017</v>
      </c>
      <c r="P113" s="21">
        <f t="shared" si="37"/>
        <v>23.09010235126904</v>
      </c>
      <c r="Q113" s="1"/>
      <c r="R113" s="1"/>
      <c r="S113" s="1"/>
      <c r="T113" s="1"/>
      <c r="U113" s="1"/>
      <c r="V113" s="1"/>
      <c r="W113" s="1"/>
      <c r="X113" s="1"/>
      <c r="Y113" s="1"/>
      <c r="Z113" s="1"/>
    </row>
    <row r="114" spans="1:26" ht="12.75">
      <c r="A114" s="33" t="s">
        <v>33</v>
      </c>
      <c r="B114" s="53">
        <v>147</v>
      </c>
      <c r="C114" s="53">
        <v>68</v>
      </c>
      <c r="D114" s="53">
        <v>45</v>
      </c>
      <c r="E114" s="53"/>
      <c r="F114" s="53"/>
      <c r="G114" s="53"/>
      <c r="H114" s="34">
        <v>1.48</v>
      </c>
      <c r="I114" s="70">
        <v>0.065</v>
      </c>
      <c r="J114" s="35">
        <f t="shared" si="32"/>
        <v>10.041855908807552</v>
      </c>
      <c r="K114" s="35">
        <f t="shared" si="33"/>
        <v>6.170273146505853</v>
      </c>
      <c r="L114" s="1"/>
      <c r="M114" s="21">
        <f t="shared" si="34"/>
        <v>38.33847230136254</v>
      </c>
      <c r="N114" s="21">
        <f t="shared" si="35"/>
        <v>236.55884611915573</v>
      </c>
      <c r="O114" s="21">
        <f t="shared" si="36"/>
        <v>15.376324997745122</v>
      </c>
      <c r="P114" s="21">
        <f t="shared" si="37"/>
        <v>290.2736434182634</v>
      </c>
      <c r="Q114" s="1"/>
      <c r="R114" s="1"/>
      <c r="S114" s="1"/>
      <c r="T114" s="1"/>
      <c r="U114" s="1"/>
      <c r="V114" s="1"/>
      <c r="W114" s="1"/>
      <c r="X114" s="1"/>
      <c r="Y114" s="1"/>
      <c r="Z114" s="1"/>
    </row>
    <row r="115" spans="1:26" ht="12.75">
      <c r="A115" s="33" t="s">
        <v>48</v>
      </c>
      <c r="B115" s="53">
        <v>224</v>
      </c>
      <c r="C115" s="53">
        <v>135</v>
      </c>
      <c r="D115" s="53">
        <v>60</v>
      </c>
      <c r="E115" s="53"/>
      <c r="F115" s="53"/>
      <c r="G115" s="53"/>
      <c r="H115" s="34">
        <v>1.48</v>
      </c>
      <c r="I115" s="70">
        <v>0.065</v>
      </c>
      <c r="J115" s="35">
        <f t="shared" si="32"/>
        <v>10.041855908807552</v>
      </c>
      <c r="K115" s="35">
        <f t="shared" si="33"/>
        <v>6.170273146505853</v>
      </c>
      <c r="L115" s="1"/>
      <c r="M115" s="21">
        <f t="shared" si="34"/>
        <v>90.14534604926529</v>
      </c>
      <c r="N115" s="21">
        <f t="shared" si="35"/>
        <v>556.2214080102591</v>
      </c>
      <c r="O115" s="21">
        <f t="shared" si="36"/>
        <v>36.15439152066684</v>
      </c>
      <c r="P115" s="21">
        <f t="shared" si="37"/>
        <v>682.5211455801913</v>
      </c>
      <c r="Q115" s="4"/>
      <c r="R115" s="4"/>
      <c r="S115" s="4"/>
      <c r="T115" s="1"/>
      <c r="U115" s="1"/>
      <c r="V115" s="1"/>
      <c r="W115" s="1"/>
      <c r="X115" s="1"/>
      <c r="Y115" s="1"/>
      <c r="Z115" s="1"/>
    </row>
    <row r="116" spans="1:26" ht="12.75">
      <c r="A116" s="6" t="str">
        <f>F33</f>
        <v>STS Settings</v>
      </c>
      <c r="B116" s="6">
        <f>K34</f>
        <v>122</v>
      </c>
      <c r="C116" s="6">
        <f>K35</f>
        <v>78.06</v>
      </c>
      <c r="D116" s="6">
        <f>K36</f>
        <v>56.67</v>
      </c>
      <c r="E116" s="53"/>
      <c r="F116" s="53"/>
      <c r="G116" s="53"/>
      <c r="H116" s="34">
        <v>1.48</v>
      </c>
      <c r="I116" s="70">
        <v>0.065</v>
      </c>
      <c r="J116" s="35">
        <f t="shared" si="32"/>
        <v>10.041855908807552</v>
      </c>
      <c r="K116" s="35">
        <f t="shared" si="33"/>
        <v>6.170273146505853</v>
      </c>
      <c r="L116" s="1"/>
      <c r="M116" s="21">
        <f t="shared" si="34"/>
        <v>41.59290423580632</v>
      </c>
      <c r="N116" s="21">
        <f t="shared" si="35"/>
        <v>256.6395800913853</v>
      </c>
      <c r="O116" s="21">
        <f t="shared" si="36"/>
        <v>16.681572705940045</v>
      </c>
      <c r="P116" s="21">
        <f t="shared" si="37"/>
        <v>314.91405703313166</v>
      </c>
      <c r="Q116" s="1"/>
      <c r="R116" s="1"/>
      <c r="S116" s="1"/>
      <c r="T116" s="1"/>
      <c r="U116" s="1"/>
      <c r="V116" s="1"/>
      <c r="W116" s="1"/>
      <c r="X116" s="1"/>
      <c r="Y116" s="1"/>
      <c r="Z116" s="1"/>
    </row>
    <row r="117" spans="1:26" ht="12.75">
      <c r="A117" s="33"/>
      <c r="B117" s="53"/>
      <c r="C117" s="53"/>
      <c r="D117" s="53"/>
      <c r="E117" s="53"/>
      <c r="F117" s="53"/>
      <c r="G117" s="53"/>
      <c r="H117" s="34">
        <v>1.48</v>
      </c>
      <c r="I117" s="70">
        <v>0.065</v>
      </c>
      <c r="J117" s="35">
        <f t="shared" si="32"/>
        <v>10.041855908807552</v>
      </c>
      <c r="K117" s="35">
        <f t="shared" si="33"/>
        <v>6.170273146505853</v>
      </c>
      <c r="L117" s="1"/>
      <c r="M117" s="21">
        <f t="shared" si="34"/>
        <v>3.0496714720812186</v>
      </c>
      <c r="N117" s="21">
        <f t="shared" si="35"/>
        <v>18.817305989847718</v>
      </c>
      <c r="O117" s="21">
        <f t="shared" si="36"/>
        <v>1.2231248893401017</v>
      </c>
      <c r="P117" s="21">
        <f t="shared" si="37"/>
        <v>23.09010235126904</v>
      </c>
      <c r="Q117" s="1"/>
      <c r="R117" s="1"/>
      <c r="S117" s="1"/>
      <c r="T117" s="1"/>
      <c r="U117" s="1"/>
      <c r="V117" s="1"/>
      <c r="W117" s="1"/>
      <c r="X117" s="1"/>
      <c r="Y117" s="1"/>
      <c r="Z117" s="1"/>
    </row>
    <row r="118" spans="1:26" ht="12.75">
      <c r="A118" s="33"/>
      <c r="B118" s="53"/>
      <c r="C118" s="53"/>
      <c r="D118" s="53"/>
      <c r="E118" s="53"/>
      <c r="F118" s="53"/>
      <c r="G118" s="53"/>
      <c r="H118" s="34">
        <v>1.48</v>
      </c>
      <c r="I118" s="70">
        <v>0.065</v>
      </c>
      <c r="J118" s="35">
        <f t="shared" si="32"/>
        <v>10.041855908807552</v>
      </c>
      <c r="K118" s="35">
        <f t="shared" si="33"/>
        <v>6.170273146505853</v>
      </c>
      <c r="L118" s="1"/>
      <c r="M118" s="21">
        <f t="shared" si="34"/>
        <v>3.0496714720812186</v>
      </c>
      <c r="N118" s="21">
        <f t="shared" si="35"/>
        <v>18.817305989847718</v>
      </c>
      <c r="O118" s="21">
        <f t="shared" si="36"/>
        <v>1.2231248893401017</v>
      </c>
      <c r="P118" s="21">
        <f t="shared" si="37"/>
        <v>23.09010235126904</v>
      </c>
      <c r="Q118" s="1"/>
      <c r="R118" s="1"/>
      <c r="S118" s="1"/>
      <c r="T118" s="1"/>
      <c r="U118" s="1"/>
      <c r="V118" s="1"/>
      <c r="W118" s="1"/>
      <c r="X118" s="1"/>
      <c r="Y118" s="1"/>
      <c r="Z118" s="1"/>
    </row>
    <row r="119" spans="1:26" ht="13.5" thickBot="1">
      <c r="A119" s="1"/>
      <c r="B119" s="1"/>
      <c r="C119" s="1"/>
      <c r="D119" s="1"/>
      <c r="E119" s="1"/>
      <c r="F119" s="1"/>
      <c r="G119" s="1"/>
      <c r="H119" s="1"/>
      <c r="I119" s="1"/>
      <c r="J119" s="1"/>
      <c r="K119" s="1"/>
      <c r="L119" s="1"/>
      <c r="M119" s="96"/>
      <c r="N119" s="96"/>
      <c r="O119" s="96"/>
      <c r="P119" s="96"/>
      <c r="Q119" s="1"/>
      <c r="R119" s="1"/>
      <c r="S119" s="1"/>
      <c r="T119" s="1"/>
      <c r="U119" s="1"/>
      <c r="V119" s="1"/>
      <c r="W119" s="1"/>
      <c r="X119" s="1"/>
      <c r="Y119" s="1"/>
      <c r="Z119" s="1"/>
    </row>
    <row r="120" spans="1:26" ht="13.5" thickBot="1">
      <c r="A120" s="72" t="s">
        <v>128</v>
      </c>
      <c r="B120" s="48"/>
      <c r="C120" s="48"/>
      <c r="D120" s="48"/>
      <c r="E120" s="48"/>
      <c r="F120" s="48"/>
      <c r="G120" s="49"/>
      <c r="H120" s="1"/>
      <c r="I120" s="1"/>
      <c r="J120" s="1"/>
      <c r="K120" s="1"/>
      <c r="L120" s="1"/>
      <c r="M120" s="96"/>
      <c r="N120" s="96"/>
      <c r="O120" s="96"/>
      <c r="P120" s="96"/>
      <c r="Q120" s="1"/>
      <c r="R120" s="1"/>
      <c r="S120" s="1"/>
      <c r="T120" s="1"/>
      <c r="U120" s="1"/>
      <c r="V120" s="1"/>
      <c r="W120" s="1"/>
      <c r="X120" s="1"/>
      <c r="Y120" s="1"/>
      <c r="Z120" s="1"/>
    </row>
    <row r="121" spans="1:26" ht="33" customHeight="1" thickBot="1">
      <c r="A121" s="52" t="s">
        <v>129</v>
      </c>
      <c r="B121" s="50"/>
      <c r="C121" s="50"/>
      <c r="D121" s="50"/>
      <c r="E121" s="50"/>
      <c r="F121" s="50"/>
      <c r="G121" s="51"/>
      <c r="H121" s="1"/>
      <c r="I121" s="1"/>
      <c r="J121" s="1"/>
      <c r="K121" s="1"/>
      <c r="L121" s="1"/>
      <c r="M121" s="1"/>
      <c r="N121" s="1"/>
      <c r="O121" s="1"/>
      <c r="P121" s="1"/>
      <c r="Q121" s="1"/>
      <c r="R121" s="1"/>
      <c r="S121" s="1"/>
      <c r="T121" s="1"/>
      <c r="U121" s="1"/>
      <c r="V121" s="1"/>
      <c r="W121" s="1"/>
      <c r="X121" s="1"/>
      <c r="Y121" s="1"/>
      <c r="Z121" s="1"/>
    </row>
    <row r="122" spans="1:26" ht="73.5" customHeight="1" thickBot="1">
      <c r="A122" s="1"/>
      <c r="B122" s="30" t="s">
        <v>134</v>
      </c>
      <c r="C122" s="31" t="s">
        <v>133</v>
      </c>
      <c r="D122" s="32" t="s">
        <v>138</v>
      </c>
      <c r="E122" s="45" t="s">
        <v>37</v>
      </c>
      <c r="F122" s="46" t="s">
        <v>38</v>
      </c>
      <c r="G122" s="47" t="s">
        <v>39</v>
      </c>
      <c r="H122" s="30" t="s">
        <v>66</v>
      </c>
      <c r="I122" s="31" t="s">
        <v>21</v>
      </c>
      <c r="J122" s="31" t="s">
        <v>22</v>
      </c>
      <c r="K122" s="32" t="s">
        <v>23</v>
      </c>
      <c r="L122" s="1"/>
      <c r="M122" s="54" t="s">
        <v>24</v>
      </c>
      <c r="N122" s="55" t="s">
        <v>25</v>
      </c>
      <c r="O122" s="56" t="s">
        <v>26</v>
      </c>
      <c r="P122" s="57" t="s">
        <v>27</v>
      </c>
      <c r="Q122" s="1"/>
      <c r="R122" s="1"/>
      <c r="S122" s="1"/>
      <c r="T122" s="1"/>
      <c r="U122" s="1"/>
      <c r="V122" s="1"/>
      <c r="W122" s="1"/>
      <c r="X122" s="1"/>
      <c r="Y122" s="1"/>
      <c r="Z122" s="1"/>
    </row>
    <row r="123" spans="1:26" ht="12.75">
      <c r="A123" s="33"/>
      <c r="B123" s="53"/>
      <c r="C123" s="53"/>
      <c r="D123" s="53"/>
      <c r="E123" s="53"/>
      <c r="F123" s="53"/>
      <c r="G123" s="53"/>
      <c r="H123" s="34">
        <v>1.48</v>
      </c>
      <c r="I123" s="70">
        <v>0.065</v>
      </c>
      <c r="J123" s="35">
        <f>124.72*10^6/(280*240*525)</f>
        <v>3.5351473922902494</v>
      </c>
      <c r="K123" s="35">
        <f>71.09/124.72</f>
        <v>0.5699967928159076</v>
      </c>
      <c r="L123" s="1"/>
      <c r="M123" s="21">
        <f>J123*(B123+120)*(C123+105)*(D123+376)/1000000*(1-E123)*H123</f>
        <v>24.787209142857144</v>
      </c>
      <c r="N123" s="21">
        <f>M123*K123*(1-F123)</f>
        <v>14.128629714285715</v>
      </c>
      <c r="O123" s="21">
        <f>N123*I123*(1-G123)</f>
        <v>0.9183609314285716</v>
      </c>
      <c r="P123" s="21">
        <f aca="true" t="shared" si="38" ref="P123:P131">SUM(M123:O123)</f>
        <v>39.83419978857143</v>
      </c>
      <c r="Q123" s="1"/>
      <c r="R123" s="1"/>
      <c r="S123" s="1"/>
      <c r="T123" s="1"/>
      <c r="U123" s="1"/>
      <c r="V123" s="1"/>
      <c r="W123" s="1"/>
      <c r="X123" s="1"/>
      <c r="Y123" s="1"/>
      <c r="Z123" s="1"/>
    </row>
    <row r="124" spans="1:26" ht="12.75">
      <c r="A124" s="104" t="s">
        <v>30</v>
      </c>
      <c r="B124" s="104">
        <v>160</v>
      </c>
      <c r="C124" s="104">
        <v>135</v>
      </c>
      <c r="D124" s="104">
        <v>149</v>
      </c>
      <c r="E124" s="53"/>
      <c r="F124" s="53"/>
      <c r="G124" s="53"/>
      <c r="H124" s="34">
        <v>1.48</v>
      </c>
      <c r="I124" s="70">
        <v>0.065</v>
      </c>
      <c r="J124" s="35">
        <f aca="true" t="shared" si="39" ref="J124:J131">124.72*10^6/(280*240*525)</f>
        <v>3.5351473922902494</v>
      </c>
      <c r="K124" s="35">
        <f aca="true" t="shared" si="40" ref="K124:K131">71.09/124.72</f>
        <v>0.5699967928159076</v>
      </c>
      <c r="L124" s="1"/>
      <c r="M124" s="21">
        <f aca="true" t="shared" si="41" ref="M124:M131">J124*(B124+120)*(C124+105)*(D124+376)/1000000*(1-E124)*H124</f>
        <v>184.5856</v>
      </c>
      <c r="N124" s="21">
        <f aca="true" t="shared" si="42" ref="N124:N131">M124*K124*(1-F124)</f>
        <v>105.2132</v>
      </c>
      <c r="O124" s="21">
        <f aca="true" t="shared" si="43" ref="O124:O131">N124*I124*(1-G124)</f>
        <v>6.838858</v>
      </c>
      <c r="P124" s="21">
        <f t="shared" si="38"/>
        <v>296.63765800000004</v>
      </c>
      <c r="Q124" s="1"/>
      <c r="R124" s="1"/>
      <c r="S124" s="1"/>
      <c r="T124" s="1"/>
      <c r="U124" s="1"/>
      <c r="V124" s="1"/>
      <c r="W124" s="1"/>
      <c r="X124" s="1"/>
      <c r="Y124" s="1"/>
      <c r="Z124" s="1"/>
    </row>
    <row r="125" spans="1:26" ht="12.75">
      <c r="A125" s="33" t="s">
        <v>46</v>
      </c>
      <c r="B125" s="53">
        <v>128.8</v>
      </c>
      <c r="C125" s="53">
        <v>72</v>
      </c>
      <c r="D125" s="53">
        <v>31</v>
      </c>
      <c r="E125" s="53"/>
      <c r="F125" s="53"/>
      <c r="G125" s="53"/>
      <c r="H125" s="34">
        <v>1.48</v>
      </c>
      <c r="I125" s="70">
        <v>0.065</v>
      </c>
      <c r="J125" s="35">
        <f t="shared" si="39"/>
        <v>3.5351473922902494</v>
      </c>
      <c r="K125" s="35">
        <f t="shared" si="40"/>
        <v>0.5699967928159076</v>
      </c>
      <c r="L125" s="1"/>
      <c r="M125" s="21">
        <f t="shared" si="41"/>
        <v>93.77504748168707</v>
      </c>
      <c r="N125" s="21">
        <f t="shared" si="42"/>
        <v>53.451476310721084</v>
      </c>
      <c r="O125" s="21">
        <f t="shared" si="43"/>
        <v>3.4743459601968705</v>
      </c>
      <c r="P125" s="21">
        <f t="shared" si="38"/>
        <v>150.70086975260503</v>
      </c>
      <c r="Q125" s="1"/>
      <c r="R125" s="1"/>
      <c r="S125" s="1"/>
      <c r="T125" s="1"/>
      <c r="U125" s="1"/>
      <c r="V125" s="1"/>
      <c r="W125" s="1"/>
      <c r="X125" s="1"/>
      <c r="Y125" s="1"/>
      <c r="Z125" s="1"/>
    </row>
    <row r="126" spans="1:26" ht="12.75">
      <c r="A126" s="33" t="s">
        <v>47</v>
      </c>
      <c r="B126" s="53">
        <v>128.8</v>
      </c>
      <c r="C126" s="53">
        <f>72+66.3</f>
        <v>138.3</v>
      </c>
      <c r="D126" s="53">
        <f>31+31</f>
        <v>62</v>
      </c>
      <c r="E126" s="53"/>
      <c r="F126" s="53"/>
      <c r="G126" s="53"/>
      <c r="H126" s="34">
        <v>1.48</v>
      </c>
      <c r="I126" s="70">
        <v>0.065</v>
      </c>
      <c r="J126" s="35">
        <f t="shared" si="39"/>
        <v>3.5351473922902494</v>
      </c>
      <c r="K126" s="35">
        <f t="shared" si="40"/>
        <v>0.5699967928159076</v>
      </c>
      <c r="L126" s="1"/>
      <c r="M126" s="21">
        <f t="shared" si="41"/>
        <v>138.71896396264492</v>
      </c>
      <c r="N126" s="21">
        <f t="shared" si="42"/>
        <v>79.06936456145307</v>
      </c>
      <c r="O126" s="21">
        <f t="shared" si="43"/>
        <v>5.13950869649445</v>
      </c>
      <c r="P126" s="21">
        <f t="shared" si="38"/>
        <v>222.92783722059247</v>
      </c>
      <c r="Q126" s="1"/>
      <c r="R126" s="1"/>
      <c r="S126" s="1"/>
      <c r="T126" s="1"/>
      <c r="U126" s="1"/>
      <c r="V126" s="1"/>
      <c r="W126" s="1"/>
      <c r="X126" s="1"/>
      <c r="Y126" s="1"/>
      <c r="Z126" s="1"/>
    </row>
    <row r="127" spans="1:26" ht="12.75">
      <c r="A127" s="33" t="s">
        <v>33</v>
      </c>
      <c r="B127" s="53">
        <v>145</v>
      </c>
      <c r="C127" s="53">
        <v>68</v>
      </c>
      <c r="D127" s="53">
        <v>45</v>
      </c>
      <c r="E127" s="53"/>
      <c r="F127" s="53"/>
      <c r="G127" s="53"/>
      <c r="H127" s="34">
        <v>1.48</v>
      </c>
      <c r="I127" s="70">
        <v>0.065</v>
      </c>
      <c r="J127" s="35">
        <f t="shared" si="39"/>
        <v>3.5351473922902494</v>
      </c>
      <c r="K127" s="35">
        <f t="shared" si="40"/>
        <v>0.5699967928159076</v>
      </c>
      <c r="L127" s="1"/>
      <c r="M127" s="21">
        <f t="shared" si="41"/>
        <v>100.98184796689341</v>
      </c>
      <c r="N127" s="21">
        <f t="shared" si="42"/>
        <v>57.55932947375283</v>
      </c>
      <c r="O127" s="21">
        <f t="shared" si="43"/>
        <v>3.741356415793934</v>
      </c>
      <c r="P127" s="21">
        <f t="shared" si="38"/>
        <v>162.28253385644018</v>
      </c>
      <c r="Q127" s="1"/>
      <c r="R127" s="1"/>
      <c r="S127" s="1"/>
      <c r="T127" s="1"/>
      <c r="U127" s="1"/>
      <c r="V127" s="1"/>
      <c r="W127" s="1"/>
      <c r="X127" s="1"/>
      <c r="Y127" s="1"/>
      <c r="Z127" s="1"/>
    </row>
    <row r="128" spans="1:26" ht="12.75">
      <c r="A128" s="33" t="str">
        <f>A115</f>
        <v>ISAT SSTO</v>
      </c>
      <c r="B128" s="53">
        <v>224</v>
      </c>
      <c r="C128" s="53">
        <v>135</v>
      </c>
      <c r="D128" s="53">
        <v>60</v>
      </c>
      <c r="E128" s="53"/>
      <c r="F128" s="53"/>
      <c r="G128" s="53"/>
      <c r="H128" s="34">
        <v>1.48</v>
      </c>
      <c r="I128" s="70">
        <v>0.065</v>
      </c>
      <c r="J128" s="35">
        <f t="shared" si="39"/>
        <v>3.5351473922902494</v>
      </c>
      <c r="K128" s="35">
        <f t="shared" si="40"/>
        <v>0.5699967928159076</v>
      </c>
      <c r="L128" s="1"/>
      <c r="M128" s="21">
        <f t="shared" si="41"/>
        <v>188.3325621115646</v>
      </c>
      <c r="N128" s="21">
        <f t="shared" si="42"/>
        <v>107.34895638639455</v>
      </c>
      <c r="O128" s="21">
        <f t="shared" si="43"/>
        <v>6.977682165115646</v>
      </c>
      <c r="P128" s="21">
        <f t="shared" si="38"/>
        <v>302.6592006630748</v>
      </c>
      <c r="Q128" s="1"/>
      <c r="R128" s="1"/>
      <c r="S128" s="1"/>
      <c r="T128" s="1"/>
      <c r="U128" s="1"/>
      <c r="V128" s="1"/>
      <c r="W128" s="1"/>
      <c r="X128" s="1"/>
      <c r="Y128" s="1"/>
      <c r="Z128" s="1"/>
    </row>
    <row r="129" spans="1:26" ht="12.75">
      <c r="A129" s="6" t="str">
        <f>F33</f>
        <v>STS Settings</v>
      </c>
      <c r="B129" s="6">
        <f>H138</f>
        <v>160</v>
      </c>
      <c r="C129" s="6">
        <f>I138</f>
        <v>135</v>
      </c>
      <c r="D129" s="5">
        <f>K39</f>
        <v>184</v>
      </c>
      <c r="E129" s="53"/>
      <c r="F129" s="53"/>
      <c r="G129" s="53"/>
      <c r="H129" s="34">
        <v>1.48</v>
      </c>
      <c r="I129" s="70">
        <v>0.065</v>
      </c>
      <c r="J129" s="35">
        <f t="shared" si="39"/>
        <v>3.5351473922902494</v>
      </c>
      <c r="K129" s="35">
        <f t="shared" si="40"/>
        <v>0.5699967928159076</v>
      </c>
      <c r="L129" s="1"/>
      <c r="M129" s="21">
        <f t="shared" si="41"/>
        <v>196.89130666666668</v>
      </c>
      <c r="N129" s="21">
        <f t="shared" si="42"/>
        <v>112.22741333333335</v>
      </c>
      <c r="O129" s="21">
        <f t="shared" si="43"/>
        <v>7.294781866666668</v>
      </c>
      <c r="P129" s="21">
        <f t="shared" si="38"/>
        <v>316.4135018666667</v>
      </c>
      <c r="Q129" s="1"/>
      <c r="R129" s="1"/>
      <c r="S129" s="1"/>
      <c r="T129" s="1"/>
      <c r="U129" s="1"/>
      <c r="V129" s="1"/>
      <c r="W129" s="1"/>
      <c r="X129" s="1"/>
      <c r="Y129" s="1"/>
      <c r="Z129" s="1"/>
    </row>
    <row r="130" spans="1:26" ht="12.75">
      <c r="A130" s="33"/>
      <c r="B130" s="53"/>
      <c r="C130" s="53"/>
      <c r="D130" s="53"/>
      <c r="E130" s="53"/>
      <c r="F130" s="53"/>
      <c r="G130" s="53"/>
      <c r="H130" s="34">
        <v>1.48</v>
      </c>
      <c r="I130" s="70">
        <v>0.065</v>
      </c>
      <c r="J130" s="35">
        <f t="shared" si="39"/>
        <v>3.5351473922902494</v>
      </c>
      <c r="K130" s="35">
        <f t="shared" si="40"/>
        <v>0.5699967928159076</v>
      </c>
      <c r="L130" s="1"/>
      <c r="M130" s="21">
        <f t="shared" si="41"/>
        <v>24.787209142857144</v>
      </c>
      <c r="N130" s="21">
        <f t="shared" si="42"/>
        <v>14.128629714285715</v>
      </c>
      <c r="O130" s="21">
        <f t="shared" si="43"/>
        <v>0.9183609314285716</v>
      </c>
      <c r="P130" s="21">
        <f t="shared" si="38"/>
        <v>39.83419978857143</v>
      </c>
      <c r="Q130" s="1"/>
      <c r="R130" s="1"/>
      <c r="S130" s="1"/>
      <c r="T130" s="1"/>
      <c r="U130" s="1"/>
      <c r="V130" s="1"/>
      <c r="W130" s="1"/>
      <c r="X130" s="1"/>
      <c r="Y130" s="1"/>
      <c r="Z130" s="1"/>
    </row>
    <row r="131" spans="1:26" ht="12.75">
      <c r="A131" s="33"/>
      <c r="B131" s="53"/>
      <c r="C131" s="53"/>
      <c r="D131" s="53"/>
      <c r="E131" s="53"/>
      <c r="F131" s="53"/>
      <c r="G131" s="53"/>
      <c r="H131" s="34">
        <v>1.48</v>
      </c>
      <c r="I131" s="70">
        <v>0.065</v>
      </c>
      <c r="J131" s="35">
        <f t="shared" si="39"/>
        <v>3.5351473922902494</v>
      </c>
      <c r="K131" s="35">
        <f t="shared" si="40"/>
        <v>0.5699967928159076</v>
      </c>
      <c r="L131" s="1"/>
      <c r="M131" s="21">
        <f t="shared" si="41"/>
        <v>24.787209142857144</v>
      </c>
      <c r="N131" s="21">
        <f t="shared" si="42"/>
        <v>14.128629714285715</v>
      </c>
      <c r="O131" s="21">
        <f t="shared" si="43"/>
        <v>0.9183609314285716</v>
      </c>
      <c r="P131" s="21">
        <f t="shared" si="38"/>
        <v>39.83419978857143</v>
      </c>
      <c r="Q131" s="1"/>
      <c r="R131" s="1"/>
      <c r="S131" s="1"/>
      <c r="T131" s="1"/>
      <c r="U131" s="1"/>
      <c r="V131" s="1"/>
      <c r="W131" s="1"/>
      <c r="X131" s="1"/>
      <c r="Y131" s="1"/>
      <c r="Z131" s="1"/>
    </row>
    <row r="132" spans="1:26"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5" thickBo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7.25" customHeight="1" thickBot="1">
      <c r="A134" s="72" t="s">
        <v>125</v>
      </c>
      <c r="B134" s="48"/>
      <c r="C134" s="48"/>
      <c r="D134" s="48"/>
      <c r="E134" s="48"/>
      <c r="F134" s="48"/>
      <c r="G134" s="48"/>
      <c r="H134" s="48"/>
      <c r="I134" s="48"/>
      <c r="J134" s="48"/>
      <c r="K134" s="48"/>
      <c r="L134" s="48"/>
      <c r="M134" s="48"/>
      <c r="N134" s="48"/>
      <c r="O134" s="48"/>
      <c r="P134" s="49"/>
      <c r="Q134" s="1"/>
      <c r="R134" s="1"/>
      <c r="S134" s="1"/>
      <c r="T134" s="1"/>
      <c r="U134" s="1"/>
      <c r="V134" s="1"/>
      <c r="W134" s="1"/>
      <c r="X134" s="1"/>
      <c r="Y134" s="1"/>
      <c r="Z134" s="1"/>
    </row>
    <row r="135" spans="1:26" ht="33" customHeight="1" thickBot="1">
      <c r="A135" s="113" t="s">
        <v>124</v>
      </c>
      <c r="B135" s="111"/>
      <c r="C135" s="111"/>
      <c r="D135" s="111"/>
      <c r="E135" s="111"/>
      <c r="F135" s="111"/>
      <c r="G135" s="112"/>
      <c r="H135" s="1"/>
      <c r="I135" s="1"/>
      <c r="J135" s="1"/>
      <c r="K135" s="1"/>
      <c r="L135" s="1"/>
      <c r="M135" s="1"/>
      <c r="N135" s="1"/>
      <c r="O135" s="1"/>
      <c r="P135" s="1"/>
      <c r="Q135" s="1"/>
      <c r="R135" s="1"/>
      <c r="S135" s="1"/>
      <c r="T135" s="1"/>
      <c r="U135" s="1"/>
      <c r="V135" s="1"/>
      <c r="W135" s="1"/>
      <c r="X135" s="1"/>
      <c r="Y135" s="1"/>
      <c r="Z135" s="1"/>
    </row>
    <row r="136" spans="1:26" ht="54.75" customHeight="1" thickBot="1">
      <c r="A136" s="114"/>
      <c r="B136" s="116" t="s">
        <v>130</v>
      </c>
      <c r="C136" s="117" t="s">
        <v>131</v>
      </c>
      <c r="D136" s="118" t="s">
        <v>132</v>
      </c>
      <c r="E136" s="120" t="s">
        <v>140</v>
      </c>
      <c r="F136" s="121" t="s">
        <v>141</v>
      </c>
      <c r="G136" s="122" t="s">
        <v>142</v>
      </c>
      <c r="H136" s="120" t="s">
        <v>143</v>
      </c>
      <c r="I136" s="126" t="s">
        <v>144</v>
      </c>
      <c r="J136" s="127" t="s">
        <v>145</v>
      </c>
      <c r="R136" s="1"/>
      <c r="S136" s="1"/>
      <c r="T136" s="1"/>
      <c r="U136" s="1"/>
      <c r="V136" s="1"/>
      <c r="W136" s="1"/>
      <c r="X136" s="1"/>
      <c r="Y136" s="1"/>
      <c r="Z136" s="1"/>
    </row>
    <row r="137" spans="1:26" ht="16.5" customHeight="1" thickBot="1">
      <c r="A137" s="128" t="s">
        <v>126</v>
      </c>
      <c r="B137" s="115">
        <v>160</v>
      </c>
      <c r="C137" s="115">
        <v>135</v>
      </c>
      <c r="D137" s="115">
        <v>47</v>
      </c>
      <c r="E137" s="125">
        <v>76.6</v>
      </c>
      <c r="F137" s="125">
        <v>78.06</v>
      </c>
      <c r="G137" s="125">
        <v>184</v>
      </c>
      <c r="H137" s="125">
        <f>E137/76.6*B137</f>
        <v>160</v>
      </c>
      <c r="I137" s="125">
        <f>F137/78.06*C137</f>
        <v>135</v>
      </c>
      <c r="J137" s="125">
        <f>G137/184*D137</f>
        <v>47</v>
      </c>
      <c r="R137" s="1"/>
      <c r="S137" s="1"/>
      <c r="T137" s="1"/>
      <c r="U137" s="1"/>
      <c r="V137" s="1"/>
      <c r="W137" s="1"/>
      <c r="X137" s="1"/>
      <c r="Y137" s="1"/>
      <c r="Z137" s="1"/>
    </row>
    <row r="138" spans="1:26" ht="12.75">
      <c r="A138" s="123" t="str">
        <f>F33</f>
        <v>STS Settings</v>
      </c>
      <c r="B138" s="124">
        <v>160</v>
      </c>
      <c r="C138" s="124">
        <v>135</v>
      </c>
      <c r="D138" s="124">
        <v>47</v>
      </c>
      <c r="E138" s="124">
        <f>K37</f>
        <v>76.6</v>
      </c>
      <c r="F138" s="124">
        <f>K38</f>
        <v>78.06</v>
      </c>
      <c r="G138" s="124">
        <f>K39</f>
        <v>184</v>
      </c>
      <c r="H138" s="125">
        <f>E138/76.6*B138</f>
        <v>160</v>
      </c>
      <c r="I138" s="125">
        <f>F138/78.06*C138</f>
        <v>135</v>
      </c>
      <c r="J138" s="125">
        <f>G138/184*D138</f>
        <v>47</v>
      </c>
      <c r="L138" s="169" t="s">
        <v>147</v>
      </c>
      <c r="M138" s="170"/>
      <c r="N138" s="170"/>
      <c r="O138" s="170"/>
      <c r="P138" s="170"/>
      <c r="Q138" s="171"/>
      <c r="R138" s="172"/>
      <c r="S138" s="1"/>
      <c r="T138" s="1"/>
      <c r="U138" s="1"/>
      <c r="V138" s="1"/>
      <c r="W138" s="1"/>
      <c r="X138" s="1"/>
      <c r="Y138" s="1"/>
      <c r="Z138" s="1"/>
    </row>
    <row r="139" spans="1:26" ht="13.5" thickBot="1">
      <c r="A139" s="129"/>
      <c r="B139" s="124"/>
      <c r="C139" s="124"/>
      <c r="D139" s="124"/>
      <c r="E139" s="124"/>
      <c r="F139" s="124"/>
      <c r="G139" s="124"/>
      <c r="H139" s="125">
        <f>E139/76.6*B139</f>
        <v>0</v>
      </c>
      <c r="I139" s="125">
        <f>F139/78.06*C139</f>
        <v>0</v>
      </c>
      <c r="J139" s="125">
        <f>G139/184*D139</f>
        <v>0</v>
      </c>
      <c r="L139" s="173" t="s">
        <v>146</v>
      </c>
      <c r="M139" s="174"/>
      <c r="N139" s="174"/>
      <c r="O139" s="174"/>
      <c r="P139" s="174"/>
      <c r="Q139" s="175"/>
      <c r="R139" s="78"/>
      <c r="S139" s="1"/>
      <c r="T139" s="1"/>
      <c r="U139" s="1"/>
      <c r="V139" s="1"/>
      <c r="W139" s="1"/>
      <c r="X139" s="1"/>
      <c r="Y139" s="1"/>
      <c r="Z139" s="1"/>
    </row>
    <row r="140" spans="1:26" ht="12.75">
      <c r="A140" s="129"/>
      <c r="B140" s="124"/>
      <c r="C140" s="124"/>
      <c r="D140" s="124"/>
      <c r="E140" s="124"/>
      <c r="F140" s="124"/>
      <c r="G140" s="124"/>
      <c r="H140" s="125">
        <f>E140/76.6*B140</f>
        <v>0</v>
      </c>
      <c r="I140" s="125">
        <f>F140/78.06*C140</f>
        <v>0</v>
      </c>
      <c r="J140" s="125">
        <f>G140/184*D140</f>
        <v>0</v>
      </c>
      <c r="R140" s="1"/>
      <c r="S140" s="1"/>
      <c r="T140" s="1"/>
      <c r="U140" s="1"/>
      <c r="V140" s="1"/>
      <c r="W140" s="1"/>
      <c r="X140" s="1"/>
      <c r="Y140" s="1"/>
      <c r="Z140" s="1"/>
    </row>
    <row r="141" spans="1:26" ht="12.75">
      <c r="A141" s="129"/>
      <c r="B141" s="124"/>
      <c r="C141" s="124"/>
      <c r="D141" s="124"/>
      <c r="E141" s="124"/>
      <c r="F141" s="124"/>
      <c r="G141" s="124"/>
      <c r="H141" s="125">
        <f>E141/76.6*B141</f>
        <v>0</v>
      </c>
      <c r="I141" s="125">
        <f>F141/78.06*C141</f>
        <v>0</v>
      </c>
      <c r="J141" s="125">
        <f>G141/184*D141</f>
        <v>0</v>
      </c>
      <c r="R141" s="1"/>
      <c r="S141" s="1"/>
      <c r="T141" s="1"/>
      <c r="U141" s="1"/>
      <c r="V141" s="1"/>
      <c r="W141" s="1"/>
      <c r="X141" s="1"/>
      <c r="Y141" s="1"/>
      <c r="Z141" s="1"/>
    </row>
    <row r="142" spans="1:26" ht="12.75">
      <c r="A142" s="1"/>
      <c r="R142" s="1"/>
      <c r="S142" s="1"/>
      <c r="T142" s="1"/>
      <c r="U142" s="1"/>
      <c r="V142" s="1"/>
      <c r="W142" s="1"/>
      <c r="X142" s="1"/>
      <c r="Y142" s="1"/>
      <c r="Z142" s="1"/>
    </row>
    <row r="143" spans="1:26" ht="13.5" thickBot="1">
      <c r="A143" s="1"/>
      <c r="B143" s="1"/>
      <c r="C143" s="1"/>
      <c r="D143" s="1"/>
      <c r="E143" s="1"/>
      <c r="F143" s="1"/>
      <c r="G143" s="1"/>
      <c r="H143" s="1"/>
      <c r="I143" s="1"/>
      <c r="J143" s="1"/>
      <c r="L143" s="1"/>
      <c r="M143" s="1"/>
      <c r="N143" s="1"/>
      <c r="O143" s="1"/>
      <c r="P143" s="1"/>
      <c r="Q143" s="1"/>
      <c r="R143" s="1"/>
      <c r="S143" s="1"/>
      <c r="T143" s="1"/>
      <c r="U143" s="1"/>
      <c r="V143" s="1"/>
      <c r="W143" s="1"/>
      <c r="X143" s="1"/>
      <c r="Y143" s="1"/>
      <c r="Z143" s="1"/>
    </row>
    <row r="144" spans="1:26" ht="13.5" thickBot="1">
      <c r="A144" s="130" t="s">
        <v>152</v>
      </c>
      <c r="B144" s="131"/>
      <c r="C144" s="131"/>
      <c r="D144" s="131"/>
      <c r="E144" s="131"/>
      <c r="F144" s="131"/>
      <c r="G144" s="131"/>
      <c r="H144" s="131"/>
      <c r="I144" s="131"/>
      <c r="J144" s="131"/>
      <c r="K144" s="131"/>
      <c r="L144" s="132"/>
      <c r="M144" s="96"/>
      <c r="N144" s="96"/>
      <c r="O144" s="96"/>
      <c r="P144" s="96"/>
      <c r="Q144" s="1"/>
      <c r="R144" s="1"/>
      <c r="S144" s="1"/>
      <c r="T144" s="1"/>
      <c r="U144" s="1"/>
      <c r="V144" s="1"/>
      <c r="W144" s="1"/>
      <c r="X144" s="1"/>
      <c r="Y144" s="1"/>
      <c r="Z144" s="1"/>
    </row>
    <row r="145" spans="1:26" ht="16.5" thickBot="1">
      <c r="A145" s="76" t="s">
        <v>124</v>
      </c>
      <c r="B145" s="111"/>
      <c r="C145" s="111"/>
      <c r="D145" s="111"/>
      <c r="E145" s="111"/>
      <c r="F145" s="111"/>
      <c r="G145" s="112"/>
      <c r="H145" s="1"/>
      <c r="I145" s="1"/>
      <c r="J145" s="1"/>
      <c r="K145" s="1"/>
      <c r="L145" s="1"/>
      <c r="M145" s="1"/>
      <c r="N145" s="1"/>
      <c r="O145" s="1"/>
      <c r="P145" s="1"/>
      <c r="Q145" s="1"/>
      <c r="R145" s="1"/>
      <c r="S145" s="1"/>
      <c r="T145" s="1"/>
      <c r="U145" s="1"/>
      <c r="V145" s="1"/>
      <c r="W145" s="1"/>
      <c r="X145" s="1"/>
      <c r="Y145" s="1"/>
      <c r="Z145" s="1"/>
    </row>
    <row r="146" spans="1:26" ht="64.5" thickBot="1">
      <c r="A146" s="1"/>
      <c r="B146" s="30"/>
      <c r="C146" s="31"/>
      <c r="D146" s="32"/>
      <c r="E146" s="45" t="s">
        <v>37</v>
      </c>
      <c r="F146" s="46" t="s">
        <v>38</v>
      </c>
      <c r="G146" s="47" t="s">
        <v>39</v>
      </c>
      <c r="H146" s="30" t="s">
        <v>66</v>
      </c>
      <c r="I146" s="31" t="s">
        <v>21</v>
      </c>
      <c r="J146" s="31" t="s">
        <v>22</v>
      </c>
      <c r="K146" s="32" t="s">
        <v>23</v>
      </c>
      <c r="L146" s="1"/>
      <c r="M146" s="54" t="s">
        <v>24</v>
      </c>
      <c r="N146" s="55" t="s">
        <v>25</v>
      </c>
      <c r="O146" s="56" t="s">
        <v>26</v>
      </c>
      <c r="P146" s="57" t="s">
        <v>27</v>
      </c>
      <c r="Q146" s="1"/>
      <c r="R146" s="1"/>
      <c r="S146" s="1"/>
      <c r="T146" s="1"/>
      <c r="U146" s="1"/>
      <c r="V146" s="1"/>
      <c r="W146" s="1"/>
      <c r="X146" s="1"/>
      <c r="Y146" s="1"/>
      <c r="Z146" s="1"/>
    </row>
    <row r="147" spans="1:26" ht="12.75">
      <c r="A147" s="104" t="s">
        <v>30</v>
      </c>
      <c r="B147" s="104">
        <v>160</v>
      </c>
      <c r="C147" s="104">
        <v>135</v>
      </c>
      <c r="D147" s="104">
        <v>47</v>
      </c>
      <c r="E147" s="53"/>
      <c r="F147" s="53"/>
      <c r="G147" s="53"/>
      <c r="H147" s="34">
        <v>1.48</v>
      </c>
      <c r="I147" s="70">
        <v>0.065</v>
      </c>
      <c r="J147" s="35">
        <f aca="true" t="shared" si="44" ref="J147:J154">98.06*10^6/(160*135*47)</f>
        <v>96.59180457052797</v>
      </c>
      <c r="K147" s="35">
        <f aca="true" t="shared" si="45" ref="K147:K154">70.61/98.06</f>
        <v>0.7200693452987966</v>
      </c>
      <c r="L147" s="1"/>
      <c r="M147" s="21">
        <f>J147*B147*C147*D147*10^-6*(1-E147)*H147</f>
        <v>145.1288</v>
      </c>
      <c r="N147" s="21">
        <f aca="true" t="shared" si="46" ref="N147:N154">M147*K147*(1-F147)</f>
        <v>104.50280000000001</v>
      </c>
      <c r="O147" s="21">
        <f aca="true" t="shared" si="47" ref="O147:O154">N147*I147*(1-G147)</f>
        <v>6.792682000000001</v>
      </c>
      <c r="P147" s="21">
        <f aca="true" t="shared" si="48" ref="P147:P154">SUM(M147:O147)</f>
        <v>256.424282</v>
      </c>
      <c r="Q147" s="1"/>
      <c r="R147" s="1"/>
      <c r="S147" s="1"/>
      <c r="T147" s="1"/>
      <c r="U147" s="1"/>
      <c r="V147" s="1"/>
      <c r="W147" s="1"/>
      <c r="X147" s="1"/>
      <c r="Y147" s="1"/>
      <c r="Z147" s="1"/>
    </row>
    <row r="148" spans="1:26" ht="12.75">
      <c r="A148" s="6" t="str">
        <f>F33</f>
        <v>STS Settings</v>
      </c>
      <c r="B148" s="6">
        <f>H138</f>
        <v>160</v>
      </c>
      <c r="C148" s="6">
        <f>I138</f>
        <v>135</v>
      </c>
      <c r="D148" s="6">
        <f>J138</f>
        <v>47</v>
      </c>
      <c r="E148" s="53"/>
      <c r="F148" s="53"/>
      <c r="G148" s="53"/>
      <c r="H148" s="34">
        <v>1.48</v>
      </c>
      <c r="I148" s="70">
        <v>0.065</v>
      </c>
      <c r="J148" s="35">
        <f t="shared" si="44"/>
        <v>96.59180457052797</v>
      </c>
      <c r="K148" s="35">
        <f t="shared" si="45"/>
        <v>0.7200693452987966</v>
      </c>
      <c r="L148" s="1"/>
      <c r="M148" s="21">
        <f>J148*B148*C148*D148*10^-6*(1-E148)*H148</f>
        <v>145.1288</v>
      </c>
      <c r="N148" s="21">
        <f t="shared" si="46"/>
        <v>104.50280000000001</v>
      </c>
      <c r="O148" s="21">
        <f t="shared" si="47"/>
        <v>6.792682000000001</v>
      </c>
      <c r="P148" s="21">
        <f t="shared" si="48"/>
        <v>256.424282</v>
      </c>
      <c r="Q148" s="1"/>
      <c r="R148" s="1"/>
      <c r="S148" s="1"/>
      <c r="T148" s="1"/>
      <c r="U148" s="1"/>
      <c r="V148" s="1"/>
      <c r="W148" s="1"/>
      <c r="X148" s="1"/>
      <c r="Y148" s="1"/>
      <c r="Z148" s="1"/>
    </row>
    <row r="149" spans="1:26" ht="12.75">
      <c r="A149" s="33"/>
      <c r="B149" s="53"/>
      <c r="C149" s="53"/>
      <c r="D149" s="53"/>
      <c r="E149" s="53"/>
      <c r="F149" s="53"/>
      <c r="G149" s="53"/>
      <c r="H149" s="34">
        <v>1.48</v>
      </c>
      <c r="I149" s="70">
        <v>0.065</v>
      </c>
      <c r="J149" s="35">
        <f t="shared" si="44"/>
        <v>96.59180457052797</v>
      </c>
      <c r="K149" s="35">
        <f t="shared" si="45"/>
        <v>0.7200693452987966</v>
      </c>
      <c r="L149" s="1"/>
      <c r="M149" s="21">
        <f aca="true" t="shared" si="49" ref="M149:M154">J149*B149*C149*D149*10^-6*(1-E149)*H149</f>
        <v>0</v>
      </c>
      <c r="N149" s="21">
        <f t="shared" si="46"/>
        <v>0</v>
      </c>
      <c r="O149" s="21">
        <f t="shared" si="47"/>
        <v>0</v>
      </c>
      <c r="P149" s="21">
        <f t="shared" si="48"/>
        <v>0</v>
      </c>
      <c r="Q149" s="1"/>
      <c r="R149" s="1"/>
      <c r="S149" s="1"/>
      <c r="T149" s="1"/>
      <c r="U149" s="1"/>
      <c r="V149" s="1"/>
      <c r="W149" s="1"/>
      <c r="X149" s="1"/>
      <c r="Y149" s="1"/>
      <c r="Z149" s="1"/>
    </row>
    <row r="150" spans="1:26" ht="12.75">
      <c r="A150" s="33"/>
      <c r="B150" s="53"/>
      <c r="C150" s="53"/>
      <c r="D150" s="53"/>
      <c r="E150" s="53"/>
      <c r="F150" s="53"/>
      <c r="G150" s="53"/>
      <c r="H150" s="34">
        <v>1.48</v>
      </c>
      <c r="I150" s="70">
        <v>0.065</v>
      </c>
      <c r="J150" s="35">
        <f t="shared" si="44"/>
        <v>96.59180457052797</v>
      </c>
      <c r="K150" s="35">
        <f t="shared" si="45"/>
        <v>0.7200693452987966</v>
      </c>
      <c r="L150" s="1"/>
      <c r="M150" s="21">
        <f t="shared" si="49"/>
        <v>0</v>
      </c>
      <c r="N150" s="21">
        <f t="shared" si="46"/>
        <v>0</v>
      </c>
      <c r="O150" s="21">
        <f t="shared" si="47"/>
        <v>0</v>
      </c>
      <c r="P150" s="21">
        <f t="shared" si="48"/>
        <v>0</v>
      </c>
      <c r="Q150" s="1"/>
      <c r="R150" s="1"/>
      <c r="S150" s="1"/>
      <c r="T150" s="1"/>
      <c r="U150" s="1"/>
      <c r="V150" s="1"/>
      <c r="W150" s="1"/>
      <c r="X150" s="1"/>
      <c r="Y150" s="1"/>
      <c r="Z150" s="1"/>
    </row>
    <row r="151" spans="1:26" ht="12.75">
      <c r="A151" s="33"/>
      <c r="B151" s="53"/>
      <c r="C151" s="53"/>
      <c r="D151" s="53"/>
      <c r="E151" s="53"/>
      <c r="F151" s="53"/>
      <c r="G151" s="53"/>
      <c r="H151" s="34">
        <v>1.48</v>
      </c>
      <c r="I151" s="70">
        <v>0.065</v>
      </c>
      <c r="J151" s="35">
        <f t="shared" si="44"/>
        <v>96.59180457052797</v>
      </c>
      <c r="K151" s="35">
        <f t="shared" si="45"/>
        <v>0.7200693452987966</v>
      </c>
      <c r="L151" s="1"/>
      <c r="M151" s="21">
        <f t="shared" si="49"/>
        <v>0</v>
      </c>
      <c r="N151" s="21">
        <f t="shared" si="46"/>
        <v>0</v>
      </c>
      <c r="O151" s="21">
        <f t="shared" si="47"/>
        <v>0</v>
      </c>
      <c r="P151" s="21">
        <f t="shared" si="48"/>
        <v>0</v>
      </c>
      <c r="Q151" s="1"/>
      <c r="R151" s="1"/>
      <c r="S151" s="1"/>
      <c r="T151" s="1"/>
      <c r="U151" s="1"/>
      <c r="V151" s="1"/>
      <c r="W151" s="1"/>
      <c r="X151" s="1"/>
      <c r="Y151" s="1"/>
      <c r="Z151" s="1"/>
    </row>
    <row r="152" spans="2:26" ht="12.75">
      <c r="B152" s="53"/>
      <c r="C152" s="53"/>
      <c r="D152" s="53"/>
      <c r="E152" s="53"/>
      <c r="F152" s="53"/>
      <c r="G152" s="53"/>
      <c r="H152" s="34">
        <v>1.48</v>
      </c>
      <c r="I152" s="70">
        <v>0.065</v>
      </c>
      <c r="J152" s="35">
        <f t="shared" si="44"/>
        <v>96.59180457052797</v>
      </c>
      <c r="K152" s="35">
        <f t="shared" si="45"/>
        <v>0.7200693452987966</v>
      </c>
      <c r="L152" s="1"/>
      <c r="M152" s="21">
        <f t="shared" si="49"/>
        <v>0</v>
      </c>
      <c r="N152" s="21">
        <f t="shared" si="46"/>
        <v>0</v>
      </c>
      <c r="O152" s="21">
        <f t="shared" si="47"/>
        <v>0</v>
      </c>
      <c r="P152" s="21">
        <f t="shared" si="48"/>
        <v>0</v>
      </c>
      <c r="Q152" s="1"/>
      <c r="R152" s="1"/>
      <c r="S152" s="1"/>
      <c r="T152" s="1"/>
      <c r="U152" s="1"/>
      <c r="V152" s="1"/>
      <c r="W152" s="1"/>
      <c r="X152" s="1"/>
      <c r="Y152" s="1"/>
      <c r="Z152" s="1"/>
    </row>
    <row r="153" spans="1:26" ht="12.75">
      <c r="A153" s="33"/>
      <c r="B153" s="53"/>
      <c r="C153" s="53"/>
      <c r="D153" s="53"/>
      <c r="E153" s="53"/>
      <c r="F153" s="53"/>
      <c r="G153" s="53"/>
      <c r="H153" s="34">
        <v>1.48</v>
      </c>
      <c r="I153" s="70">
        <v>0.065</v>
      </c>
      <c r="J153" s="35">
        <f t="shared" si="44"/>
        <v>96.59180457052797</v>
      </c>
      <c r="K153" s="35">
        <f t="shared" si="45"/>
        <v>0.7200693452987966</v>
      </c>
      <c r="L153" s="1"/>
      <c r="M153" s="21">
        <f t="shared" si="49"/>
        <v>0</v>
      </c>
      <c r="N153" s="21">
        <f t="shared" si="46"/>
        <v>0</v>
      </c>
      <c r="O153" s="21">
        <f t="shared" si="47"/>
        <v>0</v>
      </c>
      <c r="P153" s="21">
        <f t="shared" si="48"/>
        <v>0</v>
      </c>
      <c r="Q153" s="1"/>
      <c r="R153" s="1"/>
      <c r="S153" s="1"/>
      <c r="T153" s="1"/>
      <c r="U153" s="1"/>
      <c r="V153" s="1"/>
      <c r="W153" s="1"/>
      <c r="X153" s="1"/>
      <c r="Y153" s="1"/>
      <c r="Z153" s="1"/>
    </row>
    <row r="154" spans="1:26" ht="12.75">
      <c r="A154" s="33"/>
      <c r="B154" s="53"/>
      <c r="C154" s="53"/>
      <c r="D154" s="53"/>
      <c r="E154" s="53"/>
      <c r="F154" s="53"/>
      <c r="G154" s="53"/>
      <c r="H154" s="34">
        <v>1.48</v>
      </c>
      <c r="I154" s="70">
        <v>0.065</v>
      </c>
      <c r="J154" s="35">
        <f t="shared" si="44"/>
        <v>96.59180457052797</v>
      </c>
      <c r="K154" s="35">
        <f t="shared" si="45"/>
        <v>0.7200693452987966</v>
      </c>
      <c r="L154" s="1"/>
      <c r="M154" s="21">
        <f t="shared" si="49"/>
        <v>0</v>
      </c>
      <c r="N154" s="21">
        <f t="shared" si="46"/>
        <v>0</v>
      </c>
      <c r="O154" s="21">
        <f t="shared" si="47"/>
        <v>0</v>
      </c>
      <c r="P154" s="21">
        <f t="shared" si="48"/>
        <v>0</v>
      </c>
      <c r="Q154" s="1"/>
      <c r="R154" s="1"/>
      <c r="S154" s="1"/>
      <c r="T154" s="1"/>
      <c r="U154" s="1"/>
      <c r="V154" s="1"/>
      <c r="W154" s="1"/>
      <c r="X154" s="1"/>
      <c r="Y154" s="1"/>
      <c r="Z154" s="1"/>
    </row>
    <row r="155" spans="1:26"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9:26" ht="12.75">
      <c r="S157" s="1"/>
      <c r="T157" s="1"/>
      <c r="U157" s="1"/>
      <c r="V157" s="1"/>
      <c r="W157" s="1"/>
      <c r="X157" s="1"/>
      <c r="Y157" s="1"/>
      <c r="Z157" s="1"/>
    </row>
    <row r="158" spans="19:26" ht="12.75">
      <c r="S158" s="1"/>
      <c r="T158" s="1"/>
      <c r="U158" s="1"/>
      <c r="V158" s="1"/>
      <c r="W158" s="1"/>
      <c r="X158" s="1"/>
      <c r="Y158" s="1"/>
      <c r="Z158" s="1"/>
    </row>
    <row r="159" spans="19:26" ht="12.75">
      <c r="S159" s="1"/>
      <c r="T159" s="1"/>
      <c r="U159" s="1"/>
      <c r="V159" s="1"/>
      <c r="W159" s="1"/>
      <c r="X159" s="1"/>
      <c r="Y159" s="1"/>
      <c r="Z159" s="1"/>
    </row>
    <row r="160" spans="19:26" ht="12.75">
      <c r="S160" s="1"/>
      <c r="T160" s="1"/>
      <c r="U160" s="1"/>
      <c r="V160" s="1"/>
      <c r="W160" s="1"/>
      <c r="X160" s="1"/>
      <c r="Y160" s="1"/>
      <c r="Z160" s="1"/>
    </row>
    <row r="161" spans="19:26" ht="12.75">
      <c r="S161" s="1"/>
      <c r="T161" s="1"/>
      <c r="U161" s="1"/>
      <c r="V161" s="1"/>
      <c r="W161" s="1"/>
      <c r="X161" s="1"/>
      <c r="Y161" s="1"/>
      <c r="Z161" s="1"/>
    </row>
    <row r="162" spans="19:26" ht="12.75">
      <c r="S162" s="1"/>
      <c r="T162" s="1"/>
      <c r="U162" s="1"/>
      <c r="V162" s="1"/>
      <c r="W162" s="1"/>
      <c r="X162" s="1"/>
      <c r="Y162" s="1"/>
      <c r="Z162" s="1"/>
    </row>
    <row r="163" spans="19:26" ht="30.75" customHeight="1">
      <c r="S163" s="1"/>
      <c r="T163" s="1"/>
      <c r="U163" s="1"/>
      <c r="V163" s="1"/>
      <c r="W163" s="1"/>
      <c r="X163" s="1"/>
      <c r="Y163" s="1"/>
      <c r="Z163" s="1"/>
    </row>
    <row r="164" spans="19:26" ht="12.75">
      <c r="S164" s="1"/>
      <c r="T164" s="1"/>
      <c r="U164" s="1"/>
      <c r="V164" s="1"/>
      <c r="W164" s="1"/>
      <c r="X164" s="1"/>
      <c r="Y164" s="1"/>
      <c r="Z164" s="1"/>
    </row>
    <row r="165" spans="19:26" ht="12.75">
      <c r="S165" s="1"/>
      <c r="T165" s="1"/>
      <c r="U165" s="1"/>
      <c r="V165" s="1"/>
      <c r="W165" s="1"/>
      <c r="X165" s="1"/>
      <c r="Y165" s="1"/>
      <c r="Z165" s="1"/>
    </row>
    <row r="166" spans="19:26" ht="12.75">
      <c r="S166" s="1"/>
      <c r="T166" s="1"/>
      <c r="U166" s="1"/>
      <c r="V166" s="1"/>
      <c r="W166" s="1"/>
      <c r="X166" s="1"/>
      <c r="Y166" s="1"/>
      <c r="Z166" s="1"/>
    </row>
    <row r="167" spans="19:26" ht="12.75">
      <c r="S167" s="1"/>
      <c r="T167" s="1"/>
      <c r="U167" s="1"/>
      <c r="V167" s="1"/>
      <c r="W167" s="1"/>
      <c r="X167" s="1"/>
      <c r="Y167" s="1"/>
      <c r="Z167" s="1"/>
    </row>
    <row r="168" spans="19:26" ht="12.75">
      <c r="S168" s="1"/>
      <c r="T168" s="1"/>
      <c r="U168" s="1"/>
      <c r="V168" s="1"/>
      <c r="W168" s="1"/>
      <c r="X168" s="1"/>
      <c r="Y168" s="1"/>
      <c r="Z168" s="1"/>
    </row>
    <row r="169" spans="19:26" ht="12.75">
      <c r="S169" s="1"/>
      <c r="T169" s="1"/>
      <c r="U169" s="1"/>
      <c r="V169" s="1"/>
      <c r="W169" s="1"/>
      <c r="X169" s="1"/>
      <c r="Y169" s="1"/>
      <c r="Z169" s="1"/>
    </row>
    <row r="170" spans="18:26" ht="12.75">
      <c r="R170" s="1"/>
      <c r="S170" s="1"/>
      <c r="T170" s="1"/>
      <c r="U170" s="1"/>
      <c r="V170" s="1"/>
      <c r="W170" s="1"/>
      <c r="X170" s="1"/>
      <c r="Y170" s="1"/>
      <c r="Z170" s="1"/>
    </row>
    <row r="171" spans="1:26"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2" ht="12.75">
      <c r="A179" s="1"/>
      <c r="B179" s="1"/>
      <c r="C179" s="1"/>
      <c r="D179" s="1"/>
      <c r="E179" s="1"/>
      <c r="F179" s="1"/>
      <c r="G179" s="1"/>
      <c r="H179" s="1"/>
      <c r="I179" s="1"/>
      <c r="J179" s="1"/>
      <c r="K179" s="1"/>
      <c r="L179" s="1"/>
      <c r="M179" s="1"/>
      <c r="N179" s="1"/>
      <c r="O179" s="1"/>
      <c r="P179" s="1"/>
      <c r="Q179" s="1"/>
      <c r="R179" s="1"/>
      <c r="S179" s="1"/>
      <c r="T179" s="1"/>
      <c r="U179" s="1"/>
      <c r="V179" s="1"/>
    </row>
    <row r="180" spans="1:22" ht="12.75">
      <c r="A180" s="1"/>
      <c r="B180" s="1"/>
      <c r="C180" s="1"/>
      <c r="D180" s="1"/>
      <c r="E180" s="1"/>
      <c r="F180" s="1"/>
      <c r="G180" s="1"/>
      <c r="H180" s="1"/>
      <c r="I180" s="1"/>
      <c r="J180" s="1"/>
      <c r="K180" s="1"/>
      <c r="L180" s="1"/>
      <c r="M180" s="1"/>
      <c r="N180" s="1"/>
      <c r="O180" s="1"/>
      <c r="P180" s="1"/>
      <c r="Q180" s="1"/>
      <c r="R180" s="1"/>
      <c r="S180" s="1"/>
      <c r="T180" s="1"/>
      <c r="U180" s="1"/>
      <c r="V180" s="1"/>
    </row>
    <row r="181" spans="1:22" ht="12.75">
      <c r="A181" s="1"/>
      <c r="B181" s="1"/>
      <c r="C181" s="1"/>
      <c r="D181" s="1"/>
      <c r="E181" s="1"/>
      <c r="F181" s="1"/>
      <c r="G181" s="1"/>
      <c r="H181" s="1"/>
      <c r="I181" s="1"/>
      <c r="J181" s="1"/>
      <c r="K181" s="1"/>
      <c r="L181" s="1"/>
      <c r="M181" s="1"/>
      <c r="N181" s="1"/>
      <c r="O181" s="1"/>
      <c r="P181" s="1"/>
      <c r="Q181" s="1"/>
      <c r="R181" s="1"/>
      <c r="S181" s="1"/>
      <c r="T181" s="1"/>
      <c r="U181" s="1"/>
      <c r="V181" s="1"/>
    </row>
    <row r="182" spans="1:22" ht="12.75">
      <c r="A182" s="1"/>
      <c r="B182" s="1"/>
      <c r="C182" s="1"/>
      <c r="D182" s="1"/>
      <c r="E182" s="1"/>
      <c r="F182" s="1"/>
      <c r="G182" s="1"/>
      <c r="H182" s="1"/>
      <c r="I182" s="1"/>
      <c r="J182" s="1"/>
      <c r="K182" s="1"/>
      <c r="L182" s="1"/>
      <c r="M182" s="1"/>
      <c r="N182" s="1"/>
      <c r="O182" s="1"/>
      <c r="P182" s="1"/>
      <c r="Q182" s="1"/>
      <c r="R182" s="1"/>
      <c r="S182" s="1"/>
      <c r="T182" s="1"/>
      <c r="U182" s="1"/>
      <c r="V182" s="1"/>
    </row>
    <row r="183" spans="1:22" ht="12.75">
      <c r="A183" s="1"/>
      <c r="B183" s="1"/>
      <c r="C183" s="1"/>
      <c r="D183" s="1"/>
      <c r="E183" s="1"/>
      <c r="F183" s="1"/>
      <c r="G183" s="1"/>
      <c r="H183" s="1"/>
      <c r="I183" s="1"/>
      <c r="J183" s="1"/>
      <c r="K183" s="1"/>
      <c r="L183" s="1"/>
      <c r="M183" s="1"/>
      <c r="N183" s="1"/>
      <c r="O183" s="1"/>
      <c r="P183" s="1"/>
      <c r="Q183" s="1"/>
      <c r="R183" s="1"/>
      <c r="S183" s="1"/>
      <c r="T183" s="1"/>
      <c r="U183" s="1"/>
      <c r="V183" s="1"/>
    </row>
    <row r="184" spans="1:22" ht="12.75">
      <c r="A184" s="1"/>
      <c r="B184" s="1"/>
      <c r="C184" s="1"/>
      <c r="D184" s="1"/>
      <c r="E184" s="1"/>
      <c r="F184" s="1"/>
      <c r="G184" s="1"/>
      <c r="H184" s="1"/>
      <c r="I184" s="1"/>
      <c r="J184" s="1"/>
      <c r="K184" s="1"/>
      <c r="L184" s="1"/>
      <c r="M184" s="1"/>
      <c r="N184" s="1"/>
      <c r="O184" s="1"/>
      <c r="P184" s="1"/>
      <c r="Q184" s="1"/>
      <c r="R184" s="1"/>
      <c r="S184" s="1"/>
      <c r="T184" s="1"/>
      <c r="U184" s="1"/>
      <c r="V184" s="1"/>
    </row>
    <row r="185" spans="1:22" ht="12.75">
      <c r="A185" s="1"/>
      <c r="B185" s="1"/>
      <c r="C185" s="1"/>
      <c r="D185" s="1"/>
      <c r="E185" s="1"/>
      <c r="F185" s="1"/>
      <c r="G185" s="1"/>
      <c r="H185" s="1"/>
      <c r="I185" s="1"/>
      <c r="J185" s="1"/>
      <c r="K185" s="1"/>
      <c r="L185" s="1"/>
      <c r="M185" s="1"/>
      <c r="N185" s="1"/>
      <c r="O185" s="1"/>
      <c r="P185" s="1"/>
      <c r="Q185" s="1"/>
      <c r="R185" s="1"/>
      <c r="S185" s="1"/>
      <c r="T185" s="1"/>
      <c r="U185" s="1"/>
      <c r="V185" s="1"/>
    </row>
    <row r="186" spans="1:22" ht="12.75">
      <c r="A186" s="1"/>
      <c r="B186" s="1"/>
      <c r="C186" s="1"/>
      <c r="D186" s="1"/>
      <c r="E186" s="1"/>
      <c r="F186" s="1"/>
      <c r="G186" s="1"/>
      <c r="H186" s="1"/>
      <c r="I186" s="1"/>
      <c r="J186" s="1"/>
      <c r="K186" s="1"/>
      <c r="L186" s="1"/>
      <c r="M186" s="1"/>
      <c r="N186" s="1"/>
      <c r="O186" s="1"/>
      <c r="P186" s="1"/>
      <c r="Q186" s="1"/>
      <c r="R186" s="1"/>
      <c r="S186" s="1"/>
      <c r="T186" s="1"/>
      <c r="U186" s="1"/>
      <c r="V186" s="1"/>
    </row>
    <row r="187" spans="1:22" ht="12.75">
      <c r="A187" s="1"/>
      <c r="B187" s="1"/>
      <c r="C187" s="1"/>
      <c r="D187" s="1"/>
      <c r="E187" s="1"/>
      <c r="F187" s="1"/>
      <c r="G187" s="1"/>
      <c r="H187" s="1"/>
      <c r="I187" s="1"/>
      <c r="J187" s="1"/>
      <c r="K187" s="1"/>
      <c r="L187" s="1"/>
      <c r="M187" s="1"/>
      <c r="N187" s="1"/>
      <c r="O187" s="1"/>
      <c r="P187" s="1"/>
      <c r="Q187" s="1"/>
      <c r="R187" s="1"/>
      <c r="S187" s="1"/>
      <c r="T187" s="1"/>
      <c r="U187" s="1"/>
      <c r="V187" s="1"/>
    </row>
    <row r="188" spans="1:22" ht="12.75">
      <c r="A188" s="1"/>
      <c r="B188" s="1"/>
      <c r="C188" s="1"/>
      <c r="D188" s="1"/>
      <c r="E188" s="1"/>
      <c r="F188" s="1"/>
      <c r="G188" s="1"/>
      <c r="H188" s="1"/>
      <c r="I188" s="1"/>
      <c r="J188" s="1"/>
      <c r="K188" s="1"/>
      <c r="L188" s="1"/>
      <c r="M188" s="1"/>
      <c r="N188" s="1"/>
      <c r="O188" s="1"/>
      <c r="P188" s="1"/>
      <c r="Q188" s="1"/>
      <c r="R188" s="1"/>
      <c r="S188" s="1"/>
      <c r="T188" s="1"/>
      <c r="U188" s="1"/>
      <c r="V188" s="1"/>
    </row>
    <row r="189" spans="1:22" ht="12.75">
      <c r="A189" s="1"/>
      <c r="B189" s="1"/>
      <c r="C189" s="1"/>
      <c r="D189" s="1"/>
      <c r="E189" s="1"/>
      <c r="F189" s="1"/>
      <c r="G189" s="1"/>
      <c r="H189" s="1"/>
      <c r="I189" s="1"/>
      <c r="J189" s="1"/>
      <c r="K189" s="1"/>
      <c r="L189" s="1"/>
      <c r="M189" s="1"/>
      <c r="N189" s="1"/>
      <c r="O189" s="1"/>
      <c r="P189" s="1"/>
      <c r="Q189" s="1"/>
      <c r="R189" s="1"/>
      <c r="S189" s="1"/>
      <c r="T189" s="1"/>
      <c r="U189" s="1"/>
      <c r="V189" s="1"/>
    </row>
    <row r="190" spans="1:22" ht="12.75">
      <c r="A190" s="1"/>
      <c r="B190" s="1"/>
      <c r="C190" s="1"/>
      <c r="D190" s="1"/>
      <c r="E190" s="1"/>
      <c r="F190" s="1"/>
      <c r="G190" s="1"/>
      <c r="H190" s="1"/>
      <c r="I190" s="1"/>
      <c r="J190" s="1"/>
      <c r="K190" s="1"/>
      <c r="L190" s="1"/>
      <c r="M190" s="1"/>
      <c r="N190" s="1"/>
      <c r="O190" s="1"/>
      <c r="P190" s="1"/>
      <c r="Q190" s="1"/>
      <c r="R190" s="1"/>
      <c r="S190" s="1"/>
      <c r="T190" s="1"/>
      <c r="U190" s="1"/>
      <c r="V190" s="1"/>
    </row>
    <row r="191" spans="1:22" ht="12.75">
      <c r="A191" s="1"/>
      <c r="B191" s="1"/>
      <c r="C191" s="1"/>
      <c r="D191" s="1"/>
      <c r="E191" s="1"/>
      <c r="F191" s="1"/>
      <c r="G191" s="1"/>
      <c r="H191" s="1"/>
      <c r="I191" s="1"/>
      <c r="J191" s="1"/>
      <c r="K191" s="1"/>
      <c r="L191" s="1"/>
      <c r="M191" s="1"/>
      <c r="N191" s="1"/>
      <c r="O191" s="1"/>
      <c r="P191" s="1"/>
      <c r="Q191" s="1"/>
      <c r="R191" s="1"/>
      <c r="S191" s="1"/>
      <c r="T191" s="1"/>
      <c r="U191" s="1"/>
      <c r="V191" s="1"/>
    </row>
    <row r="192" spans="1:22" ht="12.75">
      <c r="A192" s="1"/>
      <c r="B192" s="1"/>
      <c r="C192" s="1"/>
      <c r="D192" s="1"/>
      <c r="E192" s="1"/>
      <c r="F192" s="1"/>
      <c r="G192" s="1"/>
      <c r="H192" s="1"/>
      <c r="I192" s="1"/>
      <c r="J192" s="1"/>
      <c r="K192" s="1"/>
      <c r="L192" s="1"/>
      <c r="M192" s="1"/>
      <c r="N192" s="1"/>
      <c r="O192" s="1"/>
      <c r="P192" s="1"/>
      <c r="Q192" s="1"/>
      <c r="R192" s="1"/>
      <c r="S192" s="1"/>
      <c r="T192" s="1"/>
      <c r="U192" s="1"/>
      <c r="V192" s="1"/>
    </row>
    <row r="193" spans="1:22" ht="12.75">
      <c r="A193" s="1"/>
      <c r="B193" s="1"/>
      <c r="C193" s="1"/>
      <c r="D193" s="1"/>
      <c r="E193" s="1"/>
      <c r="F193" s="1"/>
      <c r="G193" s="1"/>
      <c r="H193" s="1"/>
      <c r="I193" s="1"/>
      <c r="J193" s="1"/>
      <c r="K193" s="1"/>
      <c r="L193" s="1"/>
      <c r="M193" s="1"/>
      <c r="N193" s="1"/>
      <c r="O193" s="1"/>
      <c r="P193" s="1"/>
      <c r="Q193" s="1"/>
      <c r="R193" s="1"/>
      <c r="S193" s="1"/>
      <c r="T193" s="1"/>
      <c r="U193" s="1"/>
      <c r="V193" s="1"/>
    </row>
    <row r="194" spans="1:22" ht="12.75">
      <c r="A194" s="1"/>
      <c r="B194" s="1"/>
      <c r="C194" s="1"/>
      <c r="D194" s="1"/>
      <c r="E194" s="1"/>
      <c r="F194" s="1"/>
      <c r="G194" s="1"/>
      <c r="H194" s="1"/>
      <c r="I194" s="1"/>
      <c r="J194" s="1"/>
      <c r="K194" s="1"/>
      <c r="L194" s="1"/>
      <c r="M194" s="1"/>
      <c r="N194" s="1"/>
      <c r="O194" s="1"/>
      <c r="P194" s="1"/>
      <c r="Q194" s="1"/>
      <c r="R194" s="1"/>
      <c r="S194" s="1"/>
      <c r="T194" s="1"/>
      <c r="U194" s="1"/>
      <c r="V194" s="1"/>
    </row>
  </sheetData>
  <sheetProtection sheet="1" objects="1" scenarios="1"/>
  <printOptions/>
  <pageMargins left="0.75" right="0.75" top="1" bottom="1" header="0.5" footer="0.5"/>
  <pageSetup fitToHeight="0" fitToWidth="1" horizontalDpi="204" verticalDpi="204" orientation="landscape" scale="56" r:id="rId4"/>
  <headerFooter alignWithMargins="0">
    <oddHeader>&amp;C&amp;A</oddHeader>
    <oddFooter>&amp;CPage &amp;P</oddFooter>
  </headerFooter>
  <rowBreaks count="4" manualBreakCount="4">
    <brk id="43" max="255" man="1"/>
    <brk id="70" max="255" man="1"/>
    <brk id="105" max="255" man="1"/>
    <brk id="143" max="255" man="1"/>
  </rowBreaks>
  <drawing r:id="rId3"/>
  <legacyDrawing r:id="rId2"/>
</worksheet>
</file>

<file path=xl/worksheets/sheet3.xml><?xml version="1.0" encoding="utf-8"?>
<worksheet xmlns="http://schemas.openxmlformats.org/spreadsheetml/2006/main" xmlns:r="http://schemas.openxmlformats.org/officeDocument/2006/relationships">
  <sheetPr codeName="Sheet1">
    <pageSetUpPr fitToPage="1"/>
  </sheetPr>
  <dimension ref="A3:M16"/>
  <sheetViews>
    <sheetView zoomScale="75" zoomScaleNormal="75" workbookViewId="0" topLeftCell="A1">
      <selection activeCell="G26" sqref="G26"/>
    </sheetView>
  </sheetViews>
  <sheetFormatPr defaultColWidth="9.140625" defaultRowHeight="12.75"/>
  <cols>
    <col min="1" max="1" width="35.28125" style="0" customWidth="1"/>
    <col min="4" max="4" width="15.8515625" style="0" customWidth="1"/>
    <col min="8" max="8" width="10.140625" style="0" customWidth="1"/>
    <col min="12" max="12" width="10.28125" style="0" customWidth="1"/>
  </cols>
  <sheetData>
    <row r="3" spans="2:3" ht="13.5" thickBot="1">
      <c r="B3" s="181" t="s">
        <v>158</v>
      </c>
      <c r="C3" s="181" t="s">
        <v>159</v>
      </c>
    </row>
    <row r="4" spans="1:3" ht="24.75" customHeight="1">
      <c r="A4" s="178" t="s">
        <v>4</v>
      </c>
      <c r="B4" s="177">
        <f>'FA and GSE Acquire CERs'!Q13</f>
        <v>28.711999999999996</v>
      </c>
      <c r="C4" s="154">
        <f>'FA and GSE Acquire CERs'!R13+'FA and GSE Acquire CERs'!S13</f>
        <v>62.984952</v>
      </c>
    </row>
    <row r="5" spans="1:3" ht="24.75" customHeight="1">
      <c r="A5" s="179" t="s">
        <v>5</v>
      </c>
      <c r="B5" s="177">
        <f>'FA and GSE Acquire CERs'!Q14</f>
        <v>4.07</v>
      </c>
      <c r="C5" s="154">
        <f>'FA and GSE Acquire CERs'!R14+'FA and GSE Acquire CERs'!S14</f>
        <v>59.075976</v>
      </c>
    </row>
    <row r="6" spans="1:3" ht="24.75" customHeight="1">
      <c r="A6" s="179" t="s">
        <v>6</v>
      </c>
      <c r="B6" s="177">
        <f>'FA and GSE Acquire CERs'!Q15</f>
        <v>846.634</v>
      </c>
      <c r="C6" s="154">
        <f>'FA and GSE Acquire CERs'!R15+'FA and GSE Acquire CERs'!S15</f>
        <v>1280.3472599999998</v>
      </c>
    </row>
    <row r="7" spans="1:3" ht="24.75" customHeight="1">
      <c r="A7" s="179" t="s">
        <v>7</v>
      </c>
      <c r="B7" s="177">
        <f>'FA and GSE Acquire CERs'!Q18</f>
        <v>56.61</v>
      </c>
      <c r="C7" s="154">
        <f>'FA and GSE Acquire CERs'!R18+'FA and GSE Acquire CERs'!S18</f>
        <v>60.28965</v>
      </c>
    </row>
    <row r="8" spans="1:3" ht="24.75" customHeight="1">
      <c r="A8" s="179" t="s">
        <v>8</v>
      </c>
      <c r="B8" s="177">
        <f>'FA and GSE Acquire CERs'!Q19</f>
        <v>41.59290423580632</v>
      </c>
      <c r="C8" s="154">
        <f>'FA and GSE Acquire CERs'!R19+'FA and GSE Acquire CERs'!S19</f>
        <v>273.32115279732534</v>
      </c>
    </row>
    <row r="9" spans="1:13" ht="24.75" customHeight="1">
      <c r="A9" s="179" t="s">
        <v>9</v>
      </c>
      <c r="B9" s="177">
        <f>'FA and GSE Acquire CERs'!Q20</f>
        <v>342.0201066666667</v>
      </c>
      <c r="C9" s="154">
        <f>'FA and GSE Acquire CERs'!R20+'FA and GSE Acquire CERs'!S20</f>
        <v>230.81767720000002</v>
      </c>
      <c r="E9" s="156" t="s">
        <v>160</v>
      </c>
      <c r="F9" s="156"/>
      <c r="G9" s="156"/>
      <c r="H9" s="156"/>
      <c r="I9" s="156"/>
      <c r="J9" s="156"/>
      <c r="K9" s="156"/>
      <c r="L9" s="156"/>
      <c r="M9" s="155"/>
    </row>
    <row r="10" spans="1:3" ht="24.75" customHeight="1">
      <c r="A10" s="179" t="s">
        <v>10</v>
      </c>
      <c r="B10" s="177">
        <f>'FA and GSE Acquire CERs'!Q23</f>
        <v>329.90975272561826</v>
      </c>
      <c r="C10" s="154">
        <f>'FA and GSE Acquire CERs'!R23+'FA and GSE Acquire CERs'!S23</f>
        <v>491.70916699933133</v>
      </c>
    </row>
    <row r="11" spans="1:3" ht="24.75" customHeight="1">
      <c r="A11" s="179" t="s">
        <v>11</v>
      </c>
      <c r="B11" s="177">
        <f>'FA and GSE Acquire CERs'!Q24</f>
        <v>329.90975272561826</v>
      </c>
      <c r="C11" s="154">
        <f>'FA and GSE Acquire CERs'!R24+'FA and GSE Acquire CERs'!S24</f>
        <v>491.70916699933133</v>
      </c>
    </row>
    <row r="12" spans="1:3" ht="24.75" customHeight="1">
      <c r="A12" s="179" t="s">
        <v>12</v>
      </c>
      <c r="B12" s="177">
        <f>'FA and GSE Acquire CERs'!Q25</f>
        <v>329.90975272561826</v>
      </c>
      <c r="C12" s="154">
        <f>'FA and GSE Acquire CERs'!R25+'FA and GSE Acquire CERs'!S25</f>
        <v>491.70916699933133</v>
      </c>
    </row>
    <row r="13" spans="1:3" ht="24.75" customHeight="1">
      <c r="A13" s="179" t="s">
        <v>13</v>
      </c>
      <c r="B13" s="177">
        <f>'FA and GSE Acquire CERs'!Q26</f>
        <v>329.90975272561826</v>
      </c>
      <c r="C13" s="154">
        <f>'FA and GSE Acquire CERs'!R26+'FA and GSE Acquire CERs'!S26</f>
        <v>491.70916699933133</v>
      </c>
    </row>
    <row r="14" spans="1:3" ht="24.75" customHeight="1">
      <c r="A14" s="179" t="s">
        <v>14</v>
      </c>
      <c r="B14" s="177">
        <f>'FA and GSE Acquire CERs'!Q27</f>
        <v>0</v>
      </c>
      <c r="C14" s="154">
        <f>'FA and GSE Acquire CERs'!R27+'FA and GSE Acquire CERs'!S27</f>
        <v>0</v>
      </c>
    </row>
    <row r="15" spans="1:3" ht="24.75" customHeight="1" thickBot="1">
      <c r="A15" s="180" t="s">
        <v>15</v>
      </c>
      <c r="B15" s="177">
        <f>'FA and GSE Acquire CERs'!Q28</f>
        <v>0</v>
      </c>
      <c r="C15" s="154">
        <f>'FA and GSE Acquire CERs'!R28+'FA and GSE Acquire CERs'!S28</f>
        <v>0</v>
      </c>
    </row>
    <row r="16" ht="12.75">
      <c r="B16" s="176">
        <f>SUM(B4:C15)</f>
        <v>6572.951357799597</v>
      </c>
    </row>
  </sheetData>
  <sheetProtection sheet="1" objects="1" scenarios="1"/>
  <printOptions/>
  <pageMargins left="0.75" right="0.75" top="1" bottom="1" header="0.5" footer="0.5"/>
  <pageSetup fitToHeight="1" fitToWidth="1" horizontalDpi="600" verticalDpi="600" orientation="portrait" scale="5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zapate</cp:lastModifiedBy>
  <cp:lastPrinted>2001-06-25T13:15:30Z</cp:lastPrinted>
  <dcterms:created xsi:type="dcterms:W3CDTF">1998-11-15T18:18:30Z</dcterms:created>
  <dcterms:modified xsi:type="dcterms:W3CDTF">2001-06-25T13:36:15Z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