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345" windowHeight="8865" firstSheet="1" activeTab="5"/>
  </bookViews>
  <sheets>
    <sheet name="Cost Summary" sheetId="1" r:id="rId1"/>
    <sheet name="Preamp types" sheetId="2" r:id="rId2"/>
    <sheet name="Component List" sheetId="3" r:id="rId3"/>
    <sheet name="Prototyping Phase" sheetId="4" r:id="rId4"/>
    <sheet name="Preproduction Phase" sheetId="5" r:id="rId5"/>
    <sheet name="Production Phase" sheetId="6" r:id="rId6"/>
    <sheet name="Production RFQs" sheetId="7" r:id="rId7"/>
    <sheet name="Sheet5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1">'Preamp types'!$A:$IV</definedName>
  </definedNames>
  <calcPr fullCalcOnLoad="1"/>
</workbook>
</file>

<file path=xl/sharedStrings.xml><?xml version="1.0" encoding="utf-8"?>
<sst xmlns="http://schemas.openxmlformats.org/spreadsheetml/2006/main" count="749" uniqueCount="286">
  <si>
    <t>Component List</t>
  </si>
  <si>
    <t>Resistors</t>
  </si>
  <si>
    <t>(SMD 0603)</t>
  </si>
  <si>
    <t>ID schematic</t>
  </si>
  <si>
    <r>
      <t>Value (</t>
    </r>
    <r>
      <rPr>
        <sz val="10"/>
        <rFont val="Symbol"/>
        <family val="1"/>
      </rPr>
      <t>W</t>
    </r>
    <r>
      <rPr>
        <sz val="10"/>
        <rFont val="Times"/>
        <family val="1"/>
      </rPr>
      <t>)</t>
    </r>
  </si>
  <si>
    <t>Source</t>
  </si>
  <si>
    <t>Part No.</t>
  </si>
  <si>
    <t>Min. order</t>
  </si>
  <si>
    <t>Unitary cost</t>
  </si>
  <si>
    <t>Total cost</t>
  </si>
  <si>
    <t>Availability</t>
  </si>
  <si>
    <t>Money spent</t>
  </si>
  <si>
    <t>R9</t>
  </si>
  <si>
    <t>DIGI-KEY</t>
  </si>
  <si>
    <t>200/ pkg</t>
  </si>
  <si>
    <t>-</t>
  </si>
  <si>
    <t>200 (**)</t>
  </si>
  <si>
    <t>1K</t>
  </si>
  <si>
    <t>P1.00KHCT-ND</t>
  </si>
  <si>
    <t>R12</t>
  </si>
  <si>
    <t>63.4 (IO-826-1)</t>
  </si>
  <si>
    <t>P63.4HCT-ND</t>
  </si>
  <si>
    <t>107 (IO-824-1)</t>
  </si>
  <si>
    <t>P107HCT-ND</t>
  </si>
  <si>
    <t>169 (IO-823-1)</t>
  </si>
  <si>
    <t>P158HCT-ND</t>
  </si>
  <si>
    <t>R2</t>
  </si>
  <si>
    <t>619 (IO-826-1)</t>
  </si>
  <si>
    <t>P619HCT-ND</t>
  </si>
  <si>
    <t>600 (**)</t>
  </si>
  <si>
    <t>1K (IO-824-1)</t>
  </si>
  <si>
    <t>3.32K (IO-823-1)</t>
  </si>
  <si>
    <t>P3.32KHCT-ND</t>
  </si>
  <si>
    <t>(**)  Only needed for the FR4</t>
  </si>
  <si>
    <t>Capacitors</t>
  </si>
  <si>
    <t>Value (F)</t>
  </si>
  <si>
    <t>C3</t>
  </si>
  <si>
    <t>2p</t>
  </si>
  <si>
    <t>Semidice</t>
  </si>
  <si>
    <t>Johanson</t>
  </si>
  <si>
    <t>22p</t>
  </si>
  <si>
    <t>C1, C2, C4</t>
  </si>
  <si>
    <t>100n</t>
  </si>
  <si>
    <t>250R14Y104ZV4T</t>
  </si>
  <si>
    <r>
      <t>1</t>
    </r>
    <r>
      <rPr>
        <sz val="10"/>
        <rFont val="Symbol"/>
        <family val="1"/>
      </rPr>
      <t>m</t>
    </r>
    <r>
      <rPr>
        <sz val="10"/>
        <rFont val="Times"/>
        <family val="1"/>
      </rPr>
      <t xml:space="preserve">  ( SMD 1206)</t>
    </r>
  </si>
  <si>
    <t>Inductors</t>
  </si>
  <si>
    <t>(SMD 0805)</t>
  </si>
  <si>
    <t>Value (nH)</t>
  </si>
  <si>
    <t>L1</t>
  </si>
  <si>
    <t>Toko@DIGI-KEY</t>
  </si>
  <si>
    <t>500/ pkg</t>
  </si>
  <si>
    <t>100 (IO-823-1)</t>
  </si>
  <si>
    <t>L2</t>
  </si>
  <si>
    <t>8.2 (IO-824-1)</t>
  </si>
  <si>
    <t>Diodes</t>
  </si>
  <si>
    <t>(SMD Dual SOT23)</t>
  </si>
  <si>
    <t>Description</t>
  </si>
  <si>
    <t>D1, D2</t>
  </si>
  <si>
    <t>Series Connection</t>
  </si>
  <si>
    <t>D3</t>
  </si>
  <si>
    <t>Common Cathode</t>
  </si>
  <si>
    <t>Transistors</t>
  </si>
  <si>
    <t>(SMD SOT323)</t>
  </si>
  <si>
    <t>Q1, Q2, Q3, Q5</t>
  </si>
  <si>
    <t xml:space="preserve">NE856 </t>
  </si>
  <si>
    <t>Cal. Eastern Lab.</t>
  </si>
  <si>
    <t>NE85630-T1-R25</t>
  </si>
  <si>
    <t>Q4, Q6</t>
  </si>
  <si>
    <t>BF660</t>
  </si>
  <si>
    <t>Pins</t>
  </si>
  <si>
    <t>Die Tech</t>
  </si>
  <si>
    <t>Prototypes</t>
  </si>
  <si>
    <t>One hybrid = four channels</t>
  </si>
  <si>
    <t>Total Cost</t>
  </si>
  <si>
    <t>Hybrid version</t>
  </si>
  <si>
    <t># hybrids</t>
  </si>
  <si>
    <t># channels</t>
  </si>
  <si>
    <t>Total # of hybrids   =</t>
  </si>
  <si>
    <r>
      <t>25</t>
    </r>
    <r>
      <rPr>
        <sz val="10"/>
        <rFont val="Symbol"/>
        <family val="1"/>
      </rPr>
      <t>W</t>
    </r>
    <r>
      <rPr>
        <sz val="10"/>
        <rFont val="Times"/>
        <family val="1"/>
      </rPr>
      <t xml:space="preserve"> / 5mA</t>
    </r>
  </si>
  <si>
    <r>
      <t>50</t>
    </r>
    <r>
      <rPr>
        <sz val="10"/>
        <rFont val="Symbol"/>
        <family val="1"/>
      </rPr>
      <t>W</t>
    </r>
    <r>
      <rPr>
        <sz val="10"/>
        <rFont val="Times"/>
        <family val="1"/>
      </rPr>
      <t xml:space="preserve"> / 1mA</t>
    </r>
  </si>
  <si>
    <t>Total # of channels   =</t>
  </si>
  <si>
    <t>Components needed for production =</t>
  </si>
  <si>
    <t xml:space="preserve"> # channels + 10%</t>
  </si>
  <si>
    <t># per channel</t>
  </si>
  <si>
    <t>Total needed</t>
  </si>
  <si>
    <t>Supplied</t>
  </si>
  <si>
    <t>To be ordered</t>
  </si>
  <si>
    <t>Cost</t>
  </si>
  <si>
    <t>3.32K</t>
  </si>
  <si>
    <t>Subtotal</t>
  </si>
  <si>
    <r>
      <t>1</t>
    </r>
    <r>
      <rPr>
        <sz val="10"/>
        <rFont val="Symbol"/>
        <family val="1"/>
      </rPr>
      <t>m</t>
    </r>
    <r>
      <rPr>
        <sz val="10"/>
        <rFont val="Times"/>
        <family val="1"/>
      </rPr>
      <t xml:space="preserve"> </t>
    </r>
  </si>
  <si>
    <t># per hybrid</t>
  </si>
  <si>
    <t># of hybrids</t>
  </si>
  <si>
    <t>COMPONENT TOTAL</t>
  </si>
  <si>
    <t>Hybrid Costs</t>
  </si>
  <si>
    <t>Ceramic substrate (identical for the four versions, # needed + 50%)</t>
  </si>
  <si>
    <t># of alumina backup plates</t>
  </si>
  <si>
    <t>hybrids per sub.</t>
  </si>
  <si>
    <t># substrates</t>
  </si>
  <si>
    <t>Min. Order</t>
  </si>
  <si>
    <t>Assembly costs: non recurring fee</t>
  </si>
  <si>
    <t># of versions</t>
  </si>
  <si>
    <t>trimming charges (for both versions)</t>
  </si>
  <si>
    <t># of screens (for both  versions)</t>
  </si>
  <si>
    <t>Assembly costs: production &amp; testing</t>
  </si>
  <si>
    <t>#  of hybrids</t>
  </si>
  <si>
    <t>TOTAL</t>
  </si>
  <si>
    <t>Preproduction</t>
  </si>
  <si>
    <t>PREPRODUCTION TOTAL COST</t>
  </si>
  <si>
    <t>Board/hybrid  type</t>
  </si>
  <si>
    <t># of boards</t>
  </si>
  <si>
    <t>10% spare</t>
  </si>
  <si>
    <t>Total boards</t>
  </si>
  <si>
    <t>Total hybrids</t>
  </si>
  <si>
    <t>BNL made</t>
  </si>
  <si>
    <t>Milano made</t>
  </si>
  <si>
    <t>A</t>
  </si>
  <si>
    <t>B</t>
  </si>
  <si>
    <t>D</t>
  </si>
  <si>
    <t>D (FCAL)</t>
  </si>
  <si>
    <t>Total # of hybrids to be made by BNL =</t>
  </si>
  <si>
    <t>Each hybrid version has the same cost.</t>
  </si>
  <si>
    <t>Hybrid type</t>
  </si>
  <si>
    <t>BNL number</t>
  </si>
  <si>
    <t># of channels</t>
  </si>
  <si>
    <r>
      <t>A (50</t>
    </r>
    <r>
      <rPr>
        <sz val="10"/>
        <rFont val="Symbol"/>
        <family val="1"/>
      </rPr>
      <t>W</t>
    </r>
    <r>
      <rPr>
        <sz val="10"/>
        <rFont val="Times"/>
        <family val="1"/>
      </rPr>
      <t>, 1 mA)</t>
    </r>
  </si>
  <si>
    <t>IO-823-1</t>
  </si>
  <si>
    <r>
      <t>B (25</t>
    </r>
    <r>
      <rPr>
        <sz val="10"/>
        <rFont val="Symbol"/>
        <family val="1"/>
      </rPr>
      <t>W</t>
    </r>
    <r>
      <rPr>
        <sz val="10"/>
        <rFont val="Times"/>
        <family val="1"/>
      </rPr>
      <t>, 5 mA)</t>
    </r>
  </si>
  <si>
    <t>IO-824-1</t>
  </si>
  <si>
    <r>
      <t>D (25</t>
    </r>
    <r>
      <rPr>
        <sz val="10"/>
        <rFont val="Symbol"/>
        <family val="1"/>
      </rPr>
      <t>W</t>
    </r>
    <r>
      <rPr>
        <sz val="10"/>
        <rFont val="Times"/>
        <family val="1"/>
      </rPr>
      <t>, 10 mA)</t>
    </r>
  </si>
  <si>
    <t>IO-826-1</t>
  </si>
  <si>
    <t>Components needed for the production:</t>
  </si>
  <si>
    <t># channels + 5% wastage</t>
  </si>
  <si>
    <t>Unitary Cost</t>
  </si>
  <si>
    <t>63.4 (D type)</t>
  </si>
  <si>
    <t>107 (B type)</t>
  </si>
  <si>
    <t>169 (A type)</t>
  </si>
  <si>
    <t>619 (D type)</t>
  </si>
  <si>
    <t>1K (B type)</t>
  </si>
  <si>
    <t>3.3K (A type)</t>
  </si>
  <si>
    <t>6.8 (D type)</t>
  </si>
  <si>
    <t>8.2 (B type)</t>
  </si>
  <si>
    <t>33 (A type)</t>
  </si>
  <si>
    <t>47 (B-D type)</t>
  </si>
  <si>
    <t>100 (A type)</t>
  </si>
  <si>
    <t>Single Diode</t>
  </si>
  <si>
    <t>Ceramic substrate (identical for the three versions, # needed + 10%)</t>
  </si>
  <si>
    <t>trimming charges (for each version)</t>
  </si>
  <si>
    <t># of screens (for each version)</t>
  </si>
  <si>
    <t>MANUFACTURING TOTAL</t>
  </si>
  <si>
    <t>Production</t>
  </si>
  <si>
    <t>Ceramic substrate (identical for the four versions, # needed + 10%)</t>
  </si>
  <si>
    <t>Other resistors</t>
  </si>
  <si>
    <t>P66.5HCT-ND</t>
  </si>
  <si>
    <t>P80.6HCT-ND</t>
  </si>
  <si>
    <t>400 (**)</t>
  </si>
  <si>
    <t>P121HCT-ND</t>
  </si>
  <si>
    <t>P49.9HCT-ND</t>
  </si>
  <si>
    <t>Others</t>
  </si>
  <si>
    <t>TKS2369CT-ND</t>
  </si>
  <si>
    <t>500 (**)</t>
  </si>
  <si>
    <t>TKS2371CT-ND</t>
  </si>
  <si>
    <t>TKS2373CT-ND</t>
  </si>
  <si>
    <t>1000 (**)</t>
  </si>
  <si>
    <t>TKS2375CT-ND</t>
  </si>
  <si>
    <t>Other PNPs</t>
  </si>
  <si>
    <t>BTH81</t>
  </si>
  <si>
    <t>Motorola</t>
  </si>
  <si>
    <t>MMBTH81LT1</t>
  </si>
  <si>
    <t>BR536</t>
  </si>
  <si>
    <t>MMBR536L</t>
  </si>
  <si>
    <t>out of production</t>
  </si>
  <si>
    <t>UMT3906</t>
  </si>
  <si>
    <t>All American</t>
  </si>
  <si>
    <t>UMT3906T106</t>
  </si>
  <si>
    <t>SUBSTRATE TOTAL</t>
  </si>
  <si>
    <t># of additional screens (for the three versions)</t>
  </si>
  <si>
    <t>trimming charges (for the three versions)</t>
  </si>
  <si>
    <t>Hybrids really</t>
  </si>
  <si>
    <t>made by Milan</t>
  </si>
  <si>
    <t># of alumina backup plates (~ 1 plate every 150 substrates)</t>
  </si>
  <si>
    <t>Remaining components</t>
  </si>
  <si>
    <t>NE97833</t>
  </si>
  <si>
    <t>BF569</t>
  </si>
  <si>
    <t>Future Elec.</t>
  </si>
  <si>
    <t>BF569TR</t>
  </si>
  <si>
    <t>P1-P20</t>
  </si>
  <si>
    <t>Barrel</t>
  </si>
  <si>
    <t>Crates</t>
  </si>
  <si>
    <t>Special EC</t>
  </si>
  <si>
    <t>Standard EC</t>
  </si>
  <si>
    <t>FCAL</t>
  </si>
  <si>
    <t>FEB type A</t>
  </si>
  <si>
    <t>FEB type B</t>
  </si>
  <si>
    <t>FEB type D</t>
  </si>
  <si>
    <t>Subdetectors</t>
  </si>
  <si>
    <t>EMEC</t>
  </si>
  <si>
    <t>Barrel (standard)</t>
  </si>
  <si>
    <t>32 crates</t>
  </si>
  <si>
    <t>16 Standard + 8 Special crates</t>
  </si>
  <si>
    <t>2 crates</t>
  </si>
  <si>
    <t>Composition</t>
  </si>
  <si>
    <t>Total boards for  the Barrel</t>
  </si>
  <si>
    <t>Total boards for  the FCAL</t>
  </si>
  <si>
    <t>FCAL (standard)</t>
  </si>
  <si>
    <t>Total boards for  the Std EMEC</t>
  </si>
  <si>
    <t>Total boards for  the Special EMEC</t>
  </si>
  <si>
    <t>Total Number of Boards</t>
  </si>
  <si>
    <t>Components</t>
  </si>
  <si>
    <t>Other costs &amp; electrical test</t>
  </si>
  <si>
    <t>Burn-in and tests</t>
  </si>
  <si>
    <t>Costs/Hybrid (in Italian Lira)</t>
  </si>
  <si>
    <t>Non recurring fees (masks + trimming)</t>
  </si>
  <si>
    <t>Costs/Hybrid (in Dollars)</t>
  </si>
  <si>
    <t>Currency</t>
  </si>
  <si>
    <t>Italian Lira</t>
  </si>
  <si>
    <t>CHF</t>
  </si>
  <si>
    <t>Total cost/channel</t>
  </si>
  <si>
    <t>Total cost/hybrid</t>
  </si>
  <si>
    <t>1$ equal to</t>
  </si>
  <si>
    <t>Total Number of channels</t>
  </si>
  <si>
    <t>5% spares</t>
  </si>
  <si>
    <t>Milano Hybrids !!!!!!!</t>
  </si>
  <si>
    <t>BNL final production</t>
  </si>
  <si>
    <t>Total FEBs/crate</t>
  </si>
  <si>
    <t>0 Standard + 0 Special crates</t>
  </si>
  <si>
    <t>0 crates</t>
  </si>
  <si>
    <t>MOD1 Subsystem</t>
  </si>
  <si>
    <t>Board roundup</t>
  </si>
  <si>
    <t>FEB board 10% approximation</t>
  </si>
  <si>
    <t>BNL hybrids</t>
  </si>
  <si>
    <t># of hybrids needed</t>
  </si>
  <si>
    <t>BNL minimum</t>
  </si>
  <si>
    <t># hybrids +10%</t>
  </si>
  <si>
    <t>BNL order</t>
  </si>
  <si>
    <t># boards +10%</t>
  </si>
  <si>
    <t># hybrids + 7%</t>
  </si>
  <si>
    <t>Milan + BNL minimum</t>
  </si>
  <si>
    <t>MOD1 # hybrids</t>
  </si>
  <si>
    <t>BNL board roundup</t>
  </si>
  <si>
    <t>Rounded Numbers</t>
  </si>
  <si>
    <t># hybrids + 10%</t>
  </si>
  <si>
    <t>Min BNL Total</t>
  </si>
  <si>
    <t>Max BNL Total</t>
  </si>
  <si>
    <t>Reel size</t>
  </si>
  <si>
    <t>C7</t>
  </si>
  <si>
    <t>C5, C6, C8</t>
  </si>
  <si>
    <t>Murata</t>
  </si>
  <si>
    <t>250R14N2R0CV4T +/- 0.25pF</t>
  </si>
  <si>
    <t>250R14N220JV4 +/- 5%</t>
  </si>
  <si>
    <t>GRM42-6Y5V105Z016AL</t>
  </si>
  <si>
    <t>6.8 (IO-826-1)</t>
  </si>
  <si>
    <t>Reel Cost</t>
  </si>
  <si>
    <t>In excess</t>
  </si>
  <si>
    <t>Min # Reels</t>
  </si>
  <si>
    <t>Milan minimum</t>
  </si>
  <si>
    <t>BNL real minimum</t>
  </si>
  <si>
    <t>BNL Real Min</t>
  </si>
  <si>
    <t>47 (IO-824/6-1)</t>
  </si>
  <si>
    <t>Min Order</t>
  </si>
  <si>
    <t>33 (IO-823-1)</t>
  </si>
  <si>
    <t>KOA</t>
  </si>
  <si>
    <t>TOKO</t>
  </si>
  <si>
    <t>LL2012-F6N8K</t>
  </si>
  <si>
    <t>LL2012-F8N2K</t>
  </si>
  <si>
    <t>LL2012-F33NK</t>
  </si>
  <si>
    <t>LL2012-F47NK</t>
  </si>
  <si>
    <t>LL2012-FR10K</t>
  </si>
  <si>
    <t>ZETEX</t>
  </si>
  <si>
    <t>BAV99TA</t>
  </si>
  <si>
    <t>BAV70TA</t>
  </si>
  <si>
    <t>Distributor</t>
  </si>
  <si>
    <t>RK73B2ATE2R4J</t>
  </si>
  <si>
    <t>JACO</t>
  </si>
  <si>
    <t>FUTURE ELEC.</t>
  </si>
  <si>
    <t>DIE-TECH</t>
  </si>
  <si>
    <t xml:space="preserve"> # channels + 4%</t>
  </si>
  <si>
    <t>ALLIED</t>
  </si>
  <si>
    <t>REPTRON</t>
  </si>
  <si>
    <t>NOT IN USE !!!</t>
  </si>
  <si>
    <t>AVNET</t>
  </si>
  <si>
    <t>LF-5104B-99-510</t>
  </si>
  <si>
    <t>Edge pin (gold plated)</t>
  </si>
  <si>
    <t>Tooling costs</t>
  </si>
  <si>
    <t>(i.e. precoined height)</t>
  </si>
  <si>
    <t>Costs/Hybrid (in Swiss francs)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</si>
</sst>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0"/>
    <numFmt numFmtId="166" formatCode="&quot;$&quot;#,##0.000_);\(&quot;$&quot;#,##0.000\)"/>
    <numFmt numFmtId="167" formatCode="m/d/yyyy"/>
    <numFmt numFmtId="168" formatCode="&quot;$&quot;#,##0.00"/>
    <numFmt numFmtId="169" formatCode="#,##0.0"/>
    <numFmt numFmtId="170" formatCode="_(* #,##0.000_);_(* \(#,##0.000\);_(* &quot;-&quot;???_);_(@_)"/>
    <numFmt numFmtId="171" formatCode="[$CHF]\ #,##0.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"/>
      <family val="1"/>
    </font>
    <font>
      <b/>
      <i/>
      <u val="single"/>
      <sz val="10"/>
      <name val="Times"/>
      <family val="1"/>
    </font>
    <font>
      <sz val="10"/>
      <name val="Symbol"/>
      <family val="1"/>
    </font>
    <font>
      <sz val="10"/>
      <name val="Times"/>
      <family val="1"/>
    </font>
    <font>
      <b/>
      <u val="single"/>
      <sz val="10"/>
      <name val="Times"/>
      <family val="1"/>
    </font>
    <font>
      <b/>
      <sz val="14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sz val="12"/>
      <name val="Arial"/>
      <family val="0"/>
    </font>
    <font>
      <b/>
      <u val="single"/>
      <sz val="11"/>
      <name val="Times"/>
      <family val="1"/>
    </font>
    <font>
      <sz val="11"/>
      <name val="Times"/>
      <family val="1"/>
    </font>
    <font>
      <sz val="10"/>
      <color indexed="10"/>
      <name val="Times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"/>
      <family val="1"/>
    </font>
    <font>
      <b/>
      <sz val="12"/>
      <name val="Arial"/>
      <family val="2"/>
    </font>
    <font>
      <b/>
      <sz val="14"/>
      <color indexed="10"/>
      <name val="Times"/>
      <family val="1"/>
    </font>
    <font>
      <sz val="10"/>
      <color indexed="12"/>
      <name val="Times"/>
      <family val="1"/>
    </font>
    <font>
      <sz val="10"/>
      <color indexed="12"/>
      <name val="Arial"/>
      <family val="0"/>
    </font>
    <font>
      <b/>
      <i/>
      <u val="single"/>
      <sz val="10"/>
      <color indexed="10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0"/>
      <color indexed="12"/>
      <name val="Times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44" fontId="7" fillId="0" borderId="0" xfId="17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17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164" fontId="7" fillId="0" borderId="0" xfId="17" applyNumberFormat="1" applyFont="1" applyAlignment="1">
      <alignment horizontal="center" vertical="center"/>
    </xf>
    <xf numFmtId="165" fontId="7" fillId="0" borderId="0" xfId="17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11" fillId="0" borderId="0" xfId="17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4" fontId="14" fillId="0" borderId="0" xfId="17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0" borderId="0" xfId="17" applyNumberFormat="1" applyFont="1" applyAlignment="1">
      <alignment horizontal="center" vertical="center"/>
    </xf>
    <xf numFmtId="44" fontId="15" fillId="0" borderId="0" xfId="17" applyFont="1" applyAlignment="1">
      <alignment horizontal="center" vertical="center"/>
    </xf>
    <xf numFmtId="0" fontId="16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wrapText="1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 applyProtection="1">
      <alignment horizontal="center"/>
      <protection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49" fontId="17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/>
    </xf>
    <xf numFmtId="169" fontId="7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center" vertical="center"/>
    </xf>
    <xf numFmtId="44" fontId="7" fillId="0" borderId="0" xfId="17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4" fillId="0" borderId="0" xfId="17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44" fontId="21" fillId="0" borderId="0" xfId="17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16" fillId="0" borderId="0" xfId="0" applyNumberFormat="1" applyFont="1" applyAlignment="1">
      <alignment/>
    </xf>
    <xf numFmtId="164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44" fontId="15" fillId="0" borderId="0" xfId="17" applyNumberFormat="1" applyFont="1" applyAlignment="1">
      <alignment horizontal="center" vertic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H4" sqref="H4"/>
    </sheetView>
  </sheetViews>
  <sheetFormatPr defaultColWidth="9.140625" defaultRowHeight="12.75"/>
  <cols>
    <col min="6" max="6" width="13.140625" style="0" customWidth="1"/>
    <col min="8" max="8" width="13.140625" style="51" customWidth="1"/>
    <col min="10" max="10" width="15.421875" style="0" customWidth="1"/>
  </cols>
  <sheetData>
    <row r="2" spans="6:10" s="50" customFormat="1" ht="25.5" customHeight="1">
      <c r="F2" s="88" t="s">
        <v>211</v>
      </c>
      <c r="H2" s="87" t="s">
        <v>213</v>
      </c>
      <c r="J2" s="88" t="s">
        <v>285</v>
      </c>
    </row>
    <row r="4" spans="1:10" ht="12.75">
      <c r="A4" t="s">
        <v>208</v>
      </c>
      <c r="H4" s="93">
        <f>('Production Phase'!I74)/('Production Phase'!H10)</f>
        <v>6.480356666666667</v>
      </c>
      <c r="J4" s="97">
        <f>H4/D$33</f>
        <v>4.232484270568002</v>
      </c>
    </row>
    <row r="6" spans="1:10" ht="12.75">
      <c r="A6" t="s">
        <v>212</v>
      </c>
      <c r="H6" s="93">
        <f>F6/D$32</f>
        <v>0</v>
      </c>
      <c r="J6" s="97">
        <f>H6/D$33</f>
        <v>0</v>
      </c>
    </row>
    <row r="8" spans="1:10" ht="12.75">
      <c r="A8" t="s">
        <v>209</v>
      </c>
      <c r="H8" s="93">
        <f>F8/D$32</f>
        <v>0</v>
      </c>
      <c r="J8" s="97">
        <f>H8/D$33</f>
        <v>0</v>
      </c>
    </row>
    <row r="10" spans="1:10" ht="12.75">
      <c r="A10" t="s">
        <v>210</v>
      </c>
      <c r="H10" s="93">
        <f>F10/D$32</f>
        <v>0</v>
      </c>
      <c r="J10" s="97">
        <f>H10/D$33</f>
        <v>0</v>
      </c>
    </row>
    <row r="13" spans="4:10" ht="12.75">
      <c r="D13" t="s">
        <v>218</v>
      </c>
      <c r="H13" s="93">
        <f>SUM(H4:H10)</f>
        <v>6.480356666666667</v>
      </c>
      <c r="J13" s="97">
        <f>H13/D$33</f>
        <v>4.232484270568002</v>
      </c>
    </row>
    <row r="14" spans="4:10" ht="12.75">
      <c r="D14" t="s">
        <v>217</v>
      </c>
      <c r="H14" s="93">
        <f>H13/4</f>
        <v>1.6200891666666668</v>
      </c>
      <c r="J14" s="97">
        <f>H14/D$33</f>
        <v>1.0581210676420005</v>
      </c>
    </row>
    <row r="16" spans="6:10" s="50" customFormat="1" ht="25.5" customHeight="1">
      <c r="F16" s="50" t="s">
        <v>211</v>
      </c>
      <c r="H16" s="52" t="s">
        <v>213</v>
      </c>
      <c r="J16" s="88" t="s">
        <v>285</v>
      </c>
    </row>
    <row r="18" spans="1:10" ht="12.75">
      <c r="A18" t="s">
        <v>208</v>
      </c>
      <c r="F18">
        <v>8400</v>
      </c>
      <c r="H18" s="93">
        <f>F18/D$32</f>
        <v>4.519190419316311</v>
      </c>
      <c r="J18" s="97">
        <f>H18/D$33</f>
        <v>2.9515971649900794</v>
      </c>
    </row>
    <row r="20" spans="1:10" ht="12.75">
      <c r="A20" t="s">
        <v>212</v>
      </c>
      <c r="F20">
        <v>280</v>
      </c>
      <c r="H20" s="93">
        <f>F20/D$32</f>
        <v>0.15063968064387703</v>
      </c>
      <c r="J20" s="97">
        <f>H20/D$33</f>
        <v>0.09838657216633599</v>
      </c>
    </row>
    <row r="22" spans="1:10" ht="12.75">
      <c r="A22" t="s">
        <v>209</v>
      </c>
      <c r="F22">
        <v>23300</v>
      </c>
      <c r="H22" s="93">
        <f>F22/D$32</f>
        <v>12.53537342500834</v>
      </c>
      <c r="J22" s="97">
        <f>H22/D$33</f>
        <v>8.187168326698675</v>
      </c>
    </row>
    <row r="24" spans="1:10" ht="12.75">
      <c r="A24" t="s">
        <v>210</v>
      </c>
      <c r="F24">
        <v>2200</v>
      </c>
      <c r="H24" s="93">
        <f>F24/D$32</f>
        <v>1.1835974907733195</v>
      </c>
      <c r="J24" s="97">
        <f>H24/D$33</f>
        <v>0.7730373527354971</v>
      </c>
    </row>
    <row r="27" spans="4:10" ht="12.75">
      <c r="D27" t="s">
        <v>218</v>
      </c>
      <c r="F27">
        <f>SUM(F18:F24)</f>
        <v>34180</v>
      </c>
      <c r="H27" s="93">
        <f>SUM(H18:H24)</f>
        <v>18.388801015741848</v>
      </c>
      <c r="J27" s="97">
        <f>H27/D$33</f>
        <v>12.010189416590588</v>
      </c>
    </row>
    <row r="28" spans="4:10" ht="12.75">
      <c r="D28" t="s">
        <v>217</v>
      </c>
      <c r="F28">
        <f>F27/4</f>
        <v>8545</v>
      </c>
      <c r="H28" s="93">
        <f>H27/4</f>
        <v>4.597200253935462</v>
      </c>
      <c r="J28" s="97">
        <f>H28/D$33</f>
        <v>3.002547354147647</v>
      </c>
    </row>
    <row r="30" spans="1:2" ht="12.75">
      <c r="A30" t="s">
        <v>214</v>
      </c>
      <c r="B30" s="53">
        <v>36326</v>
      </c>
    </row>
    <row r="32" spans="2:5" ht="12.75">
      <c r="B32" t="s">
        <v>219</v>
      </c>
      <c r="D32">
        <v>1858.74</v>
      </c>
      <c r="E32" t="s">
        <v>215</v>
      </c>
    </row>
    <row r="33" spans="2:5" ht="12.75">
      <c r="B33" t="s">
        <v>219</v>
      </c>
      <c r="D33">
        <v>1.5311</v>
      </c>
      <c r="E33" t="s">
        <v>216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66">
      <selection activeCell="E85" sqref="E85"/>
    </sheetView>
  </sheetViews>
  <sheetFormatPr defaultColWidth="9.140625" defaultRowHeight="12.75"/>
  <cols>
    <col min="1" max="1" width="15.7109375" style="58" customWidth="1"/>
    <col min="2" max="3" width="15.7109375" style="54" customWidth="1"/>
    <col min="4" max="5" width="15.7109375" style="58" customWidth="1"/>
    <col min="6" max="6" width="12.28125" style="58" customWidth="1"/>
    <col min="7" max="7" width="13.57421875" style="58" customWidth="1"/>
    <col min="8" max="11" width="15.140625" style="58" customWidth="1"/>
    <col min="12" max="16384" width="9.140625" style="58" customWidth="1"/>
  </cols>
  <sheetData>
    <row r="1" spans="4:6" ht="12.75">
      <c r="D1" s="54"/>
      <c r="E1" s="54"/>
      <c r="F1" s="54"/>
    </row>
    <row r="2" spans="1:6" ht="12.75">
      <c r="A2" s="59" t="s">
        <v>188</v>
      </c>
      <c r="B2" s="54" t="s">
        <v>192</v>
      </c>
      <c r="C2" s="54" t="s">
        <v>193</v>
      </c>
      <c r="D2" s="54" t="s">
        <v>194</v>
      </c>
      <c r="E2" s="54"/>
      <c r="F2" s="59" t="s">
        <v>224</v>
      </c>
    </row>
    <row r="3" spans="1:6" ht="12.75">
      <c r="A3" s="59"/>
      <c r="D3" s="54"/>
      <c r="E3" s="54"/>
      <c r="F3" s="54"/>
    </row>
    <row r="4" spans="1:6" ht="12.75">
      <c r="A4" s="58" t="s">
        <v>197</v>
      </c>
      <c r="B4" s="54">
        <v>16</v>
      </c>
      <c r="C4" s="54">
        <v>8</v>
      </c>
      <c r="D4" s="54">
        <v>4</v>
      </c>
      <c r="E4" s="54"/>
      <c r="F4" s="54">
        <f>SUM(B4:D4)</f>
        <v>28</v>
      </c>
    </row>
    <row r="5" spans="1:6" ht="12.75">
      <c r="A5" s="58" t="s">
        <v>190</v>
      </c>
      <c r="B5" s="54">
        <v>14</v>
      </c>
      <c r="C5" s="54">
        <v>4</v>
      </c>
      <c r="D5" s="54">
        <v>8</v>
      </c>
      <c r="E5" s="54"/>
      <c r="F5" s="54">
        <f>SUM(B5:D5)</f>
        <v>26</v>
      </c>
    </row>
    <row r="6" spans="1:6" ht="12.75">
      <c r="A6" s="58" t="s">
        <v>189</v>
      </c>
      <c r="B6" s="54">
        <v>6</v>
      </c>
      <c r="C6" s="54">
        <v>5</v>
      </c>
      <c r="D6" s="54">
        <v>6</v>
      </c>
      <c r="E6" s="54"/>
      <c r="F6" s="54">
        <f>SUM(B6:D6)</f>
        <v>17</v>
      </c>
    </row>
    <row r="7" spans="1:6" ht="12.75">
      <c r="A7" s="58" t="s">
        <v>204</v>
      </c>
      <c r="B7" s="54">
        <v>0</v>
      </c>
      <c r="C7" s="54">
        <v>0</v>
      </c>
      <c r="D7" s="54">
        <v>14</v>
      </c>
      <c r="E7" s="54"/>
      <c r="F7" s="54">
        <f>SUM(B7:D7)</f>
        <v>14</v>
      </c>
    </row>
    <row r="9" spans="1:3" ht="12.75">
      <c r="A9" s="59" t="s">
        <v>195</v>
      </c>
      <c r="C9" s="59" t="s">
        <v>201</v>
      </c>
    </row>
    <row r="10" spans="6:7" ht="12.75">
      <c r="F10" s="3"/>
      <c r="G10" s="3"/>
    </row>
    <row r="11" spans="1:7" ht="12.75">
      <c r="A11" s="58" t="s">
        <v>187</v>
      </c>
      <c r="C11" s="54" t="s">
        <v>198</v>
      </c>
      <c r="F11" s="28"/>
      <c r="G11" s="3"/>
    </row>
    <row r="12" spans="1:7" ht="12.75">
      <c r="A12" s="58" t="s">
        <v>196</v>
      </c>
      <c r="C12" s="54" t="s">
        <v>199</v>
      </c>
      <c r="F12" s="28"/>
      <c r="G12" s="3"/>
    </row>
    <row r="13" spans="1:7" ht="12.75">
      <c r="A13" s="58" t="s">
        <v>191</v>
      </c>
      <c r="C13" s="54" t="s">
        <v>200</v>
      </c>
      <c r="F13" s="28"/>
      <c r="G13" s="3"/>
    </row>
    <row r="15" s="54" customFormat="1" ht="12.75"/>
    <row r="16" s="54" customFormat="1" ht="12.75"/>
    <row r="17" spans="1:9" s="55" customFormat="1" ht="25.5" customHeight="1">
      <c r="A17" s="60" t="s">
        <v>109</v>
      </c>
      <c r="B17" s="3" t="s">
        <v>123</v>
      </c>
      <c r="C17" s="60" t="s">
        <v>202</v>
      </c>
      <c r="D17" s="60" t="s">
        <v>205</v>
      </c>
      <c r="E17" s="60" t="s">
        <v>206</v>
      </c>
      <c r="F17" s="60" t="s">
        <v>203</v>
      </c>
      <c r="H17" s="55" t="s">
        <v>207</v>
      </c>
      <c r="I17" s="55" t="s">
        <v>220</v>
      </c>
    </row>
    <row r="18" spans="1:9" s="54" customFormat="1" ht="12.75">
      <c r="A18" s="28" t="s">
        <v>125</v>
      </c>
      <c r="B18" s="3" t="s">
        <v>126</v>
      </c>
      <c r="C18" s="61">
        <f>B$4*MID(C$11,1,3)</f>
        <v>512</v>
      </c>
      <c r="D18" s="54">
        <f>B$5*MID(C$12,1,3)</f>
        <v>224</v>
      </c>
      <c r="E18" s="54">
        <f>B$6*MID(C$12,15,2)</f>
        <v>48</v>
      </c>
      <c r="H18" s="54">
        <f>SUM(C18:F18)</f>
        <v>784</v>
      </c>
      <c r="I18" s="54">
        <f>H18*128</f>
        <v>100352</v>
      </c>
    </row>
    <row r="19" spans="1:9" s="54" customFormat="1" ht="12.75">
      <c r="A19" s="28" t="s">
        <v>127</v>
      </c>
      <c r="B19" s="3" t="s">
        <v>128</v>
      </c>
      <c r="C19" s="61">
        <f>C$4*MID(C$11,1,3)</f>
        <v>256</v>
      </c>
      <c r="D19" s="54">
        <f>C$5*MID(C$12,1,3)</f>
        <v>64</v>
      </c>
      <c r="E19" s="54">
        <f>C$6*MID(C$12,15,2)</f>
        <v>40</v>
      </c>
      <c r="H19" s="54">
        <f>SUM(C19:F19)</f>
        <v>360</v>
      </c>
      <c r="I19" s="54">
        <f>H19*128</f>
        <v>46080</v>
      </c>
    </row>
    <row r="20" spans="1:9" s="54" customFormat="1" ht="12.75">
      <c r="A20" s="28" t="s">
        <v>129</v>
      </c>
      <c r="B20" s="3" t="s">
        <v>130</v>
      </c>
      <c r="C20" s="61">
        <f>D$4*MID(C$11,1,3)</f>
        <v>128</v>
      </c>
      <c r="D20" s="54">
        <f>D$5*MID(C$12,1,3)</f>
        <v>128</v>
      </c>
      <c r="E20" s="54">
        <f>D$6*MID(C$12,15,2)</f>
        <v>48</v>
      </c>
      <c r="H20" s="54">
        <f>SUM(C20:F20)</f>
        <v>304</v>
      </c>
      <c r="I20" s="54">
        <f>H20*128</f>
        <v>38912</v>
      </c>
    </row>
    <row r="21" spans="1:9" s="54" customFormat="1" ht="12.75">
      <c r="A21" s="56" t="s">
        <v>119</v>
      </c>
      <c r="B21" s="3" t="s">
        <v>130</v>
      </c>
      <c r="F21" s="61">
        <f>D$7*MID(C$13,1,2)</f>
        <v>28</v>
      </c>
      <c r="H21" s="54">
        <f>SUM(C21:F21)</f>
        <v>28</v>
      </c>
      <c r="I21" s="54">
        <f>H21*128</f>
        <v>3584</v>
      </c>
    </row>
    <row r="22" s="54" customFormat="1" ht="12.75"/>
    <row r="23" s="54" customFormat="1" ht="12.75">
      <c r="I23" s="57">
        <f>SUM(I18:I22)</f>
        <v>188928</v>
      </c>
    </row>
    <row r="25" ht="12.75">
      <c r="A25" s="58" t="s">
        <v>222</v>
      </c>
    </row>
    <row r="26" spans="2:8" ht="12.75">
      <c r="B26" s="56" t="s">
        <v>110</v>
      </c>
      <c r="C26" s="56" t="s">
        <v>231</v>
      </c>
      <c r="D26" s="54" t="s">
        <v>255</v>
      </c>
      <c r="E26" s="56" t="s">
        <v>236</v>
      </c>
      <c r="F26" s="56" t="s">
        <v>113</v>
      </c>
      <c r="H26" s="54" t="s">
        <v>237</v>
      </c>
    </row>
    <row r="27" spans="1:8" ht="12.75">
      <c r="A27" s="67" t="s">
        <v>116</v>
      </c>
      <c r="B27" s="54">
        <f>H18</f>
        <v>784</v>
      </c>
      <c r="C27" s="54">
        <f>B27*32</f>
        <v>25088</v>
      </c>
      <c r="D27" s="54">
        <f>ROUNDUP(C27/2,0)</f>
        <v>12544</v>
      </c>
      <c r="E27" s="54">
        <f>ROUNDUP(D27+D27*0.1,0)</f>
        <v>13799</v>
      </c>
      <c r="F27" s="56">
        <f>ROUNDUP(E27,-1)</f>
        <v>13800</v>
      </c>
      <c r="H27" s="54">
        <f>F27+E46</f>
        <v>27752</v>
      </c>
    </row>
    <row r="28" spans="1:8" ht="12.75">
      <c r="A28" s="56" t="s">
        <v>117</v>
      </c>
      <c r="B28" s="54">
        <f>H19</f>
        <v>360</v>
      </c>
      <c r="C28" s="54">
        <f>B28*32</f>
        <v>11520</v>
      </c>
      <c r="D28" s="54">
        <f>ROUNDUP(C28/2,0)</f>
        <v>5760</v>
      </c>
      <c r="E28" s="54">
        <f>ROUNDUP(D28+D28*0.1,0)</f>
        <v>6336</v>
      </c>
      <c r="F28" s="56">
        <f>ROUNDUP(E28,-1)</f>
        <v>6340</v>
      </c>
      <c r="H28" s="54">
        <f>F28+E47</f>
        <v>12740</v>
      </c>
    </row>
    <row r="29" spans="1:8" ht="12.75">
      <c r="A29" s="56" t="s">
        <v>118</v>
      </c>
      <c r="B29" s="54">
        <f>H20</f>
        <v>304</v>
      </c>
      <c r="C29" s="54">
        <f>B29*32</f>
        <v>9728</v>
      </c>
      <c r="D29" s="54">
        <f>ROUNDUP(C29/2,0)</f>
        <v>4864</v>
      </c>
      <c r="E29" s="54">
        <f>ROUNDUP(D29+D29*0.1,0)</f>
        <v>5351</v>
      </c>
      <c r="F29" s="56">
        <f>ROUNDUP(E29,-1)</f>
        <v>5360</v>
      </c>
      <c r="H29" s="54">
        <f>F29+E48</f>
        <v>10768</v>
      </c>
    </row>
    <row r="30" spans="1:8" ht="12.75">
      <c r="A30" s="56" t="s">
        <v>119</v>
      </c>
      <c r="B30" s="54">
        <f>H21</f>
        <v>28</v>
      </c>
      <c r="C30" s="54">
        <f>B30*32</f>
        <v>896</v>
      </c>
      <c r="D30" s="54">
        <v>0</v>
      </c>
      <c r="E30" s="54">
        <f>ROUNDUP(D30+D30*0.1,0)</f>
        <v>0</v>
      </c>
      <c r="F30" s="56">
        <f>ROUNDUP(E30,-1)</f>
        <v>0</v>
      </c>
      <c r="H30" s="54">
        <f>F30+E49</f>
        <v>1024</v>
      </c>
    </row>
    <row r="32" spans="4:9" ht="12.75">
      <c r="D32" s="57">
        <f>SUM(D27:D31)</f>
        <v>23168</v>
      </c>
      <c r="E32" s="57">
        <f>SUM(E27:E31)</f>
        <v>25486</v>
      </c>
      <c r="F32" s="57">
        <f>SUM(F27:F31)</f>
        <v>25500</v>
      </c>
      <c r="H32" s="57"/>
      <c r="I32" s="57"/>
    </row>
    <row r="33" ht="12.75">
      <c r="G33" s="56"/>
    </row>
    <row r="34" ht="12.75">
      <c r="A34" s="58" t="s">
        <v>223</v>
      </c>
    </row>
    <row r="35" spans="2:9" ht="12.75">
      <c r="B35" s="56" t="s">
        <v>110</v>
      </c>
      <c r="C35" s="56" t="s">
        <v>231</v>
      </c>
      <c r="D35" s="56" t="s">
        <v>233</v>
      </c>
      <c r="E35" s="56" t="s">
        <v>232</v>
      </c>
      <c r="F35" s="56" t="s">
        <v>221</v>
      </c>
      <c r="G35" s="63" t="s">
        <v>234</v>
      </c>
      <c r="H35" s="56" t="s">
        <v>239</v>
      </c>
      <c r="I35" s="56" t="s">
        <v>230</v>
      </c>
    </row>
    <row r="36" spans="1:9" ht="12.75">
      <c r="A36" s="56" t="s">
        <v>116</v>
      </c>
      <c r="B36" s="54">
        <f>H18</f>
        <v>784</v>
      </c>
      <c r="C36" s="54">
        <f>B36*32</f>
        <v>25088</v>
      </c>
      <c r="D36" s="54">
        <f>ROUNDUP(C36*100/90,0)</f>
        <v>27876</v>
      </c>
      <c r="E36" s="54">
        <f>ROUNDUP(D36/2,0)</f>
        <v>13938</v>
      </c>
      <c r="F36" s="56">
        <f>ROUNDUP((E36)*(0.05),0)</f>
        <v>697</v>
      </c>
      <c r="G36" s="63">
        <f>ROUNDUP((E36+F36),0)</f>
        <v>14635</v>
      </c>
      <c r="H36" s="56">
        <f>ROUNDUP((G36/32),0)</f>
        <v>458</v>
      </c>
      <c r="I36" s="56">
        <f>H36*32</f>
        <v>14656</v>
      </c>
    </row>
    <row r="37" spans="1:9" ht="12.75">
      <c r="A37" s="56" t="s">
        <v>117</v>
      </c>
      <c r="B37" s="54">
        <f>H19</f>
        <v>360</v>
      </c>
      <c r="C37" s="54">
        <f>B37*32</f>
        <v>11520</v>
      </c>
      <c r="D37" s="54">
        <f>ROUNDUP(C37*100/90,0)</f>
        <v>12800</v>
      </c>
      <c r="E37" s="54">
        <f>ROUNDUP(D37/2,0)</f>
        <v>6400</v>
      </c>
      <c r="F37" s="56">
        <f>ROUNDUP((E37)*(0.05),0)</f>
        <v>320</v>
      </c>
      <c r="G37" s="63">
        <f>ROUNDUP((E37+F37),0)</f>
        <v>6720</v>
      </c>
      <c r="H37" s="56">
        <f>ROUNDUP((G37/32),0)</f>
        <v>210</v>
      </c>
      <c r="I37" s="56">
        <f>H37*32</f>
        <v>6720</v>
      </c>
    </row>
    <row r="38" spans="1:9" ht="12.75">
      <c r="A38" s="56" t="s">
        <v>118</v>
      </c>
      <c r="B38" s="54">
        <f>H20</f>
        <v>304</v>
      </c>
      <c r="C38" s="54">
        <f>B38*32</f>
        <v>9728</v>
      </c>
      <c r="D38" s="54">
        <f>ROUNDUP(C38*100/90,0)</f>
        <v>10809</v>
      </c>
      <c r="E38" s="54">
        <f>ROUNDUP(D38/2,0)</f>
        <v>5405</v>
      </c>
      <c r="F38" s="56">
        <f>ROUNDUP((E38)*(0.05),0)</f>
        <v>271</v>
      </c>
      <c r="G38" s="63">
        <f>ROUNDUP((E38+F38),0)</f>
        <v>5676</v>
      </c>
      <c r="H38" s="56">
        <f>ROUNDUP((G38/32),0)</f>
        <v>178</v>
      </c>
      <c r="I38" s="56">
        <f>H38*32</f>
        <v>5696</v>
      </c>
    </row>
    <row r="39" spans="1:9" ht="12.75">
      <c r="A39" s="56" t="s">
        <v>119</v>
      </c>
      <c r="B39" s="54">
        <f>H21</f>
        <v>28</v>
      </c>
      <c r="C39" s="54">
        <f>B39*32</f>
        <v>896</v>
      </c>
      <c r="D39" s="54">
        <f>ROUNDUP(C39*100/90,0)</f>
        <v>996</v>
      </c>
      <c r="E39" s="54">
        <f>ROUNDUP(D39,0)</f>
        <v>996</v>
      </c>
      <c r="F39" s="56">
        <f>ROUNDUP((E39)*(0.05),0)</f>
        <v>50</v>
      </c>
      <c r="G39" s="63">
        <f>ROUNDUP((E39+F39),0)</f>
        <v>1046</v>
      </c>
      <c r="H39" s="56">
        <f>ROUNDUP((G39/32),0)</f>
        <v>33</v>
      </c>
      <c r="I39" s="56">
        <f>H39*32</f>
        <v>1056</v>
      </c>
    </row>
    <row r="40" ht="12.75">
      <c r="G40" s="66"/>
    </row>
    <row r="41" spans="2:9" ht="12.75">
      <c r="B41" s="57">
        <f>SUM(B36:B40)</f>
        <v>1476</v>
      </c>
      <c r="E41" s="57">
        <f>SUM(E36:E40)</f>
        <v>26739</v>
      </c>
      <c r="F41" s="57"/>
      <c r="G41" s="65">
        <f>SUM(G36:G40)</f>
        <v>28077</v>
      </c>
      <c r="I41" s="57">
        <f>SUM(I36:I40)</f>
        <v>28128</v>
      </c>
    </row>
    <row r="42" spans="2:9" ht="12.75">
      <c r="B42" s="57"/>
      <c r="G42" s="65"/>
      <c r="I42" s="57"/>
    </row>
    <row r="43" spans="1:9" ht="12.75">
      <c r="A43" s="58" t="s">
        <v>229</v>
      </c>
      <c r="B43" s="57"/>
      <c r="G43" s="65"/>
      <c r="I43" s="57"/>
    </row>
    <row r="44" ht="12.75">
      <c r="G44" s="66"/>
    </row>
    <row r="45" spans="1:10" ht="12.75">
      <c r="A45" s="56" t="s">
        <v>109</v>
      </c>
      <c r="B45" s="56" t="s">
        <v>110</v>
      </c>
      <c r="C45" s="56" t="s">
        <v>235</v>
      </c>
      <c r="D45" s="56" t="s">
        <v>92</v>
      </c>
      <c r="E45" s="56" t="s">
        <v>232</v>
      </c>
      <c r="F45" s="56" t="s">
        <v>221</v>
      </c>
      <c r="G45" s="63" t="s">
        <v>234</v>
      </c>
      <c r="H45" s="63"/>
      <c r="I45" s="63" t="s">
        <v>256</v>
      </c>
      <c r="J45" s="63"/>
    </row>
    <row r="46" spans="1:10" ht="12.75">
      <c r="A46" s="56" t="s">
        <v>116</v>
      </c>
      <c r="B46" s="56">
        <f>H18</f>
        <v>784</v>
      </c>
      <c r="C46" s="54">
        <f>ROUNDUP(B46*100/90,0)</f>
        <v>872</v>
      </c>
      <c r="D46" s="56">
        <f>C46*32</f>
        <v>27904</v>
      </c>
      <c r="E46" s="54">
        <f>ROUNDUP(D46/2,0)</f>
        <v>13952</v>
      </c>
      <c r="F46" s="56">
        <f>ROUNDUP((E46)*(0.05),0)</f>
        <v>698</v>
      </c>
      <c r="G46" s="63">
        <f>ROUNDUP(E46+F46,0)</f>
        <v>14650</v>
      </c>
      <c r="H46" s="63"/>
      <c r="I46" s="54">
        <f>ROUNDUP((C36+C36*0.15)/2,0)</f>
        <v>14426</v>
      </c>
      <c r="J46" s="66"/>
    </row>
    <row r="47" spans="1:10" ht="12.75">
      <c r="A47" s="56" t="s">
        <v>117</v>
      </c>
      <c r="B47" s="56">
        <f>H19</f>
        <v>360</v>
      </c>
      <c r="C47" s="54">
        <f>ROUNDUP(B47*100/90,0)</f>
        <v>400</v>
      </c>
      <c r="D47" s="56">
        <f>C47*32</f>
        <v>12800</v>
      </c>
      <c r="E47" s="54">
        <f>ROUNDUP(D47/2,0)</f>
        <v>6400</v>
      </c>
      <c r="F47" s="56">
        <f>ROUNDUP((E47)*(0.05),0)</f>
        <v>320</v>
      </c>
      <c r="G47" s="63">
        <f>ROUNDUP(E47+F47,0)</f>
        <v>6720</v>
      </c>
      <c r="H47" s="63"/>
      <c r="I47" s="54">
        <f>ROUNDUP((C37+C37*0.15)/2,0)</f>
        <v>6624</v>
      </c>
      <c r="J47" s="66"/>
    </row>
    <row r="48" spans="1:10" ht="12.75">
      <c r="A48" s="56" t="s">
        <v>118</v>
      </c>
      <c r="B48" s="56">
        <f>H20</f>
        <v>304</v>
      </c>
      <c r="C48" s="54">
        <f>ROUNDUP(B48*100/90,0)</f>
        <v>338</v>
      </c>
      <c r="D48" s="56">
        <f>C48*32</f>
        <v>10816</v>
      </c>
      <c r="E48" s="54">
        <f>ROUNDUP(D48/2,0)</f>
        <v>5408</v>
      </c>
      <c r="F48" s="56">
        <f>ROUNDUP((E48)*(0.05),0)</f>
        <v>271</v>
      </c>
      <c r="G48" s="63">
        <f>ROUNDUP(E48+F48,0)</f>
        <v>5679</v>
      </c>
      <c r="H48" s="63"/>
      <c r="I48" s="54">
        <f>ROUNDUP((C38+C38*0.15)/2,0)</f>
        <v>5594</v>
      </c>
      <c r="J48" s="66"/>
    </row>
    <row r="49" spans="1:9" ht="12.75">
      <c r="A49" s="56" t="s">
        <v>119</v>
      </c>
      <c r="B49" s="56">
        <f>H21</f>
        <v>28</v>
      </c>
      <c r="C49" s="54">
        <f>ROUNDUP(B49*100/90,0)</f>
        <v>32</v>
      </c>
      <c r="D49" s="56">
        <f>C49*32</f>
        <v>1024</v>
      </c>
      <c r="E49" s="54">
        <f>ROUNDUP(D49,0)</f>
        <v>1024</v>
      </c>
      <c r="F49" s="56">
        <f>ROUNDUP((E49)*(0.05),0)</f>
        <v>52</v>
      </c>
      <c r="G49" s="63">
        <f>ROUNDUP(E49+F49,0)</f>
        <v>1076</v>
      </c>
      <c r="H49" s="63"/>
      <c r="I49" s="54">
        <f>ROUNDUP((C39+C39*0.15),0)</f>
        <v>1031</v>
      </c>
    </row>
    <row r="50" ht="12.75">
      <c r="G50" s="66"/>
    </row>
    <row r="51" spans="2:10" ht="12.75">
      <c r="B51" s="57">
        <f>SUM(B46:B50)</f>
        <v>1476</v>
      </c>
      <c r="E51" s="57">
        <f>SUM(E46:E50)</f>
        <v>26784</v>
      </c>
      <c r="G51" s="65">
        <f>SUM(G46:G50)</f>
        <v>28125</v>
      </c>
      <c r="H51" s="65"/>
      <c r="I51" s="64">
        <f>SUM(I46:I50)</f>
        <v>27675</v>
      </c>
      <c r="J51" s="64"/>
    </row>
    <row r="53" spans="1:3" s="55" customFormat="1" ht="25.5" customHeight="1">
      <c r="A53" s="62" t="s">
        <v>227</v>
      </c>
      <c r="C53" s="62" t="s">
        <v>201</v>
      </c>
    </row>
    <row r="55" spans="1:3" ht="12.75">
      <c r="A55" s="58" t="s">
        <v>187</v>
      </c>
      <c r="C55" s="54" t="s">
        <v>200</v>
      </c>
    </row>
    <row r="56" spans="1:3" ht="12.75">
      <c r="A56" s="58" t="s">
        <v>196</v>
      </c>
      <c r="C56" s="54" t="s">
        <v>225</v>
      </c>
    </row>
    <row r="57" spans="1:3" ht="12.75">
      <c r="A57" s="58" t="s">
        <v>191</v>
      </c>
      <c r="C57" s="54" t="s">
        <v>226</v>
      </c>
    </row>
    <row r="59" spans="1:9" s="55" customFormat="1" ht="25.5" customHeight="1">
      <c r="A59" s="60" t="s">
        <v>109</v>
      </c>
      <c r="C59" s="60" t="s">
        <v>202</v>
      </c>
      <c r="D59" s="60" t="s">
        <v>205</v>
      </c>
      <c r="E59" s="60" t="s">
        <v>206</v>
      </c>
      <c r="F59" s="60" t="s">
        <v>203</v>
      </c>
      <c r="H59" s="55" t="s">
        <v>207</v>
      </c>
      <c r="I59" s="55" t="s">
        <v>220</v>
      </c>
    </row>
    <row r="60" spans="1:9" s="54" customFormat="1" ht="12.75">
      <c r="A60" s="56" t="s">
        <v>116</v>
      </c>
      <c r="C60" s="61">
        <f>B$4*MID(C$55,1,2)</f>
        <v>32</v>
      </c>
      <c r="D60" s="54">
        <f>B$5*MID(C$56,1,2)</f>
        <v>0</v>
      </c>
      <c r="E60" s="54">
        <f>B$6*MID(C$56,14,2)</f>
        <v>0</v>
      </c>
      <c r="H60" s="54">
        <f>SUM(C60:F60)</f>
        <v>32</v>
      </c>
      <c r="I60" s="54">
        <f>H60*128</f>
        <v>4096</v>
      </c>
    </row>
    <row r="61" spans="1:9" s="54" customFormat="1" ht="12.75">
      <c r="A61" s="56" t="s">
        <v>117</v>
      </c>
      <c r="C61" s="61">
        <f>C$4*MID(C$55,1,2)</f>
        <v>16</v>
      </c>
      <c r="D61" s="54">
        <f>C$5*MID(C$56,1,2)</f>
        <v>0</v>
      </c>
      <c r="E61" s="54">
        <f>C$6*MID(C$56,14,2)</f>
        <v>0</v>
      </c>
      <c r="H61" s="54">
        <f>SUM(C61:F61)</f>
        <v>16</v>
      </c>
      <c r="I61" s="54">
        <f>H61*128</f>
        <v>2048</v>
      </c>
    </row>
    <row r="62" spans="1:9" s="54" customFormat="1" ht="12.75">
      <c r="A62" s="56" t="s">
        <v>118</v>
      </c>
      <c r="C62" s="61">
        <f>D$4*MID(C$55,1,2)</f>
        <v>8</v>
      </c>
      <c r="D62" s="54">
        <f>D$5*MID(C$56,1,2)</f>
        <v>0</v>
      </c>
      <c r="E62" s="54">
        <f>D$6*MID(C$56,14,2)</f>
        <v>0</v>
      </c>
      <c r="H62" s="54">
        <f>SUM(C62:F62)</f>
        <v>8</v>
      </c>
      <c r="I62" s="54">
        <f>H62*128</f>
        <v>1024</v>
      </c>
    </row>
    <row r="63" spans="1:9" s="54" customFormat="1" ht="12.75">
      <c r="A63" s="56" t="s">
        <v>119</v>
      </c>
      <c r="F63" s="61">
        <f>D$7*MID(C$57,1,2)</f>
        <v>0</v>
      </c>
      <c r="H63" s="54">
        <f>SUM(C63:F63)</f>
        <v>0</v>
      </c>
      <c r="I63" s="54">
        <f>H63*128</f>
        <v>0</v>
      </c>
    </row>
    <row r="64" s="54" customFormat="1" ht="12.75"/>
    <row r="65" spans="4:9" s="54" customFormat="1" ht="12.75">
      <c r="D65" s="54">
        <f>D69-D69*0.1</f>
        <v>512.1</v>
      </c>
      <c r="I65" s="57">
        <f>SUM(I60:I64)</f>
        <v>7168</v>
      </c>
    </row>
    <row r="67" spans="1:8" ht="12.75">
      <c r="A67" s="60" t="s">
        <v>109</v>
      </c>
      <c r="B67" s="56" t="s">
        <v>110</v>
      </c>
      <c r="C67" s="56" t="s">
        <v>238</v>
      </c>
      <c r="D67" s="56" t="s">
        <v>241</v>
      </c>
      <c r="E67" s="63" t="s">
        <v>234</v>
      </c>
      <c r="F67" s="56"/>
      <c r="G67" s="56"/>
      <c r="H67" s="56" t="s">
        <v>228</v>
      </c>
    </row>
    <row r="68" spans="1:8" ht="12.75">
      <c r="A68" s="56" t="s">
        <v>116</v>
      </c>
      <c r="B68" s="54">
        <f>H60</f>
        <v>32</v>
      </c>
      <c r="C68" s="54">
        <f>B68*32</f>
        <v>1024</v>
      </c>
      <c r="D68" s="54">
        <f>ROUNDUP(C68*100/90,0)</f>
        <v>1138</v>
      </c>
      <c r="E68" s="63">
        <f>D68</f>
        <v>1138</v>
      </c>
      <c r="F68" s="56"/>
      <c r="G68" s="56"/>
      <c r="H68" s="56">
        <f>E68/32</f>
        <v>35.5625</v>
      </c>
    </row>
    <row r="69" spans="1:8" ht="12.75">
      <c r="A69" s="56" t="s">
        <v>117</v>
      </c>
      <c r="B69" s="54">
        <f>H61</f>
        <v>16</v>
      </c>
      <c r="C69" s="54">
        <f>B69*32</f>
        <v>512</v>
      </c>
      <c r="D69" s="54">
        <f>ROUNDUP(C69*100/90,0)</f>
        <v>569</v>
      </c>
      <c r="E69" s="63">
        <f>D69</f>
        <v>569</v>
      </c>
      <c r="F69" s="56"/>
      <c r="G69" s="56"/>
      <c r="H69" s="56">
        <f>E69/32</f>
        <v>17.78125</v>
      </c>
    </row>
    <row r="70" spans="1:8" ht="12.75">
      <c r="A70" s="56" t="s">
        <v>118</v>
      </c>
      <c r="B70" s="54">
        <f>H62</f>
        <v>8</v>
      </c>
      <c r="C70" s="54">
        <f>B70*32</f>
        <v>256</v>
      </c>
      <c r="D70" s="54">
        <f>ROUNDUP(C70*100/90,0)</f>
        <v>285</v>
      </c>
      <c r="E70" s="63">
        <f>D70</f>
        <v>285</v>
      </c>
      <c r="F70" s="56"/>
      <c r="G70" s="56"/>
      <c r="H70" s="56">
        <f>E70/32</f>
        <v>8.90625</v>
      </c>
    </row>
    <row r="71" spans="1:8" ht="12.75">
      <c r="A71" s="56" t="s">
        <v>119</v>
      </c>
      <c r="B71" s="54">
        <f>H63</f>
        <v>0</v>
      </c>
      <c r="C71" s="54">
        <f>B71*32</f>
        <v>0</v>
      </c>
      <c r="D71" s="54">
        <f>ROUNDUP(C71*100/90,0)</f>
        <v>0</v>
      </c>
      <c r="E71" s="63">
        <f>D71</f>
        <v>0</v>
      </c>
      <c r="F71" s="56"/>
      <c r="G71" s="56"/>
      <c r="H71" s="56">
        <f>E71/32</f>
        <v>0</v>
      </c>
    </row>
    <row r="72" ht="12.75">
      <c r="E72" s="66"/>
    </row>
    <row r="73" spans="4:8" ht="12.75">
      <c r="D73" s="57">
        <f>SUM(D68:D72)</f>
        <v>1992</v>
      </c>
      <c r="E73" s="65">
        <f>SUM(E68:E72)</f>
        <v>1992</v>
      </c>
      <c r="F73" s="57"/>
      <c r="H73" s="57"/>
    </row>
    <row r="76" ht="12.75">
      <c r="E76" s="54"/>
    </row>
    <row r="77" spans="3:8" ht="12.75">
      <c r="C77" s="63" t="s">
        <v>242</v>
      </c>
      <c r="D77" s="63" t="s">
        <v>243</v>
      </c>
      <c r="E77" s="63" t="s">
        <v>240</v>
      </c>
      <c r="G77" s="59" t="s">
        <v>257</v>
      </c>
      <c r="H77" s="63" t="s">
        <v>240</v>
      </c>
    </row>
    <row r="78" spans="1:8" ht="12.75">
      <c r="A78" s="28" t="s">
        <v>125</v>
      </c>
      <c r="B78" s="3" t="s">
        <v>126</v>
      </c>
      <c r="C78" s="63">
        <f>ROUNDDOWN(MIN($G$46,$G$36)+$D$68,0)</f>
        <v>15773</v>
      </c>
      <c r="D78" s="63">
        <f>ROUNDDOWN(MAX($G$46,$G$36)+$D$68,0)</f>
        <v>15788</v>
      </c>
      <c r="E78" s="59">
        <f>ROUNDUP(MAX(C78,D78),-2)-100</f>
        <v>15700</v>
      </c>
      <c r="G78" s="63">
        <f>ROUNDDOWN(MIN($G$46,$G$36,$I$46)+$D$68,0)</f>
        <v>15564</v>
      </c>
      <c r="H78" s="59">
        <f>ROUNDUP(G78,-2)</f>
        <v>15600</v>
      </c>
    </row>
    <row r="79" spans="1:8" ht="12.75">
      <c r="A79" s="28" t="s">
        <v>127</v>
      </c>
      <c r="B79" s="3" t="s">
        <v>128</v>
      </c>
      <c r="C79" s="63">
        <f>ROUNDDOWN(MIN($G$47,$G$37)+$D$69,0)</f>
        <v>7289</v>
      </c>
      <c r="D79" s="63">
        <f>ROUNDDOWN(MAX($G$47,$G$37)+$D$69,0)</f>
        <v>7289</v>
      </c>
      <c r="E79" s="59">
        <f>ROUNDUP(MAX(C79,D79),-2)</f>
        <v>7300</v>
      </c>
      <c r="G79" s="63">
        <f>ROUNDDOWN(MIN($G$47,$G$37,$I$47)+$D$69,0)</f>
        <v>7193</v>
      </c>
      <c r="H79" s="59">
        <f>ROUNDUP(G79,-2)</f>
        <v>7200</v>
      </c>
    </row>
    <row r="80" spans="1:8" ht="12.75">
      <c r="A80" s="28" t="s">
        <v>129</v>
      </c>
      <c r="B80" s="3" t="s">
        <v>130</v>
      </c>
      <c r="C80" s="63">
        <f>ROUNDDOWN(MIN($G$48,$G$38)+$D$70,0)</f>
        <v>5961</v>
      </c>
      <c r="D80" s="63">
        <f>ROUNDDOWN(MAX($G$48,$G$38)+$D$70,0)</f>
        <v>5964</v>
      </c>
      <c r="E80" s="59">
        <f>ROUNDUP(MAX(C80+C81,D80+C81),-2)-100</f>
        <v>7000</v>
      </c>
      <c r="G80" s="63">
        <f>ROUNDDOWN(MIN($G$48,$G$38,$I$48)+$D$70,0)</f>
        <v>5879</v>
      </c>
      <c r="H80" s="59">
        <f>ROUNDUP(G80+G81,-2)</f>
        <v>7000</v>
      </c>
    </row>
    <row r="81" spans="1:8" ht="12.75">
      <c r="A81" s="28" t="s">
        <v>129</v>
      </c>
      <c r="B81" s="3" t="s">
        <v>130</v>
      </c>
      <c r="C81" s="63">
        <f>ROUNDDOWN(MIN($G$49,$G$39)+$D$71,0)</f>
        <v>1046</v>
      </c>
      <c r="D81" s="63">
        <f>ROUNDDOWN(MAX($G$49,$G$39)+$D$71,0)</f>
        <v>1076</v>
      </c>
      <c r="E81" s="54"/>
      <c r="G81" s="63">
        <f>ROUNDDOWN(MIN($G$49,$G$39,$I$49)+$D$71,0)</f>
        <v>1031</v>
      </c>
      <c r="H81" s="59"/>
    </row>
    <row r="82" ht="12.75">
      <c r="C82" s="58"/>
    </row>
    <row r="83" spans="3:8" ht="12.75">
      <c r="C83" s="65">
        <f>SUM(C78:C82)</f>
        <v>30069</v>
      </c>
      <c r="D83" s="65">
        <f>SUM(D78:D82)</f>
        <v>30117</v>
      </c>
      <c r="E83" s="65">
        <f>SUM(E78:E82)</f>
        <v>30000</v>
      </c>
      <c r="G83" s="65">
        <f>SUM(G78:G82)</f>
        <v>29667</v>
      </c>
      <c r="H83" s="65">
        <f>SUM(H78:H82)</f>
        <v>29800</v>
      </c>
    </row>
  </sheetData>
  <printOptions/>
  <pageMargins left="0.25" right="0.2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35">
      <selection activeCell="C60" sqref="C60"/>
    </sheetView>
  </sheetViews>
  <sheetFormatPr defaultColWidth="9.140625" defaultRowHeight="12.75"/>
  <cols>
    <col min="1" max="1" width="14.57421875" style="0" customWidth="1"/>
    <col min="2" max="2" width="17.28125" style="0" customWidth="1"/>
    <col min="3" max="3" width="12.7109375" style="0" customWidth="1"/>
    <col min="4" max="4" width="17.140625" style="2" customWidth="1"/>
    <col min="5" max="5" width="25.140625" style="2" customWidth="1"/>
    <col min="6" max="6" width="11.00390625" style="0" customWidth="1"/>
    <col min="7" max="7" width="11.00390625" style="68" customWidth="1"/>
    <col min="8" max="8" width="11.8515625" style="16" customWidth="1"/>
    <col min="9" max="9" width="11.00390625" style="0" customWidth="1"/>
    <col min="10" max="10" width="12.57421875" style="0" customWidth="1"/>
  </cols>
  <sheetData>
    <row r="1" ht="18.75">
      <c r="A1" s="82" t="s">
        <v>0</v>
      </c>
    </row>
    <row r="3" spans="1:3" ht="13.5">
      <c r="A3" s="1" t="s">
        <v>1</v>
      </c>
      <c r="B3" s="3" t="s">
        <v>2</v>
      </c>
      <c r="C3" s="3"/>
    </row>
    <row r="4" spans="1:3" ht="12.75">
      <c r="A4" s="2"/>
      <c r="B4" s="2"/>
      <c r="C4" s="2"/>
    </row>
    <row r="5" spans="1:10" ht="12.75">
      <c r="A5" s="3" t="s">
        <v>3</v>
      </c>
      <c r="B5" s="3" t="s">
        <v>4</v>
      </c>
      <c r="C5" s="3" t="s">
        <v>83</v>
      </c>
      <c r="D5" s="3" t="s">
        <v>5</v>
      </c>
      <c r="E5" s="3" t="s">
        <v>6</v>
      </c>
      <c r="F5" s="3" t="s">
        <v>244</v>
      </c>
      <c r="G5" s="69"/>
      <c r="H5" s="20"/>
      <c r="I5" s="3"/>
      <c r="J5" s="21"/>
    </row>
    <row r="6" spans="1:10" ht="12.75">
      <c r="A6" s="3"/>
      <c r="B6" s="3"/>
      <c r="C6" s="3"/>
      <c r="D6" s="3"/>
      <c r="E6" s="3"/>
      <c r="F6" s="22"/>
      <c r="G6" s="70"/>
      <c r="H6" s="23"/>
      <c r="I6" s="22"/>
      <c r="J6" s="22"/>
    </row>
    <row r="7" spans="1:10" ht="12.75">
      <c r="A7" s="3" t="s">
        <v>12</v>
      </c>
      <c r="B7" s="4">
        <v>2.43</v>
      </c>
      <c r="C7" s="3">
        <v>1</v>
      </c>
      <c r="D7" s="3" t="s">
        <v>261</v>
      </c>
      <c r="E7" s="3" t="s">
        <v>272</v>
      </c>
      <c r="F7" s="3">
        <v>5000</v>
      </c>
      <c r="G7" s="69"/>
      <c r="H7" s="32"/>
      <c r="I7" s="17"/>
      <c r="J7" s="21"/>
    </row>
    <row r="8" spans="1:10" ht="13.5" customHeight="1">
      <c r="A8" s="3" t="s">
        <v>19</v>
      </c>
      <c r="B8" s="4" t="s">
        <v>20</v>
      </c>
      <c r="C8" s="3">
        <v>1</v>
      </c>
      <c r="D8" s="3" t="s">
        <v>13</v>
      </c>
      <c r="E8" s="3" t="s">
        <v>21</v>
      </c>
      <c r="F8" s="21">
        <v>3000</v>
      </c>
      <c r="G8" s="71"/>
      <c r="H8" s="38"/>
      <c r="I8" s="17"/>
      <c r="J8" s="21"/>
    </row>
    <row r="9" spans="1:10" ht="12.75">
      <c r="A9" s="3"/>
      <c r="B9" s="4" t="s">
        <v>22</v>
      </c>
      <c r="C9" s="3">
        <v>1</v>
      </c>
      <c r="D9" s="3" t="s">
        <v>13</v>
      </c>
      <c r="E9" s="3" t="s">
        <v>23</v>
      </c>
      <c r="F9" s="21">
        <v>3000</v>
      </c>
      <c r="G9" s="71"/>
      <c r="H9" s="38"/>
      <c r="I9" s="17"/>
      <c r="J9" s="21"/>
    </row>
    <row r="10" spans="1:10" ht="12.75">
      <c r="A10" s="3"/>
      <c r="B10" s="4" t="s">
        <v>24</v>
      </c>
      <c r="C10" s="3">
        <v>1</v>
      </c>
      <c r="D10" s="3" t="s">
        <v>13</v>
      </c>
      <c r="E10" s="3" t="s">
        <v>25</v>
      </c>
      <c r="F10" s="21">
        <v>3000</v>
      </c>
      <c r="G10" s="71"/>
      <c r="H10" s="38"/>
      <c r="I10" s="17"/>
      <c r="J10" s="21"/>
    </row>
    <row r="11" spans="1:10" ht="12.75">
      <c r="A11" s="3" t="s">
        <v>26</v>
      </c>
      <c r="B11" s="4" t="s">
        <v>27</v>
      </c>
      <c r="C11" s="3">
        <v>1</v>
      </c>
      <c r="D11" s="3" t="s">
        <v>13</v>
      </c>
      <c r="E11" s="3" t="s">
        <v>28</v>
      </c>
      <c r="F11" s="21">
        <v>3000</v>
      </c>
      <c r="G11" s="71"/>
      <c r="H11" s="38"/>
      <c r="I11" s="17"/>
      <c r="J11" s="21"/>
    </row>
    <row r="12" spans="1:10" ht="12.75">
      <c r="A12" s="3"/>
      <c r="B12" s="4" t="s">
        <v>30</v>
      </c>
      <c r="C12" s="3">
        <v>1</v>
      </c>
      <c r="D12" s="3" t="s">
        <v>13</v>
      </c>
      <c r="E12" s="3" t="s">
        <v>18</v>
      </c>
      <c r="F12" s="21">
        <v>3000</v>
      </c>
      <c r="G12" s="71"/>
      <c r="H12" s="38"/>
      <c r="I12" s="17"/>
      <c r="J12" s="21"/>
    </row>
    <row r="13" spans="1:10" ht="12.75">
      <c r="A13" s="3"/>
      <c r="B13" s="4" t="s">
        <v>31</v>
      </c>
      <c r="C13" s="3">
        <v>1</v>
      </c>
      <c r="D13" s="3" t="s">
        <v>13</v>
      </c>
      <c r="E13" s="3" t="s">
        <v>32</v>
      </c>
      <c r="F13" s="21">
        <v>3000</v>
      </c>
      <c r="G13" s="71"/>
      <c r="H13" s="38"/>
      <c r="I13" s="17"/>
      <c r="J13" s="21"/>
    </row>
    <row r="14" spans="1:10" ht="12.75">
      <c r="A14" s="3"/>
      <c r="B14" s="4"/>
      <c r="C14" s="4"/>
      <c r="D14" s="3"/>
      <c r="E14" s="3"/>
      <c r="F14" s="21"/>
      <c r="G14" s="71"/>
      <c r="H14" s="35"/>
      <c r="I14" s="17"/>
      <c r="J14" s="21"/>
    </row>
    <row r="15" spans="1:10" ht="15.75">
      <c r="A15" s="3"/>
      <c r="B15" s="4"/>
      <c r="C15" s="4"/>
      <c r="D15" s="3"/>
      <c r="E15" s="3"/>
      <c r="F15" s="22"/>
      <c r="G15" s="70"/>
      <c r="H15"/>
      <c r="I15" s="37"/>
      <c r="J15" s="22"/>
    </row>
    <row r="16" spans="1:10" ht="13.5">
      <c r="A16" s="1" t="s">
        <v>34</v>
      </c>
      <c r="B16" s="3" t="s">
        <v>2</v>
      </c>
      <c r="C16" s="3"/>
      <c r="D16" s="3"/>
      <c r="E16" s="3"/>
      <c r="F16" s="22"/>
      <c r="G16" s="70"/>
      <c r="H16" s="23"/>
      <c r="I16" s="22"/>
      <c r="J16" s="22"/>
    </row>
    <row r="17" spans="1:10" ht="12.75">
      <c r="A17" s="22"/>
      <c r="B17" s="3"/>
      <c r="C17" s="3"/>
      <c r="D17" s="3"/>
      <c r="E17" s="3"/>
      <c r="F17" s="22"/>
      <c r="G17" s="70"/>
      <c r="H17" s="23"/>
      <c r="I17" s="22"/>
      <c r="J17" s="22"/>
    </row>
    <row r="18" spans="1:10" ht="12.75">
      <c r="A18" s="3" t="s">
        <v>3</v>
      </c>
      <c r="B18" s="3" t="s">
        <v>35</v>
      </c>
      <c r="C18" s="3" t="s">
        <v>83</v>
      </c>
      <c r="D18" s="3" t="s">
        <v>5</v>
      </c>
      <c r="E18" s="3" t="s">
        <v>6</v>
      </c>
      <c r="F18" s="3" t="s">
        <v>244</v>
      </c>
      <c r="G18" s="69"/>
      <c r="H18" s="20"/>
      <c r="I18" s="3"/>
      <c r="J18" s="21"/>
    </row>
    <row r="19" spans="1:10" ht="12.75">
      <c r="A19" s="3"/>
      <c r="B19" s="3"/>
      <c r="C19" s="3"/>
      <c r="D19" s="3"/>
      <c r="E19" s="3"/>
      <c r="F19" s="22"/>
      <c r="G19" s="70"/>
      <c r="H19" s="36"/>
      <c r="I19" s="22"/>
      <c r="J19" s="22"/>
    </row>
    <row r="20" spans="1:10" ht="12.75">
      <c r="A20" s="3" t="s">
        <v>36</v>
      </c>
      <c r="B20" s="3" t="s">
        <v>37</v>
      </c>
      <c r="C20" s="3">
        <v>1</v>
      </c>
      <c r="D20" s="3" t="s">
        <v>38</v>
      </c>
      <c r="E20" s="3" t="s">
        <v>248</v>
      </c>
      <c r="F20" s="3">
        <v>4000</v>
      </c>
      <c r="G20" s="69"/>
      <c r="H20" s="38"/>
      <c r="I20" s="17"/>
      <c r="J20" s="3"/>
    </row>
    <row r="21" spans="1:10" ht="12.75">
      <c r="A21" s="3" t="s">
        <v>245</v>
      </c>
      <c r="B21" s="3" t="s">
        <v>40</v>
      </c>
      <c r="C21" s="3">
        <v>1</v>
      </c>
      <c r="D21" s="3" t="s">
        <v>39</v>
      </c>
      <c r="E21" s="3" t="s">
        <v>249</v>
      </c>
      <c r="F21" s="3">
        <v>4000</v>
      </c>
      <c r="G21" s="69"/>
      <c r="H21" s="38"/>
      <c r="I21" s="17"/>
      <c r="J21" s="3"/>
    </row>
    <row r="22" spans="1:10" ht="12.75">
      <c r="A22" s="3" t="s">
        <v>41</v>
      </c>
      <c r="B22" s="3" t="s">
        <v>42</v>
      </c>
      <c r="C22" s="3">
        <v>3</v>
      </c>
      <c r="D22" s="3" t="s">
        <v>39</v>
      </c>
      <c r="E22" s="3" t="s">
        <v>43</v>
      </c>
      <c r="F22" s="3">
        <v>4000</v>
      </c>
      <c r="G22" s="69"/>
      <c r="H22" s="38"/>
      <c r="I22" s="17"/>
      <c r="J22" s="3"/>
    </row>
    <row r="23" spans="1:10" ht="12.75">
      <c r="A23" s="3" t="s">
        <v>246</v>
      </c>
      <c r="B23" s="3" t="s">
        <v>44</v>
      </c>
      <c r="C23" s="3">
        <v>3</v>
      </c>
      <c r="D23" s="3" t="s">
        <v>247</v>
      </c>
      <c r="E23" s="3" t="s">
        <v>250</v>
      </c>
      <c r="F23" s="3">
        <v>3000</v>
      </c>
      <c r="G23" s="69"/>
      <c r="H23" s="38"/>
      <c r="I23" s="17"/>
      <c r="J23" s="3"/>
    </row>
    <row r="24" spans="1:10" ht="12.75">
      <c r="A24" s="22"/>
      <c r="B24" s="25"/>
      <c r="C24" s="25"/>
      <c r="D24" s="3"/>
      <c r="E24" s="3"/>
      <c r="F24" s="22"/>
      <c r="G24" s="70"/>
      <c r="H24" s="23"/>
      <c r="I24" s="22"/>
      <c r="J24" s="22"/>
    </row>
    <row r="25" spans="1:10" ht="12.75">
      <c r="A25" s="22"/>
      <c r="B25" s="25"/>
      <c r="C25" s="25"/>
      <c r="D25" s="3"/>
      <c r="E25" s="3"/>
      <c r="F25" s="22"/>
      <c r="G25" s="70"/>
      <c r="H25" s="23"/>
      <c r="I25" s="22"/>
      <c r="J25" s="22"/>
    </row>
    <row r="26" spans="1:10" ht="13.5">
      <c r="A26" s="1" t="s">
        <v>45</v>
      </c>
      <c r="B26" s="3" t="s">
        <v>46</v>
      </c>
      <c r="C26" s="3"/>
      <c r="D26" s="3"/>
      <c r="E26" s="3"/>
      <c r="F26" s="22"/>
      <c r="G26" s="70"/>
      <c r="H26" s="23"/>
      <c r="I26" s="22"/>
      <c r="J26" s="22"/>
    </row>
    <row r="27" spans="1:10" ht="12.75">
      <c r="A27" s="22"/>
      <c r="B27" s="3"/>
      <c r="C27" s="3"/>
      <c r="D27" s="3"/>
      <c r="E27" s="3"/>
      <c r="F27" s="22"/>
      <c r="G27" s="70"/>
      <c r="H27" s="23"/>
      <c r="I27" s="22"/>
      <c r="J27" s="22"/>
    </row>
    <row r="28" spans="1:10" ht="12.75">
      <c r="A28" s="3" t="s">
        <v>3</v>
      </c>
      <c r="B28" s="3" t="s">
        <v>47</v>
      </c>
      <c r="C28" s="3" t="s">
        <v>83</v>
      </c>
      <c r="D28" s="3" t="s">
        <v>5</v>
      </c>
      <c r="E28" s="3" t="s">
        <v>6</v>
      </c>
      <c r="F28" s="3" t="s">
        <v>244</v>
      </c>
      <c r="G28" s="69"/>
      <c r="H28" s="20"/>
      <c r="I28" s="3"/>
      <c r="J28" s="21"/>
    </row>
    <row r="29" spans="1:10" ht="12.75">
      <c r="A29" s="3"/>
      <c r="B29" s="3"/>
      <c r="C29" s="3"/>
      <c r="D29" s="3"/>
      <c r="E29" s="3"/>
      <c r="F29" s="3"/>
      <c r="G29" s="69"/>
      <c r="H29" s="20"/>
      <c r="I29" s="3"/>
      <c r="J29" s="22"/>
    </row>
    <row r="30" spans="1:10" ht="12.75">
      <c r="A30" s="3" t="s">
        <v>48</v>
      </c>
      <c r="B30" s="3" t="s">
        <v>258</v>
      </c>
      <c r="C30" s="3">
        <v>1</v>
      </c>
      <c r="D30" s="3" t="s">
        <v>262</v>
      </c>
      <c r="E30" s="3" t="s">
        <v>266</v>
      </c>
      <c r="F30" s="3">
        <v>3000</v>
      </c>
      <c r="G30" s="69"/>
      <c r="H30" s="38"/>
      <c r="I30" s="17"/>
      <c r="J30" s="21"/>
    </row>
    <row r="31" spans="1:10" ht="12.75">
      <c r="A31" s="3"/>
      <c r="B31" s="3" t="s">
        <v>51</v>
      </c>
      <c r="C31" s="3">
        <v>1</v>
      </c>
      <c r="D31" s="3" t="s">
        <v>262</v>
      </c>
      <c r="E31" s="3" t="s">
        <v>267</v>
      </c>
      <c r="F31" s="3">
        <v>3000</v>
      </c>
      <c r="G31" s="69"/>
      <c r="H31" s="38"/>
      <c r="I31" s="17"/>
      <c r="J31" s="21"/>
    </row>
    <row r="32" spans="1:10" ht="12.75">
      <c r="A32" s="3" t="s">
        <v>52</v>
      </c>
      <c r="B32" s="3" t="s">
        <v>251</v>
      </c>
      <c r="C32" s="3">
        <v>1</v>
      </c>
      <c r="D32" s="3" t="s">
        <v>262</v>
      </c>
      <c r="E32" s="3" t="s">
        <v>263</v>
      </c>
      <c r="F32" s="3">
        <v>4000</v>
      </c>
      <c r="G32" s="69"/>
      <c r="H32" s="38"/>
      <c r="I32" s="17"/>
      <c r="J32" s="21"/>
    </row>
    <row r="33" spans="1:10" ht="12.75">
      <c r="A33" s="3"/>
      <c r="B33" s="3" t="s">
        <v>53</v>
      </c>
      <c r="C33" s="3">
        <v>1</v>
      </c>
      <c r="D33" s="3" t="s">
        <v>262</v>
      </c>
      <c r="E33" s="3" t="s">
        <v>264</v>
      </c>
      <c r="F33" s="3">
        <v>4000</v>
      </c>
      <c r="G33" s="69"/>
      <c r="H33" s="38"/>
      <c r="I33" s="17"/>
      <c r="J33" s="21"/>
    </row>
    <row r="34" spans="1:10" ht="12.75">
      <c r="A34" s="3"/>
      <c r="B34" s="3" t="s">
        <v>260</v>
      </c>
      <c r="C34" s="3">
        <v>1</v>
      </c>
      <c r="D34" s="3" t="s">
        <v>262</v>
      </c>
      <c r="E34" s="3" t="s">
        <v>265</v>
      </c>
      <c r="F34" s="3">
        <v>4000</v>
      </c>
      <c r="G34" s="69"/>
      <c r="H34" s="38"/>
      <c r="I34" s="17"/>
      <c r="J34" s="21"/>
    </row>
    <row r="35" spans="1:10" ht="12.75">
      <c r="A35" s="3"/>
      <c r="B35" s="3"/>
      <c r="C35" s="3"/>
      <c r="D35" s="3"/>
      <c r="E35" s="3"/>
      <c r="F35" s="3"/>
      <c r="G35" s="69"/>
      <c r="H35" s="24"/>
      <c r="I35" s="17"/>
      <c r="J35" s="21"/>
    </row>
    <row r="36" spans="1:10" ht="12.75">
      <c r="A36" s="3"/>
      <c r="B36" s="3"/>
      <c r="C36" s="3"/>
      <c r="D36" s="3"/>
      <c r="E36" s="3"/>
      <c r="F36" s="22"/>
      <c r="G36" s="70"/>
      <c r="H36" s="23"/>
      <c r="I36" s="22"/>
      <c r="J36" s="22"/>
    </row>
    <row r="37" spans="1:10" ht="13.5">
      <c r="A37" s="1" t="s">
        <v>54</v>
      </c>
      <c r="B37" s="3" t="s">
        <v>55</v>
      </c>
      <c r="C37" s="3"/>
      <c r="D37" s="3"/>
      <c r="E37" s="3"/>
      <c r="F37" s="22"/>
      <c r="G37" s="70"/>
      <c r="H37" s="23"/>
      <c r="I37" s="22"/>
      <c r="J37" s="22"/>
    </row>
    <row r="38" spans="1:10" ht="12.75">
      <c r="A38" s="3"/>
      <c r="B38" s="3"/>
      <c r="C38" s="3"/>
      <c r="D38" s="3"/>
      <c r="E38" s="3"/>
      <c r="F38" s="22"/>
      <c r="G38" s="70"/>
      <c r="H38" s="23"/>
      <c r="I38" s="22"/>
      <c r="J38" s="22"/>
    </row>
    <row r="39" spans="1:10" ht="12.75">
      <c r="A39" s="3" t="s">
        <v>3</v>
      </c>
      <c r="B39" s="3" t="s">
        <v>56</v>
      </c>
      <c r="C39" s="3" t="s">
        <v>83</v>
      </c>
      <c r="D39" s="3" t="s">
        <v>5</v>
      </c>
      <c r="E39" s="3" t="s">
        <v>6</v>
      </c>
      <c r="F39" s="3" t="s">
        <v>244</v>
      </c>
      <c r="G39" s="69"/>
      <c r="H39" s="20"/>
      <c r="I39" s="3"/>
      <c r="J39" s="21"/>
    </row>
    <row r="40" spans="1:10" ht="12.75">
      <c r="A40" s="3"/>
      <c r="B40" s="3"/>
      <c r="C40" s="3"/>
      <c r="D40" s="3"/>
      <c r="E40" s="3"/>
      <c r="F40" s="3"/>
      <c r="G40" s="69"/>
      <c r="H40" s="20"/>
      <c r="I40" s="3"/>
      <c r="J40" s="22"/>
    </row>
    <row r="41" spans="1:10" ht="12.75">
      <c r="A41" s="3" t="s">
        <v>57</v>
      </c>
      <c r="B41" s="3" t="s">
        <v>58</v>
      </c>
      <c r="C41" s="3">
        <v>2</v>
      </c>
      <c r="D41" s="3" t="s">
        <v>268</v>
      </c>
      <c r="E41" s="3" t="s">
        <v>269</v>
      </c>
      <c r="F41" s="3">
        <v>3000</v>
      </c>
      <c r="G41" s="69"/>
      <c r="H41" s="38"/>
      <c r="I41" s="17"/>
      <c r="J41" s="3"/>
    </row>
    <row r="42" spans="1:10" ht="12.75">
      <c r="A42" s="3" t="s">
        <v>59</v>
      </c>
      <c r="B42" s="3" t="s">
        <v>60</v>
      </c>
      <c r="C42" s="3">
        <v>0.5</v>
      </c>
      <c r="D42" s="3" t="s">
        <v>268</v>
      </c>
      <c r="E42" s="3" t="s">
        <v>270</v>
      </c>
      <c r="F42" s="3">
        <v>3000</v>
      </c>
      <c r="G42" s="69"/>
      <c r="H42" s="38"/>
      <c r="I42" s="17"/>
      <c r="J42" s="3"/>
    </row>
    <row r="43" spans="1:10" ht="12.75">
      <c r="A43" s="3"/>
      <c r="B43" s="3"/>
      <c r="C43" s="3"/>
      <c r="D43" s="3"/>
      <c r="E43" s="3"/>
      <c r="F43" s="22"/>
      <c r="G43" s="70"/>
      <c r="H43" s="23"/>
      <c r="I43" s="22"/>
      <c r="J43" s="22"/>
    </row>
    <row r="44" spans="1:10" ht="13.5">
      <c r="A44" s="1" t="s">
        <v>61</v>
      </c>
      <c r="B44" s="3" t="s">
        <v>62</v>
      </c>
      <c r="C44" s="3"/>
      <c r="D44" s="3"/>
      <c r="E44" s="3"/>
      <c r="F44" s="22"/>
      <c r="G44" s="70"/>
      <c r="H44" s="23"/>
      <c r="I44" s="22"/>
      <c r="J44" s="22"/>
    </row>
    <row r="45" spans="1:10" ht="12.75">
      <c r="A45" s="3"/>
      <c r="B45" s="3"/>
      <c r="C45" s="3"/>
      <c r="D45" s="3"/>
      <c r="E45" s="3"/>
      <c r="F45" s="22"/>
      <c r="G45" s="70"/>
      <c r="H45" s="23"/>
      <c r="I45" s="22"/>
      <c r="J45" s="22"/>
    </row>
    <row r="46" spans="1:10" ht="12.75">
      <c r="A46" s="3" t="s">
        <v>3</v>
      </c>
      <c r="B46" s="3" t="s">
        <v>56</v>
      </c>
      <c r="C46" s="3" t="s">
        <v>83</v>
      </c>
      <c r="D46" s="3" t="s">
        <v>5</v>
      </c>
      <c r="E46" s="3" t="s">
        <v>6</v>
      </c>
      <c r="F46" s="3" t="s">
        <v>244</v>
      </c>
      <c r="G46" s="69"/>
      <c r="H46" s="20"/>
      <c r="I46" s="3"/>
      <c r="J46" s="21"/>
    </row>
    <row r="47" spans="1:10" ht="12.75">
      <c r="A47" s="3"/>
      <c r="B47" s="3"/>
      <c r="C47" s="3"/>
      <c r="D47" s="3"/>
      <c r="E47" s="3"/>
      <c r="F47" s="3"/>
      <c r="G47" s="69"/>
      <c r="H47" s="20"/>
      <c r="I47" s="3"/>
      <c r="J47" s="22"/>
    </row>
    <row r="48" spans="1:10" ht="12.75">
      <c r="A48" s="3" t="s">
        <v>63</v>
      </c>
      <c r="B48" s="3" t="s">
        <v>64</v>
      </c>
      <c r="C48" s="3">
        <v>4</v>
      </c>
      <c r="D48" s="3" t="s">
        <v>65</v>
      </c>
      <c r="E48" s="3" t="s">
        <v>66</v>
      </c>
      <c r="F48" s="3">
        <v>3000</v>
      </c>
      <c r="G48" s="69"/>
      <c r="H48" s="38"/>
      <c r="I48" s="17"/>
      <c r="J48" s="3"/>
    </row>
    <row r="49" spans="1:10" ht="12.75">
      <c r="A49" s="3" t="s">
        <v>67</v>
      </c>
      <c r="B49" s="3" t="s">
        <v>183</v>
      </c>
      <c r="C49" s="3">
        <v>2</v>
      </c>
      <c r="D49" s="3" t="s">
        <v>184</v>
      </c>
      <c r="E49" s="3" t="s">
        <v>185</v>
      </c>
      <c r="F49" s="3">
        <v>3000</v>
      </c>
      <c r="G49" s="69"/>
      <c r="H49" s="32"/>
      <c r="I49" s="17"/>
      <c r="J49" s="3"/>
    </row>
    <row r="50" spans="1:10" ht="12.75">
      <c r="A50" s="3"/>
      <c r="B50" s="3"/>
      <c r="C50" s="3"/>
      <c r="D50" s="3"/>
      <c r="E50" s="3"/>
      <c r="F50" s="3"/>
      <c r="G50" s="69"/>
      <c r="H50" s="32"/>
      <c r="I50" s="17"/>
      <c r="J50" s="3"/>
    </row>
    <row r="51" spans="1:10" s="48" customFormat="1" ht="12.75">
      <c r="A51" s="45" t="s">
        <v>67</v>
      </c>
      <c r="B51" s="45" t="s">
        <v>182</v>
      </c>
      <c r="C51" s="45"/>
      <c r="D51" s="45" t="s">
        <v>65</v>
      </c>
      <c r="E51" s="45" t="s">
        <v>182</v>
      </c>
      <c r="F51" s="45">
        <v>100</v>
      </c>
      <c r="G51" s="72"/>
      <c r="H51" s="46"/>
      <c r="I51" s="47"/>
      <c r="J51" s="45"/>
    </row>
    <row r="52" spans="1:10" ht="12.75">
      <c r="A52" s="3"/>
      <c r="B52" s="3"/>
      <c r="C52" s="3"/>
      <c r="D52" s="3"/>
      <c r="E52" s="3"/>
      <c r="F52" s="3"/>
      <c r="G52" s="69"/>
      <c r="H52" s="32"/>
      <c r="I52" s="17"/>
      <c r="J52" s="3"/>
    </row>
    <row r="53" spans="1:10" ht="13.5">
      <c r="A53" s="1" t="s">
        <v>69</v>
      </c>
      <c r="B53" s="3"/>
      <c r="C53" s="3"/>
      <c r="D53" s="3"/>
      <c r="E53" s="3"/>
      <c r="F53" s="3"/>
      <c r="G53" s="69"/>
      <c r="H53" s="32"/>
      <c r="I53" s="17"/>
      <c r="J53" s="3"/>
    </row>
    <row r="54" spans="1:10" ht="13.5">
      <c r="A54" s="1"/>
      <c r="B54" s="3"/>
      <c r="C54" s="3"/>
      <c r="D54" s="3"/>
      <c r="E54" s="3"/>
      <c r="F54" s="3"/>
      <c r="G54" s="69"/>
      <c r="H54" s="32"/>
      <c r="I54" s="17"/>
      <c r="J54" s="3"/>
    </row>
    <row r="55" spans="1:13" ht="12.75">
      <c r="A55" s="3" t="s">
        <v>3</v>
      </c>
      <c r="B55" s="3" t="s">
        <v>56</v>
      </c>
      <c r="C55" s="3" t="s">
        <v>91</v>
      </c>
      <c r="D55" s="3" t="s">
        <v>5</v>
      </c>
      <c r="E55" s="3" t="s">
        <v>6</v>
      </c>
      <c r="F55" s="3" t="s">
        <v>244</v>
      </c>
      <c r="G55" s="69"/>
      <c r="H55" s="20"/>
      <c r="I55" s="3"/>
      <c r="J55" s="21"/>
      <c r="K55" s="2"/>
      <c r="L55" s="2"/>
      <c r="M55" s="2"/>
    </row>
    <row r="56" spans="1:13" ht="12.75">
      <c r="A56" s="3"/>
      <c r="B56" s="3"/>
      <c r="C56" s="3"/>
      <c r="D56" s="3"/>
      <c r="E56" s="3"/>
      <c r="F56" s="3"/>
      <c r="G56" s="69"/>
      <c r="H56" s="3"/>
      <c r="I56" s="3"/>
      <c r="J56" s="3"/>
      <c r="K56" s="2"/>
      <c r="L56" s="2"/>
      <c r="M56" s="2"/>
    </row>
    <row r="57" spans="1:12" ht="12.75">
      <c r="A57" s="3" t="s">
        <v>186</v>
      </c>
      <c r="B57" s="3" t="s">
        <v>282</v>
      </c>
      <c r="C57" s="3">
        <v>20</v>
      </c>
      <c r="D57" s="3" t="s">
        <v>70</v>
      </c>
      <c r="E57" s="3" t="s">
        <v>281</v>
      </c>
      <c r="F57" s="3">
        <v>36000</v>
      </c>
      <c r="G57" s="73"/>
      <c r="H57" s="32"/>
      <c r="I57" s="17"/>
      <c r="J57" s="21"/>
      <c r="K57" s="2"/>
      <c r="L57" s="2"/>
    </row>
    <row r="58" spans="1:12" ht="12.75">
      <c r="A58" s="3"/>
      <c r="B58" s="3"/>
      <c r="C58" s="3"/>
      <c r="D58" s="3"/>
      <c r="E58" s="3"/>
      <c r="F58" s="3"/>
      <c r="G58" s="69"/>
      <c r="H58" s="3"/>
      <c r="I58" s="3"/>
      <c r="J58" s="3"/>
      <c r="K58" s="2"/>
      <c r="L58" s="2"/>
    </row>
    <row r="59" spans="1:12" ht="12.75">
      <c r="A59" s="3"/>
      <c r="B59" s="3"/>
      <c r="C59" s="3"/>
      <c r="D59" s="3"/>
      <c r="E59" s="3"/>
      <c r="F59" s="3"/>
      <c r="G59" s="69"/>
      <c r="H59" s="3"/>
      <c r="I59" s="3"/>
      <c r="J59" s="5"/>
      <c r="K59" s="2"/>
      <c r="L59" s="2"/>
    </row>
    <row r="60" spans="1:10" ht="12.75">
      <c r="A60" s="22"/>
      <c r="B60" s="22"/>
      <c r="C60" s="22"/>
      <c r="D60" s="3"/>
      <c r="E60" s="3"/>
      <c r="F60" s="22"/>
      <c r="G60" s="70"/>
      <c r="H60" s="23"/>
      <c r="I60" s="22"/>
      <c r="J60" s="22"/>
    </row>
  </sheetData>
  <printOptions gridLines="1"/>
  <pageMargins left="0.75" right="0.75" top="0.75" bottom="0.75" header="0.3" footer="0.3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32">
      <selection activeCell="E50" sqref="E50"/>
    </sheetView>
  </sheetViews>
  <sheetFormatPr defaultColWidth="9.140625" defaultRowHeight="12.75"/>
  <cols>
    <col min="1" max="1" width="15.421875" style="2" customWidth="1"/>
    <col min="2" max="2" width="13.00390625" style="2" customWidth="1"/>
    <col min="3" max="4" width="13.421875" style="2" customWidth="1"/>
    <col min="5" max="5" width="11.421875" style="2" customWidth="1"/>
    <col min="6" max="6" width="12.28125" style="2" customWidth="1"/>
    <col min="7" max="7" width="9.28125" style="2" customWidth="1"/>
    <col min="8" max="8" width="12.421875" style="2" customWidth="1"/>
    <col min="9" max="9" width="14.57421875" style="2" customWidth="1"/>
    <col min="10" max="10" width="12.7109375" style="0" hidden="1" customWidth="1"/>
    <col min="11" max="16384" width="12.7109375" style="0" customWidth="1"/>
  </cols>
  <sheetData>
    <row r="1" spans="1:10" ht="18.75">
      <c r="A1" s="6" t="s">
        <v>71</v>
      </c>
      <c r="B1"/>
      <c r="C1" s="12" t="s">
        <v>72</v>
      </c>
      <c r="D1" s="12"/>
      <c r="E1" s="3"/>
      <c r="F1"/>
      <c r="G1"/>
      <c r="H1" s="7" t="s">
        <v>73</v>
      </c>
      <c r="I1" s="39">
        <f>I70+I100</f>
        <v>18430.25</v>
      </c>
      <c r="J1">
        <v>100</v>
      </c>
    </row>
    <row r="2" spans="1:9" ht="18.75">
      <c r="A2" s="6"/>
      <c r="B2"/>
      <c r="C2" s="12"/>
      <c r="D2" s="12"/>
      <c r="E2" s="3"/>
      <c r="F2"/>
      <c r="G2"/>
      <c r="H2" s="7"/>
      <c r="I2" s="8"/>
    </row>
    <row r="3" spans="1:9" ht="15.75">
      <c r="A3" s="26"/>
      <c r="B3" s="22"/>
      <c r="C3" s="27"/>
      <c r="D3" s="27"/>
      <c r="E3" s="3"/>
      <c r="F3"/>
      <c r="G3"/>
      <c r="H3" s="7"/>
      <c r="I3" s="8"/>
    </row>
    <row r="4" spans="1:9" s="11" customFormat="1" ht="15.75">
      <c r="A4" s="26" t="s">
        <v>74</v>
      </c>
      <c r="B4" s="3" t="s">
        <v>75</v>
      </c>
      <c r="C4" s="3" t="s">
        <v>76</v>
      </c>
      <c r="D4" s="3"/>
      <c r="E4" s="15"/>
      <c r="H4" s="10"/>
      <c r="I4" s="13"/>
    </row>
    <row r="5" spans="1:9" s="11" customFormat="1" ht="18.75">
      <c r="A5" s="26"/>
      <c r="B5" s="3"/>
      <c r="C5" s="3"/>
      <c r="D5" s="3"/>
      <c r="E5" s="15"/>
      <c r="F5" s="18" t="s">
        <v>77</v>
      </c>
      <c r="H5" s="10">
        <f>SUM(B$6:B$8)</f>
        <v>200</v>
      </c>
      <c r="I5" s="13"/>
    </row>
    <row r="6" spans="1:9" s="11" customFormat="1" ht="15.75">
      <c r="A6" s="28" t="s">
        <v>78</v>
      </c>
      <c r="B6" s="3">
        <v>100</v>
      </c>
      <c r="C6" s="3">
        <f>B6*4</f>
        <v>400</v>
      </c>
      <c r="D6" s="3"/>
      <c r="E6" s="15"/>
      <c r="F6"/>
      <c r="H6"/>
      <c r="I6" s="13"/>
    </row>
    <row r="7" spans="1:9" s="11" customFormat="1" ht="18.75">
      <c r="A7" s="28" t="s">
        <v>79</v>
      </c>
      <c r="B7" s="3">
        <v>100</v>
      </c>
      <c r="C7" s="3">
        <f>B7*4</f>
        <v>400</v>
      </c>
      <c r="D7" s="3"/>
      <c r="E7" s="15"/>
      <c r="F7" s="18" t="s">
        <v>80</v>
      </c>
      <c r="G7" s="14"/>
      <c r="H7" s="10">
        <f>SUM(C$6:C$8)</f>
        <v>800</v>
      </c>
      <c r="I7" s="10"/>
    </row>
    <row r="8" spans="1:9" s="11" customFormat="1" ht="15">
      <c r="A8" s="28"/>
      <c r="B8" s="3"/>
      <c r="C8" s="3"/>
      <c r="D8" s="3"/>
      <c r="E8" s="15"/>
      <c r="F8"/>
      <c r="G8"/>
      <c r="H8"/>
      <c r="I8"/>
    </row>
    <row r="9" spans="1:9" s="11" customFormat="1" ht="15">
      <c r="A9" s="28"/>
      <c r="B9" s="3"/>
      <c r="C9" s="3"/>
      <c r="D9" s="3"/>
      <c r="E9" s="15"/>
      <c r="F9"/>
      <c r="G9"/>
      <c r="H9"/>
      <c r="I9"/>
    </row>
    <row r="10" spans="1:11" s="11" customFormat="1" ht="15.75">
      <c r="A10" s="29"/>
      <c r="B10" s="10"/>
      <c r="C10" s="10"/>
      <c r="D10" s="10"/>
      <c r="E10" s="10"/>
      <c r="F10" s="30"/>
      <c r="G10" s="10"/>
      <c r="H10" s="10"/>
      <c r="I10" s="10"/>
      <c r="J10" s="30"/>
      <c r="K10" s="30"/>
    </row>
    <row r="11" spans="1:11" s="11" customFormat="1" ht="15.75">
      <c r="A11" s="31" t="s">
        <v>81</v>
      </c>
      <c r="B11" s="10"/>
      <c r="C11" s="30"/>
      <c r="D11" s="10" t="s">
        <v>82</v>
      </c>
      <c r="E11"/>
      <c r="F11" s="10"/>
      <c r="G11" s="10"/>
      <c r="H11" s="10"/>
      <c r="I11" s="10"/>
      <c r="J11" s="30"/>
      <c r="K11" s="30"/>
    </row>
    <row r="12" spans="1:12" s="11" customFormat="1" ht="15">
      <c r="A12" s="25"/>
      <c r="B12" s="3"/>
      <c r="C12" s="22"/>
      <c r="D12" s="22"/>
      <c r="E12" s="3"/>
      <c r="F12" s="3"/>
      <c r="G12" s="3"/>
      <c r="H12" s="3"/>
      <c r="I12" s="3"/>
      <c r="J12" s="22"/>
      <c r="K12" s="22"/>
      <c r="L12" s="22"/>
    </row>
    <row r="13" spans="1:12" ht="13.5">
      <c r="A13" s="1" t="s">
        <v>1</v>
      </c>
      <c r="B13" s="3"/>
      <c r="C13" s="3"/>
      <c r="D13" s="3"/>
      <c r="E13" s="3"/>
      <c r="F13" s="22"/>
      <c r="G13" s="22"/>
      <c r="H13" s="3"/>
      <c r="I13" s="3"/>
      <c r="J13" s="22"/>
      <c r="K13" s="22"/>
      <c r="L13" s="22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22"/>
      <c r="K14" s="22"/>
      <c r="L14" s="22"/>
    </row>
    <row r="15" spans="1:12" ht="16.5" customHeight="1">
      <c r="A15" s="3" t="s">
        <v>4</v>
      </c>
      <c r="B15" s="3" t="s">
        <v>83</v>
      </c>
      <c r="C15" s="3" t="s">
        <v>84</v>
      </c>
      <c r="D15" s="3" t="s">
        <v>85</v>
      </c>
      <c r="E15" s="3" t="s">
        <v>10</v>
      </c>
      <c r="F15" s="3" t="s">
        <v>86</v>
      </c>
      <c r="G15" s="3"/>
      <c r="H15" s="3"/>
      <c r="I15" s="3" t="s">
        <v>87</v>
      </c>
      <c r="J15" s="22"/>
      <c r="K15" s="22"/>
      <c r="L15" s="22"/>
    </row>
    <row r="16" spans="1:12" ht="12.75">
      <c r="A16" s="3"/>
      <c r="B16" s="3"/>
      <c r="C16" s="22"/>
      <c r="D16" s="22"/>
      <c r="E16" s="3"/>
      <c r="F16" s="3"/>
      <c r="G16" s="3"/>
      <c r="H16" s="3"/>
      <c r="I16" s="3"/>
      <c r="J16" s="22"/>
      <c r="K16" s="22"/>
      <c r="L16" s="22"/>
    </row>
    <row r="17" spans="1:12" ht="12.75">
      <c r="A17" s="3">
        <v>2.4</v>
      </c>
      <c r="B17" s="3">
        <v>1</v>
      </c>
      <c r="C17" s="3">
        <f>B17*(SUM(C$6:C$7))*(1+MID(D$11,14,5))</f>
        <v>880.0000000000001</v>
      </c>
      <c r="D17" s="3">
        <v>900</v>
      </c>
      <c r="E17" s="3">
        <v>5000</v>
      </c>
      <c r="F17" s="3" t="s">
        <v>15</v>
      </c>
      <c r="G17" s="3"/>
      <c r="H17" s="32"/>
      <c r="I17" s="17">
        <v>40</v>
      </c>
      <c r="J17" s="22"/>
      <c r="K17" s="22"/>
      <c r="L17" s="22"/>
    </row>
    <row r="18" spans="1:12" ht="12.75">
      <c r="A18" s="3">
        <v>107</v>
      </c>
      <c r="B18" s="3">
        <v>1</v>
      </c>
      <c r="C18" s="3">
        <f>B18*(C$6)*(1+MID(D$11,14,5))</f>
        <v>440.00000000000006</v>
      </c>
      <c r="D18" s="3">
        <v>450</v>
      </c>
      <c r="E18" s="3">
        <v>600</v>
      </c>
      <c r="F18" s="3" t="s">
        <v>15</v>
      </c>
      <c r="G18" s="3"/>
      <c r="H18" s="32"/>
      <c r="I18" s="17">
        <v>42.75</v>
      </c>
      <c r="J18" s="22"/>
      <c r="K18" s="22"/>
      <c r="L18" s="22"/>
    </row>
    <row r="19" spans="1:12" ht="12.75">
      <c r="A19" s="3">
        <v>169</v>
      </c>
      <c r="B19" s="3">
        <v>1</v>
      </c>
      <c r="C19" s="3">
        <f>B19*(C$7)*(1+MID(D$11,14,5))</f>
        <v>440.00000000000006</v>
      </c>
      <c r="D19" s="3">
        <v>450</v>
      </c>
      <c r="E19" s="3">
        <v>800</v>
      </c>
      <c r="F19" s="3" t="s">
        <v>15</v>
      </c>
      <c r="G19" s="3"/>
      <c r="H19" s="32"/>
      <c r="I19" s="17">
        <v>51</v>
      </c>
      <c r="J19" s="22"/>
      <c r="K19" s="22"/>
      <c r="L19" s="22"/>
    </row>
    <row r="20" spans="1:12" ht="12.75">
      <c r="A20" s="3" t="s">
        <v>88</v>
      </c>
      <c r="B20" s="3">
        <v>1</v>
      </c>
      <c r="C20" s="3">
        <f>B20*(C$7)*(1+MID(D$11,14,5))</f>
        <v>440.00000000000006</v>
      </c>
      <c r="D20" s="3">
        <v>450</v>
      </c>
      <c r="E20" s="3">
        <v>600</v>
      </c>
      <c r="F20" s="3" t="s">
        <v>15</v>
      </c>
      <c r="G20" s="3"/>
      <c r="H20" s="32"/>
      <c r="I20" s="17">
        <v>38.25</v>
      </c>
      <c r="J20" s="22"/>
      <c r="K20" s="22"/>
      <c r="L20" s="22"/>
    </row>
    <row r="21" spans="1:12" ht="12.75">
      <c r="A21" s="3" t="s">
        <v>17</v>
      </c>
      <c r="B21" s="3">
        <v>1</v>
      </c>
      <c r="C21" s="3">
        <f>B21*(C$6)*(1+MID(D$11,14,5))</f>
        <v>440.00000000000006</v>
      </c>
      <c r="D21" s="3">
        <v>450</v>
      </c>
      <c r="E21" s="3">
        <v>400</v>
      </c>
      <c r="F21" s="3" t="s">
        <v>15</v>
      </c>
      <c r="G21" s="3"/>
      <c r="H21" s="32"/>
      <c r="I21" s="17">
        <v>25.5</v>
      </c>
      <c r="J21" s="22"/>
      <c r="K21" s="22"/>
      <c r="L21" s="22"/>
    </row>
    <row r="22" spans="1:12" ht="12.75">
      <c r="A22" s="3"/>
      <c r="B22" s="3"/>
      <c r="C22" s="3"/>
      <c r="D22" s="3"/>
      <c r="E22" s="3"/>
      <c r="F22" s="3"/>
      <c r="G22" s="3"/>
      <c r="H22" s="32"/>
      <c r="I22" s="17"/>
      <c r="J22" s="22"/>
      <c r="K22" s="22"/>
      <c r="L22" s="22"/>
    </row>
    <row r="23" spans="1:12" ht="12.75">
      <c r="A23" s="3"/>
      <c r="B23" s="3"/>
      <c r="C23" s="22"/>
      <c r="D23" s="22"/>
      <c r="E23" s="3"/>
      <c r="F23" s="3"/>
      <c r="G23" s="3"/>
      <c r="H23" s="5" t="s">
        <v>89</v>
      </c>
      <c r="I23" s="17">
        <f>SUM(I15:I21)</f>
        <v>197.5</v>
      </c>
      <c r="J23" s="22"/>
      <c r="K23" s="22"/>
      <c r="L23" s="22"/>
    </row>
    <row r="24" spans="1:12" ht="12.75">
      <c r="A24" s="3"/>
      <c r="B24" s="3"/>
      <c r="C24" s="22"/>
      <c r="D24" s="22"/>
      <c r="E24" s="3"/>
      <c r="F24" s="3"/>
      <c r="G24" s="3"/>
      <c r="H24" s="5"/>
      <c r="I24" s="17"/>
      <c r="J24" s="22"/>
      <c r="K24" s="22"/>
      <c r="L24" s="22"/>
    </row>
    <row r="25" spans="1:12" ht="13.5">
      <c r="A25" s="1" t="s">
        <v>34</v>
      </c>
      <c r="B25" s="3"/>
      <c r="C25" s="3"/>
      <c r="D25" s="3"/>
      <c r="E25" s="3"/>
      <c r="F25" s="3"/>
      <c r="G25" s="3"/>
      <c r="H25" s="3"/>
      <c r="I25" s="3"/>
      <c r="J25" s="22"/>
      <c r="K25" s="22"/>
      <c r="L25" s="2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22"/>
      <c r="K26" s="22"/>
      <c r="L26" s="22"/>
    </row>
    <row r="27" spans="1:12" ht="12.75">
      <c r="A27" s="3" t="s">
        <v>35</v>
      </c>
      <c r="B27" s="3" t="s">
        <v>83</v>
      </c>
      <c r="C27" s="3" t="s">
        <v>84</v>
      </c>
      <c r="D27" s="3" t="s">
        <v>85</v>
      </c>
      <c r="E27" s="3" t="s">
        <v>10</v>
      </c>
      <c r="F27" s="3" t="s">
        <v>86</v>
      </c>
      <c r="G27" s="3"/>
      <c r="H27" s="3"/>
      <c r="I27" s="3" t="s">
        <v>87</v>
      </c>
      <c r="J27" s="22"/>
      <c r="K27" s="22"/>
      <c r="L27" s="2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22"/>
      <c r="K28" s="22"/>
      <c r="L28" s="22"/>
    </row>
    <row r="29" spans="1:12" ht="12.75">
      <c r="A29" s="3" t="s">
        <v>37</v>
      </c>
      <c r="B29" s="3">
        <v>1</v>
      </c>
      <c r="C29" s="3">
        <f>B29*(SUM(C$6:C$8))*(1+MID(D$11,14,5))</f>
        <v>880.0000000000001</v>
      </c>
      <c r="D29" s="3">
        <v>900</v>
      </c>
      <c r="E29" s="3">
        <v>4000</v>
      </c>
      <c r="F29" s="3" t="s">
        <v>15</v>
      </c>
      <c r="G29" s="3"/>
      <c r="H29" s="33"/>
      <c r="I29" s="17">
        <v>304</v>
      </c>
      <c r="J29" s="22"/>
      <c r="K29" s="22"/>
      <c r="L29" s="22"/>
    </row>
    <row r="30" spans="1:12" ht="12.75">
      <c r="A30" s="3" t="s">
        <v>40</v>
      </c>
      <c r="B30" s="3">
        <v>1</v>
      </c>
      <c r="C30" s="3">
        <f>B30*(SUM(C$6:C$8))*(1+MID(D$11,14,5))</f>
        <v>880.0000000000001</v>
      </c>
      <c r="D30" s="3">
        <v>900</v>
      </c>
      <c r="E30" s="3">
        <v>1525</v>
      </c>
      <c r="F30" s="17" t="s">
        <v>15</v>
      </c>
      <c r="G30" s="3"/>
      <c r="H30" s="22"/>
      <c r="I30" s="17">
        <v>183</v>
      </c>
      <c r="J30" s="22"/>
      <c r="K30" s="22"/>
      <c r="L30" s="22"/>
    </row>
    <row r="31" spans="1:12" ht="12.75">
      <c r="A31" s="3" t="s">
        <v>42</v>
      </c>
      <c r="B31" s="3">
        <v>3</v>
      </c>
      <c r="C31" s="3">
        <f>B31*(SUM(C$6:C$8))*(1+MID(D$11,14,5))</f>
        <v>2640</v>
      </c>
      <c r="D31" s="3">
        <v>2600</v>
      </c>
      <c r="E31" s="3">
        <v>4000</v>
      </c>
      <c r="F31" s="3" t="s">
        <v>15</v>
      </c>
      <c r="G31" s="3"/>
      <c r="H31" s="33"/>
      <c r="I31" s="17">
        <v>560</v>
      </c>
      <c r="J31" s="22"/>
      <c r="K31" s="22"/>
      <c r="L31" s="22"/>
    </row>
    <row r="32" spans="1:12" ht="12.75">
      <c r="A32" s="3" t="s">
        <v>90</v>
      </c>
      <c r="B32" s="3">
        <v>2</v>
      </c>
      <c r="C32" s="3">
        <f>B32*(SUM(C$6:C$8))*(1+MID(D$11,14,5))</f>
        <v>1760.0000000000002</v>
      </c>
      <c r="D32" s="3">
        <v>1800</v>
      </c>
      <c r="E32" s="3">
        <v>2000</v>
      </c>
      <c r="F32" s="3" t="s">
        <v>15</v>
      </c>
      <c r="G32" s="3"/>
      <c r="H32" s="33"/>
      <c r="I32" s="17">
        <v>580</v>
      </c>
      <c r="J32" s="22"/>
      <c r="K32" s="22"/>
      <c r="L32" s="22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22"/>
      <c r="K33" s="22"/>
      <c r="L33" s="22"/>
    </row>
    <row r="34" spans="1:12" ht="12.75">
      <c r="A34" s="22"/>
      <c r="B34" s="3"/>
      <c r="C34" s="3"/>
      <c r="D34" s="3"/>
      <c r="E34" s="3"/>
      <c r="F34" s="3"/>
      <c r="G34" s="3"/>
      <c r="H34" s="5" t="s">
        <v>89</v>
      </c>
      <c r="I34" s="17">
        <f>SUM(I29:I32)</f>
        <v>1627</v>
      </c>
      <c r="J34" s="22"/>
      <c r="K34" s="22"/>
      <c r="L34" s="22"/>
    </row>
    <row r="35" spans="1:12" ht="12.75">
      <c r="A35" s="3"/>
      <c r="B35" s="3"/>
      <c r="C35" s="3"/>
      <c r="D35" s="3"/>
      <c r="E35" s="3"/>
      <c r="F35" s="3"/>
      <c r="G35" s="3"/>
      <c r="H35" s="5"/>
      <c r="I35" s="3"/>
      <c r="J35" s="22"/>
      <c r="K35" s="22"/>
      <c r="L35" s="22"/>
    </row>
    <row r="36" spans="1:12" ht="13.5">
      <c r="A36" s="1" t="s">
        <v>45</v>
      </c>
      <c r="B36" s="3"/>
      <c r="C36" s="3"/>
      <c r="D36" s="3"/>
      <c r="E36" s="3"/>
      <c r="F36" s="3"/>
      <c r="G36" s="3"/>
      <c r="H36" s="3"/>
      <c r="I36" s="3"/>
      <c r="J36" s="22"/>
      <c r="K36" s="22"/>
      <c r="L36" s="22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22"/>
      <c r="K37" s="22"/>
      <c r="L37" s="22"/>
    </row>
    <row r="38" spans="1:12" ht="12.75">
      <c r="A38" s="3" t="s">
        <v>47</v>
      </c>
      <c r="B38" s="3" t="s">
        <v>83</v>
      </c>
      <c r="C38" s="3" t="s">
        <v>84</v>
      </c>
      <c r="D38" s="3" t="s">
        <v>85</v>
      </c>
      <c r="E38" s="3" t="s">
        <v>10</v>
      </c>
      <c r="F38" s="3" t="s">
        <v>86</v>
      </c>
      <c r="G38" s="3"/>
      <c r="H38" s="3"/>
      <c r="I38" s="3" t="s">
        <v>87</v>
      </c>
      <c r="J38" s="22"/>
      <c r="K38" s="22"/>
      <c r="L38" s="22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22"/>
      <c r="K39" s="22"/>
      <c r="L39" s="22"/>
    </row>
    <row r="40" spans="1:12" ht="12.75">
      <c r="A40" s="3">
        <v>8.2</v>
      </c>
      <c r="B40" s="3">
        <v>1</v>
      </c>
      <c r="C40" s="3">
        <f>B40*(C$6)*(1+MID(D$11,14,5))</f>
        <v>440.00000000000006</v>
      </c>
      <c r="D40" s="3">
        <v>450</v>
      </c>
      <c r="E40" s="3">
        <v>500</v>
      </c>
      <c r="F40" s="3" t="s">
        <v>15</v>
      </c>
      <c r="G40" s="3"/>
      <c r="H40" s="17"/>
      <c r="I40" s="17">
        <v>221</v>
      </c>
      <c r="J40" s="22"/>
      <c r="K40" s="22"/>
      <c r="L40" s="22"/>
    </row>
    <row r="41" spans="1:12" ht="12.75">
      <c r="A41" s="3">
        <v>33</v>
      </c>
      <c r="B41" s="3">
        <v>1</v>
      </c>
      <c r="C41" s="3">
        <f>B41*(C$7)*(1+MID(D$11,14,5))</f>
        <v>440.00000000000006</v>
      </c>
      <c r="D41" s="3">
        <v>450</v>
      </c>
      <c r="E41" s="3">
        <v>500</v>
      </c>
      <c r="F41" s="3" t="s">
        <v>15</v>
      </c>
      <c r="G41" s="3"/>
      <c r="H41" s="17"/>
      <c r="I41" s="17">
        <v>442</v>
      </c>
      <c r="J41" s="22"/>
      <c r="K41" s="22"/>
      <c r="L41" s="22"/>
    </row>
    <row r="42" spans="1:12" ht="12.75">
      <c r="A42" s="3">
        <v>47</v>
      </c>
      <c r="B42" s="3">
        <v>1</v>
      </c>
      <c r="C42" s="3">
        <f>B42*(SUM(C$6:C$8))*(1+MID(D$11,14,5))</f>
        <v>880.0000000000001</v>
      </c>
      <c r="D42" s="3">
        <v>900</v>
      </c>
      <c r="E42" s="3">
        <v>1000</v>
      </c>
      <c r="F42" s="3" t="s">
        <v>15</v>
      </c>
      <c r="G42" s="3"/>
      <c r="H42" s="17"/>
      <c r="I42" s="17">
        <v>442</v>
      </c>
      <c r="J42" s="22"/>
      <c r="K42" s="22"/>
      <c r="L42" s="22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22"/>
      <c r="K43" s="22"/>
      <c r="L43" s="22"/>
    </row>
    <row r="44" spans="1:12" ht="12.75">
      <c r="A44" s="3"/>
      <c r="B44" s="3"/>
      <c r="C44" s="3"/>
      <c r="D44" s="3"/>
      <c r="E44" s="3"/>
      <c r="F44" s="3"/>
      <c r="G44" s="3"/>
      <c r="H44" s="5" t="s">
        <v>89</v>
      </c>
      <c r="I44" s="17">
        <f>SUM(I38:I42)</f>
        <v>1105</v>
      </c>
      <c r="J44" s="22"/>
      <c r="K44" s="22"/>
      <c r="L44" s="22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22"/>
      <c r="K45" s="22"/>
      <c r="L45" s="22"/>
    </row>
    <row r="46" spans="1:12" ht="13.5">
      <c r="A46" s="1" t="s">
        <v>54</v>
      </c>
      <c r="B46" s="3"/>
      <c r="C46" s="3"/>
      <c r="D46" s="3"/>
      <c r="E46" s="3"/>
      <c r="F46" s="3"/>
      <c r="G46" s="3"/>
      <c r="H46" s="3"/>
      <c r="I46" s="3"/>
      <c r="J46" s="22"/>
      <c r="K46" s="22"/>
      <c r="L46" s="22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22"/>
      <c r="K47" s="22"/>
      <c r="L47" s="22"/>
    </row>
    <row r="48" spans="1:12" ht="12.75">
      <c r="A48" s="3" t="s">
        <v>56</v>
      </c>
      <c r="B48" s="3" t="s">
        <v>83</v>
      </c>
      <c r="C48" s="3" t="s">
        <v>84</v>
      </c>
      <c r="D48" s="3" t="s">
        <v>85</v>
      </c>
      <c r="E48" s="3" t="s">
        <v>10</v>
      </c>
      <c r="F48" s="3" t="s">
        <v>86</v>
      </c>
      <c r="G48" s="3"/>
      <c r="H48" s="3"/>
      <c r="I48" s="3" t="s">
        <v>87</v>
      </c>
      <c r="J48" s="22"/>
      <c r="K48" s="22"/>
      <c r="L48" s="22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22"/>
      <c r="K49" s="22"/>
      <c r="L49" s="22"/>
    </row>
    <row r="50" spans="1:12" ht="12.75">
      <c r="A50" s="3" t="s">
        <v>58</v>
      </c>
      <c r="B50" s="3">
        <v>2</v>
      </c>
      <c r="C50" s="3">
        <f>B50*(SUM(C$6:C$8))*(1+MID(D$11,14,5))</f>
        <v>1760.0000000000002</v>
      </c>
      <c r="D50" s="3">
        <v>1650</v>
      </c>
      <c r="E50" s="3">
        <v>3000</v>
      </c>
      <c r="F50" s="3" t="s">
        <v>15</v>
      </c>
      <c r="G50" s="3"/>
      <c r="H50" s="17"/>
      <c r="I50" s="17">
        <v>432</v>
      </c>
      <c r="J50" s="22"/>
      <c r="K50" s="22"/>
      <c r="L50" s="22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22"/>
      <c r="K51" s="22"/>
      <c r="L51" s="22"/>
    </row>
    <row r="52" spans="1:12" ht="12.75">
      <c r="A52" s="3"/>
      <c r="B52" s="3"/>
      <c r="C52" s="3"/>
      <c r="D52" s="3"/>
      <c r="E52" s="3"/>
      <c r="F52" s="3"/>
      <c r="G52" s="3"/>
      <c r="H52" s="5" t="s">
        <v>89</v>
      </c>
      <c r="I52" s="17">
        <f>SUM(I48:I50)</f>
        <v>432</v>
      </c>
      <c r="J52" s="22"/>
      <c r="K52" s="22"/>
      <c r="L52" s="22"/>
    </row>
    <row r="53" spans="1:12" ht="13.5">
      <c r="A53" s="1" t="s">
        <v>61</v>
      </c>
      <c r="B53" s="3"/>
      <c r="C53" s="3"/>
      <c r="D53" s="3"/>
      <c r="E53" s="3"/>
      <c r="F53" s="3"/>
      <c r="G53" s="3"/>
      <c r="H53" s="3"/>
      <c r="I53" s="3"/>
      <c r="J53" s="22"/>
      <c r="K53" s="22"/>
      <c r="L53" s="22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22"/>
      <c r="K54" s="22"/>
      <c r="L54" s="22"/>
    </row>
    <row r="55" spans="1:12" ht="12.75">
      <c r="A55" s="3" t="s">
        <v>56</v>
      </c>
      <c r="B55" s="3" t="s">
        <v>83</v>
      </c>
      <c r="C55" s="3" t="s">
        <v>84</v>
      </c>
      <c r="D55" s="3" t="s">
        <v>85</v>
      </c>
      <c r="E55" s="3" t="s">
        <v>10</v>
      </c>
      <c r="F55" s="3" t="s">
        <v>86</v>
      </c>
      <c r="G55" s="3"/>
      <c r="H55" s="3"/>
      <c r="I55" s="3" t="s">
        <v>87</v>
      </c>
      <c r="J55" s="22"/>
      <c r="K55" s="22"/>
      <c r="L55" s="22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22"/>
      <c r="K56" s="22"/>
      <c r="L56" s="22"/>
    </row>
    <row r="57" spans="1:12" ht="12.75">
      <c r="A57" s="3" t="s">
        <v>64</v>
      </c>
      <c r="B57" s="3">
        <v>4</v>
      </c>
      <c r="C57" s="3">
        <f>B57*(SUM(C$6:C$8))*(1+MID(D$11,14,5))</f>
        <v>3520.0000000000005</v>
      </c>
      <c r="D57" s="3">
        <v>3600</v>
      </c>
      <c r="E57" s="3">
        <v>6000</v>
      </c>
      <c r="F57" s="3" t="s">
        <v>15</v>
      </c>
      <c r="G57" s="3"/>
      <c r="H57" s="32"/>
      <c r="I57" s="17">
        <v>1740</v>
      </c>
      <c r="J57" s="22"/>
      <c r="K57" s="22"/>
      <c r="L57" s="22"/>
    </row>
    <row r="58" spans="1:12" ht="12.75">
      <c r="A58" s="3" t="s">
        <v>68</v>
      </c>
      <c r="B58" s="3">
        <v>2</v>
      </c>
      <c r="C58" s="3">
        <f>B58*(SUM(C$6:C$8))*(1+MID(D$11,14,5))</f>
        <v>1760.0000000000002</v>
      </c>
      <c r="D58" s="3">
        <v>1800</v>
      </c>
      <c r="E58" s="3">
        <v>3000</v>
      </c>
      <c r="F58" s="3" t="s">
        <v>15</v>
      </c>
      <c r="G58" s="3"/>
      <c r="H58" s="32"/>
      <c r="I58" s="17">
        <v>1260</v>
      </c>
      <c r="J58" s="22"/>
      <c r="K58" s="22"/>
      <c r="L58" s="22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22"/>
      <c r="K59" s="22"/>
      <c r="L59" s="22"/>
    </row>
    <row r="60" spans="1:12" ht="12.75">
      <c r="A60" s="3"/>
      <c r="B60" s="3"/>
      <c r="C60" s="3"/>
      <c r="D60" s="3"/>
      <c r="E60" s="3"/>
      <c r="F60" s="3"/>
      <c r="G60" s="3"/>
      <c r="H60" s="5" t="s">
        <v>89</v>
      </c>
      <c r="I60" s="17">
        <f>SUM(I55:I58)</f>
        <v>3000</v>
      </c>
      <c r="J60" s="22"/>
      <c r="K60" s="22"/>
      <c r="L60" s="22"/>
    </row>
    <row r="61" spans="1:12" ht="12.75">
      <c r="A61" s="3"/>
      <c r="B61" s="3"/>
      <c r="C61" s="3"/>
      <c r="D61" s="3"/>
      <c r="E61" s="3"/>
      <c r="F61" s="3"/>
      <c r="G61" s="3"/>
      <c r="H61" s="5"/>
      <c r="I61" s="17"/>
      <c r="J61" s="22"/>
      <c r="K61" s="22"/>
      <c r="L61" s="22"/>
    </row>
    <row r="62" spans="1:12" ht="13.5">
      <c r="A62" s="1" t="s">
        <v>69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 ht="12.75">
      <c r="A63" s="3"/>
      <c r="B63" s="3" t="s">
        <v>91</v>
      </c>
      <c r="C63" s="3" t="s">
        <v>92</v>
      </c>
      <c r="D63" s="3" t="s">
        <v>84</v>
      </c>
      <c r="E63" s="3" t="s">
        <v>85</v>
      </c>
      <c r="F63" s="3" t="s">
        <v>86</v>
      </c>
      <c r="G63" s="3"/>
      <c r="H63" s="3"/>
      <c r="I63" s="3" t="s">
        <v>87</v>
      </c>
      <c r="J63" s="3" t="s">
        <v>9</v>
      </c>
      <c r="K63" s="3"/>
      <c r="L63" s="3"/>
      <c r="M63" s="2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</row>
    <row r="65" spans="1:12" ht="12.75">
      <c r="A65" s="3"/>
      <c r="B65" s="3">
        <v>20</v>
      </c>
      <c r="C65" s="3">
        <f>SUM($B$6:$B$8)</f>
        <v>200</v>
      </c>
      <c r="D65" s="3">
        <f>C65*B65</f>
        <v>4000</v>
      </c>
      <c r="E65" s="3">
        <f>120*5*12</f>
        <v>7200</v>
      </c>
      <c r="F65" s="3" t="s">
        <v>15</v>
      </c>
      <c r="G65" s="3"/>
      <c r="H65" s="3"/>
      <c r="I65" s="17">
        <v>400</v>
      </c>
      <c r="J65" s="17" t="e">
        <f>ROUNDUP((G65/H65),0)*H65*I65</f>
        <v>#DIV/0!</v>
      </c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5" t="s">
        <v>89</v>
      </c>
      <c r="I67" s="17">
        <f>SUM(I62:I65)</f>
        <v>400</v>
      </c>
      <c r="J67" s="17" t="e">
        <f>J65</f>
        <v>#DIV/0!</v>
      </c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5"/>
      <c r="I68" s="17"/>
      <c r="J68" s="17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5"/>
      <c r="I69" s="17"/>
      <c r="J69" s="17"/>
      <c r="K69" s="3"/>
      <c r="L69" s="3"/>
    </row>
    <row r="70" spans="1:12" ht="15.75">
      <c r="A70" s="3"/>
      <c r="B70" s="3"/>
      <c r="C70" s="3"/>
      <c r="D70" s="3"/>
      <c r="E70" s="3"/>
      <c r="F70" s="3"/>
      <c r="G70" s="41" t="s">
        <v>93</v>
      </c>
      <c r="H70" s="5"/>
      <c r="I70" s="40">
        <f>I23+I34+I44+I52+I60+I67</f>
        <v>6761.5</v>
      </c>
      <c r="J70" s="22"/>
      <c r="K70" s="22"/>
      <c r="L70" s="22"/>
    </row>
    <row r="71" spans="1:12" ht="12.75">
      <c r="A71" s="3"/>
      <c r="B71" s="3"/>
      <c r="C71" s="3"/>
      <c r="D71" s="3"/>
      <c r="E71" s="3"/>
      <c r="F71" s="3"/>
      <c r="G71" s="19"/>
      <c r="H71" s="5"/>
      <c r="I71" s="17"/>
      <c r="J71" s="22"/>
      <c r="K71" s="22"/>
      <c r="L71" s="22"/>
    </row>
    <row r="72" spans="1:12" ht="12.75">
      <c r="A72" s="34" t="s">
        <v>94</v>
      </c>
      <c r="B72" s="3"/>
      <c r="C72" s="3"/>
      <c r="D72" s="3"/>
      <c r="E72" s="3"/>
      <c r="F72" s="3"/>
      <c r="G72" s="3"/>
      <c r="H72" s="3"/>
      <c r="I72" s="3"/>
      <c r="J72" s="22"/>
      <c r="K72" s="22"/>
      <c r="L72" s="22"/>
    </row>
    <row r="73" spans="1:12" ht="12.75">
      <c r="A73" s="34"/>
      <c r="B73" s="3"/>
      <c r="C73" s="3"/>
      <c r="D73" s="3"/>
      <c r="E73" s="3"/>
      <c r="F73" s="3"/>
      <c r="G73" s="3"/>
      <c r="H73" s="3"/>
      <c r="I73" s="3"/>
      <c r="J73" s="22"/>
      <c r="K73" s="22"/>
      <c r="L73" s="22"/>
    </row>
    <row r="74" spans="1:12" ht="13.5">
      <c r="A74" s="9" t="s">
        <v>95</v>
      </c>
      <c r="B74" s="3"/>
      <c r="C74" s="3"/>
      <c r="D74" s="3"/>
      <c r="E74" s="3"/>
      <c r="F74" s="3"/>
      <c r="G74" s="3"/>
      <c r="H74" s="3"/>
      <c r="I74" s="3"/>
      <c r="J74" s="22"/>
      <c r="K74" s="22"/>
      <c r="L74" s="22"/>
    </row>
    <row r="75" spans="1:12" ht="13.5">
      <c r="A75" s="9"/>
      <c r="B75" s="3"/>
      <c r="C75" s="3"/>
      <c r="D75" s="3"/>
      <c r="E75" s="3"/>
      <c r="F75" s="3"/>
      <c r="G75" s="3"/>
      <c r="H75" s="3"/>
      <c r="I75" s="3"/>
      <c r="J75" s="22"/>
      <c r="K75" s="22"/>
      <c r="L75" s="22"/>
    </row>
    <row r="76" spans="1:12" ht="13.5">
      <c r="A76" s="9"/>
      <c r="B76" s="25" t="s">
        <v>96</v>
      </c>
      <c r="C76" s="3"/>
      <c r="D76" s="3"/>
      <c r="E76" s="3"/>
      <c r="F76" s="3"/>
      <c r="G76" s="3"/>
      <c r="H76" s="3" t="s">
        <v>8</v>
      </c>
      <c r="I76" s="3" t="s">
        <v>87</v>
      </c>
      <c r="J76" s="22"/>
      <c r="K76" s="22"/>
      <c r="L76" s="22"/>
    </row>
    <row r="77" spans="1:12" ht="13.5">
      <c r="A77" s="9"/>
      <c r="B77" s="25"/>
      <c r="C77" s="3"/>
      <c r="D77" s="3"/>
      <c r="E77" s="3"/>
      <c r="F77" s="3"/>
      <c r="G77" s="3"/>
      <c r="H77" s="3"/>
      <c r="I77" s="3"/>
      <c r="J77" s="22"/>
      <c r="K77" s="22"/>
      <c r="L77" s="22"/>
    </row>
    <row r="78" spans="1:12" ht="13.5">
      <c r="A78" s="9"/>
      <c r="B78" s="3">
        <v>2</v>
      </c>
      <c r="C78" s="3"/>
      <c r="D78" s="3"/>
      <c r="E78" s="3"/>
      <c r="F78" s="3"/>
      <c r="G78" s="3"/>
      <c r="H78" s="17">
        <v>50</v>
      </c>
      <c r="I78" s="17">
        <f>PRODUCT(B78,H78)</f>
        <v>100</v>
      </c>
      <c r="J78" s="22"/>
      <c r="K78" s="22"/>
      <c r="L78" s="22"/>
    </row>
    <row r="79" spans="1:12" ht="13.5">
      <c r="A79" s="9"/>
      <c r="B79" s="3"/>
      <c r="C79" s="3"/>
      <c r="D79" s="3"/>
      <c r="E79" s="3"/>
      <c r="F79" s="3"/>
      <c r="G79" s="3"/>
      <c r="H79" s="3"/>
      <c r="I79" s="3"/>
      <c r="J79" s="22"/>
      <c r="K79" s="22"/>
      <c r="L79" s="22"/>
    </row>
    <row r="80" spans="1:12" ht="12.75">
      <c r="A80" s="3"/>
      <c r="B80" s="3" t="s">
        <v>92</v>
      </c>
      <c r="C80" s="3" t="s">
        <v>97</v>
      </c>
      <c r="D80" s="3"/>
      <c r="E80" s="3" t="s">
        <v>98</v>
      </c>
      <c r="F80" s="3" t="s">
        <v>99</v>
      </c>
      <c r="G80" s="3"/>
      <c r="H80" s="3" t="s">
        <v>8</v>
      </c>
      <c r="I80" s="3" t="s">
        <v>87</v>
      </c>
      <c r="J80" s="22"/>
      <c r="K80" s="22"/>
      <c r="L80" s="22"/>
    </row>
    <row r="81" spans="1:12" ht="12.75">
      <c r="A81" s="22"/>
      <c r="B81" s="3"/>
      <c r="C81" s="3"/>
      <c r="D81" s="3"/>
      <c r="E81" s="3"/>
      <c r="F81" s="3"/>
      <c r="G81" s="3"/>
      <c r="H81" s="3"/>
      <c r="I81" s="3"/>
      <c r="J81" s="22"/>
      <c r="K81" s="22"/>
      <c r="L81" s="22"/>
    </row>
    <row r="82" spans="1:12" ht="12.75">
      <c r="A82" s="22"/>
      <c r="B82" s="3">
        <f>SUM($B$6:$B$8)</f>
        <v>200</v>
      </c>
      <c r="C82" s="3">
        <v>4</v>
      </c>
      <c r="D82" s="3"/>
      <c r="E82" s="3">
        <f>ROUNDUP((B82/C82)*(1+0.5),0)</f>
        <v>75</v>
      </c>
      <c r="F82" s="3">
        <v>125</v>
      </c>
      <c r="G82" s="3"/>
      <c r="H82" s="17">
        <v>5.75</v>
      </c>
      <c r="I82" s="17">
        <f>PRODUCT(F82,H82)</f>
        <v>718.75</v>
      </c>
      <c r="J82" s="22"/>
      <c r="K82" s="22"/>
      <c r="L82" s="22"/>
    </row>
    <row r="83" spans="1:12" ht="12.75">
      <c r="A83" s="22"/>
      <c r="B83" s="3"/>
      <c r="C83" s="3"/>
      <c r="D83" s="3"/>
      <c r="E83" s="3"/>
      <c r="F83" s="17"/>
      <c r="G83" s="3"/>
      <c r="H83" s="17"/>
      <c r="I83" s="17"/>
      <c r="J83" s="22"/>
      <c r="K83" s="22"/>
      <c r="L83" s="22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22"/>
      <c r="K84" s="22"/>
      <c r="L84" s="22"/>
    </row>
    <row r="85" spans="1:12" ht="13.5">
      <c r="A85" s="9" t="s">
        <v>100</v>
      </c>
      <c r="B85" s="3"/>
      <c r="C85" s="3"/>
      <c r="D85" s="3"/>
      <c r="E85" s="3"/>
      <c r="F85" s="3"/>
      <c r="G85" s="3"/>
      <c r="H85" s="3"/>
      <c r="I85" s="3"/>
      <c r="J85" s="22"/>
      <c r="K85" s="22"/>
      <c r="L85" s="22"/>
    </row>
    <row r="86" spans="1:12" ht="13.5">
      <c r="A86" s="9"/>
      <c r="B86" s="3"/>
      <c r="C86" s="3"/>
      <c r="D86" s="3"/>
      <c r="E86" s="3"/>
      <c r="F86" s="3"/>
      <c r="G86" s="3"/>
      <c r="H86" s="3"/>
      <c r="I86" s="3"/>
      <c r="J86" s="22"/>
      <c r="K86" s="22"/>
      <c r="L86" s="22"/>
    </row>
    <row r="87" spans="1:12" ht="13.5">
      <c r="A87" s="9"/>
      <c r="B87" s="3" t="s">
        <v>101</v>
      </c>
      <c r="C87" s="3"/>
      <c r="D87" s="3"/>
      <c r="E87" s="22" t="s">
        <v>102</v>
      </c>
      <c r="F87" s="22"/>
      <c r="G87" s="3"/>
      <c r="H87" s="17"/>
      <c r="I87" s="3" t="s">
        <v>87</v>
      </c>
      <c r="J87" s="22"/>
      <c r="K87" s="22"/>
      <c r="L87" s="22"/>
    </row>
    <row r="88" spans="1:12" ht="13.5">
      <c r="A88" s="9"/>
      <c r="B88" s="3"/>
      <c r="C88" s="3"/>
      <c r="D88" s="3"/>
      <c r="E88" s="25"/>
      <c r="F88" s="22"/>
      <c r="G88" s="3"/>
      <c r="H88" s="17"/>
      <c r="I88" s="17"/>
      <c r="J88" s="22"/>
      <c r="K88" s="22"/>
      <c r="L88" s="22"/>
    </row>
    <row r="89" spans="1:12" ht="13.5">
      <c r="A89" s="9"/>
      <c r="B89" s="21">
        <v>2</v>
      </c>
      <c r="C89" s="3"/>
      <c r="D89" s="3"/>
      <c r="E89" s="17">
        <v>640</v>
      </c>
      <c r="F89" s="22"/>
      <c r="G89" s="3"/>
      <c r="H89" s="17"/>
      <c r="I89" s="17">
        <v>640</v>
      </c>
      <c r="J89" s="22"/>
      <c r="K89" s="22"/>
      <c r="L89" s="22"/>
    </row>
    <row r="90" spans="1:12" ht="13.5">
      <c r="A90" s="9"/>
      <c r="B90" s="3"/>
      <c r="C90" s="3"/>
      <c r="D90" s="3"/>
      <c r="E90" s="3"/>
      <c r="F90" s="3"/>
      <c r="G90" s="3"/>
      <c r="H90" s="3"/>
      <c r="I90" s="3"/>
      <c r="J90" s="22"/>
      <c r="K90" s="22"/>
      <c r="L90" s="22"/>
    </row>
    <row r="91" spans="1:12" ht="12.75">
      <c r="A91" s="22"/>
      <c r="B91" s="3" t="s">
        <v>101</v>
      </c>
      <c r="C91" s="3"/>
      <c r="D91" s="3"/>
      <c r="E91" s="25" t="s">
        <v>103</v>
      </c>
      <c r="F91" s="3"/>
      <c r="G91" s="3"/>
      <c r="H91" s="3" t="s">
        <v>8</v>
      </c>
      <c r="I91" s="3" t="s">
        <v>87</v>
      </c>
      <c r="J91" s="22"/>
      <c r="K91" s="22"/>
      <c r="L91" s="22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22"/>
      <c r="K92" s="22"/>
      <c r="L92" s="22"/>
    </row>
    <row r="93" spans="1:12" ht="12.75">
      <c r="A93" s="3"/>
      <c r="B93" s="21">
        <v>2</v>
      </c>
      <c r="C93" s="3"/>
      <c r="D93" s="3"/>
      <c r="E93" s="3">
        <v>15</v>
      </c>
      <c r="F93" s="3"/>
      <c r="G93" s="3"/>
      <c r="H93" s="17">
        <v>50</v>
      </c>
      <c r="I93" s="17">
        <f>PRODUCT(E93,H93)</f>
        <v>750</v>
      </c>
      <c r="J93" s="22"/>
      <c r="K93" s="22"/>
      <c r="L93" s="22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22"/>
      <c r="K94" s="22"/>
      <c r="L94" s="22"/>
    </row>
    <row r="95" spans="1:12" ht="13.5">
      <c r="A95" s="9" t="s">
        <v>104</v>
      </c>
      <c r="B95" s="3"/>
      <c r="C95" s="3"/>
      <c r="D95" s="3"/>
      <c r="E95" s="3"/>
      <c r="F95" s="3"/>
      <c r="G95" s="3"/>
      <c r="H95" s="3"/>
      <c r="I95" s="3"/>
      <c r="J95" s="22"/>
      <c r="K95" s="22"/>
      <c r="L95" s="22"/>
    </row>
    <row r="96" spans="1:12" ht="12.75">
      <c r="A96" s="3"/>
      <c r="B96" s="3"/>
      <c r="C96" s="3"/>
      <c r="D96" s="3"/>
      <c r="E96" s="3" t="s">
        <v>105</v>
      </c>
      <c r="F96" s="3" t="s">
        <v>99</v>
      </c>
      <c r="G96" s="3"/>
      <c r="H96" s="3" t="s">
        <v>8</v>
      </c>
      <c r="I96" s="3" t="s">
        <v>87</v>
      </c>
      <c r="J96" s="22"/>
      <c r="K96" s="22"/>
      <c r="L96" s="22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22"/>
      <c r="K97" s="22"/>
      <c r="L97" s="22"/>
    </row>
    <row r="98" spans="1:12" ht="12.75">
      <c r="A98" s="3"/>
      <c r="B98" s="3"/>
      <c r="C98" s="3"/>
      <c r="D98" s="3"/>
      <c r="E98" s="3">
        <f>SUM($B$6:$B$8)</f>
        <v>200</v>
      </c>
      <c r="F98" s="3">
        <f>$E$98</f>
        <v>200</v>
      </c>
      <c r="G98" s="3"/>
      <c r="H98" s="17">
        <v>47.3</v>
      </c>
      <c r="I98" s="17">
        <f>PRODUCT(F98,H98)</f>
        <v>9460</v>
      </c>
      <c r="J98" s="22"/>
      <c r="K98" s="22"/>
      <c r="L98" s="22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22"/>
      <c r="K99" s="22"/>
      <c r="L99" s="22"/>
    </row>
    <row r="100" spans="1:12" ht="15.75">
      <c r="A100" s="3"/>
      <c r="B100" s="3"/>
      <c r="C100" s="3"/>
      <c r="D100" s="3"/>
      <c r="E100" s="3"/>
      <c r="F100" s="3"/>
      <c r="G100" s="3"/>
      <c r="H100" s="42" t="s">
        <v>106</v>
      </c>
      <c r="I100" s="40">
        <f>SUM(I78:I98)</f>
        <v>11668.75</v>
      </c>
      <c r="J100" s="22"/>
      <c r="K100" s="22"/>
      <c r="L100" s="22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22"/>
      <c r="K101" s="22"/>
      <c r="L101" s="22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22"/>
      <c r="K102" s="22"/>
      <c r="L102" s="22"/>
    </row>
    <row r="103" spans="1:12" ht="13.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17"/>
      <c r="J106" s="17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5"/>
      <c r="J108" s="17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22"/>
      <c r="K109" s="22"/>
      <c r="L109" s="22"/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70">
      <selection activeCell="C23" sqref="C23"/>
    </sheetView>
  </sheetViews>
  <sheetFormatPr defaultColWidth="9.140625" defaultRowHeight="12.75"/>
  <cols>
    <col min="1" max="1" width="15.421875" style="2" customWidth="1"/>
    <col min="2" max="2" width="13.00390625" style="2" customWidth="1"/>
    <col min="3" max="3" width="13.421875" style="2" customWidth="1"/>
    <col min="4" max="4" width="11.421875" style="2" customWidth="1"/>
    <col min="5" max="5" width="12.28125" style="2" customWidth="1"/>
    <col min="6" max="6" width="13.140625" style="2" customWidth="1"/>
    <col min="7" max="7" width="11.00390625" style="2" customWidth="1"/>
    <col min="8" max="8" width="14.57421875" style="2" customWidth="1"/>
    <col min="9" max="9" width="12.7109375" style="0" hidden="1" customWidth="1"/>
    <col min="10" max="10" width="12.7109375" style="0" customWidth="1"/>
    <col min="11" max="11" width="16.00390625" style="0" customWidth="1"/>
    <col min="12" max="16384" width="12.7109375" style="0" customWidth="1"/>
  </cols>
  <sheetData>
    <row r="1" spans="1:9" ht="18.75">
      <c r="A1" s="6" t="s">
        <v>107</v>
      </c>
      <c r="B1"/>
      <c r="C1"/>
      <c r="D1" s="3"/>
      <c r="E1" s="44" t="s">
        <v>108</v>
      </c>
      <c r="F1"/>
      <c r="G1"/>
      <c r="H1" s="39">
        <f>H93+H105+H122</f>
        <v>44020.7</v>
      </c>
      <c r="I1">
        <v>100</v>
      </c>
    </row>
    <row r="2" spans="1:8" ht="18.75">
      <c r="A2" s="6"/>
      <c r="B2"/>
      <c r="C2"/>
      <c r="D2" s="3"/>
      <c r="E2"/>
      <c r="F2"/>
      <c r="G2" s="7"/>
      <c r="H2" s="8"/>
    </row>
    <row r="3" spans="1:8" ht="18.75">
      <c r="A3" s="6"/>
      <c r="B3"/>
      <c r="C3" s="12"/>
      <c r="D3" s="3"/>
      <c r="E3"/>
      <c r="F3"/>
      <c r="G3" s="7"/>
      <c r="H3" s="8"/>
    </row>
    <row r="4" spans="1:11" ht="15.75">
      <c r="A4" s="26"/>
      <c r="B4" s="22"/>
      <c r="C4" s="27"/>
      <c r="D4" s="3"/>
      <c r="E4"/>
      <c r="F4"/>
      <c r="G4" s="7"/>
      <c r="H4" s="8"/>
      <c r="K4" s="34" t="s">
        <v>178</v>
      </c>
    </row>
    <row r="5" spans="1:11" s="11" customFormat="1" ht="15">
      <c r="A5" s="3" t="s">
        <v>109</v>
      </c>
      <c r="B5" s="3" t="s">
        <v>110</v>
      </c>
      <c r="C5" s="3" t="s">
        <v>111</v>
      </c>
      <c r="D5" s="3" t="s">
        <v>112</v>
      </c>
      <c r="E5" s="3" t="s">
        <v>92</v>
      </c>
      <c r="F5" s="3" t="s">
        <v>111</v>
      </c>
      <c r="G5" s="3" t="s">
        <v>113</v>
      </c>
      <c r="H5" s="3" t="s">
        <v>114</v>
      </c>
      <c r="I5" s="3" t="s">
        <v>114</v>
      </c>
      <c r="J5" s="3" t="s">
        <v>115</v>
      </c>
      <c r="K5" s="34" t="s">
        <v>179</v>
      </c>
    </row>
    <row r="6" spans="1:11" s="11" customFormat="1" ht="15">
      <c r="A6" s="3" t="s">
        <v>116</v>
      </c>
      <c r="B6" s="3">
        <v>18</v>
      </c>
      <c r="C6" s="3">
        <f>ROUNDUP((B6)*(0.1),0)</f>
        <v>2</v>
      </c>
      <c r="D6" s="3">
        <f>B6+C6</f>
        <v>20</v>
      </c>
      <c r="E6" s="3">
        <f>D6*32</f>
        <v>640</v>
      </c>
      <c r="F6" s="3">
        <f>ROUNDUP((E6)*(0.1),0)</f>
        <v>64</v>
      </c>
      <c r="G6" s="3">
        <f>ROUNDUP(E6+F6,0)</f>
        <v>704</v>
      </c>
      <c r="H6" s="3">
        <f>ROUNDUP(G6/2,-2)</f>
        <v>400</v>
      </c>
      <c r="I6" s="3">
        <f>ROUNDUP(H6/2,-2)</f>
        <v>200</v>
      </c>
      <c r="J6" s="3">
        <f>ROUNDUP(G6/2,-2)</f>
        <v>400</v>
      </c>
      <c r="K6" s="34">
        <v>350</v>
      </c>
    </row>
    <row r="7" spans="1:11" s="11" customFormat="1" ht="15">
      <c r="A7" s="3" t="s">
        <v>117</v>
      </c>
      <c r="B7" s="3">
        <v>8</v>
      </c>
      <c r="C7" s="3">
        <f>ROUNDUP((B7)*(0.1),0)</f>
        <v>1</v>
      </c>
      <c r="D7" s="3">
        <f>B7+C7</f>
        <v>9</v>
      </c>
      <c r="E7" s="3">
        <f>D7*32</f>
        <v>288</v>
      </c>
      <c r="F7" s="3">
        <f>ROUNDUP((E7)*(0.1),0)</f>
        <v>29</v>
      </c>
      <c r="G7" s="3">
        <f>ROUNDUP(E7+F7,0)</f>
        <v>317</v>
      </c>
      <c r="H7" s="3">
        <f>ROUNDUP(G7/2,-2)</f>
        <v>200</v>
      </c>
      <c r="J7" s="3">
        <f>ROUNDUP(G7/2,-2)</f>
        <v>200</v>
      </c>
      <c r="K7" s="34">
        <v>150</v>
      </c>
    </row>
    <row r="8" spans="1:11" s="11" customFormat="1" ht="15">
      <c r="A8" s="3" t="s">
        <v>118</v>
      </c>
      <c r="B8" s="3">
        <v>12</v>
      </c>
      <c r="C8" s="3">
        <f>ROUNDUP((B8)*(0.1),0)</f>
        <v>2</v>
      </c>
      <c r="D8" s="3">
        <f>B8+C8</f>
        <v>14</v>
      </c>
      <c r="E8" s="3">
        <f>D8*32</f>
        <v>448</v>
      </c>
      <c r="F8" s="3">
        <f>ROUNDUP((E8)*(0.1),0)</f>
        <v>45</v>
      </c>
      <c r="G8" s="3">
        <f>ROUNDUP(E8+F8,0)</f>
        <v>493</v>
      </c>
      <c r="H8" s="3">
        <f>ROUNDUP(G8/2,-1)</f>
        <v>250</v>
      </c>
      <c r="J8" s="3">
        <f>ROUNDUP(G8/2,-1)</f>
        <v>250</v>
      </c>
      <c r="K8" s="34">
        <v>220</v>
      </c>
    </row>
    <row r="9" spans="1:11" s="11" customFormat="1" ht="15">
      <c r="A9" s="3" t="s">
        <v>119</v>
      </c>
      <c r="B9" s="3">
        <v>3</v>
      </c>
      <c r="C9" s="3">
        <f>ROUNDUP((B9)*(0.1),0)</f>
        <v>1</v>
      </c>
      <c r="D9" s="3">
        <f>B9+C9</f>
        <v>4</v>
      </c>
      <c r="E9" s="3">
        <f>D9*32</f>
        <v>128</v>
      </c>
      <c r="F9" s="3">
        <f>ROUNDUP((E9)*(0.1),0)</f>
        <v>13</v>
      </c>
      <c r="G9" s="3">
        <f>ROUNDUP(E9+F9,0)</f>
        <v>141</v>
      </c>
      <c r="H9" s="3">
        <f>ROUNDUP(G9,-1)</f>
        <v>150</v>
      </c>
      <c r="J9" s="3">
        <v>0</v>
      </c>
      <c r="K9" s="34">
        <v>0</v>
      </c>
    </row>
    <row r="10" spans="1:10" s="11" customFormat="1" ht="15">
      <c r="A10" s="3"/>
      <c r="B10" s="3"/>
      <c r="C10" s="3"/>
      <c r="D10" s="3"/>
      <c r="E10" s="3"/>
      <c r="F10" s="3"/>
      <c r="G10" s="3"/>
      <c r="H10" s="3"/>
      <c r="J10" s="3"/>
    </row>
    <row r="11" spans="1:8" s="11" customFormat="1" ht="15.75">
      <c r="A11" s="26"/>
      <c r="B11" s="3"/>
      <c r="C11" s="3"/>
      <c r="D11" s="15"/>
      <c r="G11" s="10"/>
      <c r="H11" s="13"/>
    </row>
    <row r="12" spans="1:8" s="11" customFormat="1" ht="18.75">
      <c r="A12" s="28"/>
      <c r="B12" s="3"/>
      <c r="C12" s="49" t="s">
        <v>120</v>
      </c>
      <c r="D12" s="15"/>
      <c r="E12"/>
      <c r="G12" s="10">
        <f>SUM(H5:H11)</f>
        <v>1000</v>
      </c>
      <c r="H12" s="13"/>
    </row>
    <row r="13" spans="1:8" s="11" customFormat="1" ht="18.75">
      <c r="A13" s="28"/>
      <c r="B13" s="3"/>
      <c r="C13" s="3"/>
      <c r="D13" s="15"/>
      <c r="E13" s="18"/>
      <c r="G13" s="10"/>
      <c r="H13" s="13"/>
    </row>
    <row r="14" spans="1:8" ht="18.75">
      <c r="A14" s="6"/>
      <c r="B14"/>
      <c r="C14" s="26" t="s">
        <v>121</v>
      </c>
      <c r="D14" s="3"/>
      <c r="E14"/>
      <c r="F14"/>
      <c r="G14" s="7"/>
      <c r="H14" s="8"/>
    </row>
    <row r="15" spans="1:8" s="11" customFormat="1" ht="18.75">
      <c r="A15" s="28"/>
      <c r="B15" s="3"/>
      <c r="C15" s="3"/>
      <c r="D15" s="15"/>
      <c r="E15" s="18"/>
      <c r="G15" s="10"/>
      <c r="H15" s="13"/>
    </row>
    <row r="16" spans="1:8" s="11" customFormat="1" ht="18.75">
      <c r="A16" s="28"/>
      <c r="B16" s="3"/>
      <c r="C16" s="3"/>
      <c r="D16" s="15"/>
      <c r="E16" s="18"/>
      <c r="G16" s="10"/>
      <c r="H16" s="13"/>
    </row>
    <row r="17" spans="1:8" s="11" customFormat="1" ht="15.75">
      <c r="A17" s="3" t="s">
        <v>122</v>
      </c>
      <c r="B17" s="3" t="s">
        <v>123</v>
      </c>
      <c r="C17" s="3" t="s">
        <v>92</v>
      </c>
      <c r="D17" s="15"/>
      <c r="E17" s="3" t="s">
        <v>124</v>
      </c>
      <c r="G17" s="10"/>
      <c r="H17" s="13"/>
    </row>
    <row r="18" spans="1:8" s="11" customFormat="1" ht="15.75">
      <c r="A18" s="28" t="s">
        <v>125</v>
      </c>
      <c r="B18" s="3" t="s">
        <v>126</v>
      </c>
      <c r="C18" s="3">
        <f>H6</f>
        <v>400</v>
      </c>
      <c r="D18" s="15"/>
      <c r="E18" s="3">
        <f>C18*4</f>
        <v>1600</v>
      </c>
      <c r="G18" s="10"/>
      <c r="H18" s="13"/>
    </row>
    <row r="19" spans="1:8" s="11" customFormat="1" ht="15.75">
      <c r="A19" s="28" t="s">
        <v>127</v>
      </c>
      <c r="B19" s="3" t="s">
        <v>128</v>
      </c>
      <c r="C19" s="3">
        <f>H7</f>
        <v>200</v>
      </c>
      <c r="D19" s="15"/>
      <c r="E19" s="3">
        <f>C19*4</f>
        <v>800</v>
      </c>
      <c r="G19" s="10"/>
      <c r="H19" s="13"/>
    </row>
    <row r="20" spans="1:8" s="11" customFormat="1" ht="15.75">
      <c r="A20" s="28" t="s">
        <v>129</v>
      </c>
      <c r="B20" s="3" t="s">
        <v>130</v>
      </c>
      <c r="C20" s="3">
        <f>H8+H9</f>
        <v>400</v>
      </c>
      <c r="D20" s="15"/>
      <c r="E20" s="3">
        <f>C20*4</f>
        <v>1600</v>
      </c>
      <c r="G20" s="10"/>
      <c r="H20" s="13"/>
    </row>
    <row r="21" spans="1:8" s="11" customFormat="1" ht="15.75">
      <c r="A21" s="28"/>
      <c r="B21" s="3"/>
      <c r="C21" s="3"/>
      <c r="D21" s="15"/>
      <c r="E21" s="3"/>
      <c r="G21" s="10"/>
      <c r="H21" s="13"/>
    </row>
    <row r="22" spans="1:8" s="11" customFormat="1" ht="15.75">
      <c r="A22" s="28"/>
      <c r="B22" s="3"/>
      <c r="C22"/>
      <c r="D22" s="12" t="s">
        <v>72</v>
      </c>
      <c r="G22" s="10"/>
      <c r="H22" s="13"/>
    </row>
    <row r="23" spans="1:8" s="11" customFormat="1" ht="15.75">
      <c r="A23" s="28"/>
      <c r="B23" s="3"/>
      <c r="C23" s="12"/>
      <c r="D23" s="15"/>
      <c r="G23" s="10"/>
      <c r="H23" s="13"/>
    </row>
    <row r="24" spans="1:8" s="11" customFormat="1" ht="18.75">
      <c r="A24" s="28"/>
      <c r="B24" s="3"/>
      <c r="C24" s="3"/>
      <c r="D24" s="15"/>
      <c r="E24" s="18" t="s">
        <v>80</v>
      </c>
      <c r="F24"/>
      <c r="G24" s="10">
        <f>SUM(E18:E22)</f>
        <v>4000</v>
      </c>
      <c r="H24"/>
    </row>
    <row r="25" spans="1:8" s="11" customFormat="1" ht="18.75">
      <c r="A25" s="28"/>
      <c r="B25" s="3"/>
      <c r="C25" s="3"/>
      <c r="D25" s="15"/>
      <c r="E25" s="18"/>
      <c r="F25"/>
      <c r="G25" s="10"/>
      <c r="H25"/>
    </row>
    <row r="26" spans="1:8" s="11" customFormat="1" ht="18.75">
      <c r="A26" s="28"/>
      <c r="B26" s="3"/>
      <c r="C26" s="3"/>
      <c r="D26" s="15"/>
      <c r="E26" s="18"/>
      <c r="F26"/>
      <c r="G26" s="10"/>
      <c r="H26"/>
    </row>
    <row r="27" spans="1:10" s="11" customFormat="1" ht="15.75">
      <c r="A27" s="29"/>
      <c r="B27" s="10"/>
      <c r="C27" s="10"/>
      <c r="D27" s="10"/>
      <c r="E27" s="30"/>
      <c r="F27" s="10"/>
      <c r="G27" s="10"/>
      <c r="H27" s="10"/>
      <c r="I27" s="30"/>
      <c r="J27" s="30"/>
    </row>
    <row r="28" spans="1:10" s="11" customFormat="1" ht="15.75">
      <c r="A28" s="31" t="s">
        <v>131</v>
      </c>
      <c r="B28" s="10"/>
      <c r="C28" s="30"/>
      <c r="D28" s="10" t="s">
        <v>132</v>
      </c>
      <c r="E28" s="10"/>
      <c r="F28" s="10"/>
      <c r="G28" s="10"/>
      <c r="H28" s="10"/>
      <c r="I28" s="30"/>
      <c r="J28" s="30"/>
    </row>
    <row r="29" spans="1:10" s="11" customFormat="1" ht="15.75">
      <c r="A29" s="31"/>
      <c r="B29" s="10"/>
      <c r="C29" s="30"/>
      <c r="D29" s="10"/>
      <c r="E29" s="10"/>
      <c r="F29" s="10"/>
      <c r="G29" s="10"/>
      <c r="H29" s="10"/>
      <c r="I29" s="30"/>
      <c r="J29" s="30"/>
    </row>
    <row r="30" spans="1:10" s="11" customFormat="1" ht="15.75">
      <c r="A30" s="31"/>
      <c r="B30" s="10"/>
      <c r="C30" s="30"/>
      <c r="D30" s="10"/>
      <c r="E30" s="10"/>
      <c r="F30" s="10"/>
      <c r="G30" s="10"/>
      <c r="H30" s="10"/>
      <c r="I30" s="30"/>
      <c r="J30" s="30"/>
    </row>
    <row r="31" spans="1:11" ht="13.5">
      <c r="A31" s="1" t="s">
        <v>1</v>
      </c>
      <c r="B31" s="3"/>
      <c r="C31" s="3"/>
      <c r="D31" s="3"/>
      <c r="E31" s="22"/>
      <c r="F31" s="22"/>
      <c r="G31" s="3"/>
      <c r="H31" s="3"/>
      <c r="I31" s="22"/>
      <c r="J31" s="22"/>
      <c r="K31" s="22"/>
    </row>
    <row r="32" spans="1:11" ht="12.75">
      <c r="A32" s="3"/>
      <c r="B32" s="3"/>
      <c r="C32" s="3"/>
      <c r="D32" s="3"/>
      <c r="E32" s="3"/>
      <c r="F32" s="3"/>
      <c r="G32" s="3"/>
      <c r="H32" s="3"/>
      <c r="I32" s="22"/>
      <c r="J32" s="22"/>
      <c r="K32" s="22"/>
    </row>
    <row r="33" spans="1:11" ht="16.5" customHeight="1">
      <c r="A33" s="3" t="s">
        <v>4</v>
      </c>
      <c r="B33" s="3" t="s">
        <v>83</v>
      </c>
      <c r="C33" s="3" t="s">
        <v>84</v>
      </c>
      <c r="D33" s="3" t="s">
        <v>10</v>
      </c>
      <c r="E33" s="3" t="s">
        <v>86</v>
      </c>
      <c r="F33" s="3" t="s">
        <v>133</v>
      </c>
      <c r="G33" s="3"/>
      <c r="H33" s="3" t="s">
        <v>87</v>
      </c>
      <c r="I33" s="22"/>
      <c r="J33" s="22"/>
      <c r="K33" s="22" t="s">
        <v>181</v>
      </c>
    </row>
    <row r="34" spans="1:11" ht="12.75">
      <c r="A34" s="3"/>
      <c r="B34" s="3"/>
      <c r="C34" s="22"/>
      <c r="D34" s="3"/>
      <c r="E34" s="3"/>
      <c r="F34" s="3"/>
      <c r="G34" s="3"/>
      <c r="H34" s="3"/>
      <c r="I34" s="22"/>
      <c r="J34" s="22"/>
      <c r="K34" s="22"/>
    </row>
    <row r="35" spans="1:11" ht="12.75">
      <c r="A35" s="3">
        <v>2.4</v>
      </c>
      <c r="B35" s="3">
        <v>1</v>
      </c>
      <c r="C35" s="3">
        <f>B35*(G$24)*(1+MID(D$28,14,2))</f>
        <v>4200</v>
      </c>
      <c r="D35" s="3">
        <v>3120</v>
      </c>
      <c r="E35" s="3">
        <v>2500</v>
      </c>
      <c r="F35" s="38">
        <v>0.03</v>
      </c>
      <c r="G35" s="32"/>
      <c r="H35" s="17">
        <f>F35*E35</f>
        <v>75</v>
      </c>
      <c r="I35" s="22"/>
      <c r="J35" s="22"/>
      <c r="K35" s="22">
        <f>D35+E35-C35</f>
        <v>1420</v>
      </c>
    </row>
    <row r="36" spans="1:11" ht="12.75">
      <c r="A36" s="3" t="s">
        <v>134</v>
      </c>
      <c r="B36" s="3">
        <v>1</v>
      </c>
      <c r="C36" s="3">
        <f>B36*(E20)*(1+MID(D$28,14,2))</f>
        <v>1680</v>
      </c>
      <c r="D36" s="3">
        <v>0</v>
      </c>
      <c r="E36" s="3">
        <v>5000</v>
      </c>
      <c r="F36" s="38">
        <v>0.01164</v>
      </c>
      <c r="G36" s="32"/>
      <c r="H36" s="17">
        <f aca="true" t="shared" si="0" ref="H36:H41">F36*E36</f>
        <v>58.199999999999996</v>
      </c>
      <c r="I36" s="22"/>
      <c r="J36" s="22"/>
      <c r="K36" s="22">
        <f aca="true" t="shared" si="1" ref="K36:K41">D36+E36-C36</f>
        <v>3320</v>
      </c>
    </row>
    <row r="37" spans="1:11" ht="12.75">
      <c r="A37" s="3" t="s">
        <v>135</v>
      </c>
      <c r="B37" s="3">
        <v>1</v>
      </c>
      <c r="C37" s="3">
        <f>B37*(E19)*(1+MID(D$28,14,2))</f>
        <v>840</v>
      </c>
      <c r="D37" s="3">
        <v>160</v>
      </c>
      <c r="E37" s="3">
        <v>5000</v>
      </c>
      <c r="F37" s="38">
        <v>0.01164</v>
      </c>
      <c r="G37" s="32"/>
      <c r="H37" s="17">
        <f t="shared" si="0"/>
        <v>58.199999999999996</v>
      </c>
      <c r="I37" s="22"/>
      <c r="J37" s="22"/>
      <c r="K37" s="22">
        <f t="shared" si="1"/>
        <v>4320</v>
      </c>
    </row>
    <row r="38" spans="1:11" ht="12.75">
      <c r="A38" s="3" t="s">
        <v>136</v>
      </c>
      <c r="B38" s="3">
        <v>1</v>
      </c>
      <c r="C38" s="3">
        <f>B38*(E18)*(1+MID(D$28,14,2))</f>
        <v>1680</v>
      </c>
      <c r="D38" s="3">
        <v>360</v>
      </c>
      <c r="E38" s="3">
        <v>5000</v>
      </c>
      <c r="F38" s="38">
        <v>0.01164</v>
      </c>
      <c r="G38" s="32"/>
      <c r="H38" s="17">
        <f t="shared" si="0"/>
        <v>58.199999999999996</v>
      </c>
      <c r="I38" s="22"/>
      <c r="J38" s="22"/>
      <c r="K38" s="22">
        <f t="shared" si="1"/>
        <v>3680</v>
      </c>
    </row>
    <row r="39" spans="1:11" ht="12.75">
      <c r="A39" s="3" t="s">
        <v>137</v>
      </c>
      <c r="B39" s="3">
        <v>1</v>
      </c>
      <c r="C39" s="3">
        <f>B39*(E20)*(1+MID(D$28,14,2))</f>
        <v>1680</v>
      </c>
      <c r="D39" s="3">
        <v>0</v>
      </c>
      <c r="E39" s="3">
        <v>5000</v>
      </c>
      <c r="F39" s="38">
        <v>0.01164</v>
      </c>
      <c r="G39" s="32"/>
      <c r="H39" s="17">
        <f t="shared" si="0"/>
        <v>58.199999999999996</v>
      </c>
      <c r="I39" s="22"/>
      <c r="J39" s="22"/>
      <c r="K39" s="22">
        <f t="shared" si="1"/>
        <v>3320</v>
      </c>
    </row>
    <row r="40" spans="1:11" ht="12.75">
      <c r="A40" s="3" t="s">
        <v>138</v>
      </c>
      <c r="B40" s="3">
        <v>1</v>
      </c>
      <c r="C40" s="3">
        <f>B40*(E19)*(1+MID(D$28,14,2))</f>
        <v>840</v>
      </c>
      <c r="D40" s="3">
        <v>160</v>
      </c>
      <c r="E40" s="3">
        <v>5000</v>
      </c>
      <c r="F40" s="38">
        <v>0.01164</v>
      </c>
      <c r="G40" s="32"/>
      <c r="H40" s="17">
        <f t="shared" si="0"/>
        <v>58.199999999999996</v>
      </c>
      <c r="I40" s="22"/>
      <c r="J40" s="22"/>
      <c r="K40" s="22">
        <f t="shared" si="1"/>
        <v>4320</v>
      </c>
    </row>
    <row r="41" spans="1:11" ht="12.75">
      <c r="A41" s="3" t="s">
        <v>139</v>
      </c>
      <c r="B41" s="3">
        <v>1</v>
      </c>
      <c r="C41" s="3">
        <f>B41*(E18)*(1+MID(D$28,14,2))</f>
        <v>1680</v>
      </c>
      <c r="D41" s="3">
        <v>160</v>
      </c>
      <c r="E41" s="3">
        <v>5000</v>
      </c>
      <c r="F41" s="38">
        <v>0.01164</v>
      </c>
      <c r="G41" s="32"/>
      <c r="H41" s="17">
        <f t="shared" si="0"/>
        <v>58.199999999999996</v>
      </c>
      <c r="I41" s="22"/>
      <c r="J41" s="22"/>
      <c r="K41" s="22">
        <f t="shared" si="1"/>
        <v>3480</v>
      </c>
    </row>
    <row r="42" spans="1:11" ht="12.75">
      <c r="A42" s="3"/>
      <c r="B42" s="3"/>
      <c r="C42" s="3"/>
      <c r="D42" s="3"/>
      <c r="E42" s="3"/>
      <c r="F42" s="3"/>
      <c r="G42" s="32"/>
      <c r="H42" s="17"/>
      <c r="I42" s="22"/>
      <c r="J42" s="22"/>
      <c r="K42" s="22"/>
    </row>
    <row r="43" spans="1:11" ht="12.75">
      <c r="A43" s="3"/>
      <c r="B43" s="3"/>
      <c r="C43" s="22"/>
      <c r="D43" s="3"/>
      <c r="E43" s="3"/>
      <c r="F43" s="3"/>
      <c r="G43" s="5" t="s">
        <v>89</v>
      </c>
      <c r="H43" s="17">
        <f>SUM(H33:H42)</f>
        <v>424.19999999999993</v>
      </c>
      <c r="I43" s="22"/>
      <c r="J43" s="22"/>
      <c r="K43" s="22"/>
    </row>
    <row r="44" spans="1:11" ht="12.75">
      <c r="A44" s="3"/>
      <c r="B44" s="3"/>
      <c r="C44" s="22"/>
      <c r="D44" s="3"/>
      <c r="E44" s="3"/>
      <c r="F44" s="3"/>
      <c r="G44" s="5"/>
      <c r="H44" s="17"/>
      <c r="I44" s="22"/>
      <c r="J44" s="22"/>
      <c r="K44" s="22"/>
    </row>
    <row r="45" spans="1:11" ht="13.5">
      <c r="A45" s="1" t="s">
        <v>34</v>
      </c>
      <c r="B45" s="3"/>
      <c r="C45" s="3"/>
      <c r="D45" s="3"/>
      <c r="E45" s="3"/>
      <c r="F45" s="3"/>
      <c r="G45" s="3"/>
      <c r="H45" s="3"/>
      <c r="I45" s="22"/>
      <c r="J45" s="22"/>
      <c r="K45" s="22"/>
    </row>
    <row r="46" spans="1:11" ht="12.75">
      <c r="A46" s="3"/>
      <c r="B46" s="3"/>
      <c r="C46" s="3"/>
      <c r="D46" s="3"/>
      <c r="E46" s="3"/>
      <c r="F46" s="3"/>
      <c r="G46" s="3"/>
      <c r="H46" s="3"/>
      <c r="I46" s="22"/>
      <c r="J46" s="22"/>
      <c r="K46" s="22"/>
    </row>
    <row r="47" spans="1:11" ht="12.75">
      <c r="A47" s="3" t="s">
        <v>35</v>
      </c>
      <c r="B47" s="3" t="s">
        <v>83</v>
      </c>
      <c r="C47" s="3" t="s">
        <v>84</v>
      </c>
      <c r="D47" s="3" t="s">
        <v>10</v>
      </c>
      <c r="E47" s="3" t="s">
        <v>86</v>
      </c>
      <c r="F47" s="3" t="s">
        <v>133</v>
      </c>
      <c r="G47" s="3"/>
      <c r="H47" s="3" t="s">
        <v>87</v>
      </c>
      <c r="I47" s="22"/>
      <c r="J47" s="22"/>
      <c r="K47" s="22" t="s">
        <v>181</v>
      </c>
    </row>
    <row r="48" spans="1:11" ht="12.75">
      <c r="A48" s="3"/>
      <c r="B48" s="3"/>
      <c r="C48" s="3"/>
      <c r="D48" s="3"/>
      <c r="E48" s="3"/>
      <c r="F48" s="3"/>
      <c r="G48" s="3"/>
      <c r="H48" s="3"/>
      <c r="I48" s="22"/>
      <c r="J48" s="22"/>
      <c r="K48" s="22"/>
    </row>
    <row r="49" spans="1:11" ht="12.75">
      <c r="A49" s="3" t="s">
        <v>37</v>
      </c>
      <c r="B49" s="3">
        <v>1</v>
      </c>
      <c r="C49" s="3">
        <f>B49*(G$24)*(1+MID(D$28,14,2))</f>
        <v>4200</v>
      </c>
      <c r="D49" s="3">
        <v>3120</v>
      </c>
      <c r="E49" s="3">
        <v>4000</v>
      </c>
      <c r="F49" s="38">
        <v>0.075</v>
      </c>
      <c r="G49" s="33"/>
      <c r="H49" s="17">
        <f>F49*E49</f>
        <v>300</v>
      </c>
      <c r="I49" s="22"/>
      <c r="J49" s="22"/>
      <c r="K49" s="22">
        <f>D49+E49-C49</f>
        <v>2920</v>
      </c>
    </row>
    <row r="50" spans="1:11" ht="12.75">
      <c r="A50" s="3" t="s">
        <v>40</v>
      </c>
      <c r="B50" s="3">
        <v>1</v>
      </c>
      <c r="C50" s="3">
        <f>B50*(G$24)*(1+MID(D$28,14,2))</f>
        <v>4200</v>
      </c>
      <c r="D50" s="3">
        <v>645</v>
      </c>
      <c r="E50" s="3">
        <v>8000</v>
      </c>
      <c r="F50" s="38">
        <v>0.06</v>
      </c>
      <c r="G50" s="22"/>
      <c r="H50" s="17">
        <f>F50*E50</f>
        <v>480</v>
      </c>
      <c r="I50" s="22"/>
      <c r="J50" s="22"/>
      <c r="K50" s="22">
        <f>D50+E50-C50</f>
        <v>4445</v>
      </c>
    </row>
    <row r="51" spans="1:11" ht="12.75">
      <c r="A51" s="3" t="s">
        <v>42</v>
      </c>
      <c r="B51" s="3">
        <v>3</v>
      </c>
      <c r="C51" s="3">
        <f>B51*(G$24)*(1+MID(D$28,14,2))</f>
        <v>12600</v>
      </c>
      <c r="D51" s="3">
        <v>1360</v>
      </c>
      <c r="E51" s="3">
        <v>16000</v>
      </c>
      <c r="F51" s="38">
        <v>0.0625</v>
      </c>
      <c r="G51" s="33"/>
      <c r="H51" s="17">
        <f>F51*E51</f>
        <v>1000</v>
      </c>
      <c r="I51" s="22"/>
      <c r="J51" s="22"/>
      <c r="K51" s="22">
        <f>D51+E51-C51</f>
        <v>4760</v>
      </c>
    </row>
    <row r="52" spans="1:11" ht="12.75">
      <c r="A52" s="3" t="s">
        <v>90</v>
      </c>
      <c r="B52" s="3">
        <v>3</v>
      </c>
      <c r="C52" s="3">
        <f>B52*(G$24)*(1+MID(D$28,14,2))</f>
        <v>12600</v>
      </c>
      <c r="D52" s="3">
        <v>800</v>
      </c>
      <c r="E52" s="3">
        <v>12000</v>
      </c>
      <c r="F52" s="38">
        <v>0.17</v>
      </c>
      <c r="G52" s="33"/>
      <c r="H52" s="17">
        <f>F52*E52</f>
        <v>2040.0000000000002</v>
      </c>
      <c r="I52" s="22"/>
      <c r="J52" s="22"/>
      <c r="K52" s="22">
        <f>D52+E52-C52</f>
        <v>200</v>
      </c>
    </row>
    <row r="53" spans="1:11" ht="12.75">
      <c r="A53" s="3"/>
      <c r="B53" s="3"/>
      <c r="C53" s="3"/>
      <c r="D53" s="3"/>
      <c r="E53" s="3"/>
      <c r="F53" s="3"/>
      <c r="G53" s="3"/>
      <c r="H53" s="3"/>
      <c r="I53" s="22"/>
      <c r="J53" s="22"/>
      <c r="K53" s="22"/>
    </row>
    <row r="54" spans="1:11" ht="12.75">
      <c r="A54" s="22"/>
      <c r="B54" s="3"/>
      <c r="C54" s="3"/>
      <c r="D54" s="3"/>
      <c r="E54" s="3"/>
      <c r="F54" s="3"/>
      <c r="G54" s="5" t="s">
        <v>89</v>
      </c>
      <c r="H54" s="17">
        <f>SUM(H47:H52)</f>
        <v>3820</v>
      </c>
      <c r="I54" s="22"/>
      <c r="J54" s="22"/>
      <c r="K54" s="22"/>
    </row>
    <row r="55" spans="1:11" ht="12.75">
      <c r="A55" s="3"/>
      <c r="B55" s="3"/>
      <c r="C55" s="3"/>
      <c r="D55" s="3"/>
      <c r="E55" s="3"/>
      <c r="F55" s="3"/>
      <c r="G55" s="5"/>
      <c r="H55" s="3"/>
      <c r="I55" s="22"/>
      <c r="J55" s="22"/>
      <c r="K55" s="22"/>
    </row>
    <row r="56" spans="1:11" ht="13.5">
      <c r="A56" s="1" t="s">
        <v>45</v>
      </c>
      <c r="B56" s="3"/>
      <c r="C56" s="3"/>
      <c r="D56" s="3"/>
      <c r="E56" s="3"/>
      <c r="F56" s="3"/>
      <c r="G56" s="3"/>
      <c r="H56" s="3"/>
      <c r="I56" s="22"/>
      <c r="J56" s="22"/>
      <c r="K56" s="22"/>
    </row>
    <row r="57" spans="1:11" ht="12.75">
      <c r="A57" s="3"/>
      <c r="B57" s="3"/>
      <c r="C57" s="3"/>
      <c r="D57" s="3"/>
      <c r="E57" s="3"/>
      <c r="F57" s="3"/>
      <c r="G57" s="3"/>
      <c r="H57" s="3"/>
      <c r="I57" s="22"/>
      <c r="J57" s="22"/>
      <c r="K57" s="22"/>
    </row>
    <row r="58" spans="1:11" ht="12.75">
      <c r="A58" s="3" t="s">
        <v>47</v>
      </c>
      <c r="B58" s="3" t="s">
        <v>83</v>
      </c>
      <c r="C58" s="3" t="s">
        <v>84</v>
      </c>
      <c r="D58" s="3" t="s">
        <v>10</v>
      </c>
      <c r="E58" s="3" t="s">
        <v>86</v>
      </c>
      <c r="F58" s="3" t="s">
        <v>133</v>
      </c>
      <c r="G58" s="3"/>
      <c r="H58" s="3" t="s">
        <v>87</v>
      </c>
      <c r="I58" s="22"/>
      <c r="J58" s="22"/>
      <c r="K58" s="22" t="s">
        <v>181</v>
      </c>
    </row>
    <row r="59" spans="1:11" ht="12.75">
      <c r="A59" s="3"/>
      <c r="B59" s="3"/>
      <c r="C59" s="3"/>
      <c r="D59" s="3"/>
      <c r="E59" s="3"/>
      <c r="F59" s="3"/>
      <c r="G59" s="3"/>
      <c r="H59" s="3"/>
      <c r="I59" s="22"/>
      <c r="J59" s="22"/>
      <c r="K59" s="22"/>
    </row>
    <row r="60" spans="1:11" ht="12.75">
      <c r="A60" s="3" t="s">
        <v>140</v>
      </c>
      <c r="B60" s="3">
        <v>1</v>
      </c>
      <c r="C60" s="3">
        <f>B60*(E20)*(1+MID(D$28,14,2))</f>
        <v>1680</v>
      </c>
      <c r="D60" s="3">
        <v>250</v>
      </c>
      <c r="E60" s="3">
        <v>4000</v>
      </c>
      <c r="F60" s="38">
        <v>0.324</v>
      </c>
      <c r="G60" s="17"/>
      <c r="H60" s="17">
        <f>F60*E60</f>
        <v>1296</v>
      </c>
      <c r="I60" s="22"/>
      <c r="J60" s="22"/>
      <c r="K60" s="22">
        <f>D60+E60-C60</f>
        <v>2570</v>
      </c>
    </row>
    <row r="61" spans="1:11" ht="12.75">
      <c r="A61" s="3" t="s">
        <v>141</v>
      </c>
      <c r="B61" s="3">
        <v>1</v>
      </c>
      <c r="C61" s="3">
        <f>B61*(E19)*(1+MID(D$28,14,2))</f>
        <v>840</v>
      </c>
      <c r="D61" s="3">
        <v>750</v>
      </c>
      <c r="E61" s="3">
        <v>4000</v>
      </c>
      <c r="F61" s="38">
        <v>0.324</v>
      </c>
      <c r="G61" s="17"/>
      <c r="H61" s="17">
        <f>F61*E61</f>
        <v>1296</v>
      </c>
      <c r="I61" s="22"/>
      <c r="J61" s="22"/>
      <c r="K61" s="22">
        <f>D61+E61-C61</f>
        <v>3910</v>
      </c>
    </row>
    <row r="62" spans="1:11" ht="12.75">
      <c r="A62" s="3" t="s">
        <v>142</v>
      </c>
      <c r="B62" s="3">
        <v>1</v>
      </c>
      <c r="C62" s="3">
        <f>B62*(E18)*(1+MID(D$28,14,2))</f>
        <v>1680</v>
      </c>
      <c r="D62" s="3">
        <v>250</v>
      </c>
      <c r="E62" s="3">
        <v>4000</v>
      </c>
      <c r="F62" s="38">
        <v>0.324</v>
      </c>
      <c r="G62" s="17"/>
      <c r="H62" s="17">
        <f>F62*E62</f>
        <v>1296</v>
      </c>
      <c r="I62" s="22"/>
      <c r="J62" s="22"/>
      <c r="K62" s="22">
        <f>D62+E62-C62</f>
        <v>2570</v>
      </c>
    </row>
    <row r="63" spans="1:11" ht="12.75">
      <c r="A63" s="3" t="s">
        <v>143</v>
      </c>
      <c r="B63" s="3">
        <v>1</v>
      </c>
      <c r="C63" s="3">
        <f>B63*(E20+E19)*(1+MID(D$28,14,2))</f>
        <v>2520</v>
      </c>
      <c r="D63" s="3">
        <v>100</v>
      </c>
      <c r="E63" s="3">
        <v>3000</v>
      </c>
      <c r="F63" s="38">
        <v>0.324</v>
      </c>
      <c r="G63" s="17"/>
      <c r="H63" s="17">
        <f>F63*E63</f>
        <v>972</v>
      </c>
      <c r="I63" s="22"/>
      <c r="J63" s="22"/>
      <c r="K63" s="22">
        <f>D63+E63-C63</f>
        <v>580</v>
      </c>
    </row>
    <row r="64" spans="1:11" ht="12.75">
      <c r="A64" s="3" t="s">
        <v>144</v>
      </c>
      <c r="B64" s="3">
        <v>1</v>
      </c>
      <c r="C64" s="3">
        <f>B64*(E18)*(1+MID(D$28,14,2))</f>
        <v>1680</v>
      </c>
      <c r="D64" s="3">
        <v>0</v>
      </c>
      <c r="E64" s="3">
        <v>3000</v>
      </c>
      <c r="F64" s="38">
        <v>0.324</v>
      </c>
      <c r="G64" s="17"/>
      <c r="H64" s="17">
        <f>F64*E64</f>
        <v>972</v>
      </c>
      <c r="I64" s="22"/>
      <c r="J64" s="22"/>
      <c r="K64" s="22">
        <f>D64+E64-C64</f>
        <v>1320</v>
      </c>
    </row>
    <row r="65" spans="1:11" ht="12.75">
      <c r="A65" s="3"/>
      <c r="B65" s="3"/>
      <c r="C65" s="3"/>
      <c r="D65" s="3"/>
      <c r="E65" s="3"/>
      <c r="F65" s="3"/>
      <c r="G65" s="3"/>
      <c r="H65" s="3"/>
      <c r="I65" s="22"/>
      <c r="J65" s="22"/>
      <c r="K65" s="22"/>
    </row>
    <row r="66" spans="1:11" ht="12.75">
      <c r="A66" s="3"/>
      <c r="B66" s="3"/>
      <c r="C66" s="3"/>
      <c r="D66" s="3"/>
      <c r="E66" s="3"/>
      <c r="F66" s="3"/>
      <c r="G66" s="5" t="s">
        <v>89</v>
      </c>
      <c r="H66" s="17">
        <f>SUM(H58:H65)</f>
        <v>5832</v>
      </c>
      <c r="I66" s="22"/>
      <c r="J66" s="22"/>
      <c r="K66" s="22"/>
    </row>
    <row r="67" spans="1:11" ht="12.75">
      <c r="A67" s="3"/>
      <c r="B67" s="3"/>
      <c r="C67" s="3"/>
      <c r="D67" s="3"/>
      <c r="E67" s="3"/>
      <c r="F67" s="3"/>
      <c r="G67" s="3"/>
      <c r="H67" s="3"/>
      <c r="I67" s="22"/>
      <c r="J67" s="22"/>
      <c r="K67" s="22"/>
    </row>
    <row r="68" spans="1:11" ht="13.5">
      <c r="A68" s="1" t="s">
        <v>54</v>
      </c>
      <c r="B68" s="3"/>
      <c r="C68" s="3"/>
      <c r="D68" s="3"/>
      <c r="E68" s="3"/>
      <c r="F68" s="3"/>
      <c r="G68" s="3"/>
      <c r="H68" s="3"/>
      <c r="I68" s="22"/>
      <c r="J68" s="22"/>
      <c r="K68" s="22"/>
    </row>
    <row r="69" spans="1:11" ht="12.75">
      <c r="A69" s="3"/>
      <c r="B69" s="3"/>
      <c r="C69" s="3"/>
      <c r="D69" s="3"/>
      <c r="E69" s="3"/>
      <c r="F69" s="3"/>
      <c r="G69" s="3"/>
      <c r="H69" s="3"/>
      <c r="I69" s="22"/>
      <c r="J69" s="22"/>
      <c r="K69" s="22"/>
    </row>
    <row r="70" spans="1:11" ht="12.75">
      <c r="A70" s="3" t="s">
        <v>56</v>
      </c>
      <c r="B70" s="3" t="s">
        <v>83</v>
      </c>
      <c r="C70" s="3" t="s">
        <v>84</v>
      </c>
      <c r="D70" s="3" t="s">
        <v>10</v>
      </c>
      <c r="E70" s="3" t="s">
        <v>86</v>
      </c>
      <c r="F70" s="3" t="s">
        <v>133</v>
      </c>
      <c r="G70" s="3"/>
      <c r="H70" s="3" t="s">
        <v>87</v>
      </c>
      <c r="I70" s="22"/>
      <c r="J70" s="22"/>
      <c r="K70" s="22" t="s">
        <v>181</v>
      </c>
    </row>
    <row r="71" spans="1:11" ht="12.75">
      <c r="A71" s="3"/>
      <c r="B71" s="3"/>
      <c r="C71" s="3"/>
      <c r="D71" s="3"/>
      <c r="E71" s="3"/>
      <c r="F71" s="3"/>
      <c r="G71" s="3"/>
      <c r="H71" s="3"/>
      <c r="I71" s="22"/>
      <c r="J71" s="22"/>
      <c r="K71" s="22"/>
    </row>
    <row r="72" spans="1:11" ht="12.75">
      <c r="A72" s="3" t="s">
        <v>58</v>
      </c>
      <c r="B72" s="3">
        <v>2</v>
      </c>
      <c r="C72" s="3">
        <f>B72*(G$24)*(1+MID(D$28,14,2))</f>
        <v>8400</v>
      </c>
      <c r="D72" s="3">
        <v>1240</v>
      </c>
      <c r="E72" s="3">
        <v>9000</v>
      </c>
      <c r="F72" s="38">
        <v>0.144</v>
      </c>
      <c r="G72" s="17"/>
      <c r="H72" s="17">
        <f>F72*E72</f>
        <v>1296</v>
      </c>
      <c r="I72" s="22"/>
      <c r="J72" s="22"/>
      <c r="K72" s="22">
        <f>D72+E72-C72</f>
        <v>1840</v>
      </c>
    </row>
    <row r="73" spans="1:11" ht="12.75">
      <c r="A73" s="3" t="s">
        <v>145</v>
      </c>
      <c r="B73" s="3">
        <v>0.5</v>
      </c>
      <c r="C73" s="3">
        <f>B73*(G$24)*(1+MID(D$28,14,2))</f>
        <v>2100</v>
      </c>
      <c r="D73" s="3">
        <v>0</v>
      </c>
      <c r="E73" s="3">
        <v>3000</v>
      </c>
      <c r="F73" s="38">
        <v>0.126</v>
      </c>
      <c r="G73" s="17"/>
      <c r="H73" s="17">
        <f>F73*E73</f>
        <v>378</v>
      </c>
      <c r="I73" s="22"/>
      <c r="J73" s="22"/>
      <c r="K73" s="22">
        <f>D73+E73-C73</f>
        <v>900</v>
      </c>
    </row>
    <row r="74" spans="1:11" ht="12.75">
      <c r="A74" s="3"/>
      <c r="B74" s="3"/>
      <c r="C74" s="3"/>
      <c r="D74" s="3"/>
      <c r="E74" s="3"/>
      <c r="F74" s="3"/>
      <c r="G74" s="3"/>
      <c r="H74" s="3"/>
      <c r="I74" s="22"/>
      <c r="J74" s="22"/>
      <c r="K74" s="22"/>
    </row>
    <row r="75" spans="1:11" ht="12.75">
      <c r="A75" s="3"/>
      <c r="B75" s="3"/>
      <c r="C75" s="3"/>
      <c r="D75" s="3"/>
      <c r="E75" s="3"/>
      <c r="F75" s="3"/>
      <c r="G75" s="5" t="s">
        <v>89</v>
      </c>
      <c r="H75" s="17">
        <f>SUM(H70:H74)</f>
        <v>1674</v>
      </c>
      <c r="I75" s="22"/>
      <c r="J75" s="22"/>
      <c r="K75" s="22"/>
    </row>
    <row r="76" spans="1:11" ht="12.75">
      <c r="A76" s="3"/>
      <c r="B76" s="3"/>
      <c r="C76" s="3"/>
      <c r="D76" s="3"/>
      <c r="E76" s="3"/>
      <c r="F76" s="3"/>
      <c r="G76" s="5"/>
      <c r="H76" s="17"/>
      <c r="I76" s="22"/>
      <c r="J76" s="22"/>
      <c r="K76" s="22"/>
    </row>
    <row r="77" spans="1:11" ht="13.5">
      <c r="A77" s="1" t="s">
        <v>61</v>
      </c>
      <c r="B77" s="3"/>
      <c r="C77" s="3"/>
      <c r="D77" s="3"/>
      <c r="E77" s="3"/>
      <c r="F77" s="3"/>
      <c r="G77" s="3"/>
      <c r="H77" s="3"/>
      <c r="I77" s="22"/>
      <c r="J77" s="22"/>
      <c r="K77" s="22"/>
    </row>
    <row r="78" spans="1:11" ht="12.75">
      <c r="A78" s="3"/>
      <c r="B78" s="3"/>
      <c r="C78" s="3"/>
      <c r="D78" s="3"/>
      <c r="E78" s="3"/>
      <c r="F78" s="3"/>
      <c r="G78" s="3"/>
      <c r="H78" s="3"/>
      <c r="I78" s="22"/>
      <c r="J78" s="22"/>
      <c r="K78" s="22"/>
    </row>
    <row r="79" spans="1:11" ht="12.75">
      <c r="A79" s="3" t="s">
        <v>56</v>
      </c>
      <c r="B79" s="3" t="s">
        <v>83</v>
      </c>
      <c r="C79" s="3" t="s">
        <v>84</v>
      </c>
      <c r="D79" s="3" t="s">
        <v>10</v>
      </c>
      <c r="E79" s="3" t="s">
        <v>86</v>
      </c>
      <c r="F79" s="3" t="s">
        <v>133</v>
      </c>
      <c r="G79" s="3"/>
      <c r="H79" s="3" t="s">
        <v>87</v>
      </c>
      <c r="I79" s="22"/>
      <c r="J79" s="22"/>
      <c r="K79" s="22" t="s">
        <v>181</v>
      </c>
    </row>
    <row r="80" spans="1:11" ht="12.75">
      <c r="A80" s="3"/>
      <c r="B80" s="3"/>
      <c r="C80" s="3"/>
      <c r="D80" s="3"/>
      <c r="E80" s="3"/>
      <c r="F80" s="3"/>
      <c r="G80" s="3"/>
      <c r="H80" s="3"/>
      <c r="I80" s="22"/>
      <c r="J80" s="22"/>
      <c r="K80" s="22"/>
    </row>
    <row r="81" spans="1:11" ht="12.75">
      <c r="A81" s="3" t="s">
        <v>64</v>
      </c>
      <c r="B81" s="3">
        <v>4</v>
      </c>
      <c r="C81" s="3">
        <f>B81*(G$24)*(1+MID(D$28,14,2))</f>
        <v>16800</v>
      </c>
      <c r="D81" s="3">
        <v>2400</v>
      </c>
      <c r="E81" s="3">
        <v>18000</v>
      </c>
      <c r="F81" s="38">
        <v>0.22</v>
      </c>
      <c r="G81" s="32"/>
      <c r="H81" s="17">
        <f>F81*E81</f>
        <v>3960</v>
      </c>
      <c r="I81" s="22"/>
      <c r="J81" s="22"/>
      <c r="K81" s="22">
        <f>D81+E81-C81</f>
        <v>3600</v>
      </c>
    </row>
    <row r="82" spans="1:11" ht="12.75">
      <c r="A82" s="3" t="s">
        <v>68</v>
      </c>
      <c r="B82" s="3">
        <v>2</v>
      </c>
      <c r="C82" s="3">
        <f>B82*(G$24)*(1+MID(D$28,14,2))</f>
        <v>8400</v>
      </c>
      <c r="D82" s="3">
        <v>2000</v>
      </c>
      <c r="E82" s="3">
        <v>9000</v>
      </c>
      <c r="F82" s="38">
        <v>0.38</v>
      </c>
      <c r="G82" s="32"/>
      <c r="H82" s="17">
        <f>F82*E82</f>
        <v>3420</v>
      </c>
      <c r="I82" s="22"/>
      <c r="J82" s="22"/>
      <c r="K82" s="22">
        <f>D82+E82-C82</f>
        <v>2600</v>
      </c>
    </row>
    <row r="83" spans="1:11" ht="12.75">
      <c r="A83" s="3"/>
      <c r="B83" s="3"/>
      <c r="C83" s="3"/>
      <c r="D83" s="3"/>
      <c r="E83" s="3"/>
      <c r="F83" s="3"/>
      <c r="G83" s="3"/>
      <c r="H83" s="3"/>
      <c r="I83" s="22"/>
      <c r="J83" s="22"/>
      <c r="K83" s="22"/>
    </row>
    <row r="84" spans="1:11" ht="12.75">
      <c r="A84" s="3"/>
      <c r="B84" s="3"/>
      <c r="C84" s="3"/>
      <c r="D84" s="3"/>
      <c r="E84" s="3"/>
      <c r="F84" s="3"/>
      <c r="G84" s="5" t="s">
        <v>89</v>
      </c>
      <c r="H84" s="17">
        <f>SUM(H79:H82)</f>
        <v>7380</v>
      </c>
      <c r="I84" s="22"/>
      <c r="J84" s="22"/>
      <c r="K84" s="22"/>
    </row>
    <row r="85" spans="1:11" ht="12.75">
      <c r="A85" s="3"/>
      <c r="B85" s="3"/>
      <c r="C85" s="3"/>
      <c r="D85" s="3"/>
      <c r="E85" s="3"/>
      <c r="F85" s="3"/>
      <c r="G85" s="5"/>
      <c r="H85" s="17"/>
      <c r="I85" s="22"/>
      <c r="J85" s="22"/>
      <c r="K85" s="22"/>
    </row>
    <row r="86" spans="1:11" ht="13.5">
      <c r="A86" s="1" t="s">
        <v>69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2" ht="12.75">
      <c r="A87" s="3"/>
      <c r="B87" s="3" t="s">
        <v>91</v>
      </c>
      <c r="C87" s="3" t="s">
        <v>84</v>
      </c>
      <c r="D87" s="3" t="s">
        <v>10</v>
      </c>
      <c r="E87" s="3" t="s">
        <v>86</v>
      </c>
      <c r="F87" s="3" t="s">
        <v>133</v>
      </c>
      <c r="G87" s="3"/>
      <c r="H87" s="3" t="s">
        <v>87</v>
      </c>
      <c r="I87" s="3" t="s">
        <v>9</v>
      </c>
      <c r="J87" s="3"/>
      <c r="K87" s="22" t="s">
        <v>181</v>
      </c>
      <c r="L87" s="2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</row>
    <row r="89" spans="1:11" ht="12.75">
      <c r="A89" s="3"/>
      <c r="B89" s="3">
        <v>20</v>
      </c>
      <c r="C89" s="3">
        <f>B89*G12*(1+MID(D$28,14,2))</f>
        <v>21000</v>
      </c>
      <c r="D89" s="3">
        <v>31000</v>
      </c>
      <c r="E89" s="3">
        <v>0</v>
      </c>
      <c r="F89" s="38">
        <v>0.01</v>
      </c>
      <c r="G89" s="3"/>
      <c r="H89" s="17">
        <f>F89*E89</f>
        <v>0</v>
      </c>
      <c r="I89" s="17" t="e">
        <f>ROUNDUP((F89/G89),0)*G89*H89</f>
        <v>#DIV/0!</v>
      </c>
      <c r="J89" s="3"/>
      <c r="K89" s="22">
        <f>D89+E89-C89</f>
        <v>10000</v>
      </c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5" t="s">
        <v>89</v>
      </c>
      <c r="H91" s="17">
        <f>SUM(H86:H89)</f>
        <v>0</v>
      </c>
      <c r="I91" s="17" t="e">
        <f>I89</f>
        <v>#DIV/0!</v>
      </c>
      <c r="J91" s="3"/>
      <c r="K91" s="3"/>
    </row>
    <row r="92" spans="1:11" ht="12.75">
      <c r="A92" s="3"/>
      <c r="B92" s="3"/>
      <c r="C92" s="3"/>
      <c r="D92" s="3"/>
      <c r="E92" s="3"/>
      <c r="F92" s="3"/>
      <c r="G92" s="5"/>
      <c r="H92" s="17"/>
      <c r="I92" s="17"/>
      <c r="J92" s="3"/>
      <c r="K92" s="3"/>
    </row>
    <row r="93" spans="1:11" ht="15">
      <c r="A93" s="3"/>
      <c r="B93" s="3"/>
      <c r="C93" s="3"/>
      <c r="D93" s="3"/>
      <c r="E93" s="3"/>
      <c r="F93" s="41" t="s">
        <v>93</v>
      </c>
      <c r="G93" s="5"/>
      <c r="H93" s="43">
        <f>H43+H54+H66+H75+H84+H91</f>
        <v>19130.2</v>
      </c>
      <c r="I93" s="22"/>
      <c r="J93" s="22"/>
      <c r="K93" s="22"/>
    </row>
    <row r="94" spans="1:11" ht="15">
      <c r="A94" s="3"/>
      <c r="B94" s="3"/>
      <c r="C94" s="3"/>
      <c r="D94" s="3"/>
      <c r="E94" s="3"/>
      <c r="F94" s="41"/>
      <c r="G94" s="5"/>
      <c r="H94" s="43"/>
      <c r="I94" s="22"/>
      <c r="J94" s="22"/>
      <c r="K94" s="22"/>
    </row>
    <row r="95" spans="1:11" ht="15.75">
      <c r="A95" s="7" t="s">
        <v>94</v>
      </c>
      <c r="B95" s="3"/>
      <c r="C95" s="3"/>
      <c r="D95" s="3"/>
      <c r="E95" s="3"/>
      <c r="F95" s="3"/>
      <c r="G95" s="3"/>
      <c r="H95" s="3"/>
      <c r="I95" s="22"/>
      <c r="J95" s="22"/>
      <c r="K95" s="22"/>
    </row>
    <row r="96" spans="1:11" ht="12.75">
      <c r="A96" s="34"/>
      <c r="B96" s="3"/>
      <c r="C96" s="3"/>
      <c r="D96" s="3"/>
      <c r="E96" s="3"/>
      <c r="F96" s="3"/>
      <c r="G96" s="3"/>
      <c r="H96" s="3"/>
      <c r="I96" s="22"/>
      <c r="J96" s="22"/>
      <c r="K96" s="22"/>
    </row>
    <row r="97" spans="1:11" ht="13.5">
      <c r="A97" s="9" t="s">
        <v>146</v>
      </c>
      <c r="B97" s="3"/>
      <c r="C97" s="3"/>
      <c r="D97" s="3"/>
      <c r="E97" s="3"/>
      <c r="F97" s="3"/>
      <c r="G97" s="3"/>
      <c r="H97" s="3"/>
      <c r="I97" s="22"/>
      <c r="J97" s="22"/>
      <c r="K97" s="22"/>
    </row>
    <row r="98" spans="1:11" ht="13.5">
      <c r="A98" s="9"/>
      <c r="B98" s="3"/>
      <c r="C98" s="3"/>
      <c r="D98" s="3"/>
      <c r="E98" s="3"/>
      <c r="F98" s="3"/>
      <c r="G98" s="3"/>
      <c r="H98" s="3"/>
      <c r="I98" s="22"/>
      <c r="J98" s="22"/>
      <c r="K98" s="22"/>
    </row>
    <row r="99" spans="1:11" ht="13.5">
      <c r="A99" s="9"/>
      <c r="B99" s="25" t="s">
        <v>180</v>
      </c>
      <c r="C99" s="3"/>
      <c r="D99" s="3"/>
      <c r="E99" s="3"/>
      <c r="F99" s="3"/>
      <c r="G99" s="3" t="s">
        <v>8</v>
      </c>
      <c r="H99" s="3" t="s">
        <v>87</v>
      </c>
      <c r="I99" s="22"/>
      <c r="J99" s="22"/>
      <c r="K99" s="22"/>
    </row>
    <row r="100" spans="1:11" ht="13.5">
      <c r="A100" s="9"/>
      <c r="B100" s="3">
        <v>2</v>
      </c>
      <c r="C100" s="3"/>
      <c r="D100" s="3"/>
      <c r="E100" s="3"/>
      <c r="F100" s="3"/>
      <c r="G100" s="17">
        <v>50</v>
      </c>
      <c r="H100" s="17">
        <f>PRODUCT(B100,G100)</f>
        <v>100</v>
      </c>
      <c r="I100" s="22"/>
      <c r="J100" s="22"/>
      <c r="K100" s="22"/>
    </row>
    <row r="101" spans="1:11" ht="13.5">
      <c r="A101" s="9"/>
      <c r="B101" s="3"/>
      <c r="C101" s="3"/>
      <c r="D101" s="3"/>
      <c r="E101" s="3"/>
      <c r="F101" s="3"/>
      <c r="G101" s="3"/>
      <c r="H101" s="3"/>
      <c r="I101" s="22"/>
      <c r="J101" s="22"/>
      <c r="K101" s="22"/>
    </row>
    <row r="102" spans="1:11" ht="12.75">
      <c r="A102" s="3"/>
      <c r="B102" s="3" t="s">
        <v>92</v>
      </c>
      <c r="C102" s="3" t="s">
        <v>97</v>
      </c>
      <c r="D102" s="3" t="s">
        <v>98</v>
      </c>
      <c r="E102" s="3" t="s">
        <v>99</v>
      </c>
      <c r="F102" s="3"/>
      <c r="G102" s="3" t="s">
        <v>8</v>
      </c>
      <c r="H102" s="3" t="s">
        <v>87</v>
      </c>
      <c r="I102" s="22"/>
      <c r="J102" s="22"/>
      <c r="K102" s="22"/>
    </row>
    <row r="103" spans="1:11" ht="12.75">
      <c r="A103" s="22"/>
      <c r="B103" s="3">
        <f>G12</f>
        <v>1000</v>
      </c>
      <c r="C103" s="3">
        <v>4</v>
      </c>
      <c r="D103" s="3">
        <f>ROUNDUP((B103/C103),0)</f>
        <v>250</v>
      </c>
      <c r="E103" s="3">
        <f>ROUNDUP((D103)*(1+0.1),0)</f>
        <v>275</v>
      </c>
      <c r="F103" s="3"/>
      <c r="G103" s="17">
        <v>4.42</v>
      </c>
      <c r="H103" s="17">
        <f>PRODUCT(E103,G103)</f>
        <v>1215.5</v>
      </c>
      <c r="I103" s="22"/>
      <c r="J103" s="22"/>
      <c r="K103" s="22"/>
    </row>
    <row r="104" spans="1:11" ht="12.75">
      <c r="A104" s="22"/>
      <c r="B104" s="3"/>
      <c r="C104" s="3"/>
      <c r="D104" s="3"/>
      <c r="E104" s="3"/>
      <c r="F104" s="3"/>
      <c r="G104" s="17"/>
      <c r="H104" s="17"/>
      <c r="I104" s="22"/>
      <c r="J104" s="22"/>
      <c r="K104" s="22"/>
    </row>
    <row r="105" spans="1:11" ht="15">
      <c r="A105" s="22"/>
      <c r="B105" s="3"/>
      <c r="C105" s="3"/>
      <c r="D105" s="3"/>
      <c r="E105" s="3"/>
      <c r="F105" s="42" t="s">
        <v>175</v>
      </c>
      <c r="G105" s="17"/>
      <c r="H105" s="43">
        <f>SUM(H98:H103)</f>
        <v>1315.5</v>
      </c>
      <c r="I105" s="22"/>
      <c r="J105" s="22"/>
      <c r="K105" s="22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22"/>
      <c r="J106" s="22"/>
      <c r="K106" s="22"/>
    </row>
    <row r="107" spans="1:11" ht="13.5">
      <c r="A107" s="9" t="s">
        <v>100</v>
      </c>
      <c r="B107" s="3"/>
      <c r="C107" s="3"/>
      <c r="D107" s="3"/>
      <c r="E107" s="3"/>
      <c r="F107" s="3"/>
      <c r="G107" s="3"/>
      <c r="H107" s="3"/>
      <c r="I107" s="22"/>
      <c r="J107" s="22"/>
      <c r="K107" s="22"/>
    </row>
    <row r="108" spans="1:11" ht="13.5">
      <c r="A108" s="9"/>
      <c r="B108" s="3"/>
      <c r="C108" s="3"/>
      <c r="D108" s="3"/>
      <c r="E108" s="3"/>
      <c r="F108" s="3"/>
      <c r="G108" s="3"/>
      <c r="H108" s="3"/>
      <c r="I108" s="22"/>
      <c r="J108" s="22"/>
      <c r="K108" s="22"/>
    </row>
    <row r="109" spans="1:11" ht="13.5">
      <c r="A109" s="9"/>
      <c r="B109" s="3" t="s">
        <v>101</v>
      </c>
      <c r="C109" s="3"/>
      <c r="D109" s="22" t="s">
        <v>177</v>
      </c>
      <c r="E109" s="22"/>
      <c r="F109" s="3"/>
      <c r="G109" s="17"/>
      <c r="H109" s="3" t="s">
        <v>87</v>
      </c>
      <c r="I109" s="22"/>
      <c r="J109" s="22"/>
      <c r="K109" s="22"/>
    </row>
    <row r="110" spans="1:11" ht="13.5">
      <c r="A110" s="9"/>
      <c r="B110" s="3"/>
      <c r="C110" s="3"/>
      <c r="D110" s="25"/>
      <c r="E110" s="22"/>
      <c r="F110" s="3"/>
      <c r="G110" s="17"/>
      <c r="H110" s="17"/>
      <c r="I110" s="22"/>
      <c r="J110" s="22"/>
      <c r="K110" s="22"/>
    </row>
    <row r="111" spans="1:11" ht="13.5">
      <c r="A111" s="9"/>
      <c r="B111" s="21">
        <v>3</v>
      </c>
      <c r="C111" s="3"/>
      <c r="D111" s="17">
        <v>375</v>
      </c>
      <c r="E111" s="22"/>
      <c r="F111" s="3"/>
      <c r="G111" s="17"/>
      <c r="H111" s="17">
        <f>PRODUCT(D111)</f>
        <v>375</v>
      </c>
      <c r="I111" s="22"/>
      <c r="J111" s="22"/>
      <c r="K111" s="22"/>
    </row>
    <row r="112" spans="1:11" ht="13.5">
      <c r="A112" s="9"/>
      <c r="B112" s="3"/>
      <c r="C112" s="3"/>
      <c r="D112" s="3"/>
      <c r="E112" s="3"/>
      <c r="F112" s="3"/>
      <c r="G112" s="3"/>
      <c r="H112" s="3"/>
      <c r="I112" s="22"/>
      <c r="J112" s="22"/>
      <c r="K112" s="22"/>
    </row>
    <row r="113" spans="1:11" ht="12.75">
      <c r="A113" s="22"/>
      <c r="B113" s="3" t="s">
        <v>101</v>
      </c>
      <c r="C113" s="3"/>
      <c r="D113" s="25" t="s">
        <v>176</v>
      </c>
      <c r="E113" s="3"/>
      <c r="F113" s="3"/>
      <c r="G113" s="3" t="s">
        <v>8</v>
      </c>
      <c r="H113" s="3" t="s">
        <v>87</v>
      </c>
      <c r="I113" s="22"/>
      <c r="J113" s="22"/>
      <c r="K113" s="22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22"/>
      <c r="J114" s="22"/>
      <c r="K114" s="22"/>
    </row>
    <row r="115" spans="1:11" ht="12.75">
      <c r="A115" s="3"/>
      <c r="B115" s="21">
        <v>3</v>
      </c>
      <c r="C115" s="3"/>
      <c r="D115" s="3">
        <v>2</v>
      </c>
      <c r="E115" s="3"/>
      <c r="F115" s="3"/>
      <c r="G115" s="17">
        <v>100</v>
      </c>
      <c r="H115" s="17">
        <f>PRODUCT(D115,G115)</f>
        <v>200</v>
      </c>
      <c r="I115" s="22"/>
      <c r="J115" s="22"/>
      <c r="K115" s="22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22"/>
      <c r="J116" s="22"/>
      <c r="K116" s="22"/>
    </row>
    <row r="117" spans="1:11" ht="13.5">
      <c r="A117" s="9" t="s">
        <v>104</v>
      </c>
      <c r="B117" s="3"/>
      <c r="C117" s="3"/>
      <c r="D117" s="3"/>
      <c r="E117" s="3"/>
      <c r="F117" s="3"/>
      <c r="G117" s="3"/>
      <c r="H117" s="3"/>
      <c r="I117" s="22"/>
      <c r="J117" s="22"/>
      <c r="K117" s="22"/>
    </row>
    <row r="118" spans="1:11" ht="12.75">
      <c r="A118" s="3"/>
      <c r="B118" s="3"/>
      <c r="C118" s="3"/>
      <c r="D118" s="3" t="s">
        <v>105</v>
      </c>
      <c r="E118" s="3" t="s">
        <v>99</v>
      </c>
      <c r="F118" s="3"/>
      <c r="G118" s="3" t="s">
        <v>8</v>
      </c>
      <c r="H118" s="3" t="s">
        <v>87</v>
      </c>
      <c r="I118" s="22"/>
      <c r="J118" s="22"/>
      <c r="K118" s="22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22"/>
      <c r="J119" s="22"/>
      <c r="K119" s="22"/>
    </row>
    <row r="120" spans="1:11" ht="12.75">
      <c r="A120" s="3"/>
      <c r="B120" s="3"/>
      <c r="C120" s="3"/>
      <c r="D120" s="3">
        <f>G12</f>
        <v>1000</v>
      </c>
      <c r="E120" s="3">
        <f>ROUNDUP((D120)*(1+0),0)</f>
        <v>1000</v>
      </c>
      <c r="F120" s="3"/>
      <c r="G120" s="17">
        <v>23</v>
      </c>
      <c r="H120" s="17">
        <f>PRODUCT(E120,G120)</f>
        <v>23000</v>
      </c>
      <c r="I120" s="22"/>
      <c r="J120" s="22"/>
      <c r="K120" s="22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22"/>
      <c r="J121" s="22"/>
      <c r="K121" s="22"/>
    </row>
    <row r="122" spans="1:11" ht="15">
      <c r="A122" s="3"/>
      <c r="B122" s="3"/>
      <c r="C122" s="3"/>
      <c r="D122" s="3"/>
      <c r="E122"/>
      <c r="F122" s="42" t="s">
        <v>149</v>
      </c>
      <c r="G122"/>
      <c r="H122" s="43">
        <f>SUM(H110:H120)</f>
        <v>23575</v>
      </c>
      <c r="I122" s="22"/>
      <c r="J122" s="22"/>
      <c r="K122" s="22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22"/>
      <c r="J123" s="22"/>
      <c r="K123" s="22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22"/>
      <c r="J124" s="22"/>
      <c r="K124" s="22"/>
    </row>
    <row r="125" spans="1:11" ht="13.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"/>
    </row>
    <row r="128" spans="1:11" ht="12.75">
      <c r="A128" s="3"/>
      <c r="B128" s="3"/>
      <c r="C128" s="3"/>
      <c r="D128" s="3"/>
      <c r="E128" s="3"/>
      <c r="F128" s="3"/>
      <c r="G128" s="3"/>
      <c r="H128" s="17"/>
      <c r="I128" s="17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5"/>
      <c r="I130" s="17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22"/>
      <c r="J131" s="22"/>
      <c r="K131" s="22"/>
    </row>
  </sheetData>
  <printOptions gridLines="1" horizontalCentered="1"/>
  <pageMargins left="0.75" right="0.75" top="1" bottom="1" header="0.5" footer="0.5"/>
  <pageSetup horizontalDpi="1200" verticalDpi="12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61">
      <selection activeCell="C73" sqref="C73"/>
    </sheetView>
  </sheetViews>
  <sheetFormatPr defaultColWidth="9.140625" defaultRowHeight="12.75"/>
  <cols>
    <col min="1" max="1" width="15.421875" style="2" customWidth="1"/>
    <col min="2" max="2" width="13.00390625" style="2" customWidth="1"/>
    <col min="3" max="3" width="13.421875" style="2" customWidth="1"/>
    <col min="4" max="4" width="11.421875" style="2" customWidth="1"/>
    <col min="5" max="7" width="12.28125" style="2" customWidth="1"/>
    <col min="8" max="8" width="13.00390625" style="2" customWidth="1"/>
    <col min="9" max="9" width="18.28125" style="2" customWidth="1"/>
    <col min="10" max="10" width="12.7109375" style="0" hidden="1" customWidth="1"/>
    <col min="11" max="16384" width="12.7109375" style="0" customWidth="1"/>
  </cols>
  <sheetData>
    <row r="1" spans="1:10" ht="18.75">
      <c r="A1" s="6" t="s">
        <v>150</v>
      </c>
      <c r="B1"/>
      <c r="C1" s="12" t="s">
        <v>72</v>
      </c>
      <c r="D1" s="3"/>
      <c r="E1"/>
      <c r="F1"/>
      <c r="G1"/>
      <c r="H1" s="7" t="s">
        <v>73</v>
      </c>
      <c r="I1" s="8">
        <f>I74+I105</f>
        <v>960660.7</v>
      </c>
      <c r="J1">
        <v>100</v>
      </c>
    </row>
    <row r="2" spans="1:9" ht="18.75">
      <c r="A2" s="6"/>
      <c r="B2"/>
      <c r="C2" s="12"/>
      <c r="D2" s="3"/>
      <c r="E2"/>
      <c r="F2"/>
      <c r="G2"/>
      <c r="H2" s="7"/>
      <c r="I2" s="8"/>
    </row>
    <row r="3" spans="1:9" s="11" customFormat="1" ht="15.75">
      <c r="A3" s="26" t="s">
        <v>121</v>
      </c>
      <c r="B3" s="3"/>
      <c r="C3" s="3"/>
      <c r="D3" s="15"/>
      <c r="H3" s="10"/>
      <c r="I3" s="13"/>
    </row>
    <row r="4" spans="1:9" s="11" customFormat="1" ht="15.75">
      <c r="A4" s="26"/>
      <c r="B4" s="3"/>
      <c r="C4" s="3"/>
      <c r="D4" s="15"/>
      <c r="H4" s="10"/>
      <c r="I4" s="13"/>
    </row>
    <row r="5" spans="1:7" s="75" customFormat="1" ht="15.75">
      <c r="A5" s="34" t="s">
        <v>122</v>
      </c>
      <c r="B5" s="34" t="s">
        <v>123</v>
      </c>
      <c r="C5" s="34" t="s">
        <v>92</v>
      </c>
      <c r="D5" s="74"/>
      <c r="E5" s="34" t="s">
        <v>124</v>
      </c>
      <c r="G5" s="7"/>
    </row>
    <row r="6" spans="1:7" s="11" customFormat="1" ht="15.75">
      <c r="A6" s="28" t="s">
        <v>125</v>
      </c>
      <c r="B6" s="3" t="s">
        <v>126</v>
      </c>
      <c r="C6" s="3">
        <f>'Preamp types'!E78</f>
        <v>15700</v>
      </c>
      <c r="D6" s="15"/>
      <c r="E6" s="3">
        <f>C6*4</f>
        <v>62800</v>
      </c>
      <c r="G6" s="10"/>
    </row>
    <row r="7" spans="1:7" s="11" customFormat="1" ht="15.75">
      <c r="A7" s="28" t="s">
        <v>127</v>
      </c>
      <c r="B7" s="3" t="s">
        <v>128</v>
      </c>
      <c r="C7" s="3">
        <f>'Preamp types'!E79</f>
        <v>7300</v>
      </c>
      <c r="D7" s="15"/>
      <c r="E7" s="3">
        <f>C7*4</f>
        <v>29200</v>
      </c>
      <c r="G7" s="10"/>
    </row>
    <row r="8" spans="1:9" s="11" customFormat="1" ht="15.75">
      <c r="A8" s="28" t="s">
        <v>129</v>
      </c>
      <c r="B8" s="3" t="s">
        <v>130</v>
      </c>
      <c r="C8" s="3">
        <f>'Preamp types'!E80</f>
        <v>7000</v>
      </c>
      <c r="D8" s="15"/>
      <c r="E8" s="3">
        <f>C8*4</f>
        <v>28000</v>
      </c>
      <c r="H8" s="10"/>
      <c r="I8" s="13"/>
    </row>
    <row r="9" spans="1:9" s="11" customFormat="1" ht="15.75">
      <c r="A9" s="28"/>
      <c r="B9" s="3"/>
      <c r="C9" s="3"/>
      <c r="D9" s="15"/>
      <c r="E9" s="3"/>
      <c r="H9" s="10"/>
      <c r="I9" s="13"/>
    </row>
    <row r="10" spans="1:9" s="11" customFormat="1" ht="18.75">
      <c r="A10" s="28"/>
      <c r="B10" s="3"/>
      <c r="C10" s="3"/>
      <c r="D10" s="15"/>
      <c r="E10" s="18" t="s">
        <v>77</v>
      </c>
      <c r="F10" s="18"/>
      <c r="G10" s="18"/>
      <c r="H10" s="76">
        <f>SUM(C6:C8)</f>
        <v>30000</v>
      </c>
      <c r="I10" s="13"/>
    </row>
    <row r="11" spans="1:9" s="11" customFormat="1" ht="15.75">
      <c r="A11" s="28"/>
      <c r="B11" s="3"/>
      <c r="C11" s="3"/>
      <c r="D11" s="15"/>
      <c r="H11" s="10"/>
      <c r="I11" s="13"/>
    </row>
    <row r="12" spans="1:9" s="11" customFormat="1" ht="18.75">
      <c r="A12" s="28"/>
      <c r="B12" s="3"/>
      <c r="C12" s="3"/>
      <c r="D12" s="15"/>
      <c r="E12" s="18" t="s">
        <v>80</v>
      </c>
      <c r="F12" s="18"/>
      <c r="G12" s="18"/>
      <c r="H12" s="76">
        <f>SUM(E6:E8)</f>
        <v>120000</v>
      </c>
      <c r="I12"/>
    </row>
    <row r="13" spans="1:9" s="11" customFormat="1" ht="15.75">
      <c r="A13" s="28"/>
      <c r="B13" s="3"/>
      <c r="C13" s="3"/>
      <c r="D13" s="15"/>
      <c r="H13" s="10"/>
      <c r="I13" s="10"/>
    </row>
    <row r="14" spans="1:11" s="11" customFormat="1" ht="15.75">
      <c r="A14" s="31" t="s">
        <v>81</v>
      </c>
      <c r="B14" s="10"/>
      <c r="C14" s="30"/>
      <c r="D14" s="10" t="s">
        <v>276</v>
      </c>
      <c r="E14" s="10"/>
      <c r="F14" s="10"/>
      <c r="G14" s="10"/>
      <c r="H14" s="10"/>
      <c r="I14" s="10"/>
      <c r="J14" s="30"/>
      <c r="K14" s="30"/>
    </row>
    <row r="15" spans="1:12" s="11" customFormat="1" ht="15">
      <c r="A15" s="25"/>
      <c r="B15" s="3"/>
      <c r="C15" s="22"/>
      <c r="D15" s="3"/>
      <c r="E15" s="3"/>
      <c r="F15" s="3"/>
      <c r="G15" s="3"/>
      <c r="H15" s="3"/>
      <c r="I15" s="3"/>
      <c r="J15" s="22"/>
      <c r="K15" s="22"/>
      <c r="L15" s="22"/>
    </row>
    <row r="16" spans="1:12" ht="13.5">
      <c r="A16" s="83" t="s">
        <v>1</v>
      </c>
      <c r="B16" s="3"/>
      <c r="C16" s="3"/>
      <c r="D16" s="3"/>
      <c r="E16" s="22"/>
      <c r="F16" s="22"/>
      <c r="G16" s="22"/>
      <c r="H16" s="3"/>
      <c r="I16" s="3"/>
      <c r="J16" s="22"/>
      <c r="K16" s="22"/>
      <c r="L16" s="22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22"/>
      <c r="K17" s="22"/>
      <c r="L17" s="22"/>
    </row>
    <row r="18" spans="1:12" ht="16.5" customHeight="1">
      <c r="A18" s="3" t="s">
        <v>4</v>
      </c>
      <c r="B18" s="3" t="str">
        <f>'Component List'!C5</f>
        <v># per channel</v>
      </c>
      <c r="C18" s="3" t="s">
        <v>84</v>
      </c>
      <c r="D18" s="3" t="str">
        <f>'Component List'!F5</f>
        <v>Reel size</v>
      </c>
      <c r="E18" s="3" t="s">
        <v>254</v>
      </c>
      <c r="F18" s="3" t="s">
        <v>259</v>
      </c>
      <c r="G18" s="3" t="s">
        <v>253</v>
      </c>
      <c r="H18" s="3"/>
      <c r="I18" s="3" t="s">
        <v>87</v>
      </c>
      <c r="J18" s="22"/>
      <c r="K18" s="22"/>
      <c r="L18" s="22"/>
    </row>
    <row r="19" spans="1:12" ht="12.75">
      <c r="A19" s="3"/>
      <c r="B19" s="3"/>
      <c r="C19" s="22"/>
      <c r="D19" s="3"/>
      <c r="E19" s="3"/>
      <c r="F19" s="3"/>
      <c r="G19" s="3"/>
      <c r="H19" s="3"/>
      <c r="I19" s="3"/>
      <c r="J19" s="22"/>
      <c r="K19" s="22"/>
      <c r="L19" s="22"/>
    </row>
    <row r="20" spans="1:12" ht="12.75">
      <c r="A20" s="3">
        <f>'Component List'!B7</f>
        <v>2.43</v>
      </c>
      <c r="B20" s="3">
        <f>'Component List'!C7</f>
        <v>1</v>
      </c>
      <c r="C20" s="3">
        <f>B20*(H12)*(1+MID(D$14,14,5))</f>
        <v>124800</v>
      </c>
      <c r="D20" s="3">
        <f>'Component List'!F7</f>
        <v>5000</v>
      </c>
      <c r="E20" s="3">
        <f>ROUNDUP(C20/D20,0)</f>
        <v>25</v>
      </c>
      <c r="F20" s="3">
        <f>E20*D20</f>
        <v>125000</v>
      </c>
      <c r="G20" s="3">
        <f>F20-C20</f>
        <v>200</v>
      </c>
      <c r="H20" s="32"/>
      <c r="I20" s="17">
        <f>'Production RFQs'!H6*F20</f>
        <v>337.5</v>
      </c>
      <c r="J20" s="22"/>
      <c r="K20" s="22"/>
      <c r="L20" s="22"/>
    </row>
    <row r="21" spans="1:12" s="80" customFormat="1" ht="12.75">
      <c r="A21" s="77" t="str">
        <f>'Component List'!B8</f>
        <v>63.4 (IO-826-1)</v>
      </c>
      <c r="B21" s="77">
        <f>'Component List'!C8</f>
        <v>1</v>
      </c>
      <c r="C21" s="77">
        <f>B21*(E8)*(1+MID(D$14,14,5))</f>
        <v>29120</v>
      </c>
      <c r="D21" s="77">
        <f>'Component List'!F8</f>
        <v>3000</v>
      </c>
      <c r="E21" s="77">
        <f aca="true" t="shared" si="0" ref="E21:E26">ROUNDUP(C21/D21,0)</f>
        <v>10</v>
      </c>
      <c r="F21" s="77">
        <f aca="true" t="shared" si="1" ref="F21:F26">E21*D21</f>
        <v>30000</v>
      </c>
      <c r="G21" s="77">
        <f aca="true" t="shared" si="2" ref="G21:G26">F21-C21</f>
        <v>880</v>
      </c>
      <c r="H21" s="78"/>
      <c r="I21" s="17">
        <f>'Production RFQs'!H7*F21</f>
        <v>0</v>
      </c>
      <c r="J21" s="79"/>
      <c r="K21" s="79"/>
      <c r="L21" s="79"/>
    </row>
    <row r="22" spans="1:12" s="80" customFormat="1" ht="12.75">
      <c r="A22" s="77" t="str">
        <f>'Component List'!B9</f>
        <v>107 (IO-824-1)</v>
      </c>
      <c r="B22" s="77">
        <f>'Component List'!C9</f>
        <v>1</v>
      </c>
      <c r="C22" s="77">
        <f>B22*(E7)*(1+MID(D$14,14,5))</f>
        <v>30368</v>
      </c>
      <c r="D22" s="77">
        <f>'Component List'!F9</f>
        <v>3000</v>
      </c>
      <c r="E22" s="77">
        <f t="shared" si="0"/>
        <v>11</v>
      </c>
      <c r="F22" s="77">
        <f t="shared" si="1"/>
        <v>33000</v>
      </c>
      <c r="G22" s="77">
        <f t="shared" si="2"/>
        <v>2632</v>
      </c>
      <c r="H22" s="78"/>
      <c r="I22" s="17">
        <f>'Production RFQs'!H8*F22</f>
        <v>0</v>
      </c>
      <c r="J22" s="79"/>
      <c r="K22" s="79"/>
      <c r="L22" s="79"/>
    </row>
    <row r="23" spans="1:12" s="80" customFormat="1" ht="12.75">
      <c r="A23" s="77" t="str">
        <f>'Component List'!B10</f>
        <v>169 (IO-823-1)</v>
      </c>
      <c r="B23" s="77">
        <f>'Component List'!C10</f>
        <v>1</v>
      </c>
      <c r="C23" s="77">
        <f>B23*(E6)*(1+MID(D$14,14,5))</f>
        <v>65312</v>
      </c>
      <c r="D23" s="77">
        <f>'Component List'!F10</f>
        <v>3000</v>
      </c>
      <c r="E23" s="77">
        <f t="shared" si="0"/>
        <v>22</v>
      </c>
      <c r="F23" s="77">
        <f t="shared" si="1"/>
        <v>66000</v>
      </c>
      <c r="G23" s="77">
        <f t="shared" si="2"/>
        <v>688</v>
      </c>
      <c r="H23" s="78"/>
      <c r="I23" s="17">
        <f>'Production RFQs'!H9*F23</f>
        <v>0</v>
      </c>
      <c r="J23" s="79"/>
      <c r="K23" s="79"/>
      <c r="L23" s="79"/>
    </row>
    <row r="24" spans="1:12" s="80" customFormat="1" ht="12.75">
      <c r="A24" s="77" t="str">
        <f>'Component List'!B11</f>
        <v>619 (IO-826-1)</v>
      </c>
      <c r="B24" s="77">
        <f>'Component List'!C11</f>
        <v>1</v>
      </c>
      <c r="C24" s="77">
        <f>B24*(E8)*(1+MID(D$14,14,5))</f>
        <v>29120</v>
      </c>
      <c r="D24" s="77">
        <f>'Component List'!F11</f>
        <v>3000</v>
      </c>
      <c r="E24" s="77">
        <f t="shared" si="0"/>
        <v>10</v>
      </c>
      <c r="F24" s="77">
        <f t="shared" si="1"/>
        <v>30000</v>
      </c>
      <c r="G24" s="77">
        <f t="shared" si="2"/>
        <v>880</v>
      </c>
      <c r="H24" s="78"/>
      <c r="I24" s="17">
        <f>'Production RFQs'!H10*F24</f>
        <v>0</v>
      </c>
      <c r="J24" s="79"/>
      <c r="K24" s="79"/>
      <c r="L24" s="79"/>
    </row>
    <row r="25" spans="1:12" s="80" customFormat="1" ht="12.75">
      <c r="A25" s="77" t="str">
        <f>'Component List'!B12</f>
        <v>1K (IO-824-1)</v>
      </c>
      <c r="B25" s="77">
        <f>'Component List'!C12</f>
        <v>1</v>
      </c>
      <c r="C25" s="77">
        <f>B25*(E7)*(1+MID(D$14,14,5))</f>
        <v>30368</v>
      </c>
      <c r="D25" s="77">
        <f>'Component List'!F12</f>
        <v>3000</v>
      </c>
      <c r="E25" s="77">
        <f t="shared" si="0"/>
        <v>11</v>
      </c>
      <c r="F25" s="77">
        <f t="shared" si="1"/>
        <v>33000</v>
      </c>
      <c r="G25" s="77">
        <f t="shared" si="2"/>
        <v>2632</v>
      </c>
      <c r="H25" s="78"/>
      <c r="I25" s="17">
        <f>'Production RFQs'!H11*F25</f>
        <v>0</v>
      </c>
      <c r="J25" s="79"/>
      <c r="K25" s="79"/>
      <c r="L25" s="79"/>
    </row>
    <row r="26" spans="1:12" s="80" customFormat="1" ht="12.75">
      <c r="A26" s="77" t="str">
        <f>'Component List'!B13</f>
        <v>3.32K (IO-823-1)</v>
      </c>
      <c r="B26" s="77">
        <f>'Component List'!C13</f>
        <v>1</v>
      </c>
      <c r="C26" s="77">
        <f>B26*(E6)*(1+MID(D$14,14,5))</f>
        <v>65312</v>
      </c>
      <c r="D26" s="77">
        <f>'Component List'!F13</f>
        <v>3000</v>
      </c>
      <c r="E26" s="77">
        <f t="shared" si="0"/>
        <v>22</v>
      </c>
      <c r="F26" s="77">
        <f t="shared" si="1"/>
        <v>66000</v>
      </c>
      <c r="G26" s="77">
        <f t="shared" si="2"/>
        <v>688</v>
      </c>
      <c r="H26" s="78"/>
      <c r="I26" s="17">
        <f>'Production RFQs'!H12*F26</f>
        <v>0</v>
      </c>
      <c r="J26" s="79"/>
      <c r="K26" s="79"/>
      <c r="L26" s="79"/>
    </row>
    <row r="27" spans="1:12" ht="12.75">
      <c r="A27" s="3"/>
      <c r="B27" s="3"/>
      <c r="C27" s="3"/>
      <c r="D27" s="3"/>
      <c r="E27" s="3"/>
      <c r="F27" s="3"/>
      <c r="G27" s="3"/>
      <c r="H27" s="32"/>
      <c r="I27" s="17"/>
      <c r="J27" s="22"/>
      <c r="K27" s="22"/>
      <c r="L27" s="22"/>
    </row>
    <row r="28" spans="1:12" ht="12.75">
      <c r="A28" s="3"/>
      <c r="B28" s="3"/>
      <c r="C28" s="22"/>
      <c r="D28" s="3"/>
      <c r="E28" s="3"/>
      <c r="F28" s="3"/>
      <c r="G28" s="3"/>
      <c r="H28" s="86" t="s">
        <v>89</v>
      </c>
      <c r="I28" s="17">
        <f>SUM(I18:I26)</f>
        <v>337.5</v>
      </c>
      <c r="J28" s="22"/>
      <c r="K28" s="22"/>
      <c r="L28" s="22"/>
    </row>
    <row r="29" spans="1:12" ht="13.5">
      <c r="A29" s="83" t="s">
        <v>34</v>
      </c>
      <c r="B29" s="3"/>
      <c r="C29" s="3"/>
      <c r="D29" s="3"/>
      <c r="E29" s="3"/>
      <c r="F29" s="3"/>
      <c r="G29" s="3"/>
      <c r="H29" s="3"/>
      <c r="I29" s="3"/>
      <c r="J29" s="22"/>
      <c r="K29" s="22"/>
      <c r="L29" s="22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22"/>
      <c r="K30" s="22"/>
      <c r="L30" s="22"/>
    </row>
    <row r="31" spans="1:12" ht="12.75">
      <c r="A31" s="3" t="s">
        <v>35</v>
      </c>
      <c r="B31" s="3" t="str">
        <f>'Component List'!C18</f>
        <v># per channel</v>
      </c>
      <c r="C31" s="3" t="s">
        <v>84</v>
      </c>
      <c r="D31" s="3" t="str">
        <f>'Component List'!F18</f>
        <v>Reel size</v>
      </c>
      <c r="E31" s="3" t="s">
        <v>254</v>
      </c>
      <c r="F31" s="3" t="s">
        <v>259</v>
      </c>
      <c r="G31" s="3" t="s">
        <v>253</v>
      </c>
      <c r="H31" s="3"/>
      <c r="I31" s="3" t="s">
        <v>87</v>
      </c>
      <c r="J31" s="22"/>
      <c r="K31" s="22"/>
      <c r="L31" s="22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22"/>
      <c r="K32" s="22"/>
      <c r="L32" s="22"/>
    </row>
    <row r="33" spans="1:12" ht="12.75">
      <c r="A33" s="3" t="str">
        <f>'Component List'!B20</f>
        <v>2p</v>
      </c>
      <c r="B33" s="3">
        <f>'Component List'!C20</f>
        <v>1</v>
      </c>
      <c r="C33" s="3">
        <f>B33*(H12)*(1+MID(D$14,14,5))</f>
        <v>124800</v>
      </c>
      <c r="D33" s="3">
        <f>'Component List'!F20</f>
        <v>4000</v>
      </c>
      <c r="E33" s="3">
        <f>ROUNDUP(C33/D33,0)</f>
        <v>32</v>
      </c>
      <c r="F33" s="3">
        <f>E33*D33</f>
        <v>128000</v>
      </c>
      <c r="G33" s="3">
        <f>F33-C33</f>
        <v>3200</v>
      </c>
      <c r="H33" s="33"/>
      <c r="I33" s="17">
        <f>'Production RFQs'!H18*F33</f>
        <v>1664</v>
      </c>
      <c r="J33" s="22"/>
      <c r="K33" s="22"/>
      <c r="L33" s="22"/>
    </row>
    <row r="34" spans="1:12" ht="12.75">
      <c r="A34" s="3" t="str">
        <f>'Component List'!B21</f>
        <v>22p</v>
      </c>
      <c r="B34" s="3">
        <f>'Component List'!C21</f>
        <v>1</v>
      </c>
      <c r="C34" s="3">
        <f>B34*(H12)*(1+MID(D$14,14,5))</f>
        <v>124800</v>
      </c>
      <c r="D34" s="3">
        <f>'Component List'!F21</f>
        <v>4000</v>
      </c>
      <c r="E34" s="3">
        <f>ROUNDUP(C34/D34,0)</f>
        <v>32</v>
      </c>
      <c r="F34" s="3">
        <f>E34*D34</f>
        <v>128000</v>
      </c>
      <c r="G34" s="3">
        <f>F34-C34</f>
        <v>3200</v>
      </c>
      <c r="H34" s="22"/>
      <c r="I34" s="17">
        <f>'Production RFQs'!H19*F34</f>
        <v>1536</v>
      </c>
      <c r="J34" s="22"/>
      <c r="K34" s="22"/>
      <c r="L34" s="22"/>
    </row>
    <row r="35" spans="1:12" ht="12.75">
      <c r="A35" s="3" t="str">
        <f>'Component List'!B22</f>
        <v>100n</v>
      </c>
      <c r="B35" s="3">
        <f>'Component List'!C22</f>
        <v>3</v>
      </c>
      <c r="C35" s="3">
        <f>B35*(H12)*(1+MID(D$14,14,5))</f>
        <v>374400</v>
      </c>
      <c r="D35" s="3">
        <f>'Component List'!F22</f>
        <v>4000</v>
      </c>
      <c r="E35" s="3">
        <f>ROUNDUP(C35/D35,0)</f>
        <v>94</v>
      </c>
      <c r="F35" s="3">
        <f>E35*D35</f>
        <v>376000</v>
      </c>
      <c r="G35" s="3">
        <f>F35-C35</f>
        <v>1600</v>
      </c>
      <c r="H35" s="33"/>
      <c r="I35" s="17">
        <f>'Production RFQs'!H20*F35</f>
        <v>3271.2</v>
      </c>
      <c r="J35" s="22"/>
      <c r="K35" s="22"/>
      <c r="L35" s="22"/>
    </row>
    <row r="36" spans="1:12" ht="12.75">
      <c r="A36" s="3" t="str">
        <f>'Component List'!B23</f>
        <v>1m  ( SMD 1206)</v>
      </c>
      <c r="B36" s="3">
        <f>'Component List'!C23</f>
        <v>3</v>
      </c>
      <c r="C36" s="3">
        <f>B36*(H12)*(1+MID(D$14,14,5))</f>
        <v>374400</v>
      </c>
      <c r="D36" s="3">
        <f>'Component List'!F23</f>
        <v>3000</v>
      </c>
      <c r="E36" s="3">
        <f>ROUNDUP(C36/D36,0)</f>
        <v>125</v>
      </c>
      <c r="F36" s="3">
        <f>E36*D36</f>
        <v>375000</v>
      </c>
      <c r="G36" s="3">
        <f>F36-C36</f>
        <v>600</v>
      </c>
      <c r="H36" s="33"/>
      <c r="I36" s="17">
        <f>'Production RFQs'!H21*F36</f>
        <v>11250</v>
      </c>
      <c r="J36" s="22"/>
      <c r="K36" s="22"/>
      <c r="L36" s="22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22"/>
      <c r="K37" s="22"/>
      <c r="L37" s="22"/>
    </row>
    <row r="38" spans="1:12" ht="12.75">
      <c r="A38" s="22"/>
      <c r="B38" s="3"/>
      <c r="C38" s="3"/>
      <c r="D38" s="3"/>
      <c r="E38" s="3"/>
      <c r="F38" s="3"/>
      <c r="G38" s="3"/>
      <c r="H38" s="86" t="s">
        <v>89</v>
      </c>
      <c r="I38" s="17">
        <f>SUM(I31:I36)</f>
        <v>17721.2</v>
      </c>
      <c r="J38" s="22"/>
      <c r="K38" s="22"/>
      <c r="L38" s="22"/>
    </row>
    <row r="39" spans="1:12" ht="13.5">
      <c r="A39" s="83" t="s">
        <v>45</v>
      </c>
      <c r="B39" s="3"/>
      <c r="C39" s="3"/>
      <c r="D39" s="3"/>
      <c r="E39" s="3"/>
      <c r="F39" s="3"/>
      <c r="G39" s="3"/>
      <c r="H39" s="3"/>
      <c r="I39" s="3"/>
      <c r="J39" s="22"/>
      <c r="K39" s="22"/>
      <c r="L39" s="22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22"/>
      <c r="K40" s="22"/>
      <c r="L40" s="22"/>
    </row>
    <row r="41" spans="1:12" ht="12.75">
      <c r="A41" s="3" t="s">
        <v>47</v>
      </c>
      <c r="B41" s="3" t="str">
        <f>'Component List'!C28</f>
        <v># per channel</v>
      </c>
      <c r="C41" s="3" t="s">
        <v>84</v>
      </c>
      <c r="D41" s="3" t="str">
        <f>'Component List'!F28</f>
        <v>Reel size</v>
      </c>
      <c r="E41" s="3" t="s">
        <v>254</v>
      </c>
      <c r="F41" s="3" t="s">
        <v>259</v>
      </c>
      <c r="G41" s="3" t="s">
        <v>253</v>
      </c>
      <c r="H41" s="3"/>
      <c r="I41" s="3" t="s">
        <v>87</v>
      </c>
      <c r="J41" s="22"/>
      <c r="K41" s="22"/>
      <c r="L41" s="22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22"/>
      <c r="K42" s="22"/>
      <c r="L42" s="22"/>
    </row>
    <row r="43" spans="1:12" ht="12.75">
      <c r="A43" s="3" t="str">
        <f>'Component List'!B32</f>
        <v>6.8 (IO-826-1)</v>
      </c>
      <c r="B43" s="3">
        <f>'Component List'!C32</f>
        <v>1</v>
      </c>
      <c r="C43" s="3">
        <f>B43*(E8)*(1+MID(D$14,14,5))</f>
        <v>29120</v>
      </c>
      <c r="D43" s="3">
        <f>'Component List'!F32</f>
        <v>4000</v>
      </c>
      <c r="E43" s="3">
        <f>ROUNDUP(C43/D43,0)</f>
        <v>8</v>
      </c>
      <c r="F43" s="3">
        <f>E43*D43</f>
        <v>32000</v>
      </c>
      <c r="G43" s="3">
        <f>F43-C43</f>
        <v>2880</v>
      </c>
      <c r="H43" s="17"/>
      <c r="I43" s="17">
        <f>'Production RFQs'!H27*F43</f>
        <v>3200</v>
      </c>
      <c r="J43" s="22"/>
      <c r="K43" s="22"/>
      <c r="L43" s="22"/>
    </row>
    <row r="44" spans="1:12" ht="12.75">
      <c r="A44" s="3" t="str">
        <f>'Component List'!B33</f>
        <v>8.2 (IO-824-1)</v>
      </c>
      <c r="B44" s="3">
        <f>'Component List'!C33</f>
        <v>1</v>
      </c>
      <c r="C44" s="3">
        <f>B44*(E7)*(1+MID(D$14,14,5))</f>
        <v>30368</v>
      </c>
      <c r="D44" s="3">
        <f>'Component List'!F33</f>
        <v>4000</v>
      </c>
      <c r="E44" s="3">
        <f>ROUNDUP(C44/D44,0)</f>
        <v>8</v>
      </c>
      <c r="F44" s="3">
        <f>E44*D44</f>
        <v>32000</v>
      </c>
      <c r="G44" s="3">
        <f>F44-C44</f>
        <v>1632</v>
      </c>
      <c r="H44" s="17"/>
      <c r="I44" s="17">
        <f>'Production RFQs'!H28*F44</f>
        <v>3200</v>
      </c>
      <c r="J44" s="22"/>
      <c r="K44" s="22"/>
      <c r="L44" s="22"/>
    </row>
    <row r="45" spans="1:12" ht="12.75">
      <c r="A45" s="3" t="str">
        <f>'Component List'!B34</f>
        <v>33 (IO-823-1)</v>
      </c>
      <c r="B45" s="3">
        <f>'Component List'!C34</f>
        <v>1</v>
      </c>
      <c r="C45" s="3">
        <f>B45*(E6)*(1+MID(D$14,14,5))</f>
        <v>65312</v>
      </c>
      <c r="D45" s="3">
        <f>'Component List'!F34</f>
        <v>4000</v>
      </c>
      <c r="E45" s="3">
        <f>ROUNDUP(C45/D45,0)</f>
        <v>17</v>
      </c>
      <c r="F45" s="3">
        <f>E45*D45</f>
        <v>68000</v>
      </c>
      <c r="G45" s="3">
        <f>F45-C45</f>
        <v>2688</v>
      </c>
      <c r="H45" s="17"/>
      <c r="I45" s="17">
        <f>'Production RFQs'!H29*F45</f>
        <v>6800</v>
      </c>
      <c r="J45" s="22"/>
      <c r="K45" s="22"/>
      <c r="L45" s="22"/>
    </row>
    <row r="46" spans="1:12" ht="12.75">
      <c r="A46" s="3" t="str">
        <f>'Component List'!B30</f>
        <v>47 (IO-824/6-1)</v>
      </c>
      <c r="B46" s="3">
        <f>'Component List'!C30</f>
        <v>1</v>
      </c>
      <c r="C46" s="3">
        <f>B46*(E7*(1+MID(D$14,14,5))+E8*(1+MID(D$14,14,5)))</f>
        <v>59488</v>
      </c>
      <c r="D46" s="3">
        <f>'Component List'!F30</f>
        <v>3000</v>
      </c>
      <c r="E46" s="3">
        <f>ROUNDUP(C46/D46,0)</f>
        <v>20</v>
      </c>
      <c r="F46" s="3">
        <f>E46*D46</f>
        <v>60000</v>
      </c>
      <c r="G46" s="3">
        <f>F46-C46</f>
        <v>512</v>
      </c>
      <c r="H46" s="17"/>
      <c r="I46" s="17">
        <f>'Production RFQs'!H30*F46</f>
        <v>6000</v>
      </c>
      <c r="J46" s="22"/>
      <c r="K46" s="22"/>
      <c r="L46" s="22"/>
    </row>
    <row r="47" spans="1:12" ht="12.75">
      <c r="A47" s="3" t="str">
        <f>'Component List'!B31</f>
        <v>100 (IO-823-1)</v>
      </c>
      <c r="B47" s="3">
        <f>'Component List'!C31</f>
        <v>1</v>
      </c>
      <c r="C47" s="3">
        <f>B47*(E6)*(1+MID(D$14,14,5))</f>
        <v>65312</v>
      </c>
      <c r="D47" s="3">
        <f>'Component List'!F31</f>
        <v>3000</v>
      </c>
      <c r="E47" s="3">
        <f>ROUNDUP(C47/D47,0)</f>
        <v>22</v>
      </c>
      <c r="F47" s="3">
        <f>E47*D47</f>
        <v>66000</v>
      </c>
      <c r="G47" s="3">
        <f>F47-C47</f>
        <v>688</v>
      </c>
      <c r="H47" s="3"/>
      <c r="I47" s="17">
        <f>'Production RFQs'!H31*F47</f>
        <v>6600</v>
      </c>
      <c r="J47" s="22"/>
      <c r="K47" s="22"/>
      <c r="L47" s="22"/>
    </row>
    <row r="48" spans="1:12" ht="12.75">
      <c r="A48" s="3"/>
      <c r="B48" s="3"/>
      <c r="C48" s="3"/>
      <c r="D48" s="3"/>
      <c r="E48" s="3"/>
      <c r="F48" s="3"/>
      <c r="G48" s="3"/>
      <c r="H48" s="3"/>
      <c r="I48" s="17"/>
      <c r="J48" s="22"/>
      <c r="K48" s="22"/>
      <c r="L48" s="22"/>
    </row>
    <row r="49" spans="1:12" ht="12.75">
      <c r="A49" s="3"/>
      <c r="B49" s="3"/>
      <c r="C49" s="3"/>
      <c r="D49" s="3"/>
      <c r="E49" s="3"/>
      <c r="F49" s="3"/>
      <c r="G49" s="3"/>
      <c r="H49" s="86" t="s">
        <v>89</v>
      </c>
      <c r="I49" s="17">
        <f>SUM(I41:I47)</f>
        <v>25800</v>
      </c>
      <c r="J49" s="22"/>
      <c r="K49" s="22"/>
      <c r="L49" s="22"/>
    </row>
    <row r="50" spans="1:12" ht="13.5">
      <c r="A50" s="83" t="s">
        <v>54</v>
      </c>
      <c r="B50" s="3"/>
      <c r="C50" s="3"/>
      <c r="D50" s="3"/>
      <c r="E50" s="3"/>
      <c r="F50" s="3"/>
      <c r="G50" s="3"/>
      <c r="H50" s="3"/>
      <c r="I50" s="3"/>
      <c r="J50" s="22"/>
      <c r="K50" s="22"/>
      <c r="L50" s="22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22"/>
      <c r="K51" s="22"/>
      <c r="L51" s="22"/>
    </row>
    <row r="52" spans="1:12" ht="12.75">
      <c r="A52" s="3" t="s">
        <v>56</v>
      </c>
      <c r="B52" s="3" t="str">
        <f>'Component List'!C39</f>
        <v># per channel</v>
      </c>
      <c r="C52" s="3" t="s">
        <v>84</v>
      </c>
      <c r="D52" s="3" t="str">
        <f>'Component List'!F39</f>
        <v>Reel size</v>
      </c>
      <c r="E52" s="3" t="s">
        <v>254</v>
      </c>
      <c r="F52" s="3" t="s">
        <v>259</v>
      </c>
      <c r="G52" s="3" t="s">
        <v>253</v>
      </c>
      <c r="H52" s="3"/>
      <c r="I52" s="3" t="s">
        <v>87</v>
      </c>
      <c r="J52" s="22"/>
      <c r="K52" s="22"/>
      <c r="L52" s="22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22"/>
      <c r="K53" s="22"/>
      <c r="L53" s="22"/>
    </row>
    <row r="54" spans="1:12" ht="12.75">
      <c r="A54" s="3" t="str">
        <f>'Component List'!B41</f>
        <v>Series Connection</v>
      </c>
      <c r="B54" s="3">
        <f>'Component List'!C41</f>
        <v>2</v>
      </c>
      <c r="C54" s="3">
        <f>B54*(H12)*(1+MID(D$14,14,5))</f>
        <v>249600</v>
      </c>
      <c r="D54" s="3">
        <f>'Component List'!F41</f>
        <v>3000</v>
      </c>
      <c r="E54" s="3">
        <f>ROUNDUP(C54/D54,0)</f>
        <v>84</v>
      </c>
      <c r="F54" s="3">
        <f>E54*D54</f>
        <v>252000</v>
      </c>
      <c r="G54" s="3">
        <f>F54-C54</f>
        <v>2400</v>
      </c>
      <c r="H54" s="17"/>
      <c r="I54" s="17">
        <f>'Production RFQs'!H37*F54</f>
        <v>8694</v>
      </c>
      <c r="J54" s="22"/>
      <c r="K54" s="22"/>
      <c r="L54" s="22"/>
    </row>
    <row r="55" spans="1:12" ht="12.75">
      <c r="A55" s="3" t="str">
        <f>'Component List'!B42</f>
        <v>Common Cathode</v>
      </c>
      <c r="B55" s="3">
        <f>'Component List'!C42</f>
        <v>0.5</v>
      </c>
      <c r="C55" s="3">
        <f>B55*(H12)*(1+MID(D$14,14,5))</f>
        <v>62400</v>
      </c>
      <c r="D55" s="3">
        <f>'Component List'!F42</f>
        <v>3000</v>
      </c>
      <c r="E55" s="3">
        <f>ROUNDUP(C55/D55,0)</f>
        <v>21</v>
      </c>
      <c r="F55" s="3">
        <f>E55*D55</f>
        <v>63000</v>
      </c>
      <c r="G55" s="3">
        <f>F55-C55</f>
        <v>600</v>
      </c>
      <c r="H55" s="17"/>
      <c r="I55" s="17">
        <f>'Production RFQs'!H38*F55</f>
        <v>3276</v>
      </c>
      <c r="J55" s="22"/>
      <c r="K55" s="22"/>
      <c r="L55" s="22"/>
    </row>
    <row r="56" spans="1:12" ht="12.75">
      <c r="A56" s="3"/>
      <c r="B56" s="3"/>
      <c r="C56" s="3"/>
      <c r="D56" s="3"/>
      <c r="E56" s="3"/>
      <c r="F56" s="3"/>
      <c r="G56" s="3"/>
      <c r="H56" s="17"/>
      <c r="I56" s="17"/>
      <c r="J56" s="22"/>
      <c r="K56" s="22"/>
      <c r="L56" s="22"/>
    </row>
    <row r="57" spans="1:12" ht="12.75">
      <c r="A57" s="3"/>
      <c r="B57" s="3"/>
      <c r="C57" s="3"/>
      <c r="D57" s="3"/>
      <c r="E57" s="3"/>
      <c r="F57" s="3"/>
      <c r="G57" s="3"/>
      <c r="H57" s="86" t="s">
        <v>89</v>
      </c>
      <c r="I57" s="17">
        <f>SUM(I52:I56)</f>
        <v>11970</v>
      </c>
      <c r="J57" s="22"/>
      <c r="K57" s="22"/>
      <c r="L57" s="22"/>
    </row>
    <row r="58" spans="1:12" ht="13.5">
      <c r="A58" s="83" t="s">
        <v>61</v>
      </c>
      <c r="B58" s="3"/>
      <c r="C58" s="3"/>
      <c r="D58" s="3"/>
      <c r="E58" s="3"/>
      <c r="F58" s="3"/>
      <c r="G58" s="3"/>
      <c r="H58" s="3"/>
      <c r="I58" s="3"/>
      <c r="J58" s="22"/>
      <c r="K58" s="22"/>
      <c r="L58" s="22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22"/>
      <c r="K59" s="22"/>
      <c r="L59" s="22"/>
    </row>
    <row r="60" spans="1:12" ht="12.75">
      <c r="A60" s="3" t="s">
        <v>56</v>
      </c>
      <c r="B60" s="3" t="str">
        <f>'Component List'!C46</f>
        <v># per channel</v>
      </c>
      <c r="C60" s="3" t="s">
        <v>84</v>
      </c>
      <c r="D60" s="3" t="str">
        <f>'Component List'!F46</f>
        <v>Reel size</v>
      </c>
      <c r="E60" s="3" t="s">
        <v>254</v>
      </c>
      <c r="F60" s="3" t="s">
        <v>259</v>
      </c>
      <c r="G60" s="3" t="s">
        <v>253</v>
      </c>
      <c r="H60" s="3"/>
      <c r="I60" s="3" t="s">
        <v>87</v>
      </c>
      <c r="J60" s="22"/>
      <c r="K60" s="22"/>
      <c r="L60" s="22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22"/>
      <c r="K61" s="22"/>
      <c r="L61" s="22"/>
    </row>
    <row r="62" spans="1:12" ht="12.75">
      <c r="A62" s="3" t="str">
        <f>'Component List'!B48</f>
        <v>NE856 </v>
      </c>
      <c r="B62" s="3">
        <f>'Component List'!C48</f>
        <v>4</v>
      </c>
      <c r="C62" s="3">
        <f>B62*(H12)*(1+MID(D$14,14,5))</f>
        <v>499200</v>
      </c>
      <c r="D62" s="3">
        <f>'Component List'!F48</f>
        <v>3000</v>
      </c>
      <c r="E62" s="3">
        <f>ROUNDUP(C62/D62,0)</f>
        <v>167</v>
      </c>
      <c r="F62" s="3">
        <f>E62*D62</f>
        <v>501000</v>
      </c>
      <c r="G62" s="3">
        <f>F62-C62</f>
        <v>1800</v>
      </c>
      <c r="H62" s="32"/>
      <c r="I62" s="17">
        <f>'Production RFQs'!H44*F62</f>
        <v>85170</v>
      </c>
      <c r="J62" s="22"/>
      <c r="K62" s="22"/>
      <c r="L62" s="22"/>
    </row>
    <row r="63" spans="1:12" ht="12.75">
      <c r="A63" s="3" t="str">
        <f>'Component List'!B49</f>
        <v>BF569</v>
      </c>
      <c r="B63" s="3">
        <f>'Component List'!C49</f>
        <v>2</v>
      </c>
      <c r="C63" s="3">
        <f>B63*(H12)*(1+MID(D$14,14,5))</f>
        <v>249600</v>
      </c>
      <c r="D63" s="3">
        <f>'Component List'!F49</f>
        <v>3000</v>
      </c>
      <c r="E63" s="3">
        <f>ROUNDUP(C63/D63,0)</f>
        <v>84</v>
      </c>
      <c r="F63" s="3">
        <f>E63*D63</f>
        <v>252000</v>
      </c>
      <c r="G63" s="3">
        <f>F63-C63</f>
        <v>2400</v>
      </c>
      <c r="H63" s="32"/>
      <c r="I63" s="17">
        <f>'Production RFQs'!H45*F63</f>
        <v>42840</v>
      </c>
      <c r="J63" s="22"/>
      <c r="K63" s="22"/>
      <c r="L63" s="22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22"/>
      <c r="K64" s="22"/>
      <c r="L64" s="22"/>
    </row>
    <row r="65" spans="1:12" ht="12.75">
      <c r="A65" s="3"/>
      <c r="B65" s="3"/>
      <c r="C65" s="3"/>
      <c r="D65" s="3"/>
      <c r="E65" s="3"/>
      <c r="F65" s="3"/>
      <c r="G65" s="3"/>
      <c r="H65" s="86" t="s">
        <v>89</v>
      </c>
      <c r="I65" s="17">
        <f>SUM(I60:I63)</f>
        <v>128010</v>
      </c>
      <c r="J65" s="22"/>
      <c r="K65" s="22"/>
      <c r="L65" s="22"/>
    </row>
    <row r="66" spans="1:12" ht="13.5">
      <c r="A66" s="83" t="s">
        <v>69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3" ht="12.75">
      <c r="A67" s="3"/>
      <c r="B67" s="3" t="str">
        <f>'Component List'!C55</f>
        <v># per hybrid</v>
      </c>
      <c r="C67" s="3" t="s">
        <v>84</v>
      </c>
      <c r="D67" s="3" t="str">
        <f>'Component List'!F55</f>
        <v>Reel size</v>
      </c>
      <c r="E67" s="3" t="s">
        <v>254</v>
      </c>
      <c r="F67" s="3" t="s">
        <v>259</v>
      </c>
      <c r="G67" s="3" t="s">
        <v>253</v>
      </c>
      <c r="H67" s="3"/>
      <c r="I67" s="3" t="s">
        <v>87</v>
      </c>
      <c r="J67" s="3" t="s">
        <v>9</v>
      </c>
      <c r="K67" s="3"/>
      <c r="L67" s="3"/>
      <c r="M67" s="2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</row>
    <row r="69" spans="1:12" ht="12.75">
      <c r="A69" s="3" t="s">
        <v>186</v>
      </c>
      <c r="B69" s="3">
        <v>20</v>
      </c>
      <c r="C69" s="3">
        <f>B69*(H12/4)*(1+MID(D$14,14,5))</f>
        <v>624000</v>
      </c>
      <c r="D69" s="3">
        <f>'Component List'!F57</f>
        <v>36000</v>
      </c>
      <c r="E69" s="3">
        <f>ROUNDUP(C69/D69,0)</f>
        <v>18</v>
      </c>
      <c r="F69" s="3">
        <f>E69*D69</f>
        <v>648000</v>
      </c>
      <c r="G69" s="3">
        <f>F69-C69</f>
        <v>24000</v>
      </c>
      <c r="H69" s="3"/>
      <c r="I69" s="17">
        <f>'Production RFQs'!I55*F69</f>
        <v>9072</v>
      </c>
      <c r="J69" s="17" t="e">
        <f>ROUNDUP((#REF!/H69),0)*H69*I69</f>
        <v>#REF!</v>
      </c>
      <c r="K69" s="3"/>
      <c r="L69" s="3"/>
    </row>
    <row r="70" spans="1:12" ht="12.75">
      <c r="A70" s="17" t="str">
        <f>'Production RFQs'!C57</f>
        <v>Tooling costs</v>
      </c>
      <c r="C70" s="17" t="str">
        <f>'Production RFQs'!D57</f>
        <v>(i.e. precoined height)</v>
      </c>
      <c r="D70" s="3"/>
      <c r="E70" s="3"/>
      <c r="F70" s="3"/>
      <c r="G70" s="3"/>
      <c r="H70" s="3"/>
      <c r="I70" s="17">
        <f>'Production RFQs'!F57</f>
        <v>1500</v>
      </c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17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86" t="s">
        <v>89</v>
      </c>
      <c r="I72" s="17">
        <f>SUM(I66:I70)</f>
        <v>10572</v>
      </c>
      <c r="J72" s="17" t="e">
        <f>J69</f>
        <v>#REF!</v>
      </c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5"/>
      <c r="I73" s="17"/>
      <c r="J73" s="17"/>
      <c r="K73" s="3"/>
      <c r="L73" s="3"/>
    </row>
    <row r="74" spans="1:12" ht="15.75">
      <c r="A74" s="3"/>
      <c r="B74" s="3"/>
      <c r="C74" s="3"/>
      <c r="D74" s="3"/>
      <c r="E74" s="3"/>
      <c r="F74" s="3"/>
      <c r="G74" s="85" t="s">
        <v>93</v>
      </c>
      <c r="H74" s="5"/>
      <c r="I74" s="84">
        <f>I28+I38+I49+I57+I65+I72</f>
        <v>194410.7</v>
      </c>
      <c r="J74" s="22"/>
      <c r="K74" s="22"/>
      <c r="L74" s="22"/>
    </row>
    <row r="75" spans="1:12" ht="15.75">
      <c r="A75" s="3"/>
      <c r="B75" s="3"/>
      <c r="C75" s="3"/>
      <c r="D75" s="3"/>
      <c r="E75" s="3"/>
      <c r="F75" s="3"/>
      <c r="G75" s="85"/>
      <c r="H75" s="5"/>
      <c r="I75" s="84"/>
      <c r="J75" s="22"/>
      <c r="K75" s="22"/>
      <c r="L75" s="22"/>
    </row>
    <row r="76" spans="1:12" ht="15.75">
      <c r="A76" s="3"/>
      <c r="B76" s="3"/>
      <c r="C76" s="3"/>
      <c r="D76" s="3"/>
      <c r="E76" s="3"/>
      <c r="F76" s="3"/>
      <c r="G76" s="85"/>
      <c r="H76" s="5"/>
      <c r="I76" s="84"/>
      <c r="J76" s="22"/>
      <c r="K76" s="22"/>
      <c r="L76" s="22"/>
    </row>
    <row r="77" spans="1:12" ht="12.75">
      <c r="A77" s="3"/>
      <c r="B77" s="3"/>
      <c r="C77" s="3"/>
      <c r="D77" s="3"/>
      <c r="E77" s="3"/>
      <c r="F77" s="3"/>
      <c r="G77" s="3"/>
      <c r="H77" s="5"/>
      <c r="I77" s="17"/>
      <c r="J77" s="22"/>
      <c r="K77" s="22"/>
      <c r="L77" s="22"/>
    </row>
    <row r="78" spans="1:12" ht="12.75">
      <c r="A78" s="34" t="s">
        <v>94</v>
      </c>
      <c r="B78" s="3"/>
      <c r="C78" s="3"/>
      <c r="D78" s="3"/>
      <c r="E78" s="3"/>
      <c r="F78" s="3"/>
      <c r="G78" s="3"/>
      <c r="H78" s="3"/>
      <c r="I78" s="3"/>
      <c r="J78" s="22"/>
      <c r="K78" s="22"/>
      <c r="L78" s="22"/>
    </row>
    <row r="79" spans="1:12" ht="13.5">
      <c r="A79" s="9" t="s">
        <v>151</v>
      </c>
      <c r="B79" s="3"/>
      <c r="C79" s="3"/>
      <c r="D79" s="3"/>
      <c r="E79" s="3"/>
      <c r="F79" s="3"/>
      <c r="G79" s="3"/>
      <c r="H79" s="3"/>
      <c r="I79" s="3"/>
      <c r="J79" s="22"/>
      <c r="K79" s="22"/>
      <c r="L79" s="22"/>
    </row>
    <row r="80" spans="1:12" ht="13.5">
      <c r="A80" s="9"/>
      <c r="B80" s="3"/>
      <c r="C80" s="3"/>
      <c r="D80" s="3"/>
      <c r="E80" s="3"/>
      <c r="F80" s="3"/>
      <c r="G80" s="3"/>
      <c r="H80" s="3"/>
      <c r="I80" s="3"/>
      <c r="J80" s="22"/>
      <c r="K80" s="22"/>
      <c r="L80" s="22"/>
    </row>
    <row r="81" spans="1:12" ht="13.5">
      <c r="A81" s="9"/>
      <c r="B81" s="25" t="s">
        <v>96</v>
      </c>
      <c r="C81" s="3"/>
      <c r="D81" s="3"/>
      <c r="E81" s="3"/>
      <c r="F81" s="3"/>
      <c r="G81" s="3"/>
      <c r="H81" s="3" t="s">
        <v>8</v>
      </c>
      <c r="I81" s="3" t="s">
        <v>87</v>
      </c>
      <c r="J81" s="22"/>
      <c r="K81" s="22"/>
      <c r="L81" s="22"/>
    </row>
    <row r="82" spans="1:12" ht="13.5">
      <c r="A82" s="9"/>
      <c r="B82" s="25"/>
      <c r="C82" s="3"/>
      <c r="D82" s="3"/>
      <c r="E82" s="3"/>
      <c r="F82" s="3"/>
      <c r="G82" s="3"/>
      <c r="H82" s="3"/>
      <c r="I82" s="3"/>
      <c r="J82" s="22"/>
      <c r="K82" s="22"/>
      <c r="L82" s="22"/>
    </row>
    <row r="83" spans="1:12" ht="13.5">
      <c r="A83" s="9"/>
      <c r="B83" s="3">
        <v>10</v>
      </c>
      <c r="C83" s="3"/>
      <c r="D83" s="3"/>
      <c r="E83" s="3"/>
      <c r="F83" s="3"/>
      <c r="G83" s="3"/>
      <c r="H83" s="17">
        <v>50</v>
      </c>
      <c r="I83" s="17">
        <f>PRODUCT(B83,H83)</f>
        <v>500</v>
      </c>
      <c r="J83" s="22"/>
      <c r="K83" s="22"/>
      <c r="L83" s="22"/>
    </row>
    <row r="84" spans="1:12" ht="13.5">
      <c r="A84" s="9"/>
      <c r="B84" s="3"/>
      <c r="C84" s="3"/>
      <c r="D84" s="3"/>
      <c r="E84" s="3"/>
      <c r="F84" s="3"/>
      <c r="G84" s="3"/>
      <c r="H84" s="3"/>
      <c r="I84" s="3"/>
      <c r="J84" s="22"/>
      <c r="K84" s="22"/>
      <c r="L84" s="22"/>
    </row>
    <row r="85" spans="1:12" ht="12.75">
      <c r="A85" s="3"/>
      <c r="B85" s="3" t="s">
        <v>92</v>
      </c>
      <c r="C85" s="3" t="s">
        <v>97</v>
      </c>
      <c r="D85" s="3" t="s">
        <v>98</v>
      </c>
      <c r="E85" s="3" t="s">
        <v>99</v>
      </c>
      <c r="F85" s="3"/>
      <c r="G85" s="3"/>
      <c r="H85" s="3" t="s">
        <v>8</v>
      </c>
      <c r="I85" s="3" t="s">
        <v>87</v>
      </c>
      <c r="J85" s="22"/>
      <c r="K85" s="22"/>
      <c r="L85" s="22"/>
    </row>
    <row r="86" spans="1:12" ht="12.75">
      <c r="A86" s="22"/>
      <c r="B86" s="3"/>
      <c r="C86" s="3"/>
      <c r="D86" s="3"/>
      <c r="E86" s="3"/>
      <c r="F86" s="3"/>
      <c r="G86" s="3"/>
      <c r="H86" s="3"/>
      <c r="I86" s="3"/>
      <c r="J86" s="22"/>
      <c r="K86" s="22"/>
      <c r="L86" s="22"/>
    </row>
    <row r="87" spans="1:12" ht="12.75">
      <c r="A87" s="22"/>
      <c r="B87" s="3">
        <f>H10</f>
        <v>30000</v>
      </c>
      <c r="C87" s="3">
        <v>4</v>
      </c>
      <c r="D87" s="3">
        <f>ROUNDUP((B87/C87)*(1+0.1),0)</f>
        <v>8250</v>
      </c>
      <c r="E87" s="3">
        <v>8500</v>
      </c>
      <c r="F87" s="3"/>
      <c r="G87" s="3"/>
      <c r="H87" s="17">
        <v>3</v>
      </c>
      <c r="I87" s="17">
        <f>PRODUCT(E87,H87)</f>
        <v>25500</v>
      </c>
      <c r="J87" s="22"/>
      <c r="K87" s="22"/>
      <c r="L87" s="22"/>
    </row>
    <row r="88" spans="1:12" ht="12.75">
      <c r="A88" s="22"/>
      <c r="B88" s="3"/>
      <c r="C88" s="3"/>
      <c r="D88" s="3"/>
      <c r="E88" s="3"/>
      <c r="F88" s="3"/>
      <c r="G88" s="3"/>
      <c r="H88" s="17"/>
      <c r="I88" s="17"/>
      <c r="J88" s="22"/>
      <c r="K88" s="22"/>
      <c r="L88" s="22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22"/>
      <c r="K89" s="22"/>
      <c r="L89" s="22"/>
    </row>
    <row r="90" spans="1:12" ht="13.5">
      <c r="A90" s="9" t="s">
        <v>100</v>
      </c>
      <c r="B90" s="3"/>
      <c r="C90" s="3"/>
      <c r="D90" s="3"/>
      <c r="E90" s="3"/>
      <c r="F90" s="3"/>
      <c r="G90" s="3"/>
      <c r="H90" s="3"/>
      <c r="I90" s="3"/>
      <c r="J90" s="22"/>
      <c r="K90" s="22"/>
      <c r="L90" s="22"/>
    </row>
    <row r="91" spans="1:12" ht="13.5">
      <c r="A91" s="9"/>
      <c r="B91" s="3"/>
      <c r="C91" s="3"/>
      <c r="D91" s="3"/>
      <c r="E91" s="3"/>
      <c r="F91" s="3"/>
      <c r="G91" s="3"/>
      <c r="H91" s="3"/>
      <c r="I91" s="3"/>
      <c r="J91" s="22"/>
      <c r="K91" s="22"/>
      <c r="L91" s="22"/>
    </row>
    <row r="92" spans="1:12" ht="13.5">
      <c r="A92" s="9"/>
      <c r="B92" s="3" t="s">
        <v>101</v>
      </c>
      <c r="C92" s="3"/>
      <c r="D92" s="22" t="s">
        <v>147</v>
      </c>
      <c r="E92" s="22"/>
      <c r="F92" s="22"/>
      <c r="G92" s="22"/>
      <c r="H92" s="17"/>
      <c r="I92" s="3" t="s">
        <v>87</v>
      </c>
      <c r="J92" s="22"/>
      <c r="K92" s="22"/>
      <c r="L92" s="22"/>
    </row>
    <row r="93" spans="1:12" ht="13.5">
      <c r="A93" s="9"/>
      <c r="B93" s="3"/>
      <c r="C93" s="3"/>
      <c r="D93" s="25"/>
      <c r="E93" s="22"/>
      <c r="F93" s="22"/>
      <c r="G93" s="22"/>
      <c r="H93" s="17"/>
      <c r="I93" s="17"/>
      <c r="J93" s="22"/>
      <c r="K93" s="22"/>
      <c r="L93" s="22"/>
    </row>
    <row r="94" spans="1:12" ht="13.5">
      <c r="A94" s="9"/>
      <c r="B94" s="21">
        <v>3</v>
      </c>
      <c r="C94" s="3"/>
      <c r="D94" s="17">
        <v>1100</v>
      </c>
      <c r="E94" s="22"/>
      <c r="F94" s="22"/>
      <c r="G94" s="22"/>
      <c r="H94" s="17"/>
      <c r="I94" s="17">
        <f>PRODUCT((B94,D94),1)</f>
        <v>3300</v>
      </c>
      <c r="J94" s="22"/>
      <c r="K94" s="22"/>
      <c r="L94" s="22"/>
    </row>
    <row r="95" spans="1:12" ht="13.5">
      <c r="A95" s="9"/>
      <c r="B95" s="3"/>
      <c r="C95" s="3"/>
      <c r="D95" s="3"/>
      <c r="E95" s="3"/>
      <c r="F95" s="3"/>
      <c r="G95" s="3"/>
      <c r="H95" s="3"/>
      <c r="I95" s="3"/>
      <c r="J95" s="22"/>
      <c r="K95" s="22"/>
      <c r="L95" s="22"/>
    </row>
    <row r="96" spans="1:12" ht="12.75">
      <c r="A96" s="22"/>
      <c r="B96" s="3" t="s">
        <v>101</v>
      </c>
      <c r="C96" s="3"/>
      <c r="D96" s="25" t="s">
        <v>148</v>
      </c>
      <c r="E96" s="3"/>
      <c r="F96" s="3"/>
      <c r="G96" s="3"/>
      <c r="H96" s="3" t="s">
        <v>8</v>
      </c>
      <c r="I96" s="3" t="s">
        <v>87</v>
      </c>
      <c r="J96" s="22"/>
      <c r="K96" s="22"/>
      <c r="L96" s="22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22"/>
      <c r="K97" s="22"/>
      <c r="L97" s="22"/>
    </row>
    <row r="98" spans="1:12" ht="12.75">
      <c r="A98" s="3"/>
      <c r="B98" s="21">
        <v>3</v>
      </c>
      <c r="C98" s="3"/>
      <c r="D98" s="3">
        <v>13</v>
      </c>
      <c r="E98" s="3"/>
      <c r="F98" s="3"/>
      <c r="G98" s="3"/>
      <c r="H98" s="17">
        <v>50</v>
      </c>
      <c r="I98" s="17">
        <f>PRODUCT(B98,D98,H98)</f>
        <v>1950</v>
      </c>
      <c r="J98" s="22"/>
      <c r="K98" s="22"/>
      <c r="L98" s="22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22"/>
      <c r="K99" s="22"/>
      <c r="L99" s="22"/>
    </row>
    <row r="100" spans="1:12" ht="13.5">
      <c r="A100" s="9" t="s">
        <v>104</v>
      </c>
      <c r="B100" s="3"/>
      <c r="C100" s="3"/>
      <c r="D100" s="3"/>
      <c r="E100" s="3"/>
      <c r="F100" s="3"/>
      <c r="G100" s="3"/>
      <c r="H100" s="3"/>
      <c r="I100" s="3"/>
      <c r="J100" s="22"/>
      <c r="K100" s="22"/>
      <c r="L100" s="22"/>
    </row>
    <row r="101" spans="1:12" ht="12.75">
      <c r="A101" s="3"/>
      <c r="B101" s="3"/>
      <c r="C101" s="3"/>
      <c r="D101" s="3" t="s">
        <v>105</v>
      </c>
      <c r="E101" s="3"/>
      <c r="F101" s="3"/>
      <c r="G101" s="3"/>
      <c r="H101" s="3" t="s">
        <v>8</v>
      </c>
      <c r="I101" s="3" t="s">
        <v>87</v>
      </c>
      <c r="J101" s="22"/>
      <c r="K101" s="22"/>
      <c r="L101" s="22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22"/>
      <c r="K102" s="22"/>
      <c r="L102" s="22"/>
    </row>
    <row r="103" spans="1:12" ht="12.75">
      <c r="A103" s="3"/>
      <c r="B103" s="3"/>
      <c r="C103" s="3"/>
      <c r="D103" s="3">
        <f>H10</f>
        <v>30000</v>
      </c>
      <c r="E103" s="3"/>
      <c r="F103" s="3"/>
      <c r="G103" s="3"/>
      <c r="H103" s="17">
        <v>24.5</v>
      </c>
      <c r="I103" s="17">
        <f>PRODUCT(D103,H103)</f>
        <v>735000</v>
      </c>
      <c r="J103" s="22"/>
      <c r="K103" s="22"/>
      <c r="L103" s="22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22"/>
      <c r="K104" s="22"/>
      <c r="L104" s="22"/>
    </row>
    <row r="105" spans="1:12" ht="15">
      <c r="A105" s="3"/>
      <c r="B105" s="3"/>
      <c r="C105" s="3"/>
      <c r="D105" s="3"/>
      <c r="E105" s="3"/>
      <c r="F105" s="3"/>
      <c r="G105" s="3"/>
      <c r="H105" s="42" t="s">
        <v>106</v>
      </c>
      <c r="I105" s="43">
        <f>SUM(I83:I103)</f>
        <v>766250</v>
      </c>
      <c r="J105" s="22"/>
      <c r="K105" s="22"/>
      <c r="L105" s="22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22"/>
      <c r="K106" s="22"/>
      <c r="L106" s="22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22"/>
      <c r="K107" s="22"/>
      <c r="L107" s="22"/>
    </row>
    <row r="108" spans="1:12" ht="13.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17"/>
      <c r="J111" s="17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5"/>
      <c r="J113" s="17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22"/>
      <c r="K114" s="22"/>
      <c r="L114" s="22"/>
    </row>
  </sheetData>
  <printOptions gridLines="1" horizontalCentered="1" verticalCentered="1"/>
  <pageMargins left="0.5" right="0.5" top="0.5" bottom="0.5" header="0.25" footer="0.25"/>
  <pageSetup horizontalDpi="600" verticalDpi="600" orientation="landscape" r:id="rId1"/>
  <headerFooter alignWithMargins="0">
    <oddHeader>&amp;C&amp;A</oddHeader>
    <oddFooter>&amp;CPage &amp;P</oddFooter>
  </headerFooter>
  <rowBreaks count="1" manualBreakCount="1"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B34">
      <selection activeCell="D60" sqref="D60"/>
    </sheetView>
  </sheetViews>
  <sheetFormatPr defaultColWidth="9.140625" defaultRowHeight="12.75"/>
  <cols>
    <col min="1" max="1" width="15.28125" style="0" customWidth="1"/>
    <col min="2" max="2" width="17.8515625" style="0" customWidth="1"/>
    <col min="3" max="3" width="17.140625" style="0" customWidth="1"/>
    <col min="4" max="4" width="23.421875" style="0" customWidth="1"/>
    <col min="5" max="5" width="10.8515625" style="0" customWidth="1"/>
    <col min="6" max="6" width="13.140625" style="0" customWidth="1"/>
    <col min="7" max="7" width="11.421875" style="0" customWidth="1"/>
    <col min="8" max="8" width="11.00390625" style="0" customWidth="1"/>
    <col min="9" max="9" width="17.8515625" style="0" customWidth="1"/>
    <col min="10" max="10" width="16.57421875" style="91" customWidth="1"/>
  </cols>
  <sheetData>
    <row r="1" spans="8:9" ht="15.75">
      <c r="H1" s="95" t="s">
        <v>73</v>
      </c>
      <c r="I1" s="94">
        <f>SUM(I13+I22+I32+I39+I46+I59)</f>
        <v>192910.7</v>
      </c>
    </row>
    <row r="2" spans="1:3" ht="18.75">
      <c r="A2" s="81" t="str">
        <f>'Component List'!A3</f>
        <v>Resistors</v>
      </c>
      <c r="B2" s="95"/>
      <c r="C2" s="94"/>
    </row>
    <row r="3" ht="12.75" customHeight="1">
      <c r="A3" s="3"/>
    </row>
    <row r="4" spans="1:10" ht="12.75" customHeight="1">
      <c r="A4" s="3" t="str">
        <f>'Component List'!A5</f>
        <v>ID schematic</v>
      </c>
      <c r="B4" s="3" t="str">
        <f>'Component List'!B5</f>
        <v>Value (W)</v>
      </c>
      <c r="C4" s="3" t="str">
        <f>'Component List'!D5</f>
        <v>Source</v>
      </c>
      <c r="D4" s="3" t="str">
        <f>'Component List'!E5</f>
        <v>Part No.</v>
      </c>
      <c r="E4" s="3" t="str">
        <f>'Component List'!F5</f>
        <v>Reel size</v>
      </c>
      <c r="F4" s="3" t="str">
        <f>'Production Phase'!C18</f>
        <v>Total needed</v>
      </c>
      <c r="G4" s="3" t="str">
        <f>'Production Phase'!E18</f>
        <v>Min # Reels</v>
      </c>
      <c r="H4" s="3" t="s">
        <v>8</v>
      </c>
      <c r="I4" s="3" t="s">
        <v>87</v>
      </c>
      <c r="J4" s="91" t="s">
        <v>271</v>
      </c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10" ht="12.75">
      <c r="A6" s="3" t="str">
        <f>'Component List'!A7</f>
        <v>R9</v>
      </c>
      <c r="B6" s="3">
        <f>'Component List'!B7</f>
        <v>2.43</v>
      </c>
      <c r="C6" s="3" t="str">
        <f>'Component List'!D7</f>
        <v>KOA</v>
      </c>
      <c r="D6" s="3" t="str">
        <f>'Component List'!E7</f>
        <v>RK73B2ATE2R4J</v>
      </c>
      <c r="E6" s="3">
        <f>'Component List'!F7</f>
        <v>5000</v>
      </c>
      <c r="F6" s="3">
        <f>'Production Phase'!C20</f>
        <v>124800</v>
      </c>
      <c r="G6" s="3">
        <f>'Production Phase'!E20</f>
        <v>25</v>
      </c>
      <c r="H6" s="32">
        <v>0.0027</v>
      </c>
      <c r="I6" s="38">
        <f>'Production Phase'!I20</f>
        <v>337.5</v>
      </c>
      <c r="J6" s="91" t="s">
        <v>273</v>
      </c>
    </row>
    <row r="7" spans="1:9" ht="12.75">
      <c r="A7" s="3" t="str">
        <f>'Component List'!A8</f>
        <v>R12</v>
      </c>
      <c r="B7" s="3" t="str">
        <f>'Component List'!B8</f>
        <v>63.4 (IO-826-1)</v>
      </c>
      <c r="C7" s="3" t="str">
        <f>'Component List'!D8</f>
        <v>DIGI-KEY</v>
      </c>
      <c r="D7" s="3" t="str">
        <f>'Component List'!E8</f>
        <v>P63.4HCT-ND</v>
      </c>
      <c r="E7" s="3">
        <f>'Component List'!F8</f>
        <v>3000</v>
      </c>
      <c r="F7" s="3">
        <f>'Production Phase'!C21</f>
        <v>29120</v>
      </c>
      <c r="G7" s="3">
        <f>'Production Phase'!E21</f>
        <v>10</v>
      </c>
      <c r="H7" s="38">
        <v>0</v>
      </c>
      <c r="I7" s="38">
        <f>'Production Phase'!I21</f>
        <v>0</v>
      </c>
    </row>
    <row r="8" spans="1:9" ht="12.75">
      <c r="A8" s="3"/>
      <c r="B8" s="3" t="str">
        <f>'Component List'!B9</f>
        <v>107 (IO-824-1)</v>
      </c>
      <c r="C8" s="3" t="str">
        <f>'Component List'!D9</f>
        <v>DIGI-KEY</v>
      </c>
      <c r="D8" s="3" t="str">
        <f>'Component List'!E9</f>
        <v>P107HCT-ND</v>
      </c>
      <c r="E8" s="3">
        <f>'Component List'!F9</f>
        <v>3000</v>
      </c>
      <c r="F8" s="3">
        <f>'Production Phase'!C22</f>
        <v>30368</v>
      </c>
      <c r="G8" s="3">
        <f>'Production Phase'!E22</f>
        <v>11</v>
      </c>
      <c r="H8" s="38">
        <v>0</v>
      </c>
      <c r="I8" s="38">
        <f>'Production Phase'!I22</f>
        <v>0</v>
      </c>
    </row>
    <row r="9" spans="1:9" ht="12.75">
      <c r="A9" s="3"/>
      <c r="B9" s="3" t="str">
        <f>'Component List'!B10</f>
        <v>169 (IO-823-1)</v>
      </c>
      <c r="C9" s="3" t="str">
        <f>'Component List'!D10</f>
        <v>DIGI-KEY</v>
      </c>
      <c r="D9" s="3" t="str">
        <f>'Component List'!E10</f>
        <v>P158HCT-ND</v>
      </c>
      <c r="E9" s="3">
        <f>'Component List'!F10</f>
        <v>3000</v>
      </c>
      <c r="F9" s="3">
        <f>'Production Phase'!C23</f>
        <v>65312</v>
      </c>
      <c r="G9" s="3">
        <f>'Production Phase'!E23</f>
        <v>22</v>
      </c>
      <c r="H9" s="38">
        <v>0</v>
      </c>
      <c r="I9" s="38">
        <f>'Production Phase'!I23</f>
        <v>0</v>
      </c>
    </row>
    <row r="10" spans="1:9" ht="12.75">
      <c r="A10" s="3" t="str">
        <f>'Component List'!A11</f>
        <v>R2</v>
      </c>
      <c r="B10" s="3" t="str">
        <f>'Component List'!B11</f>
        <v>619 (IO-826-1)</v>
      </c>
      <c r="C10" s="3" t="str">
        <f>'Component List'!D11</f>
        <v>DIGI-KEY</v>
      </c>
      <c r="D10" s="3" t="str">
        <f>'Component List'!E11</f>
        <v>P619HCT-ND</v>
      </c>
      <c r="E10" s="3">
        <f>'Component List'!F11</f>
        <v>3000</v>
      </c>
      <c r="F10" s="3">
        <f>'Production Phase'!C24</f>
        <v>29120</v>
      </c>
      <c r="G10" s="3">
        <f>'Production Phase'!E24</f>
        <v>10</v>
      </c>
      <c r="H10" s="38">
        <v>0</v>
      </c>
      <c r="I10" s="38">
        <f>'Production Phase'!I24</f>
        <v>0</v>
      </c>
    </row>
    <row r="11" spans="1:9" ht="12.75">
      <c r="A11" s="3"/>
      <c r="B11" s="3" t="str">
        <f>'Component List'!B12</f>
        <v>1K (IO-824-1)</v>
      </c>
      <c r="C11" s="3" t="str">
        <f>'Component List'!D12</f>
        <v>DIGI-KEY</v>
      </c>
      <c r="D11" s="3" t="str">
        <f>'Component List'!E12</f>
        <v>P1.00KHCT-ND</v>
      </c>
      <c r="E11" s="3">
        <f>'Component List'!F12</f>
        <v>3000</v>
      </c>
      <c r="F11" s="3">
        <f>'Production Phase'!C25</f>
        <v>30368</v>
      </c>
      <c r="G11" s="3">
        <f>'Production Phase'!E25</f>
        <v>11</v>
      </c>
      <c r="H11" s="38">
        <v>0</v>
      </c>
      <c r="I11" s="38">
        <f>'Production Phase'!I25</f>
        <v>0</v>
      </c>
    </row>
    <row r="12" spans="1:9" ht="12.75">
      <c r="A12" s="3"/>
      <c r="B12" s="3" t="str">
        <f>'Component List'!B13</f>
        <v>3.32K (IO-823-1)</v>
      </c>
      <c r="C12" s="3" t="str">
        <f>'Component List'!D13</f>
        <v>DIGI-KEY</v>
      </c>
      <c r="D12" s="3" t="str">
        <f>'Component List'!E13</f>
        <v>P3.32KHCT-ND</v>
      </c>
      <c r="E12" s="3">
        <f>'Component List'!F13</f>
        <v>3000</v>
      </c>
      <c r="F12" s="3">
        <f>'Production Phase'!C26</f>
        <v>65312</v>
      </c>
      <c r="G12" s="3">
        <f>'Production Phase'!E26</f>
        <v>22</v>
      </c>
      <c r="H12" s="38">
        <v>0</v>
      </c>
      <c r="I12" s="38">
        <f>'Production Phase'!I26</f>
        <v>0</v>
      </c>
    </row>
    <row r="13" spans="1:9" ht="12.75">
      <c r="A13" s="3"/>
      <c r="H13" t="s">
        <v>89</v>
      </c>
      <c r="I13" s="89">
        <f>SUM(I6:I12)</f>
        <v>337.5</v>
      </c>
    </row>
    <row r="14" ht="18.75">
      <c r="A14" s="81" t="str">
        <f>'Component List'!A16</f>
        <v>Capacitors</v>
      </c>
    </row>
    <row r="15" ht="12.75">
      <c r="A15" s="3"/>
    </row>
    <row r="16" spans="1:9" ht="12.75">
      <c r="A16" s="3" t="str">
        <f>'Component List'!A18</f>
        <v>ID schematic</v>
      </c>
      <c r="B16" s="3" t="str">
        <f>'Component List'!B18</f>
        <v>Value (F)</v>
      </c>
      <c r="C16" s="3" t="str">
        <f>'Component List'!D18</f>
        <v>Source</v>
      </c>
      <c r="D16" s="3" t="str">
        <f>'Component List'!E18</f>
        <v>Part No.</v>
      </c>
      <c r="E16" s="3" t="str">
        <f>'Component List'!F18</f>
        <v>Reel size</v>
      </c>
      <c r="F16" s="3" t="str">
        <f>'Production Phase'!C31</f>
        <v>Total needed</v>
      </c>
      <c r="G16" s="3" t="str">
        <f>'Production Phase'!E31</f>
        <v>Min # Reels</v>
      </c>
      <c r="H16" s="3" t="s">
        <v>8</v>
      </c>
      <c r="I16" s="3" t="s">
        <v>87</v>
      </c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10" ht="12.75">
      <c r="A18" s="3" t="str">
        <f>'Component List'!A20</f>
        <v>C3</v>
      </c>
      <c r="B18" s="3" t="str">
        <f>'Component List'!B20</f>
        <v>2p</v>
      </c>
      <c r="C18" s="3" t="str">
        <f>'Component List'!D20</f>
        <v>Semidice</v>
      </c>
      <c r="D18" s="3" t="str">
        <f>'Component List'!E20</f>
        <v>250R14N2R0CV4T +/- 0.25pF</v>
      </c>
      <c r="E18" s="3">
        <f>'Component List'!F20</f>
        <v>4000</v>
      </c>
      <c r="F18" s="3">
        <f>'Production Phase'!C33</f>
        <v>124800</v>
      </c>
      <c r="G18" s="3">
        <f>'Production Phase'!E33</f>
        <v>32</v>
      </c>
      <c r="H18" s="38">
        <v>0.013</v>
      </c>
      <c r="I18" s="38">
        <f>'Production Phase'!I33</f>
        <v>1664</v>
      </c>
      <c r="J18" s="91" t="s">
        <v>273</v>
      </c>
    </row>
    <row r="19" spans="1:10" ht="12.75">
      <c r="A19" s="3" t="str">
        <f>'Component List'!A21</f>
        <v>C7</v>
      </c>
      <c r="B19" s="3" t="str">
        <f>'Component List'!B21</f>
        <v>22p</v>
      </c>
      <c r="C19" s="3" t="str">
        <f>'Component List'!D21</f>
        <v>Johanson</v>
      </c>
      <c r="D19" s="3" t="str">
        <f>'Component List'!E21</f>
        <v>250R14N220JV4 +/- 5%</v>
      </c>
      <c r="E19" s="3">
        <f>'Component List'!F21</f>
        <v>4000</v>
      </c>
      <c r="F19" s="3">
        <f>'Production Phase'!C34</f>
        <v>124800</v>
      </c>
      <c r="G19" s="3">
        <f>'Production Phase'!E34</f>
        <v>32</v>
      </c>
      <c r="H19" s="38">
        <v>0.012</v>
      </c>
      <c r="I19" s="38">
        <f>'Production Phase'!I34</f>
        <v>1536</v>
      </c>
      <c r="J19" s="91" t="s">
        <v>273</v>
      </c>
    </row>
    <row r="20" spans="1:10" ht="12.75">
      <c r="A20" s="3" t="str">
        <f>'Component List'!A22</f>
        <v>C1, C2, C4</v>
      </c>
      <c r="B20" s="3" t="str">
        <f>'Component List'!B22</f>
        <v>100n</v>
      </c>
      <c r="C20" s="3" t="str">
        <f>'Component List'!D22</f>
        <v>Johanson</v>
      </c>
      <c r="D20" s="3" t="str">
        <f>'Component List'!E22</f>
        <v>250R14Y104ZV4T</v>
      </c>
      <c r="E20" s="3">
        <f>'Component List'!F22</f>
        <v>4000</v>
      </c>
      <c r="F20" s="3">
        <f>'Production Phase'!C35</f>
        <v>374400</v>
      </c>
      <c r="G20" s="3">
        <f>'Production Phase'!E35</f>
        <v>94</v>
      </c>
      <c r="H20" s="38">
        <v>0.0087</v>
      </c>
      <c r="I20" s="38">
        <f>'Production Phase'!I35</f>
        <v>3271.2</v>
      </c>
      <c r="J20" s="91" t="s">
        <v>273</v>
      </c>
    </row>
    <row r="21" spans="1:10" ht="12.75">
      <c r="A21" s="3" t="str">
        <f>'Component List'!A23</f>
        <v>C5, C6, C8</v>
      </c>
      <c r="B21" s="3" t="str">
        <f>'Component List'!B23</f>
        <v>1m  ( SMD 1206)</v>
      </c>
      <c r="C21" s="3" t="str">
        <f>'Component List'!D23</f>
        <v>Murata</v>
      </c>
      <c r="D21" s="3" t="str">
        <f>'Component List'!E23</f>
        <v>GRM42-6Y5V105Z016AL</v>
      </c>
      <c r="E21" s="3">
        <f>'Component List'!F23</f>
        <v>3000</v>
      </c>
      <c r="F21" s="3">
        <f>'Production Phase'!C36</f>
        <v>374400</v>
      </c>
      <c r="G21" s="3">
        <f>'Production Phase'!E36</f>
        <v>125</v>
      </c>
      <c r="H21" s="38">
        <v>0.03</v>
      </c>
      <c r="I21" s="38">
        <f>'Production Phase'!I36</f>
        <v>11250</v>
      </c>
      <c r="J21" s="91" t="s">
        <v>280</v>
      </c>
    </row>
    <row r="22" spans="1:9" ht="12.75">
      <c r="A22" s="3"/>
      <c r="B22" s="3"/>
      <c r="C22" s="3"/>
      <c r="D22" s="3"/>
      <c r="E22" s="3"/>
      <c r="F22" s="3"/>
      <c r="G22" s="3"/>
      <c r="H22" t="s">
        <v>89</v>
      </c>
      <c r="I22" s="90">
        <f>SUM(I18:I21)</f>
        <v>17721.2</v>
      </c>
    </row>
    <row r="23" ht="18.75">
      <c r="A23" s="81" t="str">
        <f>'Component List'!A26</f>
        <v>Inductors</v>
      </c>
    </row>
    <row r="24" ht="12.75">
      <c r="A24" s="3"/>
    </row>
    <row r="25" spans="1:9" ht="12.75">
      <c r="A25" s="3" t="str">
        <f>'Component List'!A28</f>
        <v>ID schematic</v>
      </c>
      <c r="B25" s="3" t="str">
        <f>'Component List'!B28</f>
        <v>Value (nH)</v>
      </c>
      <c r="C25" s="3" t="str">
        <f>'Component List'!D28</f>
        <v>Source</v>
      </c>
      <c r="D25" s="3" t="str">
        <f>'Component List'!E28</f>
        <v>Part No.</v>
      </c>
      <c r="E25" s="3" t="str">
        <f>'Component List'!F28</f>
        <v>Reel size</v>
      </c>
      <c r="F25" s="3" t="str">
        <f>'Production Phase'!C41</f>
        <v>Total needed</v>
      </c>
      <c r="G25" s="3" t="str">
        <f>'Production Phase'!E41</f>
        <v>Min # Reels</v>
      </c>
      <c r="H25" s="3" t="s">
        <v>8</v>
      </c>
      <c r="I25" s="3" t="s">
        <v>87</v>
      </c>
    </row>
    <row r="26" spans="1:9" ht="12.75">
      <c r="A26" s="3"/>
      <c r="B26" s="3"/>
      <c r="C26" s="3"/>
      <c r="D26" s="3"/>
      <c r="E26" s="3"/>
      <c r="F26" s="3"/>
      <c r="G26" s="3"/>
      <c r="I26" s="38"/>
    </row>
    <row r="27" spans="1:10" ht="12.75">
      <c r="A27" s="3" t="str">
        <f>'Component List'!A32</f>
        <v>L2</v>
      </c>
      <c r="B27" s="3" t="str">
        <f>'Component List'!B32</f>
        <v>6.8 (IO-826-1)</v>
      </c>
      <c r="C27" s="3" t="str">
        <f>'Component List'!D32</f>
        <v>TOKO</v>
      </c>
      <c r="D27" s="3" t="str">
        <f>'Component List'!E32</f>
        <v>LL2012-F6N8K</v>
      </c>
      <c r="E27" s="3">
        <f>'Component List'!F32</f>
        <v>4000</v>
      </c>
      <c r="F27" s="3">
        <f>'Production Phase'!C43</f>
        <v>29120</v>
      </c>
      <c r="G27" s="3">
        <f>'Production Phase'!E43</f>
        <v>8</v>
      </c>
      <c r="H27" s="38">
        <v>0.1</v>
      </c>
      <c r="I27" s="38">
        <f>'Production Phase'!I43</f>
        <v>3200</v>
      </c>
      <c r="J27" s="91" t="s">
        <v>277</v>
      </c>
    </row>
    <row r="28" spans="1:10" ht="12.75">
      <c r="A28" s="3"/>
      <c r="B28" s="3" t="str">
        <f>'Component List'!B33</f>
        <v>8.2 (IO-824-1)</v>
      </c>
      <c r="C28" s="3" t="str">
        <f>'Component List'!D33</f>
        <v>TOKO</v>
      </c>
      <c r="D28" s="3" t="str">
        <f>'Component List'!E33</f>
        <v>LL2012-F8N2K</v>
      </c>
      <c r="E28" s="3">
        <f>'Component List'!F33</f>
        <v>4000</v>
      </c>
      <c r="F28" s="3">
        <f>'Production Phase'!C44</f>
        <v>30368</v>
      </c>
      <c r="G28" s="3">
        <f>'Production Phase'!E44</f>
        <v>8</v>
      </c>
      <c r="H28" s="38">
        <v>0.1</v>
      </c>
      <c r="I28" s="38">
        <f>'Production Phase'!I44</f>
        <v>3200</v>
      </c>
      <c r="J28" s="91" t="s">
        <v>277</v>
      </c>
    </row>
    <row r="29" spans="1:10" ht="12.75">
      <c r="A29" s="3"/>
      <c r="B29" s="3" t="str">
        <f>'Component List'!B34</f>
        <v>33 (IO-823-1)</v>
      </c>
      <c r="C29" s="3" t="str">
        <f>'Component List'!D34</f>
        <v>TOKO</v>
      </c>
      <c r="D29" s="3" t="str">
        <f>'Component List'!E34</f>
        <v>LL2012-F33NK</v>
      </c>
      <c r="E29" s="3">
        <f>'Component List'!F34</f>
        <v>4000</v>
      </c>
      <c r="F29" s="3">
        <f>'Production Phase'!C45</f>
        <v>65312</v>
      </c>
      <c r="G29" s="3">
        <f>'Production Phase'!E45</f>
        <v>17</v>
      </c>
      <c r="H29" s="38">
        <v>0.1</v>
      </c>
      <c r="I29" s="38">
        <f>'Production Phase'!I45</f>
        <v>6800</v>
      </c>
      <c r="J29" s="91" t="s">
        <v>277</v>
      </c>
    </row>
    <row r="30" spans="1:10" ht="12.75">
      <c r="A30" s="3" t="str">
        <f>'Component List'!A30</f>
        <v>L1</v>
      </c>
      <c r="B30" s="3" t="str">
        <f>'Component List'!B30</f>
        <v>47 (IO-824/6-1)</v>
      </c>
      <c r="C30" s="3" t="str">
        <f>'Component List'!D30</f>
        <v>TOKO</v>
      </c>
      <c r="D30" s="3" t="str">
        <f>'Component List'!E30</f>
        <v>LL2012-F47NK</v>
      </c>
      <c r="E30" s="3">
        <f>'Component List'!F30</f>
        <v>3000</v>
      </c>
      <c r="F30" s="3">
        <f>'Production Phase'!C46</f>
        <v>59488</v>
      </c>
      <c r="G30" s="3">
        <f>'Production Phase'!E46</f>
        <v>20</v>
      </c>
      <c r="H30" s="38">
        <v>0.1</v>
      </c>
      <c r="I30" s="38">
        <f>'Production Phase'!I46</f>
        <v>6000</v>
      </c>
      <c r="J30" s="91" t="s">
        <v>277</v>
      </c>
    </row>
    <row r="31" spans="1:10" ht="12.75">
      <c r="A31" s="3"/>
      <c r="B31" s="3" t="str">
        <f>'Component List'!B31</f>
        <v>100 (IO-823-1)</v>
      </c>
      <c r="C31" s="3" t="str">
        <f>'Component List'!D31</f>
        <v>TOKO</v>
      </c>
      <c r="D31" s="3" t="str">
        <f>'Component List'!E31</f>
        <v>LL2012-FR10K</v>
      </c>
      <c r="E31" s="3">
        <f>'Component List'!F31</f>
        <v>3000</v>
      </c>
      <c r="F31" s="3">
        <f>'Production Phase'!C47</f>
        <v>65312</v>
      </c>
      <c r="G31" s="3">
        <f>'Production Phase'!E47</f>
        <v>22</v>
      </c>
      <c r="H31" s="38">
        <v>0.1</v>
      </c>
      <c r="I31" s="38">
        <f>'Production Phase'!I47</f>
        <v>6600</v>
      </c>
      <c r="J31" s="91" t="s">
        <v>277</v>
      </c>
    </row>
    <row r="32" spans="1:9" ht="12.75">
      <c r="A32" s="3"/>
      <c r="B32" s="3"/>
      <c r="C32" s="3"/>
      <c r="D32" s="3"/>
      <c r="E32" s="3"/>
      <c r="F32" s="3"/>
      <c r="G32" s="3"/>
      <c r="H32" t="s">
        <v>89</v>
      </c>
      <c r="I32" s="90">
        <f>SUM(I27:I31)</f>
        <v>25800</v>
      </c>
    </row>
    <row r="33" spans="1:9" ht="18.75">
      <c r="A33" s="81" t="str">
        <f>'Component List'!A37</f>
        <v>Diodes</v>
      </c>
      <c r="I33" s="89"/>
    </row>
    <row r="34" ht="12.75">
      <c r="A34" s="3"/>
    </row>
    <row r="35" spans="1:9" ht="12.75">
      <c r="A35" s="3" t="str">
        <f>'Component List'!A39</f>
        <v>ID schematic</v>
      </c>
      <c r="B35" s="3" t="str">
        <f>'Component List'!B39</f>
        <v>Description</v>
      </c>
      <c r="C35" s="3" t="str">
        <f>'Component List'!D39</f>
        <v>Source</v>
      </c>
      <c r="D35" s="3" t="str">
        <f>'Component List'!E39</f>
        <v>Part No.</v>
      </c>
      <c r="E35" s="3" t="str">
        <f>'Component List'!F39</f>
        <v>Reel size</v>
      </c>
      <c r="F35" s="3" t="str">
        <f>'Production Phase'!C52</f>
        <v>Total needed</v>
      </c>
      <c r="G35" s="3" t="str">
        <f>'Production Phase'!E52</f>
        <v>Min # Reels</v>
      </c>
      <c r="H35" s="3" t="s">
        <v>8</v>
      </c>
      <c r="I35" s="3" t="s">
        <v>87</v>
      </c>
    </row>
    <row r="36" spans="1:7" ht="12.75">
      <c r="A36" s="3"/>
      <c r="B36" s="3"/>
      <c r="C36" s="3"/>
      <c r="D36" s="3"/>
      <c r="E36" s="3"/>
      <c r="F36" s="3"/>
      <c r="G36" s="3"/>
    </row>
    <row r="37" spans="1:10" ht="12.75">
      <c r="A37" s="3" t="str">
        <f>'Component List'!A41</f>
        <v>D1, D2</v>
      </c>
      <c r="B37" s="3" t="str">
        <f>'Component List'!B41</f>
        <v>Series Connection</v>
      </c>
      <c r="C37" s="3" t="str">
        <f>'Component List'!D41</f>
        <v>ZETEX</v>
      </c>
      <c r="D37" s="3" t="str">
        <f>'Component List'!E41</f>
        <v>BAV99TA</v>
      </c>
      <c r="E37" s="3">
        <f>'Component List'!F41</f>
        <v>3000</v>
      </c>
      <c r="F37" s="3">
        <f>'Production Phase'!C54</f>
        <v>249600</v>
      </c>
      <c r="G37" s="3">
        <f>'Production Phase'!E54</f>
        <v>84</v>
      </c>
      <c r="H37" s="38">
        <v>0.0345</v>
      </c>
      <c r="I37" s="38">
        <f>'Production Phase'!I54</f>
        <v>8694</v>
      </c>
      <c r="J37" s="91" t="s">
        <v>273</v>
      </c>
    </row>
    <row r="38" spans="1:10" ht="12.75">
      <c r="A38" s="3" t="str">
        <f>'Component List'!A42</f>
        <v>D3</v>
      </c>
      <c r="B38" s="3" t="str">
        <f>'Component List'!B42</f>
        <v>Common Cathode</v>
      </c>
      <c r="C38" s="3" t="str">
        <f>'Component List'!D42</f>
        <v>ZETEX</v>
      </c>
      <c r="D38" s="3" t="str">
        <f>'Component List'!E42</f>
        <v>BAV70TA</v>
      </c>
      <c r="E38" s="3">
        <f>'Component List'!F42</f>
        <v>3000</v>
      </c>
      <c r="F38" s="3">
        <f>'Production Phase'!C55</f>
        <v>62400</v>
      </c>
      <c r="G38" s="3">
        <f>'Production Phase'!E55</f>
        <v>21</v>
      </c>
      <c r="H38" s="38">
        <v>0.052</v>
      </c>
      <c r="I38" s="38">
        <f>'Production Phase'!I55</f>
        <v>3276</v>
      </c>
      <c r="J38" s="91" t="s">
        <v>273</v>
      </c>
    </row>
    <row r="39" spans="1:9" ht="12.75">
      <c r="A39" s="3"/>
      <c r="B39" s="3"/>
      <c r="C39" s="3"/>
      <c r="D39" s="3"/>
      <c r="E39" s="3"/>
      <c r="F39" s="3"/>
      <c r="G39" s="3"/>
      <c r="H39" t="s">
        <v>89</v>
      </c>
      <c r="I39" s="90">
        <f>SUM(I37:I38)</f>
        <v>11970</v>
      </c>
    </row>
    <row r="40" spans="1:6" ht="18.75">
      <c r="A40" s="81" t="str">
        <f>'Component List'!A44</f>
        <v>Transistors</v>
      </c>
      <c r="F40" s="3"/>
    </row>
    <row r="41" ht="12.75">
      <c r="A41" s="3"/>
    </row>
    <row r="42" spans="1:9" ht="12.75">
      <c r="A42" s="3" t="str">
        <f>'Component List'!A46</f>
        <v>ID schematic</v>
      </c>
      <c r="B42" s="3" t="str">
        <f>'Component List'!B46</f>
        <v>Description</v>
      </c>
      <c r="C42" s="3" t="str">
        <f>'Component List'!D46</f>
        <v>Source</v>
      </c>
      <c r="D42" s="3" t="str">
        <f>'Component List'!E46</f>
        <v>Part No.</v>
      </c>
      <c r="E42" s="3" t="str">
        <f>'Component List'!F46</f>
        <v>Reel size</v>
      </c>
      <c r="F42" s="3" t="str">
        <f>'Production Phase'!C60</f>
        <v>Total needed</v>
      </c>
      <c r="G42" s="3" t="str">
        <f>'Production Phase'!E60</f>
        <v>Min # Reels</v>
      </c>
      <c r="H42" s="3" t="s">
        <v>8</v>
      </c>
      <c r="I42" s="3" t="s">
        <v>87</v>
      </c>
    </row>
    <row r="43" spans="1:8" ht="12.75">
      <c r="A43" s="3"/>
      <c r="B43" s="3"/>
      <c r="C43" s="3"/>
      <c r="D43" s="3"/>
      <c r="E43" s="3"/>
      <c r="F43" s="3"/>
      <c r="G43" s="3"/>
      <c r="H43" s="20"/>
    </row>
    <row r="44" spans="1:10" ht="12.75">
      <c r="A44" s="3" t="str">
        <f>'Component List'!A48</f>
        <v>Q1, Q2, Q3, Q5</v>
      </c>
      <c r="B44" s="3" t="str">
        <f>'Component List'!B48</f>
        <v>NE856 </v>
      </c>
      <c r="C44" s="3" t="str">
        <f>'Component List'!D48</f>
        <v>Cal. Eastern Lab.</v>
      </c>
      <c r="D44" s="3" t="str">
        <f>'Component List'!E48</f>
        <v>NE85630-T1-R25</v>
      </c>
      <c r="E44" s="3">
        <f>'Component List'!F48</f>
        <v>3000</v>
      </c>
      <c r="F44" s="3">
        <f>'Production Phase'!C62</f>
        <v>499200</v>
      </c>
      <c r="G44" s="3">
        <f>'Production Phase'!E62</f>
        <v>167</v>
      </c>
      <c r="H44" s="38">
        <v>0.17</v>
      </c>
      <c r="I44" s="38">
        <f>'Production Phase'!I62</f>
        <v>85170</v>
      </c>
      <c r="J44" s="91" t="s">
        <v>278</v>
      </c>
    </row>
    <row r="45" spans="1:10" ht="12.75">
      <c r="A45" s="3" t="str">
        <f>'Component List'!A49</f>
        <v>Q4, Q6</v>
      </c>
      <c r="B45" s="3" t="str">
        <f>'Component List'!B49</f>
        <v>BF569</v>
      </c>
      <c r="C45" s="3" t="str">
        <f>'Component List'!D49</f>
        <v>Future Elec.</v>
      </c>
      <c r="D45" s="3" t="str">
        <f>'Component List'!E49</f>
        <v>BF569TR</v>
      </c>
      <c r="E45" s="3">
        <f>'Component List'!F49</f>
        <v>3000</v>
      </c>
      <c r="F45" s="3">
        <f>'Production Phase'!C63</f>
        <v>249600</v>
      </c>
      <c r="G45" s="3">
        <f>'Production Phase'!E63</f>
        <v>84</v>
      </c>
      <c r="H45" s="32">
        <v>0.17</v>
      </c>
      <c r="I45" s="38">
        <f>'Production Phase'!I63</f>
        <v>42840</v>
      </c>
      <c r="J45" s="91" t="s">
        <v>274</v>
      </c>
    </row>
    <row r="46" spans="1:9" ht="12.75">
      <c r="A46" s="3"/>
      <c r="B46" s="3"/>
      <c r="C46" s="3"/>
      <c r="D46" s="3"/>
      <c r="E46" s="3"/>
      <c r="F46" s="3"/>
      <c r="G46" s="3"/>
      <c r="H46" t="s">
        <v>89</v>
      </c>
      <c r="I46" s="89">
        <f>SUM(I44:I45)</f>
        <v>128010</v>
      </c>
    </row>
    <row r="47" spans="1:9" ht="12.75">
      <c r="A47" s="3"/>
      <c r="B47" s="3"/>
      <c r="C47" s="3"/>
      <c r="D47" s="3"/>
      <c r="E47" s="3"/>
      <c r="F47" s="3"/>
      <c r="G47" s="3"/>
      <c r="I47" s="89"/>
    </row>
    <row r="48" spans="1:9" ht="12.75">
      <c r="A48" s="3" t="s">
        <v>279</v>
      </c>
      <c r="B48" s="3"/>
      <c r="C48" s="3"/>
      <c r="D48" s="3"/>
      <c r="E48" s="3"/>
      <c r="F48" s="3"/>
      <c r="G48" s="3"/>
      <c r="I48" s="89"/>
    </row>
    <row r="49" spans="1:10" s="48" customFormat="1" ht="12.75">
      <c r="A49" s="45" t="str">
        <f>'Component List'!A51</f>
        <v>Q4, Q6</v>
      </c>
      <c r="B49" s="45" t="str">
        <f>'Component List'!B51</f>
        <v>NE97833</v>
      </c>
      <c r="C49" s="45" t="str">
        <f>'Component List'!D51</f>
        <v>Cal. Eastern Lab.</v>
      </c>
      <c r="D49" s="45" t="str">
        <f>'Component List'!E51</f>
        <v>NE97833</v>
      </c>
      <c r="E49" s="45">
        <f>'Component List'!F51</f>
        <v>100</v>
      </c>
      <c r="F49" s="45">
        <f>'Production Phase'!C65</f>
        <v>0</v>
      </c>
      <c r="G49" s="45">
        <f>'Production Phase'!E65</f>
        <v>0</v>
      </c>
      <c r="H49" s="46">
        <v>2.75</v>
      </c>
      <c r="J49" s="92"/>
    </row>
    <row r="50" spans="1:5" ht="12.75">
      <c r="A50" s="3"/>
      <c r="B50" s="3"/>
      <c r="C50" s="3"/>
      <c r="D50" s="3"/>
      <c r="E50" s="3"/>
    </row>
    <row r="51" spans="1:6" ht="18.75">
      <c r="A51" s="81" t="str">
        <f>'Component List'!A53</f>
        <v>Pins</v>
      </c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10" ht="12.75">
      <c r="A53" s="3" t="str">
        <f>'Component List'!A55</f>
        <v>ID schematic</v>
      </c>
      <c r="B53" s="3" t="str">
        <f>'Component List'!B55</f>
        <v>Description</v>
      </c>
      <c r="C53" s="3" t="str">
        <f>'Component List'!D55</f>
        <v>Source</v>
      </c>
      <c r="D53" s="3" t="str">
        <f>'Component List'!E55</f>
        <v>Part No.</v>
      </c>
      <c r="E53" s="3" t="str">
        <f>'Component List'!F55</f>
        <v>Reel size</v>
      </c>
      <c r="F53" s="3" t="str">
        <f>'Production Phase'!C67</f>
        <v>Total needed</v>
      </c>
      <c r="G53" s="3" t="str">
        <f>'Production Phase'!E67</f>
        <v>Min # Reels</v>
      </c>
      <c r="H53" s="69" t="s">
        <v>252</v>
      </c>
      <c r="I53" s="20" t="s">
        <v>8</v>
      </c>
      <c r="J53" s="3"/>
    </row>
    <row r="54" spans="1:9" ht="12.75">
      <c r="A54" s="3"/>
      <c r="B54" s="3"/>
      <c r="C54" s="3"/>
      <c r="D54" s="3"/>
      <c r="E54" s="3"/>
      <c r="F54" s="3"/>
      <c r="G54" s="3"/>
      <c r="H54" s="69"/>
      <c r="I54" s="3"/>
    </row>
    <row r="55" spans="1:10" ht="12.75">
      <c r="A55" s="3" t="str">
        <f>'Component List'!A57</f>
        <v>P1-P20</v>
      </c>
      <c r="B55" s="3" t="str">
        <f>'Component List'!B57</f>
        <v>Edge pin (gold plated)</v>
      </c>
      <c r="C55" s="3" t="str">
        <f>'Component List'!D57</f>
        <v>Die Tech</v>
      </c>
      <c r="D55" s="3" t="str">
        <f>'Component List'!E57</f>
        <v>LF-5104B-99-510</v>
      </c>
      <c r="E55" s="3">
        <f>'Component List'!F57</f>
        <v>36000</v>
      </c>
      <c r="F55" s="3">
        <f>'Production Phase'!C69</f>
        <v>624000</v>
      </c>
      <c r="G55" s="3">
        <f>'Production Phase'!E69</f>
        <v>18</v>
      </c>
      <c r="H55" s="73">
        <v>504</v>
      </c>
      <c r="I55" s="32">
        <f>H55/E55</f>
        <v>0.014</v>
      </c>
      <c r="J55" s="91" t="s">
        <v>275</v>
      </c>
    </row>
    <row r="56" spans="1:9" ht="12.75">
      <c r="A56" s="3"/>
      <c r="B56" s="3"/>
      <c r="C56" s="3"/>
      <c r="D56" s="3"/>
      <c r="E56" s="3"/>
      <c r="F56" s="3"/>
      <c r="G56" s="3"/>
      <c r="H56" s="73"/>
      <c r="I56" s="32"/>
    </row>
    <row r="57" spans="1:10" s="48" customFormat="1" ht="12.75">
      <c r="A57" s="45"/>
      <c r="B57" s="45"/>
      <c r="C57" s="45" t="s">
        <v>283</v>
      </c>
      <c r="D57" s="45" t="s">
        <v>284</v>
      </c>
      <c r="E57" s="45"/>
      <c r="F57" s="96">
        <v>1500</v>
      </c>
      <c r="G57" s="45"/>
      <c r="H57" s="96"/>
      <c r="I57" s="96"/>
      <c r="J57" s="92"/>
    </row>
    <row r="58" spans="1:9" ht="12.75">
      <c r="A58" s="3"/>
      <c r="B58" s="3"/>
      <c r="C58" s="3"/>
      <c r="D58" s="3"/>
      <c r="E58" s="3"/>
      <c r="I58" s="3" t="s">
        <v>73</v>
      </c>
    </row>
    <row r="59" spans="1:9" ht="12.75">
      <c r="A59" s="3"/>
      <c r="B59" s="3"/>
      <c r="C59" s="3"/>
      <c r="D59" s="3"/>
      <c r="E59" s="3"/>
      <c r="H59" t="s">
        <v>89</v>
      </c>
      <c r="I59" s="90">
        <f>'Production Phase'!I69</f>
        <v>9072</v>
      </c>
    </row>
  </sheetData>
  <printOptions gridLines="1" horizontalCentered="1"/>
  <pageMargins left="0.25" right="0.31" top="0.55" bottom="0.35" header="0.17" footer="0.17"/>
  <pageSetup horizontalDpi="600" verticalDpi="600" orientation="landscape" r:id="rId1"/>
  <headerFooter alignWithMargins="0">
    <oddHeader>&amp;C&amp;"Arial,Bold"&amp;12&amp;A</oddHeader>
    <oddFooter>&amp;CPage &amp;P</oddFoot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D35" sqref="D35"/>
    </sheetView>
  </sheetViews>
  <sheetFormatPr defaultColWidth="9.140625" defaultRowHeight="12.75"/>
  <cols>
    <col min="1" max="1" width="15.7109375" style="0" customWidth="1"/>
    <col min="2" max="2" width="16.421875" style="0" customWidth="1"/>
    <col min="3" max="3" width="16.140625" style="0" customWidth="1"/>
    <col min="4" max="4" width="16.00390625" style="0" customWidth="1"/>
    <col min="5" max="5" width="9.8515625" style="0" customWidth="1"/>
    <col min="6" max="6" width="10.7109375" style="0" customWidth="1"/>
    <col min="7" max="7" width="10.28125" style="0" customWidth="1"/>
    <col min="8" max="8" width="10.7109375" style="0" customWidth="1"/>
    <col min="9" max="9" width="11.57421875" style="0" customWidth="1"/>
  </cols>
  <sheetData>
    <row r="2" spans="1:6" ht="13.5">
      <c r="A2" s="1" t="s">
        <v>1</v>
      </c>
      <c r="B2" s="3" t="s">
        <v>2</v>
      </c>
      <c r="C2" s="2"/>
      <c r="D2" s="2"/>
      <c r="F2" s="16"/>
    </row>
    <row r="3" spans="1:6" ht="12.75">
      <c r="A3" s="2"/>
      <c r="B3" s="2"/>
      <c r="C3" s="2"/>
      <c r="D3" s="2"/>
      <c r="F3" s="16"/>
    </row>
    <row r="4" spans="1:9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20" t="s">
        <v>8</v>
      </c>
      <c r="G4" s="3" t="s">
        <v>9</v>
      </c>
      <c r="H4" s="21" t="s">
        <v>10</v>
      </c>
      <c r="I4" s="22" t="s">
        <v>11</v>
      </c>
    </row>
    <row r="6" spans="1:9" ht="12.75">
      <c r="A6" s="3" t="s">
        <v>152</v>
      </c>
      <c r="B6" s="4">
        <v>66.5</v>
      </c>
      <c r="C6" s="3" t="s">
        <v>13</v>
      </c>
      <c r="D6" s="3" t="s">
        <v>153</v>
      </c>
      <c r="E6" s="21" t="s">
        <v>14</v>
      </c>
      <c r="F6" s="35" t="s">
        <v>15</v>
      </c>
      <c r="G6" s="17">
        <v>12.75</v>
      </c>
      <c r="H6" s="21" t="s">
        <v>29</v>
      </c>
      <c r="I6" s="17">
        <f>12.75*3</f>
        <v>38.25</v>
      </c>
    </row>
    <row r="7" spans="1:9" ht="12.75">
      <c r="A7" s="3"/>
      <c r="B7" s="4">
        <v>80.6</v>
      </c>
      <c r="C7" s="3" t="s">
        <v>13</v>
      </c>
      <c r="D7" s="3" t="s">
        <v>154</v>
      </c>
      <c r="E7" s="21" t="s">
        <v>14</v>
      </c>
      <c r="F7" s="35" t="s">
        <v>15</v>
      </c>
      <c r="G7" s="17">
        <v>12.75</v>
      </c>
      <c r="H7" s="21" t="s">
        <v>155</v>
      </c>
      <c r="I7" s="17">
        <f>12.75*2</f>
        <v>25.5</v>
      </c>
    </row>
    <row r="8" spans="1:9" ht="12.75">
      <c r="A8" s="3"/>
      <c r="B8" s="4">
        <v>121</v>
      </c>
      <c r="C8" s="3" t="s">
        <v>13</v>
      </c>
      <c r="D8" s="3" t="s">
        <v>156</v>
      </c>
      <c r="E8" s="21" t="s">
        <v>14</v>
      </c>
      <c r="F8" s="35" t="s">
        <v>15</v>
      </c>
      <c r="G8" s="17">
        <v>12.75</v>
      </c>
      <c r="H8" s="21" t="s">
        <v>29</v>
      </c>
      <c r="I8" s="17">
        <f>12.75*3</f>
        <v>38.25</v>
      </c>
    </row>
    <row r="9" spans="1:9" ht="12.75">
      <c r="A9" s="3"/>
      <c r="B9" s="4">
        <v>49.9</v>
      </c>
      <c r="C9" s="3" t="s">
        <v>13</v>
      </c>
      <c r="D9" s="3" t="s">
        <v>157</v>
      </c>
      <c r="E9" s="21" t="s">
        <v>14</v>
      </c>
      <c r="F9" s="35" t="s">
        <v>15</v>
      </c>
      <c r="G9" s="17">
        <v>14.25</v>
      </c>
      <c r="H9" s="21" t="s">
        <v>16</v>
      </c>
      <c r="I9" s="17">
        <v>14.25</v>
      </c>
    </row>
    <row r="10" spans="1:9" ht="12.75">
      <c r="A10" s="3"/>
      <c r="B10" s="4"/>
      <c r="C10" s="3"/>
      <c r="D10" s="3"/>
      <c r="E10" s="21"/>
      <c r="F10" s="35"/>
      <c r="G10" s="17"/>
      <c r="H10" s="21"/>
      <c r="I10" s="17"/>
    </row>
    <row r="11" spans="1:9" ht="15.75">
      <c r="A11" s="3"/>
      <c r="B11" s="4"/>
      <c r="C11" s="3"/>
      <c r="D11" s="3"/>
      <c r="E11" s="22"/>
      <c r="G11" s="37" t="s">
        <v>33</v>
      </c>
      <c r="H11" s="22"/>
      <c r="I11" s="22"/>
    </row>
    <row r="12" spans="1:9" ht="15.75">
      <c r="A12" s="3"/>
      <c r="B12" s="4"/>
      <c r="C12" s="3"/>
      <c r="D12" s="3"/>
      <c r="E12" s="22"/>
      <c r="G12" s="37"/>
      <c r="H12" s="22"/>
      <c r="I12" s="22"/>
    </row>
    <row r="13" spans="1:9" ht="13.5">
      <c r="A13" s="1" t="s">
        <v>45</v>
      </c>
      <c r="B13" s="3" t="s">
        <v>46</v>
      </c>
      <c r="C13" s="3"/>
      <c r="D13" s="3"/>
      <c r="E13" s="22"/>
      <c r="F13" s="23"/>
      <c r="G13" s="22"/>
      <c r="H13" s="22"/>
      <c r="I13" s="22"/>
    </row>
    <row r="14" spans="1:9" ht="12.75">
      <c r="A14" s="22"/>
      <c r="B14" s="3"/>
      <c r="C14" s="3"/>
      <c r="D14" s="3"/>
      <c r="E14" s="22"/>
      <c r="F14" s="23"/>
      <c r="G14" s="22"/>
      <c r="H14" s="22"/>
      <c r="I14" s="22"/>
    </row>
    <row r="15" spans="1:9" ht="12.75">
      <c r="A15" s="3" t="s">
        <v>3</v>
      </c>
      <c r="B15" s="3" t="s">
        <v>47</v>
      </c>
      <c r="C15" s="3" t="s">
        <v>5</v>
      </c>
      <c r="D15" s="3" t="s">
        <v>6</v>
      </c>
      <c r="E15" s="3" t="s">
        <v>7</v>
      </c>
      <c r="F15" s="20" t="s">
        <v>8</v>
      </c>
      <c r="G15" s="3" t="s">
        <v>9</v>
      </c>
      <c r="H15" s="21" t="s">
        <v>10</v>
      </c>
      <c r="I15" s="22" t="s">
        <v>11</v>
      </c>
    </row>
    <row r="17" spans="1:9" ht="12.75">
      <c r="A17" s="3" t="s">
        <v>158</v>
      </c>
      <c r="B17" s="3">
        <v>10</v>
      </c>
      <c r="C17" s="3" t="s">
        <v>49</v>
      </c>
      <c r="D17" s="3" t="s">
        <v>159</v>
      </c>
      <c r="E17" s="3" t="s">
        <v>50</v>
      </c>
      <c r="F17" s="24" t="s">
        <v>15</v>
      </c>
      <c r="G17" s="17">
        <v>221</v>
      </c>
      <c r="H17" s="21" t="s">
        <v>160</v>
      </c>
      <c r="I17" s="17">
        <v>221</v>
      </c>
    </row>
    <row r="18" spans="1:9" ht="12.75">
      <c r="A18" s="3"/>
      <c r="B18" s="3">
        <v>15</v>
      </c>
      <c r="C18" s="3" t="s">
        <v>49</v>
      </c>
      <c r="D18" s="3" t="s">
        <v>161</v>
      </c>
      <c r="E18" s="3" t="s">
        <v>50</v>
      </c>
      <c r="F18" s="24" t="s">
        <v>15</v>
      </c>
      <c r="G18" s="17">
        <v>221</v>
      </c>
      <c r="H18" s="21" t="s">
        <v>160</v>
      </c>
      <c r="I18" s="17">
        <v>221</v>
      </c>
    </row>
    <row r="19" spans="1:9" ht="12.75">
      <c r="A19" s="3"/>
      <c r="B19" s="3">
        <v>22</v>
      </c>
      <c r="C19" s="3" t="s">
        <v>49</v>
      </c>
      <c r="D19" s="3" t="s">
        <v>162</v>
      </c>
      <c r="E19" s="3" t="s">
        <v>50</v>
      </c>
      <c r="F19" s="24" t="s">
        <v>15</v>
      </c>
      <c r="G19" s="17">
        <v>221</v>
      </c>
      <c r="H19" s="21" t="s">
        <v>163</v>
      </c>
      <c r="I19" s="17">
        <f>221*2</f>
        <v>442</v>
      </c>
    </row>
    <row r="20" spans="1:9" ht="12.75">
      <c r="A20" s="3"/>
      <c r="B20" s="3">
        <v>33</v>
      </c>
      <c r="C20" s="3" t="s">
        <v>49</v>
      </c>
      <c r="D20" s="3" t="s">
        <v>164</v>
      </c>
      <c r="E20" s="3" t="s">
        <v>50</v>
      </c>
      <c r="F20" s="24" t="s">
        <v>15</v>
      </c>
      <c r="G20" s="17">
        <v>221</v>
      </c>
      <c r="H20" s="21" t="s">
        <v>160</v>
      </c>
      <c r="I20" s="17">
        <v>221</v>
      </c>
    </row>
    <row r="22" spans="1:9" ht="13.5">
      <c r="A22" s="1" t="s">
        <v>54</v>
      </c>
      <c r="B22" s="3" t="s">
        <v>55</v>
      </c>
      <c r="C22" s="3"/>
      <c r="D22" s="3"/>
      <c r="E22" s="22"/>
      <c r="F22" s="23"/>
      <c r="G22" s="22"/>
      <c r="H22" s="22"/>
      <c r="I22" s="22"/>
    </row>
    <row r="23" spans="1:9" ht="12.75">
      <c r="A23" s="3"/>
      <c r="B23" s="3"/>
      <c r="C23" s="3"/>
      <c r="D23" s="3"/>
      <c r="E23" s="22"/>
      <c r="F23" s="23"/>
      <c r="G23" s="22"/>
      <c r="H23" s="22"/>
      <c r="I23" s="22"/>
    </row>
    <row r="24" spans="1:9" ht="12.75">
      <c r="A24" s="3" t="s">
        <v>3</v>
      </c>
      <c r="B24" s="3" t="s">
        <v>56</v>
      </c>
      <c r="C24" s="3" t="s">
        <v>5</v>
      </c>
      <c r="D24" s="3" t="s">
        <v>6</v>
      </c>
      <c r="E24" s="3" t="s">
        <v>7</v>
      </c>
      <c r="F24" s="20" t="s">
        <v>8</v>
      </c>
      <c r="G24" s="3" t="s">
        <v>9</v>
      </c>
      <c r="H24" s="21" t="s">
        <v>10</v>
      </c>
      <c r="I24" s="22" t="s">
        <v>11</v>
      </c>
    </row>
    <row r="27" spans="1:9" ht="13.5">
      <c r="A27" s="1" t="s">
        <v>61</v>
      </c>
      <c r="B27" s="3" t="s">
        <v>62</v>
      </c>
      <c r="C27" s="3"/>
      <c r="D27" s="3"/>
      <c r="E27" s="22"/>
      <c r="F27" s="23"/>
      <c r="G27" s="22"/>
      <c r="H27" s="22"/>
      <c r="I27" s="22"/>
    </row>
    <row r="28" spans="1:9" ht="12.75">
      <c r="A28" s="3"/>
      <c r="B28" s="3"/>
      <c r="C28" s="3"/>
      <c r="D28" s="3"/>
      <c r="E28" s="22"/>
      <c r="F28" s="23"/>
      <c r="G28" s="22"/>
      <c r="H28" s="22"/>
      <c r="I28" s="22"/>
    </row>
    <row r="29" spans="1:9" ht="12.75">
      <c r="A29" s="3" t="s">
        <v>3</v>
      </c>
      <c r="B29" s="3" t="s">
        <v>56</v>
      </c>
      <c r="C29" s="3" t="s">
        <v>5</v>
      </c>
      <c r="D29" s="3" t="s">
        <v>6</v>
      </c>
      <c r="E29" s="3" t="s">
        <v>7</v>
      </c>
      <c r="F29" s="20" t="s">
        <v>8</v>
      </c>
      <c r="G29" s="3" t="s">
        <v>9</v>
      </c>
      <c r="H29" s="21" t="s">
        <v>10</v>
      </c>
      <c r="I29" s="22" t="s">
        <v>11</v>
      </c>
    </row>
    <row r="31" spans="1:9" ht="12.75">
      <c r="A31" s="3" t="s">
        <v>165</v>
      </c>
      <c r="B31" s="3" t="s">
        <v>166</v>
      </c>
      <c r="C31" s="3" t="s">
        <v>167</v>
      </c>
      <c r="D31" s="3" t="s">
        <v>168</v>
      </c>
      <c r="E31" s="3">
        <v>3000</v>
      </c>
      <c r="F31" s="32">
        <v>0.28</v>
      </c>
      <c r="G31" s="17">
        <f>PRODUCT(E31,F31)</f>
        <v>840.0000000000001</v>
      </c>
      <c r="H31" s="3">
        <v>3000</v>
      </c>
      <c r="I31" s="17">
        <v>840</v>
      </c>
    </row>
    <row r="32" spans="1:9" ht="12.75">
      <c r="A32" s="22"/>
      <c r="B32" s="3" t="s">
        <v>169</v>
      </c>
      <c r="C32" s="3" t="s">
        <v>167</v>
      </c>
      <c r="D32" s="3" t="s">
        <v>170</v>
      </c>
      <c r="E32" s="3"/>
      <c r="F32" s="24" t="s">
        <v>171</v>
      </c>
      <c r="G32" s="17"/>
      <c r="H32" s="3"/>
      <c r="I32" s="22"/>
    </row>
    <row r="33" spans="1:9" ht="12.75">
      <c r="A33" s="3"/>
      <c r="B33" s="3" t="s">
        <v>172</v>
      </c>
      <c r="C33" s="3" t="s">
        <v>173</v>
      </c>
      <c r="D33" s="3" t="s">
        <v>174</v>
      </c>
      <c r="E33" s="3">
        <v>3000</v>
      </c>
      <c r="F33" s="32">
        <v>0.08</v>
      </c>
      <c r="G33" s="17">
        <f>PRODUCT(E33,F33)</f>
        <v>240</v>
      </c>
      <c r="H33" s="3">
        <v>3000</v>
      </c>
      <c r="I33" s="17">
        <v>240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Joesph. A. Mead</dc:creator>
  <cp:keywords/>
  <dc:description/>
  <cp:lastModifiedBy>Preferred Customer</cp:lastModifiedBy>
  <cp:lastPrinted>1999-06-29T15:55:59Z</cp:lastPrinted>
  <dcterms:created xsi:type="dcterms:W3CDTF">1999-05-26T20:34:32Z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