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7515" windowHeight="5640" tabRatio="642" activeTab="1"/>
  </bookViews>
  <sheets>
    <sheet name="User's Guide" sheetId="1" r:id="rId1"/>
    <sheet name="Activity Description" sheetId="2" r:id="rId2"/>
    <sheet name="CB_DATA_" sheetId="3" state="veryHidden" r:id="rId3"/>
    <sheet name="ERR &amp; Sensitivity Analysis" sheetId="4" r:id="rId4"/>
    <sheet name="Cost and Benefit Summary" sheetId="5" r:id="rId5"/>
    <sheet name="Irrigation Summary" sheetId="6" r:id="rId6"/>
    <sheet name="Assumptions and Basic Info" sheetId="7" r:id="rId7"/>
    <sheet name="Prices" sheetId="8" r:id="rId8"/>
    <sheet name="Wheat cost" sheetId="9" state="hidden" r:id="rId9"/>
  </sheets>
  <externalReferences>
    <externalReference r:id="rId12"/>
    <externalReference r:id="rId13"/>
    <externalReference r:id="rId14"/>
  </externalReferences>
  <definedNames>
    <definedName name="Basic_Assumptions_and_Info">'Assumptions and Basic Info'!$B$2</definedName>
    <definedName name="CB_360a5d4cd52a4bf3af6c5fc9f4e9735e" localSheetId="3" hidden="1">'ERR &amp; Sensitivity Analysis'!$D$20</definedName>
    <definedName name="CB_401e96a18bdd43a4b904d7c6a13273de" localSheetId="3" hidden="1">'ERR &amp; Sensitivity Analysis'!$D$16</definedName>
    <definedName name="CB_f5d69e67e9b54f80a5098e51b404bcf2" localSheetId="3" hidden="1">'ERR &amp; Sensitivity Analysis'!$D$13</definedName>
    <definedName name="CB_fda846aaf9a748e297b969122de4cd7e" localSheetId="3" hidden="1">'ERR &amp; Sensitivity Analysis'!$D$14</definedName>
    <definedName name="CB_feecb8e81c1746cf93a0825a3e70d5cd" localSheetId="3" hidden="1">'ERR &amp; Sensitivity Analysis'!$D$15</definedName>
    <definedName name="CBWorkbookPriority" hidden="1">-1501532280</definedName>
    <definedName name="CBx_37e305e09a894024aed5a767135e071d" localSheetId="2" hidden="1">"'CB_DATA_'!$A$1"</definedName>
    <definedName name="CBx_bb7248fcf372479891c82dd0e66a07ad" localSheetId="2" hidden="1">"'ERR &amp; Sensitivity Analysis'!$A$1"</definedName>
    <definedName name="CBx_Sheet_Guid" localSheetId="2" hidden="1">"'37e305e0-9a89-4024-aed5-a767135e071d"</definedName>
    <definedName name="CBx_Sheet_Guid" localSheetId="3" hidden="1">"'bb7248fc-f372-4798-91c8-2dd0e66a07ad"</definedName>
    <definedName name="Class1_wo_expt">#REF!</definedName>
    <definedName name="Class2_wo_expt">#REF!</definedName>
    <definedName name="Class3_wo_expt">#REF!</definedName>
    <definedName name="death_rate_stage_III_T">'[1]Diabetes Costs &amp; Benefits'!$C$26</definedName>
    <definedName name="death_rate_stage_III_UT">'[1]Diabetes Costs &amp; Benefits'!$C$25</definedName>
    <definedName name="death_rate_stage_IV_T">'[1]Hypertension Costs &amp; Benefits'!$C$28</definedName>
    <definedName name="death_rate_stage_IV_UT">'[1]Hypertension Costs &amp; Benefits'!$C$27</definedName>
    <definedName name="Discount_rate">'[2]Parameters'!$C$6</definedName>
    <definedName name="exrate">'[2]Parameters'!$C$7</definedName>
    <definedName name="I_to_II_T_W">'[1]Hypertension Costs &amp; Benefits'!$J$82</definedName>
    <definedName name="I_to_II_T_WO">'[1]Hypertension Costs &amp; Benefits'!$J$32</definedName>
    <definedName name="I_to_II_UT">'[1]Hypertension Costs &amp; Benefits'!$E$32</definedName>
    <definedName name="II_t0_III_T_WO">'[1]Hypertension Costs &amp; Benefits'!$J$33</definedName>
    <definedName name="II_t0_III_UT">'[1]Hypertension Costs &amp; Benefits'!$E$33</definedName>
    <definedName name="II_to_III_T_W">'[1]Hypertension Costs &amp; Benefits'!$J$83</definedName>
    <definedName name="II_to_III_UT">'[1]Diabetes Costs &amp; Benefits'!$E$31</definedName>
    <definedName name="III_to_IV_T_W">'[1]Hypertension Costs &amp; Benefits'!$J$84</definedName>
    <definedName name="III_to_IV_T_WO">'[1]Hypertension Costs &amp; Benefits'!$J$34</definedName>
    <definedName name="III_to_IV_UT">'[1]Hypertension Costs &amp; Benefits'!$E$34</definedName>
    <definedName name="income_p">'[1]Hypertension Costs &amp; Benefits'!$E$6</definedName>
    <definedName name="pop_growth">'[1]Hypertension Costs &amp; Benefits'!$C$5</definedName>
    <definedName name="_xlnm.Print_Titles" localSheetId="4">'Cost and Benefit Summary'!$3:$3</definedName>
    <definedName name="_xlnm.Print_Titles" localSheetId="5">'Irrigation Summary'!$3:$3</definedName>
    <definedName name="Sup1.1" localSheetId="7">'Prices'!$B$2</definedName>
    <definedName name="Sup1.1">#REF!</definedName>
    <definedName name="Sup1.2">#REF!</definedName>
    <definedName name="Sup1.3">#REF!</definedName>
    <definedName name="Sup1.4">#REF!</definedName>
    <definedName name="Sup1.5">#REF!</definedName>
    <definedName name="Sup1.6">#REF!</definedName>
    <definedName name="Sup1.7">#REF!</definedName>
    <definedName name="Sup1.8">#REF!</definedName>
    <definedName name="Tab_1">'[3]Scheme 01'!$B$2</definedName>
    <definedName name="Tab1">#REF!</definedName>
    <definedName name="Tab1a">#REF!</definedName>
    <definedName name="Tab2">#REF!</definedName>
    <definedName name="Tab2a">#REF!</definedName>
    <definedName name="Tab3">#REF!</definedName>
    <definedName name="Tab3a">#REF!</definedName>
    <definedName name="Tab4">#REF!</definedName>
    <definedName name="Tab4a">#REF!</definedName>
    <definedName name="TabA1" localSheetId="4">'Cost and Benefit Summary'!$B$2</definedName>
    <definedName name="TabA1">'Irrigation Summary'!$B$2</definedName>
    <definedName name="TabA2" localSheetId="4">'Cost and Benefit Summary'!$B$488</definedName>
    <definedName name="TabA2">'Irrigation Summary'!$B$488</definedName>
  </definedNames>
  <calcPr fullCalcOnLoad="1"/>
</workbook>
</file>

<file path=xl/sharedStrings.xml><?xml version="1.0" encoding="utf-8"?>
<sst xmlns="http://schemas.openxmlformats.org/spreadsheetml/2006/main" count="3156" uniqueCount="859">
  <si>
    <t>Cost with sensitivity parameter</t>
  </si>
  <si>
    <t>Benefits with sensitivity parameter</t>
  </si>
  <si>
    <t>27.5% over 20 years</t>
  </si>
  <si>
    <t>0, 1, or 2</t>
  </si>
  <si>
    <t>Y1</t>
  </si>
  <si>
    <t>Y2</t>
  </si>
  <si>
    <t>Y3</t>
  </si>
  <si>
    <t>Y4</t>
  </si>
  <si>
    <t>Y5</t>
  </si>
  <si>
    <t>Y6</t>
  </si>
  <si>
    <t>Y7</t>
  </si>
  <si>
    <t>Y8</t>
  </si>
  <si>
    <t>Y9</t>
  </si>
  <si>
    <t>Y10</t>
  </si>
  <si>
    <t>Y11</t>
  </si>
  <si>
    <t>Y12</t>
  </si>
  <si>
    <t>Y13</t>
  </si>
  <si>
    <t>Y14</t>
  </si>
  <si>
    <t>Y15</t>
  </si>
  <si>
    <t>Y16</t>
  </si>
  <si>
    <t>Y17</t>
  </si>
  <si>
    <t>Y18</t>
  </si>
  <si>
    <t>Y19</t>
  </si>
  <si>
    <t>Y20</t>
  </si>
  <si>
    <t>Contingency</t>
  </si>
  <si>
    <t xml:space="preserve"> 
òáñ»ÝÇ ïÝï»ë³·Çï³Ï³Ý ·ÝÇ Ñ³ßí³ñÏ</t>
  </si>
  <si>
    <t>â³÷Ç 
ÙÇ³íáñ</t>
  </si>
  <si>
    <t>·ÇÝÁ</t>
  </si>
  <si>
    <t>Ò»ñù µ»ñÙ³Ý í³ÛñÁ: ²ØÜ /Ø»ÏëÇÏ³Ï³Ý Íáó/</t>
  </si>
  <si>
    <t>= FOB ÙÇçÇÝ ï³ñ»Ï³Ý ·ÇÝÁ: ÑáÏï»Ùµ»ñ-ÑáõÝí³ñ 2004Ã.(1)</t>
  </si>
  <si>
    <t>$/ïáÝ</t>
  </si>
  <si>
    <t>²å³Ñáí³·ñáõÃÛáõÝ 1%</t>
  </si>
  <si>
    <t>î»Õ³÷áËáõÙ ÙÇÝã¨ öáÃÇ Ý³í³Ñ³Ý·Çëï</t>
  </si>
  <si>
    <t>Ì³é³ÛáõÃÛáõÝ Ý³í³Ñ³Ý·ëïáõÙ</t>
  </si>
  <si>
    <t>ÀÝ¹³Ù»ÝÁ Ý»ñÙáõÍáõÙ ÙÇÝã¨ öáÃÇ</t>
  </si>
  <si>
    <t>î»Õ³÷áËáõÙ  öáÃÇ-ºñ¨³Ý</t>
  </si>
  <si>
    <t>ÀÝ¹³Ù»ÝÁ ºñ¨³ÝáõÙ</t>
  </si>
  <si>
    <t>öáË³Ý³ÏÙ³Ý ³ñÅ»ù</t>
  </si>
  <si>
    <t>¹ñ³Ù/$</t>
  </si>
  <si>
    <t>¹ñ³Ù/ïáÝ</t>
  </si>
  <si>
    <t>´»éÝ³Ã³÷áõÙ ¨ å³hå³ÝáõÙ(2)</t>
  </si>
  <si>
    <t>î»Õ³÷áËáõÙ ÙÇÝã¨ Ýß³Ý³ÏÙ³Ý Ï»ï</t>
  </si>
  <si>
    <t>Ü»ñÙáõÍÙ³Ý ·ÇÝÁ ÙÇÝã¨ Ýß³Ý³ÏÙ³Ý Ï»ïÁ</t>
  </si>
  <si>
    <t>î»Õ³Ï³Ý ³ñï³¹ñáõÃÛ³Ý óáñ»ÝÇ ·ÇÝÁ</t>
  </si>
  <si>
    <t>¶Ý»ñÇ ï³ñµ»ñáõÃÛáõÝÁ</t>
  </si>
  <si>
    <t>%</t>
  </si>
  <si>
    <t>²ÕµÛáõñÁ.
1, öáñÓ³·»ïÇ ·Ý³Ñ³ï³Ï³ÝÁ ÑÇÙÝí³Í ¿ §World Bank Develelopment Prospects, Commoditu Data Pinkssheet¦,
÷»ïñí³ñ 2005Ã.</t>
  </si>
  <si>
    <t>2, Ø»Ï ïáÝÝ³ÛÇ å³Ûå³ÝáõÙÁ »ñÏáõ ß³µ³Ãí³ ÁÝÃ³óùáõÙ Ï³½ÙáõÙ ¿ 1220 ¹ñ³Ù</t>
  </si>
  <si>
    <t xml:space="preserve">
 ä³ñ³ï³ÝÛáõÃ (³½áï³ÛÇÝ) ïÝï»ë³·Çï³Ï³Ý ·ÝÇ Ñ³ßí³ñÏ</t>
  </si>
  <si>
    <t>Ò»ñù µ»ñÙ³Ý í³ÛñÁ: ìñ³ëï³Ý, èáõëÃ³íÇ</t>
  </si>
  <si>
    <t>= FOB ÙÇçÇÝ ï³ñ»Ï³Ý ·ÇÝÁ: ÑáÏï»Ùµ»ñ-ÑáõÝí³ñ 2004Ã.</t>
  </si>
  <si>
    <t>î»Õ³÷áËáõÙ  èáõëÃ³íÇ-ºñ¨³Ý</t>
  </si>
  <si>
    <t>´»éÝ³Ã³÷áõÙ ¨ å³hå³ÝáõÙ</t>
  </si>
  <si>
    <t>²ÕµÛáõñÁ. öáñÓ³·»ïÇ ·Ý³Ñ³ï³Ï³ÝÁ ÑÇÙÝí³Í ¿ §World Bank Develelopment Prospects, Commoditu Data Pinkssheet¦,
 ÷»ïñí³ñ 2005Ã.</t>
  </si>
  <si>
    <t>ha</t>
  </si>
  <si>
    <t>A</t>
  </si>
  <si>
    <t>B</t>
  </si>
  <si>
    <t>Economic Rate of Return</t>
  </si>
  <si>
    <t>Investment cost</t>
  </si>
  <si>
    <t>A.3</t>
  </si>
  <si>
    <t>A.4</t>
  </si>
  <si>
    <t>A.5</t>
  </si>
  <si>
    <t>A.6</t>
  </si>
  <si>
    <t>Benefits from energy savings</t>
  </si>
  <si>
    <t>C</t>
  </si>
  <si>
    <t>Energy savings</t>
  </si>
  <si>
    <t>A.1</t>
  </si>
  <si>
    <t>A.2</t>
  </si>
  <si>
    <t>S1</t>
  </si>
  <si>
    <t>S1.1.1</t>
  </si>
  <si>
    <t>S1.1.2</t>
  </si>
  <si>
    <t>S1.1</t>
  </si>
  <si>
    <t>S1.2</t>
  </si>
  <si>
    <t>S1.3</t>
  </si>
  <si>
    <t>S1.4.1</t>
  </si>
  <si>
    <t>S1.4.2</t>
  </si>
  <si>
    <t>S1.4</t>
  </si>
  <si>
    <t>S1.5</t>
  </si>
  <si>
    <t>S1.6</t>
  </si>
  <si>
    <t>S1.7</t>
  </si>
  <si>
    <t>Unit</t>
  </si>
  <si>
    <t>Increased irrigated area</t>
  </si>
  <si>
    <t>Maintenance cost</t>
  </si>
  <si>
    <t>Design and supervision cost</t>
  </si>
  <si>
    <t>Benefit reduced by:</t>
  </si>
  <si>
    <t>Net benefits after assumptions</t>
  </si>
  <si>
    <t>S3</t>
  </si>
  <si>
    <t>S3.1.1</t>
  </si>
  <si>
    <t>S3.1.2</t>
  </si>
  <si>
    <t>S3.1</t>
  </si>
  <si>
    <t>S3.2</t>
  </si>
  <si>
    <t>S3.3</t>
  </si>
  <si>
    <t>S3.4</t>
  </si>
  <si>
    <t>S3.5</t>
  </si>
  <si>
    <t>S3.6</t>
  </si>
  <si>
    <t>S3.7</t>
  </si>
  <si>
    <t xml:space="preserve">Input and </t>
  </si>
  <si>
    <t>Economic price for irrigation water, dram per cubic meter</t>
  </si>
  <si>
    <t>Economic price for energy, dram per kWh</t>
  </si>
  <si>
    <t>Maintenance cost 1</t>
  </si>
  <si>
    <t>Maintenance cost 2</t>
  </si>
  <si>
    <t>Exchange rate, Armenian Dram per USD</t>
  </si>
  <si>
    <t>Discount rate, %</t>
  </si>
  <si>
    <t>Basic Info and Assumptions</t>
  </si>
  <si>
    <t>Expected Outcome</t>
  </si>
  <si>
    <t>S3.3.1</t>
  </si>
  <si>
    <t>S2</t>
  </si>
  <si>
    <t>S2.1.1</t>
  </si>
  <si>
    <t>S2.1.2</t>
  </si>
  <si>
    <t>S2.2</t>
  </si>
  <si>
    <t>S2.3.1</t>
  </si>
  <si>
    <t>S2.3</t>
  </si>
  <si>
    <t>S2.4</t>
  </si>
  <si>
    <t>S2.5</t>
  </si>
  <si>
    <t>S2.6</t>
  </si>
  <si>
    <t>S2.7</t>
  </si>
  <si>
    <t>S2.1</t>
  </si>
  <si>
    <t>A.7</t>
  </si>
  <si>
    <t xml:space="preserve">thous. $ </t>
  </si>
  <si>
    <t>thous. kWh</t>
  </si>
  <si>
    <t>Net Present Value (NPV), thous. $</t>
  </si>
  <si>
    <t>Programmed Investment, thous. $</t>
  </si>
  <si>
    <t>S1.8</t>
  </si>
  <si>
    <t>thous. $</t>
  </si>
  <si>
    <t>Irrigated area without project</t>
  </si>
  <si>
    <t>Irrigated area with project</t>
  </si>
  <si>
    <t>Initial</t>
  </si>
  <si>
    <t>After investment</t>
  </si>
  <si>
    <t>Incremental agricultural income (w.p. - w.o.p.)</t>
  </si>
  <si>
    <t>SCHEME 02 - Low-Hrazdan</t>
  </si>
  <si>
    <t>SCHEME 01 - Artashat</t>
  </si>
  <si>
    <t>SCHEME 03 - Armavir</t>
  </si>
  <si>
    <t>S4</t>
  </si>
  <si>
    <t>S5</t>
  </si>
  <si>
    <t>S5.1.1</t>
  </si>
  <si>
    <t>S5.1.2</t>
  </si>
  <si>
    <t>S5.1</t>
  </si>
  <si>
    <t>S5.2</t>
  </si>
  <si>
    <t xml:space="preserve"> thous. kWh</t>
  </si>
  <si>
    <t>S5.3</t>
  </si>
  <si>
    <t>S5.4.1</t>
  </si>
  <si>
    <t>S5.4.2</t>
  </si>
  <si>
    <t>S5.4</t>
  </si>
  <si>
    <t>S5.5</t>
  </si>
  <si>
    <t>S5.6</t>
  </si>
  <si>
    <t>S5.7</t>
  </si>
  <si>
    <t>S5.8</t>
  </si>
  <si>
    <t>SCHEME 04 - Talin</t>
  </si>
  <si>
    <t>SCHEME 05 - Arzni-Shamiram</t>
  </si>
  <si>
    <t>S6</t>
  </si>
  <si>
    <t>S6.1.1</t>
  </si>
  <si>
    <t>S6.1.2</t>
  </si>
  <si>
    <t>S6.1</t>
  </si>
  <si>
    <t>S6.2</t>
  </si>
  <si>
    <t>S6.3</t>
  </si>
  <si>
    <t>S6.4.1</t>
  </si>
  <si>
    <t>S6.4.2</t>
  </si>
  <si>
    <t>S6.4</t>
  </si>
  <si>
    <t>S6.5</t>
  </si>
  <si>
    <t>S6.6</t>
  </si>
  <si>
    <t>S6.7</t>
  </si>
  <si>
    <t>S6.8</t>
  </si>
  <si>
    <t>SCHEME 06 - Shirak</t>
  </si>
  <si>
    <t>S7</t>
  </si>
  <si>
    <t>S7.1.1</t>
  </si>
  <si>
    <t>S7.1.2</t>
  </si>
  <si>
    <t>S7.1</t>
  </si>
  <si>
    <t>S7.2</t>
  </si>
  <si>
    <t>S7.3.1</t>
  </si>
  <si>
    <t>S7.3.2</t>
  </si>
  <si>
    <t>S7.3.3</t>
  </si>
  <si>
    <t>S7.3.4</t>
  </si>
  <si>
    <t>S7.3</t>
  </si>
  <si>
    <t>S7.4.1</t>
  </si>
  <si>
    <t>S7.4.2</t>
  </si>
  <si>
    <t>S7.4</t>
  </si>
  <si>
    <t>Total benefits (=S7.4.1+S7.4.2)</t>
  </si>
  <si>
    <t>S7.5</t>
  </si>
  <si>
    <t>Net benefits (=S7.4-S7.3)</t>
  </si>
  <si>
    <t>S7.6</t>
  </si>
  <si>
    <t>S7.7</t>
  </si>
  <si>
    <t>S7.8</t>
  </si>
  <si>
    <t>S8</t>
  </si>
  <si>
    <t>S8.1.1</t>
  </si>
  <si>
    <t>S8.1.2</t>
  </si>
  <si>
    <t>S8.1</t>
  </si>
  <si>
    <t>S8.2</t>
  </si>
  <si>
    <t>S8.3.1</t>
  </si>
  <si>
    <t>S8.3.2</t>
  </si>
  <si>
    <t>S8.3.3</t>
  </si>
  <si>
    <t>S8.3.4</t>
  </si>
  <si>
    <t>S8.3</t>
  </si>
  <si>
    <t>S8.4.1</t>
  </si>
  <si>
    <t>S8.4.2</t>
  </si>
  <si>
    <t>S8.4</t>
  </si>
  <si>
    <t>Total benefits (=S8.4.1+S8.4.2)</t>
  </si>
  <si>
    <t>S8.5</t>
  </si>
  <si>
    <t>S8.6</t>
  </si>
  <si>
    <t>S8.7</t>
  </si>
  <si>
    <t>S8.8</t>
  </si>
  <si>
    <t>SCHEME 07 - Gegharkunik</t>
  </si>
  <si>
    <t>SCHEME 08 - Vayots Dzor</t>
  </si>
  <si>
    <t>S9</t>
  </si>
  <si>
    <t>S9.1.1</t>
  </si>
  <si>
    <t>S9.1.2</t>
  </si>
  <si>
    <t>S9.1</t>
  </si>
  <si>
    <t>S9.2</t>
  </si>
  <si>
    <t>S9.3.1</t>
  </si>
  <si>
    <t>S9.3.2</t>
  </si>
  <si>
    <t>S9.3.3</t>
  </si>
  <si>
    <t>S9.3.4</t>
  </si>
  <si>
    <t>S9.3</t>
  </si>
  <si>
    <t>S9.4.1</t>
  </si>
  <si>
    <t>S9.4.2</t>
  </si>
  <si>
    <t>S9.4</t>
  </si>
  <si>
    <t>Total benefits (=S9.4.1+S9.4.2)</t>
  </si>
  <si>
    <t>S9.5</t>
  </si>
  <si>
    <t>Net benefits (=S9.4-S9.3)</t>
  </si>
  <si>
    <t>S9.6</t>
  </si>
  <si>
    <t>S9.7</t>
  </si>
  <si>
    <t>S9.8</t>
  </si>
  <si>
    <t>SCHEME 09 - Aparan</t>
  </si>
  <si>
    <t>S10</t>
  </si>
  <si>
    <t>S10.1.1</t>
  </si>
  <si>
    <t>S10.1.2</t>
  </si>
  <si>
    <t>S10.1</t>
  </si>
  <si>
    <t>S10.2</t>
  </si>
  <si>
    <t>S10.3.1</t>
  </si>
  <si>
    <t>S10.3.2</t>
  </si>
  <si>
    <t>S10.3.3</t>
  </si>
  <si>
    <t>S10.3.4</t>
  </si>
  <si>
    <t>S10.3</t>
  </si>
  <si>
    <t>S10.4.1</t>
  </si>
  <si>
    <t>S10.4.2</t>
  </si>
  <si>
    <t>S10.4</t>
  </si>
  <si>
    <t>Total benefits (=S10.4.1+S10.4.2)</t>
  </si>
  <si>
    <t>S10.5</t>
  </si>
  <si>
    <t>Net benefits (=S10.4-S10.3)</t>
  </si>
  <si>
    <t>S10.6</t>
  </si>
  <si>
    <t>S10.7</t>
  </si>
  <si>
    <t>S10.8</t>
  </si>
  <si>
    <t>SCHEME 10 - Geghardalich</t>
  </si>
  <si>
    <t>S11</t>
  </si>
  <si>
    <t>S11.1.1</t>
  </si>
  <si>
    <t>S11.1.2</t>
  </si>
  <si>
    <t>S11.1</t>
  </si>
  <si>
    <t>S11.2</t>
  </si>
  <si>
    <t>S11.3.1</t>
  </si>
  <si>
    <t>S11.3.2</t>
  </si>
  <si>
    <t>S11.3.3</t>
  </si>
  <si>
    <t>S11.3.4</t>
  </si>
  <si>
    <t>S11.3</t>
  </si>
  <si>
    <t>S11.4.1</t>
  </si>
  <si>
    <t>S11.4.2</t>
  </si>
  <si>
    <t>S11.4</t>
  </si>
  <si>
    <t>Total benefits (=S11.4.1+S11.4.2+S11.4.3)</t>
  </si>
  <si>
    <t>S11.5</t>
  </si>
  <si>
    <t>Net benefits (=S11.4-S11.3)</t>
  </si>
  <si>
    <t>S11.6</t>
  </si>
  <si>
    <t>S11.7</t>
  </si>
  <si>
    <t>S11.8</t>
  </si>
  <si>
    <t>SCHEME 11 - Meghri</t>
  </si>
  <si>
    <t>S12</t>
  </si>
  <si>
    <t>S12.1.1</t>
  </si>
  <si>
    <t>S12.1.2</t>
  </si>
  <si>
    <t>S12.1</t>
  </si>
  <si>
    <t>S12.2</t>
  </si>
  <si>
    <t>S12.3.1</t>
  </si>
  <si>
    <t>S12.3.2</t>
  </si>
  <si>
    <t>S12.3.3</t>
  </si>
  <si>
    <t>S12.3.4</t>
  </si>
  <si>
    <t>S12.3</t>
  </si>
  <si>
    <t>S12.4.1</t>
  </si>
  <si>
    <t>S12.4.2</t>
  </si>
  <si>
    <t>S12.4</t>
  </si>
  <si>
    <t>Total benefits (=S12.4.1+S12.4.2)</t>
  </si>
  <si>
    <t>S12.5</t>
  </si>
  <si>
    <t>Net benefits (=S12.4-S12.3)</t>
  </si>
  <si>
    <t>S12.6</t>
  </si>
  <si>
    <t>S12.7</t>
  </si>
  <si>
    <t>S12.8</t>
  </si>
  <si>
    <t>SCHEME 12 - Artik</t>
  </si>
  <si>
    <t>S13</t>
  </si>
  <si>
    <t>S13.1.1</t>
  </si>
  <si>
    <t>S13.1.2</t>
  </si>
  <si>
    <t>S13.1</t>
  </si>
  <si>
    <t>S13.3.1</t>
  </si>
  <si>
    <t>S13.3.2</t>
  </si>
  <si>
    <t>S13.3.3</t>
  </si>
  <si>
    <t>S13.3.4</t>
  </si>
  <si>
    <t>S13.3</t>
  </si>
  <si>
    <t>S13.4.1</t>
  </si>
  <si>
    <t>S13.4</t>
  </si>
  <si>
    <t>Total benefits (=S13.4.1)</t>
  </si>
  <si>
    <t>S13.5</t>
  </si>
  <si>
    <t>S13.6</t>
  </si>
  <si>
    <t>S13.7</t>
  </si>
  <si>
    <t>S13.8</t>
  </si>
  <si>
    <t>SCHEME 13 - Spandaryan</t>
  </si>
  <si>
    <t>S14</t>
  </si>
  <si>
    <t>S14.1.1</t>
  </si>
  <si>
    <t>S14.1.2</t>
  </si>
  <si>
    <t>S14.1</t>
  </si>
  <si>
    <t>S14.2</t>
  </si>
  <si>
    <t>S14.3.1</t>
  </si>
  <si>
    <t>S14.3.2</t>
  </si>
  <si>
    <t>S14.3.3</t>
  </si>
  <si>
    <t>S14.3.4</t>
  </si>
  <si>
    <t>S14.3</t>
  </si>
  <si>
    <t>S14.4.1</t>
  </si>
  <si>
    <t>S14.4.2</t>
  </si>
  <si>
    <t>S14.4</t>
  </si>
  <si>
    <t>Total benefits (=S14.4.1+S14.4.2)</t>
  </si>
  <si>
    <t>S14.5</t>
  </si>
  <si>
    <t>Net benefits (=S14.4-S14.3)</t>
  </si>
  <si>
    <t>S14.6</t>
  </si>
  <si>
    <t>S14.7</t>
  </si>
  <si>
    <t>S14.8</t>
  </si>
  <si>
    <t>SCHEME 14 - Kapan</t>
  </si>
  <si>
    <t>S15</t>
  </si>
  <si>
    <t>S15.1.1</t>
  </si>
  <si>
    <t>S15.1.2</t>
  </si>
  <si>
    <t>S15.1</t>
  </si>
  <si>
    <t>S15.2.1</t>
  </si>
  <si>
    <t>S15.2.2</t>
  </si>
  <si>
    <t>S15.2.3</t>
  </si>
  <si>
    <t>S15.2.4</t>
  </si>
  <si>
    <t>S15.2</t>
  </si>
  <si>
    <t>S15.3.1</t>
  </si>
  <si>
    <t>S15.3</t>
  </si>
  <si>
    <t>Total benefits (=S15.4.1)</t>
  </si>
  <si>
    <t>S15.4</t>
  </si>
  <si>
    <t>S15.5</t>
  </si>
  <si>
    <t>S15.8</t>
  </si>
  <si>
    <t>S15.7</t>
  </si>
  <si>
    <t>SCHEME 15 - Goris</t>
  </si>
  <si>
    <t>S16</t>
  </si>
  <si>
    <t>S16.1.1</t>
  </si>
  <si>
    <t>S16.1.2</t>
  </si>
  <si>
    <t>S16.1</t>
  </si>
  <si>
    <t>S16.2</t>
  </si>
  <si>
    <t>S16.3.1</t>
  </si>
  <si>
    <t>S16.3.2</t>
  </si>
  <si>
    <t>S16.3.3</t>
  </si>
  <si>
    <t>S16.3.4</t>
  </si>
  <si>
    <t>S16.3</t>
  </si>
  <si>
    <t>S16.4.1</t>
  </si>
  <si>
    <t>S16.4.2</t>
  </si>
  <si>
    <t>S16.4</t>
  </si>
  <si>
    <t>Total benefits (=S16.4.1+S16.4.2)</t>
  </si>
  <si>
    <t>S16.5</t>
  </si>
  <si>
    <t>Net benefits (=S16.4-S16.3)</t>
  </si>
  <si>
    <t>S16.6</t>
  </si>
  <si>
    <t>S16.7</t>
  </si>
  <si>
    <t>S16.8</t>
  </si>
  <si>
    <t>SCHEME 16 - Lori</t>
  </si>
  <si>
    <t>S17</t>
  </si>
  <si>
    <t>S17.1.1</t>
  </si>
  <si>
    <t>S17.1.2</t>
  </si>
  <si>
    <t>S17.1</t>
  </si>
  <si>
    <t>S17.2</t>
  </si>
  <si>
    <t>S17.3.1</t>
  </si>
  <si>
    <t>S17.3.2</t>
  </si>
  <si>
    <t>S17.3.3</t>
  </si>
  <si>
    <t>S17.3.4</t>
  </si>
  <si>
    <t>S17.3</t>
  </si>
  <si>
    <t>S17.4.1</t>
  </si>
  <si>
    <t>S17.4.2</t>
  </si>
  <si>
    <t>S17.4</t>
  </si>
  <si>
    <t>Total benefits (=S17.4.1+S17.4.2)</t>
  </si>
  <si>
    <t>S17.5</t>
  </si>
  <si>
    <t>Net benefits (=S17.4-S17.3)</t>
  </si>
  <si>
    <t>S17.6</t>
  </si>
  <si>
    <t>S17.7</t>
  </si>
  <si>
    <t>S17.8</t>
  </si>
  <si>
    <t>SCHEME 17 - Getik</t>
  </si>
  <si>
    <t>S18</t>
  </si>
  <si>
    <t>S18.1.1</t>
  </si>
  <si>
    <t>S18.1.2</t>
  </si>
  <si>
    <t>S18.1</t>
  </si>
  <si>
    <t>S18.2.1</t>
  </si>
  <si>
    <t>S18.2.2</t>
  </si>
  <si>
    <t>S18.2.3</t>
  </si>
  <si>
    <t>S18.2.4</t>
  </si>
  <si>
    <t>S18.2</t>
  </si>
  <si>
    <t>S18.3.1</t>
  </si>
  <si>
    <t>S18.3</t>
  </si>
  <si>
    <t>Total benefits (=S18.3.1)</t>
  </si>
  <si>
    <t>S18.4</t>
  </si>
  <si>
    <t>Net benefits (=S18.3-S18.2)</t>
  </si>
  <si>
    <t>S18.5</t>
  </si>
  <si>
    <t>S18.6</t>
  </si>
  <si>
    <t>S18.7</t>
  </si>
  <si>
    <t>S19</t>
  </si>
  <si>
    <t>S19.1.1</t>
  </si>
  <si>
    <t>S19.1.2</t>
  </si>
  <si>
    <t>S19.1</t>
  </si>
  <si>
    <t>S19.2</t>
  </si>
  <si>
    <t>S19.3.1</t>
  </si>
  <si>
    <t>S19.3.2</t>
  </si>
  <si>
    <t>S19.3.3</t>
  </si>
  <si>
    <t>S19.3.4</t>
  </si>
  <si>
    <t>S19.3</t>
  </si>
  <si>
    <t>S19.4.1</t>
  </si>
  <si>
    <t>S19.4.2</t>
  </si>
  <si>
    <t>S19.4</t>
  </si>
  <si>
    <t>Total benefits (=S19.4.1+S19.4.2)</t>
  </si>
  <si>
    <t>S19.5</t>
  </si>
  <si>
    <t>S19.6</t>
  </si>
  <si>
    <t>S19.7</t>
  </si>
  <si>
    <t>S19.8</t>
  </si>
  <si>
    <t>SCHEME 18 - Noyemberyan</t>
  </si>
  <si>
    <t>SCHEME 19 - Berd</t>
  </si>
  <si>
    <t>S20</t>
  </si>
  <si>
    <t>S20.1.1</t>
  </si>
  <si>
    <t>S20.1.2</t>
  </si>
  <si>
    <t>S20.1</t>
  </si>
  <si>
    <t>S20.2</t>
  </si>
  <si>
    <t>S20.3.1</t>
  </si>
  <si>
    <t>S20.3.2</t>
  </si>
  <si>
    <t>S20.3.3</t>
  </si>
  <si>
    <t>S20.3.4</t>
  </si>
  <si>
    <t>S20.3</t>
  </si>
  <si>
    <t>S20.4.1</t>
  </si>
  <si>
    <t>S20.4.2</t>
  </si>
  <si>
    <t>S20.4</t>
  </si>
  <si>
    <t>Total benefits (=S20.4.1+S20.4.2)</t>
  </si>
  <si>
    <t>S20.5</t>
  </si>
  <si>
    <t>Net benefits (=S20.4-S20.3)</t>
  </si>
  <si>
    <t>S20.6</t>
  </si>
  <si>
    <t>S20.7</t>
  </si>
  <si>
    <t>S20.8</t>
  </si>
  <si>
    <t>SCHEME 20 - Ijevan</t>
  </si>
  <si>
    <t>S21</t>
  </si>
  <si>
    <t>S21.1.1</t>
  </si>
  <si>
    <t>S21.1.2</t>
  </si>
  <si>
    <t>S21.1</t>
  </si>
  <si>
    <t>S21.2</t>
  </si>
  <si>
    <t>S21.3.1</t>
  </si>
  <si>
    <t>S21.3.2</t>
  </si>
  <si>
    <t>S21.3.3</t>
  </si>
  <si>
    <t>S21.3.4</t>
  </si>
  <si>
    <t>S21.3</t>
  </si>
  <si>
    <t>S21.4.1</t>
  </si>
  <si>
    <t>S21.4.2</t>
  </si>
  <si>
    <t>S21.4</t>
  </si>
  <si>
    <t>Total benefits (=S21.4.1+S21.4.2)</t>
  </si>
  <si>
    <t>S21.5</t>
  </si>
  <si>
    <t>Net benefits (=S21.4-S21.3)</t>
  </si>
  <si>
    <t>S21.6</t>
  </si>
  <si>
    <t>S21.7</t>
  </si>
  <si>
    <t>S21.8</t>
  </si>
  <si>
    <t>S22</t>
  </si>
  <si>
    <t>S22.1.1</t>
  </si>
  <si>
    <t>S22.1.2</t>
  </si>
  <si>
    <t>S22.1</t>
  </si>
  <si>
    <t>S22.2.1</t>
  </si>
  <si>
    <t>S22.2.2</t>
  </si>
  <si>
    <t>S22.2.3</t>
  </si>
  <si>
    <t>S22.2.4</t>
  </si>
  <si>
    <t>S22.2</t>
  </si>
  <si>
    <t>S22.3.1</t>
  </si>
  <si>
    <t>S22.3</t>
  </si>
  <si>
    <t>Total benefits (=S22.3.1)</t>
  </si>
  <si>
    <t>S22.4</t>
  </si>
  <si>
    <t>Net benefits (=S22.3-S22.2)</t>
  </si>
  <si>
    <t>S22.5</t>
  </si>
  <si>
    <t>S22.6</t>
  </si>
  <si>
    <t>S22.7</t>
  </si>
  <si>
    <t>SCHEME 21 - Kotayk</t>
  </si>
  <si>
    <t>SCHEME 22 - Rehabilitation of Tertiary System in 8 WUAs</t>
  </si>
  <si>
    <t>S4.1.1</t>
  </si>
  <si>
    <t>S4.1.2</t>
  </si>
  <si>
    <t>S4.1</t>
  </si>
  <si>
    <t>S4.2</t>
  </si>
  <si>
    <t>S4.3</t>
  </si>
  <si>
    <t>S4.4.1</t>
  </si>
  <si>
    <t>S4.4.2</t>
  </si>
  <si>
    <t>S4.4</t>
  </si>
  <si>
    <t>S4.5</t>
  </si>
  <si>
    <t>S4.6</t>
  </si>
  <si>
    <t>S4.7</t>
  </si>
  <si>
    <t>S4.8</t>
  </si>
  <si>
    <t>Net benefits (=S8.4-S8.3)</t>
  </si>
  <si>
    <t>Net benefits (=S13.4-S13.3)</t>
  </si>
  <si>
    <t>Net benefits (=S15.3-S15.2)</t>
  </si>
  <si>
    <t>S23</t>
  </si>
  <si>
    <t>A.1.1</t>
  </si>
  <si>
    <t>A.1.2</t>
  </si>
  <si>
    <t>A.4.1</t>
  </si>
  <si>
    <t>A.4.2</t>
  </si>
  <si>
    <t>A.8</t>
  </si>
  <si>
    <t>B1</t>
  </si>
  <si>
    <t>B2</t>
  </si>
  <si>
    <t>B3</t>
  </si>
  <si>
    <t>Institutional strengthening of WUAs and WSA</t>
  </si>
  <si>
    <t>Project Implementation Unit Operation Cost</t>
  </si>
  <si>
    <r>
      <t>SCHEME 23 - Reconstruction of Drainage in Ararat Valley</t>
    </r>
    <r>
      <rPr>
        <b/>
        <sz val="8"/>
        <color indexed="10"/>
        <rFont val="Arial"/>
        <family val="2"/>
      </rPr>
      <t xml:space="preserve"> </t>
    </r>
    <r>
      <rPr>
        <b/>
        <sz val="8"/>
        <color indexed="12"/>
        <rFont val="Arial"/>
        <family val="2"/>
      </rPr>
      <t>(will be added)</t>
    </r>
  </si>
  <si>
    <t>C1</t>
  </si>
  <si>
    <t>C2</t>
  </si>
  <si>
    <t>C3</t>
  </si>
  <si>
    <t>C4</t>
  </si>
  <si>
    <t>Net benefits (=C2-C1)</t>
  </si>
  <si>
    <t>C6</t>
  </si>
  <si>
    <t>C5</t>
  </si>
  <si>
    <t>Table A1: Economic Analysis Summary - Irrigation Project</t>
  </si>
  <si>
    <t>Table A2: Sensitivity Analysis Summary - Irrigation Project</t>
  </si>
  <si>
    <t>Delay in Project Benefits by 1 Year</t>
  </si>
  <si>
    <t>Cost</t>
  </si>
  <si>
    <t>I.</t>
  </si>
  <si>
    <t>II.</t>
  </si>
  <si>
    <t>III.</t>
  </si>
  <si>
    <t>Delay in Project Benefits by 2 Years</t>
  </si>
  <si>
    <t>Cost Increased / Benefit Reduced</t>
  </si>
  <si>
    <t>Benefit</t>
  </si>
  <si>
    <t>Project Cost and Benefit Summary</t>
  </si>
  <si>
    <t>Water savings</t>
  </si>
  <si>
    <t>S1.4.3</t>
  </si>
  <si>
    <t>S1.4.4</t>
  </si>
  <si>
    <t>S1.5.1</t>
  </si>
  <si>
    <t>S1.5.2</t>
  </si>
  <si>
    <t>S1.5.3</t>
  </si>
  <si>
    <t>Benefits from water savings</t>
  </si>
  <si>
    <t>Total benefits (=S1.5.1+S1.5.2+S1.5.3)</t>
  </si>
  <si>
    <t>Net benefits (=S1.5-S1.4)</t>
  </si>
  <si>
    <t>S1.9</t>
  </si>
  <si>
    <t>thous. m3</t>
  </si>
  <si>
    <t>S2.3.2</t>
  </si>
  <si>
    <t>S2.3.3</t>
  </si>
  <si>
    <t>S2.3.4</t>
  </si>
  <si>
    <t>S2.4.1</t>
  </si>
  <si>
    <t>S2.4.2</t>
  </si>
  <si>
    <t>Total benefits (=S2.4.1+S2.4.2)</t>
  </si>
  <si>
    <t>Net benefits (=S2.4-S2.3)</t>
  </si>
  <si>
    <t>S2.8</t>
  </si>
  <si>
    <t>S3.3.2</t>
  </si>
  <si>
    <t>S3.3.3</t>
  </si>
  <si>
    <t>S3.3.4</t>
  </si>
  <si>
    <t>S3.4.1</t>
  </si>
  <si>
    <t>S3.4.2</t>
  </si>
  <si>
    <t>Total benefits (=S3.4.1+S3.4.2)</t>
  </si>
  <si>
    <t>Net benefits (=S3.4-S3.3)</t>
  </si>
  <si>
    <t>S3.8</t>
  </si>
  <si>
    <t>S4.4.3</t>
  </si>
  <si>
    <t>S4.4.4</t>
  </si>
  <si>
    <t>S4.5.1</t>
  </si>
  <si>
    <t>S4.5.2</t>
  </si>
  <si>
    <t>S4.5.3</t>
  </si>
  <si>
    <t>Total benefits (=S4.5.1+S4.5.2+S4.5.3)</t>
  </si>
  <si>
    <t>Net benefits (=S4.5-S4.4)</t>
  </si>
  <si>
    <t>S4.9</t>
  </si>
  <si>
    <t>S5.4.3</t>
  </si>
  <si>
    <t>S5.4.4</t>
  </si>
  <si>
    <t>S5.5.1</t>
  </si>
  <si>
    <t>S5.5.2</t>
  </si>
  <si>
    <t>S5.5.3</t>
  </si>
  <si>
    <t>Total benefits (=S5.5.1+S5.5.2+S5.5.3)</t>
  </si>
  <si>
    <t>Net benefits (=S5.5-S5.4)</t>
  </si>
  <si>
    <t>S5.9</t>
  </si>
  <si>
    <t>S6.4.3</t>
  </si>
  <si>
    <t>S6.4.4</t>
  </si>
  <si>
    <t>S6.5.1</t>
  </si>
  <si>
    <t>S6.5.2</t>
  </si>
  <si>
    <t>S6.5.3</t>
  </si>
  <si>
    <t>Total benefits (=S6.5.1+S6.5.2+S6.5.3)</t>
  </si>
  <si>
    <t>Net benefits (=S6.5-S6.4)</t>
  </si>
  <si>
    <t>S6.9</t>
  </si>
  <si>
    <t>A.5.2</t>
  </si>
  <si>
    <t>A.4.3</t>
  </si>
  <si>
    <t>A.4.4</t>
  </si>
  <si>
    <t>A.5.1</t>
  </si>
  <si>
    <t>A.5.3</t>
  </si>
  <si>
    <t>Total benefits (=A.5.1+A.5.2+A.5.3)</t>
  </si>
  <si>
    <t>Net benefits (=A.5-A.4)</t>
  </si>
  <si>
    <t>A.9</t>
  </si>
  <si>
    <t>Total benefits (=A5)</t>
  </si>
  <si>
    <t>Summary for Schemes 01-22</t>
  </si>
  <si>
    <t>S1.4.5</t>
  </si>
  <si>
    <t>Environmental impact assessment cost</t>
  </si>
  <si>
    <t>EIA Cost, thous. $</t>
  </si>
  <si>
    <t>S1.10</t>
  </si>
  <si>
    <t>Design and Supervision Cost</t>
  </si>
  <si>
    <t>Main Canals</t>
  </si>
  <si>
    <t>Conversion from Pumping to Gravity</t>
  </si>
  <si>
    <t>Rehabilitation of Pumping Stations</t>
  </si>
  <si>
    <t>Construction of Reservoirs</t>
  </si>
  <si>
    <t>Rehabilitation of Tertiary System</t>
  </si>
  <si>
    <t>Environment Impact Assessment Cost, thous. $</t>
  </si>
  <si>
    <t>Complex EIA</t>
  </si>
  <si>
    <t>Average EIA</t>
  </si>
  <si>
    <t>Simple EIA</t>
  </si>
  <si>
    <t>S2.3.5</t>
  </si>
  <si>
    <t>S2.9</t>
  </si>
  <si>
    <t>S3.3.5</t>
  </si>
  <si>
    <t>S3.9</t>
  </si>
  <si>
    <t>S4.4.5</t>
  </si>
  <si>
    <t>EIA cost, thous. $</t>
  </si>
  <si>
    <t>S4.10</t>
  </si>
  <si>
    <t>S5.4.5</t>
  </si>
  <si>
    <t>S5.10</t>
  </si>
  <si>
    <t>S8.3.5</t>
  </si>
  <si>
    <t>S8.9</t>
  </si>
  <si>
    <t>S10.3.5</t>
  </si>
  <si>
    <t>S10.9</t>
  </si>
  <si>
    <t>S13.3.5</t>
  </si>
  <si>
    <t>S13.9</t>
  </si>
  <si>
    <t>S14.3.5</t>
  </si>
  <si>
    <t>S14.9</t>
  </si>
  <si>
    <t>S15.2.5</t>
  </si>
  <si>
    <t>S15.6</t>
  </si>
  <si>
    <t>S19.3.5</t>
  </si>
  <si>
    <t>Net benefits (=S19.4-S19.3)</t>
  </si>
  <si>
    <t>S19.9</t>
  </si>
  <si>
    <t>S20.3.5</t>
  </si>
  <si>
    <t>S20.9</t>
  </si>
  <si>
    <t>S21.3.5</t>
  </si>
  <si>
    <t>S21.9</t>
  </si>
  <si>
    <t>S22.2.5</t>
  </si>
  <si>
    <t>S22.8</t>
  </si>
  <si>
    <t>S6.4.5</t>
  </si>
  <si>
    <t>S6.10</t>
  </si>
  <si>
    <t>S7.3.5</t>
  </si>
  <si>
    <t>S7.9</t>
  </si>
  <si>
    <t>S9.3.5</t>
  </si>
  <si>
    <t>S9.9</t>
  </si>
  <si>
    <t>S12.3.5</t>
  </si>
  <si>
    <t>S12.9</t>
  </si>
  <si>
    <t>S16.3.5</t>
  </si>
  <si>
    <t>S16.9</t>
  </si>
  <si>
    <t>S17.3.5</t>
  </si>
  <si>
    <t>S17.9</t>
  </si>
  <si>
    <t>S11.3.5</t>
  </si>
  <si>
    <t>S11.9</t>
  </si>
  <si>
    <t>S18.2.5</t>
  </si>
  <si>
    <t>S18.8</t>
  </si>
  <si>
    <t>A.4.5</t>
  </si>
  <si>
    <t>A.10</t>
  </si>
  <si>
    <t>Project Related Administrative and Institutional Strengthening Costs</t>
  </si>
  <si>
    <t>Total (B1+B2)</t>
  </si>
  <si>
    <t>Total cost (=A4+B3)</t>
  </si>
  <si>
    <t>C7</t>
  </si>
  <si>
    <r>
      <t xml:space="preserve">EIA cost, thous. $ </t>
    </r>
    <r>
      <rPr>
        <b/>
        <vertAlign val="superscript"/>
        <sz val="8"/>
        <rFont val="Arial"/>
        <family val="2"/>
      </rPr>
      <t>b</t>
    </r>
  </si>
  <si>
    <t>a. Includes projected investment (contingency inclusive), design and supervision, PIU operation, and WUAs and WSA institutional strengthening cost. Investment, as well design and supervision cost for Reconstruction of Drainage System in Ararat Valley (which are estimated at $ 15,024 thousand) are not covered.</t>
  </si>
  <si>
    <t>b. Excluding environmental impact assessment related cost for Reconstruction and of Drainage System in Ararat Valley, which are estimated at $528,935 for environmental study and $109,780 for EIA, respectively. Environmental monitoring program cost (estimated at $130,655) are also not covered.</t>
  </si>
  <si>
    <r>
      <t xml:space="preserve">Programmed Investment, thous. $ </t>
    </r>
    <r>
      <rPr>
        <b/>
        <vertAlign val="superscript"/>
        <sz val="8"/>
        <rFont val="Arial"/>
        <family val="2"/>
      </rPr>
      <t>a</t>
    </r>
  </si>
  <si>
    <t>c. Environmental Impact Assessment Cost Estimate: as of October 07, 2005.</t>
  </si>
  <si>
    <t>Note: Economic analysis spreadsheets are updated based on following information:</t>
  </si>
  <si>
    <t>1. Irrigation Schemes Description Document: as of September 28, 2005.</t>
  </si>
  <si>
    <t>2. Draft Project Implementation Plan: as of September 28, 2005</t>
  </si>
  <si>
    <t>Increased irrigated area (cumulative)</t>
  </si>
  <si>
    <t>S22.1a</t>
  </si>
  <si>
    <t>Increased irrigated area (y-o-y change)</t>
  </si>
  <si>
    <t>+/-</t>
  </si>
  <si>
    <t>p.p.</t>
  </si>
  <si>
    <t>EIA Cost</t>
  </si>
  <si>
    <t>NPV</t>
  </si>
  <si>
    <t>Scheme 10</t>
  </si>
  <si>
    <t>Scheme 11</t>
  </si>
  <si>
    <t>Scheme 12</t>
  </si>
  <si>
    <t>Scheme 13</t>
  </si>
  <si>
    <t>Scheme 14</t>
  </si>
  <si>
    <t>Scheme 15</t>
  </si>
  <si>
    <t>Scheme 16</t>
  </si>
  <si>
    <t>Scheme 17</t>
  </si>
  <si>
    <t>Scheme 18</t>
  </si>
  <si>
    <t>Scheme 19</t>
  </si>
  <si>
    <t>Scheme 20</t>
  </si>
  <si>
    <t>Scheme 21</t>
  </si>
  <si>
    <t>Scheme 22</t>
  </si>
  <si>
    <t>Overall, Schemes 01-22</t>
  </si>
  <si>
    <t>Scheme 01</t>
  </si>
  <si>
    <t>Scheme 02</t>
  </si>
  <si>
    <t>Scheme 03</t>
  </si>
  <si>
    <t>Scheme 04</t>
  </si>
  <si>
    <t>Scheme 05</t>
  </si>
  <si>
    <t>Scheme 06</t>
  </si>
  <si>
    <t>Scheme 07</t>
  </si>
  <si>
    <t>Scheme 08</t>
  </si>
  <si>
    <t>Scheme 09</t>
  </si>
  <si>
    <t>Investment</t>
  </si>
  <si>
    <t>ERR, %</t>
  </si>
  <si>
    <t>Total Cost, thous. $</t>
  </si>
  <si>
    <t>Programmed Investment</t>
  </si>
  <si>
    <t>Economic Analysis Summary by Scheme</t>
  </si>
  <si>
    <t>Z1</t>
  </si>
  <si>
    <t>Z2</t>
  </si>
  <si>
    <t>Z3</t>
  </si>
  <si>
    <t>Z4</t>
  </si>
  <si>
    <t>Base Value (+/-)</t>
  </si>
  <si>
    <t>* Base values correspond to 0 values in (+/-) column.</t>
  </si>
  <si>
    <t>S1.4.6</t>
  </si>
  <si>
    <t>On farm investment</t>
  </si>
  <si>
    <t>Total cost (=S1.4.1+S1.4.2+S1.4.3+S1.4.4+S1.4.5+S1.4.6)</t>
  </si>
  <si>
    <t>S2.3.6</t>
  </si>
  <si>
    <t>Total cost (=S2.3.1+S2.3.2+S2.3.3+S2.3.4+S2.3.5+S2.3.6)</t>
  </si>
  <si>
    <t>S3.3.6</t>
  </si>
  <si>
    <t>Total cost (=S3.3.1+S3.3.2+S3.3.3+S3.3.4+S3.3.5+S3.3.6)</t>
  </si>
  <si>
    <t>S4.4.6</t>
  </si>
  <si>
    <t>Total cost (=S4.4.1+S4.4.2+S4..3+S4.4.4+S4.4.5+S4.4.6)</t>
  </si>
  <si>
    <t>S5.4.6</t>
  </si>
  <si>
    <t>Total cost (=S5.4.1+S5.4.2+S5..3+S5.4.4+S5.4.5+S5.4.5)</t>
  </si>
  <si>
    <t>S6.4.6</t>
  </si>
  <si>
    <t>Total cost (=S6.4.1+S6.4.2+S6.4.3+S6.4.4+S6.4.5+S6.4.6)</t>
  </si>
  <si>
    <t>S7.3.6</t>
  </si>
  <si>
    <t>Total cost (=S7.3.1+S7.3.2+S7.3.3+S7.3.4+S7.3.5+S7.3.6)</t>
  </si>
  <si>
    <t>S8.3.6</t>
  </si>
  <si>
    <t>Total cost (=S8.3.1+S8.3.2+S8.3.3+S8.3.4+S8.3.5+S8.3.6)</t>
  </si>
  <si>
    <t>S9.3.6</t>
  </si>
  <si>
    <t>Total cost (=S9.3.1+S9.3.2+S9.3.3+S9.3.4+S9.3.5+S9.3.6)</t>
  </si>
  <si>
    <t>S10.3.6</t>
  </si>
  <si>
    <t>Total cost (=S10.3.1+S10.3.2+S10.3.3+S10.3.4+S10.3.5+S10.3.6)</t>
  </si>
  <si>
    <t>S11.3.6</t>
  </si>
  <si>
    <t>Total cost (=S11.3.1+S11.3.2+S11.3.3+S11.3.4+S11.3.5+S11.3.6)</t>
  </si>
  <si>
    <t>S12.3.6</t>
  </si>
  <si>
    <t>Total cost (=S12.3.1+S12.3.2+S12.3.3+S12.3.4+S12.3.5+S12.3.6)</t>
  </si>
  <si>
    <t>S13.3.6</t>
  </si>
  <si>
    <t>Total cost (=S13.3.1+S13.3.2+S13.3.3+S13.3.4+S13.3.5+S13.3.6)</t>
  </si>
  <si>
    <t>S14.3.6</t>
  </si>
  <si>
    <t>Total cost (=S14.3.1+S14.3.2+S14.3.3+S14.3.4+S14.3.5+S14.3.6)</t>
  </si>
  <si>
    <t>S15.2.6</t>
  </si>
  <si>
    <t>Total cost (=S15.2.1+S15.2.2+S15.2.3+S15.2.4+S15.2.5+S15.2.6)</t>
  </si>
  <si>
    <t>S16.3.6</t>
  </si>
  <si>
    <t>Total cost (=S16.3.1+S16.3.2+S16.3.3+S16.3.4+S16.3.5+S16.3.6)</t>
  </si>
  <si>
    <t>S17.3.6</t>
  </si>
  <si>
    <t>Total cost (=S17.3.1+S17.3.2+S17.3.3+S17.3.4+S17.3.5+S17.3.6)</t>
  </si>
  <si>
    <t>S18.2.6</t>
  </si>
  <si>
    <t>Total cost (=S18.2.1+S18.2.2+S18.2.3+S18.2.4+S18.2.5+S18.2.6)</t>
  </si>
  <si>
    <t>S19.3.6</t>
  </si>
  <si>
    <t>Total cost (=S19.3.1+S19.3.2+S19.3.3+S19.3.4+S19.3.5+S19.3.6)</t>
  </si>
  <si>
    <t>S20.3.6</t>
  </si>
  <si>
    <t>Total cost (=S20.3.1+S20.3.2+S20.3.3+S20.3.4+S20.3.5+S20.3.6)</t>
  </si>
  <si>
    <t>S21.3.6</t>
  </si>
  <si>
    <t>Total cost (=S21.3.1+S21.3.2+S21.3.3+S21.3.4+S21.3.5+S21.3.6)</t>
  </si>
  <si>
    <t>S22.2.6</t>
  </si>
  <si>
    <t>Total cost (=S22.2.1+S22.2.2+S22.2.3+S22.2.4+S22.2.5+S22.2.6)</t>
  </si>
  <si>
    <t>A.4.6</t>
  </si>
  <si>
    <t>Total cost (=A.4.1+A.4.2+A.4.3+A.4.4+A.4.5+A.4.6)</t>
  </si>
  <si>
    <t>Last modified on: October 27, 2005</t>
  </si>
  <si>
    <t>Project name</t>
  </si>
  <si>
    <t>Spreadsheet version</t>
  </si>
  <si>
    <t>Date</t>
  </si>
  <si>
    <t>Amount of MCC funds</t>
  </si>
  <si>
    <t>Project Description</t>
  </si>
  <si>
    <t>Benefit streams included in ERR</t>
  </si>
  <si>
    <t>Costs included in ERR (other than costs borne by MCC)</t>
  </si>
  <si>
    <t>None</t>
  </si>
  <si>
    <t>Estimated ERR and time horizon</t>
  </si>
  <si>
    <t>Worksheets in this file</t>
  </si>
  <si>
    <t>This sheet should be read first, as it offers a summary of the project, a list of components, and states the economic rationale for the project.</t>
  </si>
  <si>
    <t>ERR &amp; Sensitivity Analysis</t>
  </si>
  <si>
    <t>This sheet contains brief summary of the project's key parameters and ERR calculations, giving the user the opportunity to test the sensitivity to the ERR of various changes in parameters.</t>
  </si>
  <si>
    <t>This worksheet summarizes the costs and benefits associated with MCC investments. Benefits are summarized by year, and the associated ERR is computed over a 20-year timeframe</t>
  </si>
  <si>
    <t>* Note: Minor corrections have been incorporated into the present spreadsheet since the Investment Memo</t>
  </si>
  <si>
    <r>
      <t>Investment memo, final</t>
    </r>
    <r>
      <rPr>
        <sz val="9"/>
        <rFont val="Arial"/>
        <family val="2"/>
      </rPr>
      <t>*</t>
    </r>
  </si>
  <si>
    <t>Summary</t>
  </si>
  <si>
    <t>Components</t>
  </si>
  <si>
    <t>Economic Rationale</t>
  </si>
  <si>
    <t>ERR and sensitivity analysis</t>
  </si>
  <si>
    <t>Parameter type</t>
  </si>
  <si>
    <t>Description of key parameters</t>
  </si>
  <si>
    <t>Parameter values</t>
  </si>
  <si>
    <t>User Input</t>
  </si>
  <si>
    <t>MCC Estimate</t>
  </si>
  <si>
    <t>Plausible Range</t>
  </si>
  <si>
    <t xml:space="preserve">Values used in ERR computation </t>
  </si>
  <si>
    <t>All summary parameters set to initial values?</t>
  </si>
  <si>
    <t>Actual costs as a percentage of estimated costs</t>
  </si>
  <si>
    <t>80 - 120%</t>
  </si>
  <si>
    <t>Actual benefits as a percentage of estimated benefits</t>
  </si>
  <si>
    <t>Specific</t>
  </si>
  <si>
    <t xml:space="preserve">   More Info</t>
  </si>
  <si>
    <t xml:space="preserve">Economic rate of return (ERR): </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</si>
  <si>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</si>
  <si>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Assumptions and Basic Info</t>
  </si>
  <si>
    <t>Irrigation Summary</t>
  </si>
  <si>
    <t>Irrigated Agriculture Project</t>
  </si>
  <si>
    <t>2.      Rehabilitation of drainage works</t>
  </si>
  <si>
    <t>3.      Institutional strengthening of water supply agencies and water user associations</t>
  </si>
  <si>
    <t>4.      Training of farmers in improved on-farm water management</t>
  </si>
  <si>
    <t>5.      Training of farmers in cultivation, post-market processing and marketing of high-value horticultural crops</t>
  </si>
  <si>
    <t>6.      Improved access to credit for enterprise development and marketing</t>
  </si>
  <si>
    <t>The Irrigated Agriculture Project focuses on reducing rural poverty through a sustainable increase in the economic performance of the agricultural sector.  The Program will advance these goals through the following activities:</t>
  </si>
  <si>
    <t xml:space="preserve">Additional income from newly irrigated land as a result of the increase in high value-added crop cultivation, higher yields, lower production costs and energy and water savings.  </t>
  </si>
  <si>
    <t xml:space="preserve">     The Armenia Compact, therefore, aims to reduce this rural poverty through a five-year program of strategic investments in irrigation infrastructure and technical assistance, and financial support to water supply entitites, farmers and commercial agribusiness.</t>
  </si>
  <si>
    <r>
      <t xml:space="preserve">MCC Estimated ERR </t>
    </r>
    <r>
      <rPr>
        <b/>
        <sz val="8"/>
        <rFont val="Arial"/>
        <family val="2"/>
      </rPr>
      <t>(as of 10/27/2005)</t>
    </r>
    <r>
      <rPr>
        <b/>
        <sz val="10"/>
        <rFont val="Arial"/>
        <family val="2"/>
      </rPr>
      <t>:</t>
    </r>
  </si>
  <si>
    <t>Actual Maintenance Costs as a percentage of estimated maintenance costs</t>
  </si>
  <si>
    <t>50 - 200%</t>
  </si>
  <si>
    <t>Actual Benefits from Water Savings as a percentage of estimated benefits from Water Savings</t>
  </si>
  <si>
    <t>Supplement 1.1: Financial and economic prices (in drams)</t>
  </si>
  <si>
    <t>Goods and Services</t>
  </si>
  <si>
    <t>Financial Price</t>
  </si>
  <si>
    <t>Economic Price</t>
  </si>
  <si>
    <t>Conversion factor</t>
  </si>
  <si>
    <t>Materials and services</t>
  </si>
  <si>
    <t>Irrigation water</t>
  </si>
  <si>
    <t>dram/ cubic meter</t>
  </si>
  <si>
    <t>Energy</t>
  </si>
  <si>
    <t>dram/kWh</t>
  </si>
  <si>
    <t>Pesticides:</t>
  </si>
  <si>
    <t>Granozan</t>
  </si>
  <si>
    <t>dram/kg</t>
  </si>
  <si>
    <t>Baileton, cuprosan sulphur</t>
  </si>
  <si>
    <t>Furacilin</t>
  </si>
  <si>
    <t>Karate, baileton</t>
  </si>
  <si>
    <t>Baileton, karate</t>
  </si>
  <si>
    <t>Nitrogen fertilizers</t>
  </si>
  <si>
    <t>Transport services</t>
  </si>
  <si>
    <t>dram/3 ton-10 km</t>
  </si>
  <si>
    <t>Combine services</t>
  </si>
  <si>
    <t>dram/ha</t>
  </si>
  <si>
    <t>Tractor services:</t>
  </si>
  <si>
    <t>Wheat</t>
  </si>
  <si>
    <t>Vegetables</t>
  </si>
  <si>
    <t>Fodder</t>
  </si>
  <si>
    <t>Fruits</t>
  </si>
  <si>
    <t>Grapes</t>
  </si>
  <si>
    <t>Labor cost</t>
  </si>
  <si>
    <t>dram/person-day</t>
  </si>
  <si>
    <t>Seeds and seedlings</t>
  </si>
  <si>
    <t>dram / kg</t>
  </si>
  <si>
    <t>Tomato</t>
  </si>
  <si>
    <t>dram/ 1000 seedlings</t>
  </si>
  <si>
    <t>Potatoes</t>
  </si>
  <si>
    <t>Melons</t>
  </si>
  <si>
    <t>1sapling</t>
  </si>
  <si>
    <t>1 cutting</t>
  </si>
  <si>
    <t>Cabbage</t>
  </si>
  <si>
    <t>1 seedling</t>
  </si>
  <si>
    <t>Products</t>
  </si>
  <si>
    <t>Apples</t>
  </si>
  <si>
    <t>Alfalfa</t>
  </si>
  <si>
    <t>Apricots</t>
  </si>
  <si>
    <t>Peaches</t>
  </si>
  <si>
    <t>Exchange rate</t>
  </si>
  <si>
    <t>AMD/USD</t>
  </si>
  <si>
    <t>Source: National Statistical Service, Water Sector Development and Institutional Improvements PIU.</t>
  </si>
  <si>
    <t>Actual Benefits from Energy Savings as a percentage of estimated benefits from energy savings</t>
  </si>
  <si>
    <t xml:space="preserve">     The activities included in the Project represent sound investments that will alleviate key constraints to economic growth and poverty reduction in rural Armenia.  Economic Rates of Return ("ERRs") were calculated for each infrastructure investment and technical assistance activity to select the highest return projects.  These returns, which were modeled by the Government of Armenia's transaction team and reviewed by MCC, quantify the expected incremental increase in income from each individual activity.  For the Irrigated Agriculture Project, quantified benefits include additional income from newly irrigated land, the increase in high value-added crop cultivation, higher yields, lower production costs, and energy and water savings.  The economic rates of return of each of the activities were compared to a benchmark of 12.5%, the average real growth rate for the past three years.  The overall economic rate of return of the project is estimated at 27.5%.</t>
  </si>
  <si>
    <t>Activity Description</t>
  </si>
  <si>
    <t>a. Includes projected investment (contingency inclusive), design and supervision, PIU operation, and WUAs and WSA institutional strengthening cost. Investment, as well design and supervision cost for Reconstruction of Drainage System in Ararat Valley (whi</t>
  </si>
  <si>
    <t>b. Excluding environmental impact assessment related cost for Reconstruction and of Drainage System in Ararat Valley, which are estimated at $528,935 for environmental study and $109,780 for EIA, respectively. Environmental monitoring program cost (estima</t>
  </si>
  <si>
    <t>Years of delay in benefits</t>
  </si>
  <si>
    <t>Costs</t>
  </si>
  <si>
    <t>Armenia Irrigated Agriculture: Infrastructure Activity</t>
  </si>
  <si>
    <t>Infrastructure Activity</t>
  </si>
  <si>
    <t>Armenia Irrigated Agriculture:  Infrastructure Activity</t>
  </si>
  <si>
    <t>$113.3 million</t>
  </si>
  <si>
    <t xml:space="preserve">     More than one million Armenians, or about 35% of the population, live in rural areas and are dependant on semi-subsistance agriculture.  These farmers are operating on small, fragmented parcels of land and are constrained by poor infrastructure and an underdeveloped agricultural economy.  </t>
  </si>
  <si>
    <t>1.      Rehabilitation of up to 21 targeted irrigation schemes</t>
  </si>
  <si>
    <t xml:space="preserve">   The Irrigated Agriculture Project focuses on improving the economic performance of the agricultural sector through an Infrastructure Activity ($113 million) which will rehabilitate up to 21 targeted irrigation infrastructure schemes across the country, expanding the total area under irrigation production and improving the overall efficiency of sourcing and delivery of water to farmers</t>
  </si>
  <si>
    <t>Last updated: 11/17/2005</t>
  </si>
  <si>
    <t>Last updated:  11/17/2005</t>
  </si>
  <si>
    <t>Prices</t>
  </si>
  <si>
    <t>This sheet contains a table showing the financial and economic costs of various agricultural inputs and products in Armenia.</t>
  </si>
  <si>
    <r>
      <t xml:space="preserve">   </t>
    </r>
    <r>
      <rPr>
        <u val="single"/>
        <sz val="10"/>
        <color indexed="12"/>
        <rFont val="Arial"/>
        <family val="2"/>
      </rPr>
      <t>User's Guide</t>
    </r>
  </si>
  <si>
    <r>
      <t xml:space="preserve">   </t>
    </r>
    <r>
      <rPr>
        <u val="single"/>
        <sz val="10"/>
        <color indexed="12"/>
        <rFont val="Arial"/>
        <family val="2"/>
      </rPr>
      <t>Activity Description</t>
    </r>
  </si>
  <si>
    <t>Cost and Benefit Summary</t>
  </si>
  <si>
    <t>The worksheet lists cost assumptions and summarizes the ERRs for all components of the activity.</t>
  </si>
  <si>
    <t>This worksheet calculates the costs and benefits of all irrigation schemes proposed under the activity.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</si>
</sst>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0.000"/>
    <numFmt numFmtId="169" formatCode="#,##0.0000"/>
    <numFmt numFmtId="170" formatCode="#,##0.00000"/>
    <numFmt numFmtId="171" formatCode="#,##0.0000000"/>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
    <numFmt numFmtId="181" formatCode="0.0000000"/>
    <numFmt numFmtId="182" formatCode="0.000000"/>
    <numFmt numFmtId="183" formatCode="0.00000"/>
    <numFmt numFmtId="184" formatCode="0.00000000"/>
    <numFmt numFmtId="185" formatCode="0.000000000"/>
    <numFmt numFmtId="186" formatCode="0.0000000000"/>
    <numFmt numFmtId="187" formatCode="_(* #,##0.0_);_(* \(#,##0.0\);_(* &quot;-&quot;??_);_(@_)"/>
    <numFmt numFmtId="188" formatCode="_(* #,##0_);_(* \(#,##0\);_(* &quot;-&quot;??_);_(@_)"/>
    <numFmt numFmtId="189" formatCode="_(* #,##0.000_);_(* \(#,##0.000\);_(* &quot;-&quot;??_);_(@_)"/>
    <numFmt numFmtId="190" formatCode="&quot;$&quot;#,##0.0_);[Red]\(&quot;$&quot;#,##0.0\)"/>
    <numFmt numFmtId="191" formatCode="_(* #,##0.0000_);_(* \(#,##0.0000\);_(* &quot;-&quot;??_);_(@_)"/>
    <numFmt numFmtId="192" formatCode="[$$-409]#,##0_ ;[Red]\-[$$-409]#,##0\ "/>
    <numFmt numFmtId="193" formatCode="[$$-409]#,##0.0_ ;[Red]\-[$$-409]#,##0.0\ "/>
    <numFmt numFmtId="194" formatCode="0.000%"/>
    <numFmt numFmtId="195" formatCode="[$-409]dddd\,\ mmmm\ dd\,\ yyyy"/>
    <numFmt numFmtId="196" formatCode="_(&quot;$&quot;* #,##0.0_);_(&quot;$&quot;* \(#,##0.0\);_(&quot;$&quot;* &quot;-&quot;??_);_(@_)"/>
    <numFmt numFmtId="197" formatCode="_(&quot;$&quot;* #,##0_);_(&quot;$&quot;* \(#,##0\);_(&quot;$&quot;* &quot;-&quot;??_);_(@_)"/>
  </numFmts>
  <fonts count="32">
    <font>
      <sz val="10"/>
      <name val="Arial"/>
      <family val="0"/>
    </font>
    <font>
      <sz val="8"/>
      <name val="Arial"/>
      <family val="0"/>
    </font>
    <font>
      <sz val="11"/>
      <name val="Orient"/>
      <family val="0"/>
    </font>
    <font>
      <b/>
      <sz val="10"/>
      <name val="Arial Armenian"/>
      <family val="2"/>
    </font>
    <font>
      <sz val="10"/>
      <name val="Arial Armenian"/>
      <family val="2"/>
    </font>
    <font>
      <sz val="8"/>
      <name val="Arial Armenian"/>
      <family val="2"/>
    </font>
    <font>
      <b/>
      <sz val="8"/>
      <name val="Arial"/>
      <family val="2"/>
    </font>
    <font>
      <u val="single"/>
      <sz val="11"/>
      <color indexed="36"/>
      <name val="Courier Cyrillic"/>
      <family val="0"/>
    </font>
    <font>
      <b/>
      <sz val="8"/>
      <color indexed="12"/>
      <name val="Arial"/>
      <family val="2"/>
    </font>
    <font>
      <sz val="8"/>
      <color indexed="12"/>
      <name val="Arial"/>
      <family val="0"/>
    </font>
    <font>
      <b/>
      <sz val="8"/>
      <color indexed="10"/>
      <name val="Arial"/>
      <family val="2"/>
    </font>
    <font>
      <u val="single"/>
      <sz val="10"/>
      <color indexed="12"/>
      <name val="Arial"/>
      <family val="2"/>
    </font>
    <font>
      <b/>
      <sz val="8"/>
      <color indexed="16"/>
      <name val="Arial"/>
      <family val="2"/>
    </font>
    <font>
      <b/>
      <vertAlign val="superscript"/>
      <sz val="8"/>
      <name val="Arial"/>
      <family val="2"/>
    </font>
    <font>
      <sz val="8"/>
      <color indexed="17"/>
      <name val="Arial"/>
      <family val="2"/>
    </font>
    <font>
      <b/>
      <sz val="16"/>
      <name val="Arial"/>
      <family val="2"/>
    </font>
    <font>
      <b/>
      <sz val="10"/>
      <name val="Arial"/>
      <family val="2"/>
    </font>
    <font>
      <sz val="9"/>
      <name val="Arial"/>
      <family val="2"/>
    </font>
    <font>
      <sz val="10"/>
      <color indexed="63"/>
      <name val="Arial"/>
      <family val="0"/>
    </font>
    <font>
      <sz val="14"/>
      <name val="Arial"/>
      <family val="2"/>
    </font>
    <font>
      <b/>
      <sz val="12"/>
      <name val="Arial"/>
      <family val="2"/>
    </font>
    <font>
      <b/>
      <sz val="10"/>
      <color indexed="12"/>
      <name val="Arial"/>
      <family val="2"/>
    </font>
    <font>
      <sz val="10"/>
      <color indexed="23"/>
      <name val="Arial"/>
      <family val="2"/>
    </font>
    <font>
      <b/>
      <sz val="10"/>
      <color indexed="55"/>
      <name val="Arial"/>
      <family val="2"/>
    </font>
    <font>
      <sz val="10"/>
      <color indexed="9"/>
      <name val="Arial"/>
      <family val="2"/>
    </font>
    <font>
      <sz val="9"/>
      <color indexed="55"/>
      <name val="Arial"/>
      <family val="0"/>
    </font>
    <font>
      <b/>
      <sz val="10"/>
      <color indexed="9"/>
      <name val="Arial"/>
      <family val="2"/>
    </font>
    <font>
      <b/>
      <sz val="14.25"/>
      <name val="Arial"/>
      <family val="2"/>
    </font>
    <font>
      <sz val="14.25"/>
      <name val="Arial"/>
      <family val="0"/>
    </font>
    <font>
      <sz val="10"/>
      <color indexed="12"/>
      <name val="Arial"/>
      <family val="2"/>
    </font>
    <font>
      <sz val="11"/>
      <name val="Univers"/>
      <family val="0"/>
    </font>
    <font>
      <b/>
      <sz val="12"/>
      <color indexed="10"/>
      <name val="Arial"/>
      <family val="2"/>
    </font>
  </fonts>
  <fills count="10">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66">
    <border>
      <left/>
      <right/>
      <top/>
      <bottom/>
      <diagonal/>
    </border>
    <border>
      <left style="thin"/>
      <right style="thin"/>
      <top style="thin"/>
      <bottom>
        <color indexed="63"/>
      </bottom>
    </border>
    <border>
      <left style="thin"/>
      <right style="thin"/>
      <top style="thin"/>
      <bottom style="thin"/>
    </border>
    <border>
      <left style="thin"/>
      <right style="thin"/>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style="medium"/>
    </border>
    <border>
      <left style="double"/>
      <right style="thin"/>
      <top>
        <color indexed="63"/>
      </top>
      <bottom>
        <color indexed="63"/>
      </bottom>
    </border>
    <border>
      <left style="thin"/>
      <right style="double"/>
      <top>
        <color indexed="63"/>
      </top>
      <bottom>
        <color indexed="63"/>
      </bottom>
    </border>
    <border>
      <left style="double"/>
      <right style="thin"/>
      <top style="thin"/>
      <bottom style="thin"/>
    </border>
    <border>
      <left style="thin"/>
      <right style="double"/>
      <top style="thin"/>
      <bottom style="thin"/>
    </border>
    <border>
      <left style="thin"/>
      <right style="double"/>
      <top>
        <color indexed="63"/>
      </top>
      <bottom style="thin"/>
    </border>
    <border>
      <left style="double"/>
      <right style="thin"/>
      <top style="thin"/>
      <bottom>
        <color indexed="63"/>
      </bottom>
    </border>
    <border>
      <left>
        <color indexed="63"/>
      </left>
      <right style="double"/>
      <top>
        <color indexed="63"/>
      </top>
      <bottom>
        <color indexed="63"/>
      </bottom>
    </border>
    <border>
      <left style="thin"/>
      <right style="double"/>
      <top>
        <color indexed="63"/>
      </top>
      <bottom style="double"/>
    </border>
    <border>
      <left style="thin"/>
      <right style="thin"/>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uble"/>
      <top>
        <color indexed="63"/>
      </top>
      <bottom style="double"/>
    </border>
    <border>
      <left>
        <color indexed="63"/>
      </left>
      <right style="double"/>
      <top style="double"/>
      <bottom>
        <color indexed="63"/>
      </bottom>
    </border>
    <border>
      <left style="double"/>
      <right style="thin"/>
      <top>
        <color indexed="63"/>
      </top>
      <bottom style="double"/>
    </border>
    <border>
      <left style="double"/>
      <right style="thin"/>
      <top>
        <color indexed="63"/>
      </top>
      <bottom style="thin"/>
    </border>
    <border>
      <left style="double"/>
      <right style="thin"/>
      <top style="double"/>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0" fontId="30" fillId="0" borderId="0">
      <alignment/>
      <protection/>
    </xf>
    <xf numFmtId="9" fontId="0" fillId="0" borderId="0" applyFont="0" applyFill="0" applyBorder="0" applyAlignment="0" applyProtection="0"/>
  </cellStyleXfs>
  <cellXfs count="374">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wrapText="1"/>
    </xf>
    <xf numFmtId="0" fontId="4" fillId="0" borderId="0" xfId="22" applyFont="1">
      <alignment/>
      <protection/>
    </xf>
    <xf numFmtId="0" fontId="3" fillId="0" borderId="1" xfId="22" applyFont="1" applyBorder="1">
      <alignment/>
      <protection/>
    </xf>
    <xf numFmtId="0" fontId="3" fillId="0" borderId="1" xfId="22" applyFont="1" applyBorder="1" applyAlignment="1">
      <alignment horizontal="center" wrapText="1"/>
      <protection/>
    </xf>
    <xf numFmtId="0" fontId="3" fillId="0" borderId="1" xfId="22" applyFont="1" applyBorder="1" applyAlignment="1">
      <alignment horizontal="center"/>
      <protection/>
    </xf>
    <xf numFmtId="0" fontId="5" fillId="0" borderId="2" xfId="22" applyFont="1" applyBorder="1" quotePrefix="1">
      <alignment/>
      <protection/>
    </xf>
    <xf numFmtId="0" fontId="4" fillId="0" borderId="2" xfId="22" applyFont="1" applyBorder="1" applyAlignment="1">
      <alignment horizontal="center"/>
      <protection/>
    </xf>
    <xf numFmtId="167" fontId="4" fillId="0" borderId="2" xfId="22" applyNumberFormat="1" applyFont="1" applyBorder="1" applyAlignment="1">
      <alignment horizontal="center"/>
      <protection/>
    </xf>
    <xf numFmtId="0" fontId="4" fillId="0" borderId="2" xfId="22" applyFont="1" applyBorder="1">
      <alignment/>
      <protection/>
    </xf>
    <xf numFmtId="167" fontId="4" fillId="0" borderId="0" xfId="22" applyNumberFormat="1" applyFont="1">
      <alignment/>
      <protection/>
    </xf>
    <xf numFmtId="0" fontId="4" fillId="0" borderId="2" xfId="22" applyFont="1" applyBorder="1" applyAlignment="1">
      <alignment wrapText="1"/>
      <protection/>
    </xf>
    <xf numFmtId="164" fontId="4" fillId="0" borderId="0" xfId="22" applyNumberFormat="1" applyFont="1">
      <alignment/>
      <protection/>
    </xf>
    <xf numFmtId="3" fontId="4" fillId="0" borderId="2" xfId="22" applyNumberFormat="1" applyFont="1" applyBorder="1" applyAlignment="1">
      <alignment horizontal="center"/>
      <protection/>
    </xf>
    <xf numFmtId="165" fontId="4" fillId="0" borderId="2" xfId="25" applyNumberFormat="1" applyFont="1" applyBorder="1" applyAlignment="1">
      <alignment horizontal="center"/>
    </xf>
    <xf numFmtId="0" fontId="4" fillId="0" borderId="0" xfId="22" applyFont="1" applyBorder="1" applyAlignment="1">
      <alignment horizontal="left" wrapText="1"/>
      <protection/>
    </xf>
    <xf numFmtId="0" fontId="3" fillId="0" borderId="0" xfId="21" applyFont="1" applyBorder="1" applyAlignment="1">
      <alignment horizontal="center" wrapText="1"/>
      <protection/>
    </xf>
    <xf numFmtId="0" fontId="4" fillId="0" borderId="0" xfId="22" applyFont="1" applyAlignment="1">
      <alignment horizontal="center"/>
      <protection/>
    </xf>
    <xf numFmtId="0" fontId="6" fillId="0" borderId="0" xfId="0" applyFont="1" applyAlignment="1">
      <alignment vertical="top"/>
    </xf>
    <xf numFmtId="0" fontId="1" fillId="0" borderId="0" xfId="0" applyFont="1" applyAlignment="1">
      <alignment vertical="top" wrapText="1"/>
    </xf>
    <xf numFmtId="0" fontId="6" fillId="2" borderId="3" xfId="0" applyFont="1" applyFill="1" applyBorder="1" applyAlignment="1">
      <alignment horizontal="center" vertical="top" wrapText="1"/>
    </xf>
    <xf numFmtId="0" fontId="1" fillId="0" borderId="0" xfId="0" applyFont="1" applyAlignment="1">
      <alignment horizontal="right" vertical="top"/>
    </xf>
    <xf numFmtId="0" fontId="6" fillId="3" borderId="0" xfId="0" applyFont="1" applyFill="1" applyBorder="1" applyAlignment="1">
      <alignment vertical="top" wrapText="1"/>
    </xf>
    <xf numFmtId="0" fontId="1" fillId="3" borderId="0" xfId="0" applyFont="1" applyFill="1" applyBorder="1" applyAlignment="1">
      <alignment horizontal="right" vertical="top"/>
    </xf>
    <xf numFmtId="0" fontId="6" fillId="3" borderId="4" xfId="0" applyFont="1" applyFill="1" applyBorder="1" applyAlignment="1">
      <alignment vertical="top" wrapText="1"/>
    </xf>
    <xf numFmtId="0" fontId="1" fillId="3" borderId="4" xfId="0" applyFont="1" applyFill="1" applyBorder="1" applyAlignment="1">
      <alignment horizontal="right" vertical="top"/>
    </xf>
    <xf numFmtId="3" fontId="1" fillId="0" borderId="1" xfId="0" applyNumberFormat="1" applyFont="1" applyBorder="1" applyAlignment="1">
      <alignment horizontal="right" vertical="top"/>
    </xf>
    <xf numFmtId="3" fontId="1" fillId="0" borderId="5" xfId="0" applyNumberFormat="1" applyFont="1" applyBorder="1" applyAlignment="1">
      <alignment horizontal="right" vertical="top"/>
    </xf>
    <xf numFmtId="3" fontId="1" fillId="0" borderId="5" xfId="0" applyNumberFormat="1" applyFont="1" applyFill="1" applyBorder="1" applyAlignment="1">
      <alignment horizontal="right" vertical="top"/>
    </xf>
    <xf numFmtId="3" fontId="1" fillId="0" borderId="6" xfId="0" applyNumberFormat="1" applyFont="1" applyBorder="1" applyAlignment="1">
      <alignment horizontal="right" vertical="top"/>
    </xf>
    <xf numFmtId="0" fontId="1" fillId="0" borderId="5" xfId="0" applyFont="1" applyBorder="1" applyAlignment="1">
      <alignment horizontal="right" vertical="top"/>
    </xf>
    <xf numFmtId="0" fontId="6" fillId="2" borderId="7" xfId="0" applyFont="1" applyFill="1" applyBorder="1" applyAlignment="1">
      <alignment vertical="top"/>
    </xf>
    <xf numFmtId="0" fontId="6" fillId="2" borderId="3" xfId="0" applyFont="1" applyFill="1" applyBorder="1" applyAlignment="1">
      <alignment horizontal="right" vertical="top"/>
    </xf>
    <xf numFmtId="0" fontId="6" fillId="2" borderId="8" xfId="0" applyFont="1" applyFill="1" applyBorder="1" applyAlignment="1">
      <alignment horizontal="right" vertical="top"/>
    </xf>
    <xf numFmtId="0" fontId="6" fillId="3" borderId="9" xfId="0" applyFont="1" applyFill="1" applyBorder="1" applyAlignment="1">
      <alignment vertical="top"/>
    </xf>
    <xf numFmtId="0" fontId="1" fillId="3" borderId="10" xfId="0" applyFont="1" applyFill="1" applyBorder="1" applyAlignment="1">
      <alignment horizontal="right" vertical="top"/>
    </xf>
    <xf numFmtId="0" fontId="1" fillId="0" borderId="11" xfId="0" applyFont="1" applyBorder="1" applyAlignment="1">
      <alignment vertical="top"/>
    </xf>
    <xf numFmtId="3" fontId="1" fillId="0" borderId="12" xfId="0" applyNumberFormat="1" applyFont="1" applyBorder="1" applyAlignment="1">
      <alignment horizontal="right" vertical="top"/>
    </xf>
    <xf numFmtId="0" fontId="1" fillId="0" borderId="13" xfId="0" applyFont="1" applyBorder="1" applyAlignment="1">
      <alignment vertical="top"/>
    </xf>
    <xf numFmtId="3" fontId="1" fillId="0" borderId="14" xfId="0" applyNumberFormat="1" applyFont="1" applyBorder="1" applyAlignment="1">
      <alignment horizontal="right" vertical="top"/>
    </xf>
    <xf numFmtId="3" fontId="1" fillId="0" borderId="14" xfId="0" applyNumberFormat="1" applyFont="1" applyFill="1" applyBorder="1" applyAlignment="1">
      <alignment horizontal="right" vertical="top"/>
    </xf>
    <xf numFmtId="0" fontId="1" fillId="0" borderId="15" xfId="0" applyFont="1" applyBorder="1" applyAlignment="1">
      <alignment vertical="top"/>
    </xf>
    <xf numFmtId="3" fontId="1" fillId="0" borderId="16" xfId="0" applyNumberFormat="1" applyFont="1" applyBorder="1" applyAlignment="1">
      <alignment horizontal="right" vertical="top"/>
    </xf>
    <xf numFmtId="0" fontId="6" fillId="3" borderId="17" xfId="0" applyFont="1" applyFill="1" applyBorder="1" applyAlignment="1">
      <alignment vertical="top"/>
    </xf>
    <xf numFmtId="0" fontId="1" fillId="3" borderId="18" xfId="0" applyFont="1" applyFill="1" applyBorder="1" applyAlignment="1">
      <alignment horizontal="right" vertical="top"/>
    </xf>
    <xf numFmtId="0" fontId="1" fillId="0" borderId="14" xfId="0" applyFont="1" applyBorder="1" applyAlignment="1">
      <alignment horizontal="right" vertical="top"/>
    </xf>
    <xf numFmtId="0" fontId="1" fillId="0" borderId="19" xfId="0" applyFont="1" applyBorder="1" applyAlignment="1">
      <alignment vertical="top"/>
    </xf>
    <xf numFmtId="0" fontId="1" fillId="3" borderId="4"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5" xfId="0" applyFont="1" applyBorder="1" applyAlignment="1">
      <alignment horizontal="center" vertical="top" wrapText="1"/>
    </xf>
    <xf numFmtId="0" fontId="1" fillId="3" borderId="0" xfId="0" applyFont="1" applyFill="1" applyBorder="1" applyAlignment="1">
      <alignment horizontal="center" vertical="top" wrapText="1"/>
    </xf>
    <xf numFmtId="3" fontId="1" fillId="0" borderId="0" xfId="0" applyNumberFormat="1" applyFont="1" applyAlignment="1">
      <alignment horizontal="right" vertical="top"/>
    </xf>
    <xf numFmtId="166" fontId="1" fillId="0" borderId="0" xfId="0" applyNumberFormat="1" applyFont="1" applyAlignment="1">
      <alignment vertical="top" wrapText="1"/>
    </xf>
    <xf numFmtId="3" fontId="1" fillId="0" borderId="0" xfId="0" applyNumberFormat="1" applyFont="1" applyBorder="1" applyAlignment="1">
      <alignment horizontal="right" vertical="top"/>
    </xf>
    <xf numFmtId="0" fontId="6" fillId="4" borderId="20" xfId="0" applyFont="1" applyFill="1" applyBorder="1" applyAlignment="1">
      <alignment vertical="top" wrapText="1"/>
    </xf>
    <xf numFmtId="0" fontId="1" fillId="4" borderId="20" xfId="0" applyFont="1" applyFill="1" applyBorder="1" applyAlignment="1">
      <alignment horizontal="center" vertical="top" wrapText="1"/>
    </xf>
    <xf numFmtId="0" fontId="1" fillId="4" borderId="20" xfId="0" applyFont="1" applyFill="1" applyBorder="1" applyAlignment="1">
      <alignment horizontal="right" vertical="top"/>
    </xf>
    <xf numFmtId="0" fontId="6" fillId="4" borderId="21" xfId="0" applyFont="1" applyFill="1" applyBorder="1" applyAlignment="1">
      <alignment vertical="top"/>
    </xf>
    <xf numFmtId="0" fontId="6" fillId="4" borderId="22" xfId="0" applyFont="1" applyFill="1" applyBorder="1" applyAlignment="1">
      <alignment vertical="top" wrapText="1"/>
    </xf>
    <xf numFmtId="0" fontId="1" fillId="4" borderId="22" xfId="0" applyFont="1" applyFill="1" applyBorder="1" applyAlignment="1">
      <alignment horizontal="center" vertical="top" wrapText="1"/>
    </xf>
    <xf numFmtId="0" fontId="1" fillId="4" borderId="22" xfId="0" applyFont="1" applyFill="1" applyBorder="1" applyAlignment="1">
      <alignment horizontal="right" vertical="top"/>
    </xf>
    <xf numFmtId="0" fontId="1" fillId="4" borderId="23" xfId="0" applyFont="1" applyFill="1" applyBorder="1" applyAlignment="1">
      <alignment horizontal="right" vertical="top"/>
    </xf>
    <xf numFmtId="0" fontId="6" fillId="4" borderId="24" xfId="0" applyFont="1" applyFill="1" applyBorder="1" applyAlignment="1">
      <alignment vertical="top"/>
    </xf>
    <xf numFmtId="0" fontId="1" fillId="4" borderId="25" xfId="0" applyFont="1" applyFill="1" applyBorder="1" applyAlignment="1">
      <alignment horizontal="right" vertical="top"/>
    </xf>
    <xf numFmtId="0" fontId="1" fillId="0" borderId="0" xfId="0" applyFont="1" applyFill="1" applyAlignment="1">
      <alignment horizontal="right" vertical="top"/>
    </xf>
    <xf numFmtId="0" fontId="1" fillId="0" borderId="0" xfId="0" applyFont="1" applyAlignment="1">
      <alignment/>
    </xf>
    <xf numFmtId="0" fontId="6" fillId="3" borderId="0" xfId="0" applyFont="1" applyFill="1" applyAlignment="1">
      <alignment/>
    </xf>
    <xf numFmtId="0" fontId="8" fillId="5" borderId="0" xfId="0" applyFont="1" applyFill="1" applyAlignment="1">
      <alignment horizontal="left" vertical="top"/>
    </xf>
    <xf numFmtId="0" fontId="9" fillId="6" borderId="0" xfId="0" applyFont="1" applyFill="1" applyAlignment="1">
      <alignment vertical="top"/>
    </xf>
    <xf numFmtId="0" fontId="1" fillId="6" borderId="0" xfId="0" applyFont="1" applyFill="1" applyAlignment="1">
      <alignment vertical="top" wrapText="1"/>
    </xf>
    <xf numFmtId="0" fontId="8" fillId="5" borderId="0" xfId="0" applyFont="1" applyFill="1" applyAlignment="1">
      <alignment horizontal="right" vertical="top"/>
    </xf>
    <xf numFmtId="0" fontId="1" fillId="0" borderId="6" xfId="0" applyFont="1" applyBorder="1" applyAlignment="1">
      <alignment horizontal="center" vertical="top" wrapText="1"/>
    </xf>
    <xf numFmtId="3" fontId="1" fillId="0" borderId="4" xfId="0" applyNumberFormat="1" applyFont="1" applyBorder="1" applyAlignment="1">
      <alignment horizontal="right" vertical="top"/>
    </xf>
    <xf numFmtId="3" fontId="1" fillId="0" borderId="10" xfId="0" applyNumberFormat="1" applyFont="1" applyBorder="1" applyAlignment="1">
      <alignment horizontal="right" vertical="top"/>
    </xf>
    <xf numFmtId="3" fontId="1" fillId="0" borderId="18" xfId="0" applyNumberFormat="1" applyFont="1" applyBorder="1" applyAlignment="1">
      <alignment horizontal="right" vertical="top"/>
    </xf>
    <xf numFmtId="3" fontId="1" fillId="0" borderId="26" xfId="0" applyNumberFormat="1" applyFont="1" applyBorder="1" applyAlignment="1">
      <alignment horizontal="right" vertical="top"/>
    </xf>
    <xf numFmtId="3" fontId="1" fillId="0" borderId="27" xfId="0" applyNumberFormat="1" applyFont="1" applyBorder="1" applyAlignment="1">
      <alignment horizontal="right" vertical="top"/>
    </xf>
    <xf numFmtId="3" fontId="8" fillId="0" borderId="28" xfId="0" applyNumberFormat="1" applyFont="1" applyFill="1" applyBorder="1" applyAlignment="1">
      <alignment horizontal="right" vertical="top" wrapText="1"/>
    </xf>
    <xf numFmtId="9" fontId="6" fillId="0" borderId="29" xfId="0" applyNumberFormat="1" applyFont="1" applyFill="1" applyBorder="1" applyAlignment="1">
      <alignment horizontal="right" vertical="top"/>
    </xf>
    <xf numFmtId="0" fontId="1" fillId="0" borderId="30" xfId="0" applyFont="1" applyBorder="1" applyAlignment="1">
      <alignment vertical="top" wrapText="1"/>
    </xf>
    <xf numFmtId="0" fontId="1" fillId="0" borderId="28" xfId="0" applyFont="1" applyBorder="1" applyAlignment="1">
      <alignment vertical="top" wrapText="1"/>
    </xf>
    <xf numFmtId="0" fontId="1" fillId="0" borderId="31" xfId="0" applyFont="1" applyBorder="1" applyAlignment="1">
      <alignment vertical="top" wrapText="1"/>
    </xf>
    <xf numFmtId="0" fontId="1" fillId="0" borderId="29"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6" fillId="2" borderId="34" xfId="0" applyFont="1" applyFill="1" applyBorder="1" applyAlignment="1">
      <alignment vertical="top" wrapText="1"/>
    </xf>
    <xf numFmtId="0" fontId="6" fillId="2" borderId="35" xfId="0" applyFont="1" applyFill="1" applyBorder="1" applyAlignment="1">
      <alignment vertical="top" wrapText="1"/>
    </xf>
    <xf numFmtId="0" fontId="1" fillId="0" borderId="0" xfId="0" applyFont="1" applyBorder="1" applyAlignment="1">
      <alignment horizontal="right" vertical="top"/>
    </xf>
    <xf numFmtId="0" fontId="1" fillId="0" borderId="26" xfId="0" applyFont="1" applyBorder="1" applyAlignment="1">
      <alignment horizontal="right" vertical="top"/>
    </xf>
    <xf numFmtId="0" fontId="1" fillId="0" borderId="13" xfId="0" applyFont="1" applyFill="1" applyBorder="1" applyAlignment="1">
      <alignment horizontal="left" vertical="top"/>
    </xf>
    <xf numFmtId="0" fontId="6" fillId="0" borderId="30"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32" xfId="0" applyFont="1" applyFill="1" applyBorder="1" applyAlignment="1">
      <alignment horizontal="left" vertical="top" wrapText="1"/>
    </xf>
    <xf numFmtId="0" fontId="1" fillId="0" borderId="4" xfId="0" applyFont="1" applyBorder="1" applyAlignment="1">
      <alignment vertical="top"/>
    </xf>
    <xf numFmtId="0" fontId="1" fillId="0" borderId="0" xfId="0" applyFont="1" applyBorder="1" applyAlignment="1">
      <alignment vertical="top"/>
    </xf>
    <xf numFmtId="0" fontId="1" fillId="0" borderId="17" xfId="0" applyFont="1" applyFill="1" applyBorder="1" applyAlignment="1">
      <alignment horizontal="left" vertical="top"/>
    </xf>
    <xf numFmtId="37" fontId="8" fillId="0" borderId="33" xfId="17" applyNumberFormat="1" applyFont="1" applyFill="1" applyBorder="1" applyAlignment="1">
      <alignment horizontal="right" vertical="top" wrapText="1"/>
    </xf>
    <xf numFmtId="0" fontId="6" fillId="0" borderId="30" xfId="0" applyFont="1" applyBorder="1" applyAlignment="1">
      <alignment vertical="top" wrapText="1"/>
    </xf>
    <xf numFmtId="9" fontId="6" fillId="0" borderId="28" xfId="0" applyNumberFormat="1" applyFont="1" applyBorder="1" applyAlignment="1">
      <alignment horizontal="right" vertical="top"/>
    </xf>
    <xf numFmtId="0" fontId="1" fillId="0" borderId="0" xfId="0" applyFont="1" applyBorder="1" applyAlignment="1">
      <alignment horizontal="center" vertical="top" wrapText="1"/>
    </xf>
    <xf numFmtId="0" fontId="1" fillId="0" borderId="4" xfId="0" applyFont="1" applyBorder="1" applyAlignment="1">
      <alignment horizontal="right" vertical="top"/>
    </xf>
    <xf numFmtId="0" fontId="6" fillId="0" borderId="36" xfId="0" applyFont="1" applyFill="1" applyBorder="1" applyAlignment="1">
      <alignment horizontal="left" vertical="top" wrapText="1"/>
    </xf>
    <xf numFmtId="37" fontId="8" fillId="0" borderId="37" xfId="17" applyNumberFormat="1" applyFont="1" applyFill="1" applyBorder="1" applyAlignment="1">
      <alignment horizontal="right" vertical="top" wrapText="1"/>
    </xf>
    <xf numFmtId="0" fontId="1" fillId="0" borderId="38" xfId="0" applyFont="1" applyBorder="1" applyAlignment="1">
      <alignment horizontal="right" vertical="top"/>
    </xf>
    <xf numFmtId="3" fontId="1" fillId="0" borderId="38" xfId="0" applyNumberFormat="1" applyFont="1" applyBorder="1" applyAlignment="1">
      <alignment horizontal="right" vertical="top"/>
    </xf>
    <xf numFmtId="3" fontId="1" fillId="0" borderId="39" xfId="0" applyNumberFormat="1" applyFont="1" applyBorder="1" applyAlignment="1">
      <alignment horizontal="right" vertical="top"/>
    </xf>
    <xf numFmtId="0" fontId="1" fillId="0" borderId="40" xfId="0" applyFont="1" applyFill="1" applyBorder="1" applyAlignment="1">
      <alignment horizontal="left" vertical="top"/>
    </xf>
    <xf numFmtId="0" fontId="1" fillId="0" borderId="38" xfId="0" applyFont="1" applyBorder="1" applyAlignment="1">
      <alignment vertical="top"/>
    </xf>
    <xf numFmtId="9" fontId="10" fillId="0" borderId="4" xfId="25" applyFont="1" applyBorder="1" applyAlignment="1">
      <alignment horizontal="right" vertical="top" wrapText="1"/>
    </xf>
    <xf numFmtId="9" fontId="10" fillId="0" borderId="0" xfId="25" applyFont="1" applyBorder="1" applyAlignment="1">
      <alignment horizontal="right" vertical="top" wrapText="1"/>
    </xf>
    <xf numFmtId="0" fontId="1" fillId="0" borderId="38" xfId="0" applyFont="1" applyBorder="1" applyAlignment="1">
      <alignment horizontal="center" vertical="top" wrapText="1"/>
    </xf>
    <xf numFmtId="0" fontId="1" fillId="0" borderId="9" xfId="0" applyFont="1" applyFill="1" applyBorder="1" applyAlignment="1">
      <alignment horizontal="left" vertical="top"/>
    </xf>
    <xf numFmtId="3" fontId="8" fillId="0" borderId="29" xfId="0" applyNumberFormat="1" applyFont="1" applyFill="1" applyBorder="1" applyAlignment="1">
      <alignment horizontal="right" vertical="top" wrapText="1"/>
    </xf>
    <xf numFmtId="0" fontId="1" fillId="0" borderId="11" xfId="0" applyFont="1" applyFill="1" applyBorder="1" applyAlignment="1">
      <alignment horizontal="left" vertical="top"/>
    </xf>
    <xf numFmtId="0" fontId="1" fillId="0" borderId="0" xfId="0" applyFont="1" applyBorder="1" applyAlignment="1">
      <alignment horizontal="left" vertical="top"/>
    </xf>
    <xf numFmtId="0" fontId="1" fillId="0" borderId="0" xfId="0" applyFont="1" applyAlignment="1">
      <alignment horizontal="left" vertical="top"/>
    </xf>
    <xf numFmtId="0" fontId="1" fillId="0" borderId="0" xfId="0" applyFont="1" applyFill="1" applyBorder="1" applyAlignment="1">
      <alignment horizontal="left" vertical="top"/>
    </xf>
    <xf numFmtId="0" fontId="6" fillId="0" borderId="0" xfId="0" applyFont="1" applyFill="1" applyBorder="1" applyAlignment="1">
      <alignment horizontal="left" vertical="top" wrapText="1"/>
    </xf>
    <xf numFmtId="37" fontId="8" fillId="0" borderId="0" xfId="17" applyNumberFormat="1" applyFont="1" applyFill="1" applyBorder="1" applyAlignment="1">
      <alignment horizontal="right" vertical="top" wrapText="1"/>
    </xf>
    <xf numFmtId="0" fontId="1" fillId="0" borderId="30" xfId="0" applyFont="1" applyFill="1" applyBorder="1" applyAlignment="1">
      <alignment vertical="top" wrapText="1"/>
    </xf>
    <xf numFmtId="0" fontId="1" fillId="0" borderId="31" xfId="0" applyFont="1" applyFill="1" applyBorder="1" applyAlignment="1">
      <alignment vertical="top" wrapText="1"/>
    </xf>
    <xf numFmtId="0" fontId="1" fillId="0" borderId="19" xfId="0" applyFont="1" applyFill="1" applyBorder="1" applyAlignment="1">
      <alignment horizontal="left" vertical="top"/>
    </xf>
    <xf numFmtId="3" fontId="1" fillId="0" borderId="0" xfId="0" applyNumberFormat="1" applyFont="1" applyFill="1" applyAlignment="1">
      <alignment horizontal="right" vertical="top"/>
    </xf>
    <xf numFmtId="3" fontId="1" fillId="0" borderId="1" xfId="0" applyNumberFormat="1" applyFont="1" applyFill="1" applyBorder="1" applyAlignment="1">
      <alignment horizontal="right" vertical="top"/>
    </xf>
    <xf numFmtId="0" fontId="8" fillId="0" borderId="0" xfId="0" applyFont="1" applyFill="1" applyAlignment="1">
      <alignment horizontal="left" vertical="top"/>
    </xf>
    <xf numFmtId="0" fontId="8" fillId="0" borderId="0" xfId="0" applyFont="1" applyFill="1" applyAlignment="1">
      <alignment horizontal="right" vertical="top"/>
    </xf>
    <xf numFmtId="168" fontId="1" fillId="0" borderId="38" xfId="0" applyNumberFormat="1" applyFont="1" applyBorder="1" applyAlignment="1">
      <alignment horizontal="right" vertical="top"/>
    </xf>
    <xf numFmtId="169" fontId="1" fillId="0" borderId="38" xfId="0" applyNumberFormat="1" applyFont="1" applyBorder="1" applyAlignment="1">
      <alignment horizontal="right" vertical="top"/>
    </xf>
    <xf numFmtId="170" fontId="1" fillId="0" borderId="38" xfId="0" applyNumberFormat="1" applyFont="1" applyBorder="1" applyAlignment="1">
      <alignment horizontal="right" vertical="top"/>
    </xf>
    <xf numFmtId="167" fontId="1" fillId="0" borderId="0" xfId="0" applyNumberFormat="1" applyFont="1" applyAlignment="1">
      <alignment horizontal="right" vertical="top"/>
    </xf>
    <xf numFmtId="0" fontId="6" fillId="3" borderId="22" xfId="0" applyFont="1" applyFill="1" applyBorder="1" applyAlignment="1">
      <alignment vertical="top" wrapText="1"/>
    </xf>
    <xf numFmtId="0" fontId="1" fillId="3" borderId="22" xfId="0" applyFont="1" applyFill="1" applyBorder="1" applyAlignment="1">
      <alignment horizontal="center" vertical="top" wrapText="1"/>
    </xf>
    <xf numFmtId="0" fontId="1" fillId="3" borderId="22" xfId="0" applyFont="1" applyFill="1" applyBorder="1" applyAlignment="1">
      <alignment horizontal="right" vertical="top"/>
    </xf>
    <xf numFmtId="0" fontId="1" fillId="3" borderId="23" xfId="0" applyFont="1" applyFill="1" applyBorder="1" applyAlignment="1">
      <alignment horizontal="right" vertical="top"/>
    </xf>
    <xf numFmtId="0" fontId="6" fillId="3" borderId="7" xfId="0" applyFont="1" applyFill="1" applyBorder="1" applyAlignment="1">
      <alignment vertical="top"/>
    </xf>
    <xf numFmtId="0" fontId="6" fillId="3" borderId="41" xfId="0" applyFont="1" applyFill="1" applyBorder="1" applyAlignment="1">
      <alignment vertical="top" wrapText="1"/>
    </xf>
    <xf numFmtId="0" fontId="1" fillId="3" borderId="41" xfId="0" applyFont="1" applyFill="1" applyBorder="1" applyAlignment="1">
      <alignment horizontal="center" vertical="top" wrapText="1"/>
    </xf>
    <xf numFmtId="0" fontId="1" fillId="3" borderId="41" xfId="0" applyFont="1" applyFill="1" applyBorder="1" applyAlignment="1">
      <alignment horizontal="right" vertical="top"/>
    </xf>
    <xf numFmtId="0" fontId="1" fillId="3" borderId="42" xfId="0" applyFont="1" applyFill="1" applyBorder="1" applyAlignment="1">
      <alignment horizontal="right" vertical="top"/>
    </xf>
    <xf numFmtId="0" fontId="1" fillId="0" borderId="43" xfId="0" applyFont="1" applyBorder="1" applyAlignment="1">
      <alignment horizontal="center" vertical="top" wrapText="1"/>
    </xf>
    <xf numFmtId="3" fontId="1" fillId="0" borderId="43" xfId="0" applyNumberFormat="1" applyFont="1" applyBorder="1" applyAlignment="1">
      <alignment horizontal="right" vertical="top"/>
    </xf>
    <xf numFmtId="3" fontId="1" fillId="0" borderId="44" xfId="0" applyNumberFormat="1" applyFont="1" applyBorder="1" applyAlignment="1">
      <alignment horizontal="right" vertical="top"/>
    </xf>
    <xf numFmtId="0" fontId="1" fillId="0" borderId="36" xfId="0" applyFont="1" applyBorder="1" applyAlignment="1">
      <alignment vertical="top" wrapText="1"/>
    </xf>
    <xf numFmtId="0" fontId="12" fillId="3" borderId="22" xfId="0" applyFont="1" applyFill="1" applyBorder="1" applyAlignment="1">
      <alignment vertical="top" wrapText="1"/>
    </xf>
    <xf numFmtId="0" fontId="12" fillId="3" borderId="21" xfId="0" applyFont="1" applyFill="1" applyBorder="1" applyAlignment="1">
      <alignment vertical="top"/>
    </xf>
    <xf numFmtId="3" fontId="1" fillId="0" borderId="0" xfId="0" applyNumberFormat="1" applyFont="1" applyAlignment="1">
      <alignment vertical="top" wrapText="1"/>
    </xf>
    <xf numFmtId="3" fontId="1" fillId="0" borderId="29" xfId="0" applyNumberFormat="1" applyFont="1" applyBorder="1" applyAlignment="1">
      <alignment vertical="top"/>
    </xf>
    <xf numFmtId="167" fontId="1" fillId="0" borderId="0" xfId="0" applyNumberFormat="1" applyFont="1" applyAlignment="1">
      <alignment vertical="top" wrapText="1"/>
    </xf>
    <xf numFmtId="168" fontId="1" fillId="0" borderId="0" xfId="0" applyNumberFormat="1" applyFont="1" applyAlignment="1">
      <alignment vertical="top" wrapText="1"/>
    </xf>
    <xf numFmtId="170" fontId="1" fillId="0" borderId="0" xfId="0" applyNumberFormat="1" applyFont="1" applyAlignment="1">
      <alignment vertical="top" wrapText="1"/>
    </xf>
    <xf numFmtId="3" fontId="1" fillId="0" borderId="0" xfId="0" applyNumberFormat="1" applyFont="1" applyAlignment="1">
      <alignment horizontal="right" vertical="top" wrapText="1"/>
    </xf>
    <xf numFmtId="167" fontId="1" fillId="0" borderId="0" xfId="0" applyNumberFormat="1" applyFont="1" applyAlignment="1">
      <alignment horizontal="right" vertical="top" wrapText="1"/>
    </xf>
    <xf numFmtId="171" fontId="1" fillId="0" borderId="0" xfId="0" applyNumberFormat="1" applyFont="1" applyAlignment="1">
      <alignment vertical="top" wrapText="1"/>
    </xf>
    <xf numFmtId="0" fontId="1" fillId="0" borderId="41" xfId="0" applyFont="1" applyBorder="1" applyAlignment="1">
      <alignment vertical="top" wrapText="1"/>
    </xf>
    <xf numFmtId="0" fontId="0" fillId="0" borderId="0" xfId="0" applyFont="1" applyBorder="1" applyAlignment="1">
      <alignment vertical="top"/>
    </xf>
    <xf numFmtId="0" fontId="6" fillId="3" borderId="21" xfId="0" applyFont="1" applyFill="1" applyBorder="1" applyAlignment="1">
      <alignment vertical="top"/>
    </xf>
    <xf numFmtId="3" fontId="8" fillId="0" borderId="29" xfId="0" applyNumberFormat="1" applyFont="1" applyBorder="1" applyAlignment="1">
      <alignment vertical="top" wrapText="1"/>
    </xf>
    <xf numFmtId="3" fontId="8" fillId="0" borderId="37" xfId="0" applyNumberFormat="1" applyFont="1" applyBorder="1" applyAlignment="1">
      <alignment vertical="top" wrapText="1"/>
    </xf>
    <xf numFmtId="0" fontId="1" fillId="3" borderId="0" xfId="0" applyFont="1" applyFill="1" applyAlignment="1">
      <alignment/>
    </xf>
    <xf numFmtId="0" fontId="1" fillId="0" borderId="26" xfId="0" applyFont="1" applyBorder="1" applyAlignment="1">
      <alignment horizontal="center"/>
    </xf>
    <xf numFmtId="0" fontId="1" fillId="0" borderId="4"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6" fillId="0" borderId="0" xfId="0" applyFont="1" applyAlignment="1">
      <alignment/>
    </xf>
    <xf numFmtId="0" fontId="6" fillId="6" borderId="20" xfId="0" applyFont="1" applyFill="1" applyBorder="1" applyAlignment="1">
      <alignment/>
    </xf>
    <xf numFmtId="0" fontId="1" fillId="0" borderId="29" xfId="0" applyFont="1" applyFill="1" applyBorder="1" applyAlignment="1">
      <alignment horizontal="left" vertical="top" wrapText="1" indent="1"/>
    </xf>
    <xf numFmtId="9" fontId="1" fillId="0" borderId="29" xfId="25" applyFont="1" applyBorder="1" applyAlignment="1">
      <alignment vertical="top"/>
    </xf>
    <xf numFmtId="165" fontId="1" fillId="0" borderId="29" xfId="25" applyNumberFormat="1" applyFont="1" applyBorder="1" applyAlignment="1">
      <alignment vertical="top"/>
    </xf>
    <xf numFmtId="0" fontId="6" fillId="0" borderId="0" xfId="0" applyFont="1" applyFill="1" applyBorder="1" applyAlignment="1">
      <alignment/>
    </xf>
    <xf numFmtId="0" fontId="1" fillId="0" borderId="0" xfId="0" applyFont="1" applyFill="1" applyBorder="1" applyAlignment="1">
      <alignment/>
    </xf>
    <xf numFmtId="0" fontId="1" fillId="0" borderId="4" xfId="0" applyFont="1" applyBorder="1" applyAlignment="1">
      <alignment horizontal="center"/>
    </xf>
    <xf numFmtId="9" fontId="1" fillId="0" borderId="28" xfId="25" applyFont="1" applyBorder="1" applyAlignment="1">
      <alignment vertical="top"/>
    </xf>
    <xf numFmtId="165" fontId="9" fillId="0" borderId="4" xfId="0" applyNumberFormat="1" applyFont="1" applyBorder="1" applyAlignment="1">
      <alignment horizontal="center"/>
    </xf>
    <xf numFmtId="10" fontId="9" fillId="0" borderId="0" xfId="0" applyNumberFormat="1" applyFont="1" applyBorder="1" applyAlignment="1">
      <alignment horizontal="center"/>
    </xf>
    <xf numFmtId="165" fontId="9" fillId="0" borderId="0" xfId="0" applyNumberFormat="1" applyFont="1" applyBorder="1" applyAlignment="1">
      <alignment horizontal="center"/>
    </xf>
    <xf numFmtId="9" fontId="1" fillId="0" borderId="33" xfId="25" applyFont="1" applyBorder="1" applyAlignment="1">
      <alignment/>
    </xf>
    <xf numFmtId="165" fontId="9" fillId="0" borderId="26" xfId="0" applyNumberFormat="1" applyFont="1" applyBorder="1" applyAlignment="1">
      <alignment horizontal="center"/>
    </xf>
    <xf numFmtId="167" fontId="1" fillId="0" borderId="29" xfId="25" applyNumberFormat="1" applyFont="1" applyBorder="1" applyAlignment="1">
      <alignment vertical="top"/>
    </xf>
    <xf numFmtId="167" fontId="1" fillId="0" borderId="29" xfId="0" applyNumberFormat="1" applyFont="1" applyBorder="1" applyAlignment="1">
      <alignment vertical="top"/>
    </xf>
    <xf numFmtId="3" fontId="1" fillId="0" borderId="30" xfId="0" applyNumberFormat="1" applyFont="1" applyFill="1" applyBorder="1" applyAlignment="1">
      <alignment horizontal="right"/>
    </xf>
    <xf numFmtId="3" fontId="1" fillId="0" borderId="31" xfId="0" applyNumberFormat="1" applyFont="1" applyFill="1" applyBorder="1" applyAlignment="1">
      <alignment horizontal="right"/>
    </xf>
    <xf numFmtId="0" fontId="6" fillId="6" borderId="20" xfId="0" applyFont="1" applyFill="1" applyBorder="1" applyAlignment="1">
      <alignment horizontal="right"/>
    </xf>
    <xf numFmtId="3" fontId="1" fillId="0" borderId="4" xfId="0" applyNumberFormat="1" applyFont="1" applyFill="1" applyBorder="1" applyAlignment="1">
      <alignment horizontal="right"/>
    </xf>
    <xf numFmtId="165" fontId="1" fillId="0" borderId="4" xfId="0" applyNumberFormat="1" applyFont="1" applyFill="1" applyBorder="1" applyAlignment="1">
      <alignment horizontal="right"/>
    </xf>
    <xf numFmtId="3"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0" fontId="1" fillId="0" borderId="28" xfId="0" applyFont="1" applyBorder="1" applyAlignment="1">
      <alignment vertical="top"/>
    </xf>
    <xf numFmtId="0" fontId="1" fillId="0" borderId="29" xfId="0" applyFont="1" applyBorder="1" applyAlignment="1">
      <alignment vertical="top"/>
    </xf>
    <xf numFmtId="0" fontId="1" fillId="0" borderId="29" xfId="0" applyFont="1" applyBorder="1" applyAlignment="1">
      <alignment horizontal="left" vertical="top" indent="1"/>
    </xf>
    <xf numFmtId="0" fontId="1" fillId="0" borderId="33" xfId="0" applyFont="1" applyBorder="1" applyAlignment="1">
      <alignment vertical="top"/>
    </xf>
    <xf numFmtId="0" fontId="1" fillId="6" borderId="29" xfId="0" applyFont="1" applyFill="1" applyBorder="1" applyAlignment="1">
      <alignment/>
    </xf>
    <xf numFmtId="0" fontId="6" fillId="6" borderId="29" xfId="0" applyFont="1" applyFill="1" applyBorder="1" applyAlignment="1">
      <alignment horizontal="right"/>
    </xf>
    <xf numFmtId="49" fontId="6" fillId="6" borderId="0" xfId="0" applyNumberFormat="1" applyFont="1" applyFill="1" applyBorder="1" applyAlignment="1">
      <alignment horizontal="center"/>
    </xf>
    <xf numFmtId="0" fontId="6" fillId="6" borderId="0" xfId="0" applyFont="1" applyFill="1" applyBorder="1" applyAlignment="1">
      <alignment horizontal="center"/>
    </xf>
    <xf numFmtId="3" fontId="1" fillId="0" borderId="32" xfId="0" applyNumberFormat="1" applyFont="1" applyFill="1" applyBorder="1" applyAlignment="1">
      <alignment horizontal="right"/>
    </xf>
    <xf numFmtId="3" fontId="1" fillId="0" borderId="26" xfId="0" applyNumberFormat="1" applyFont="1" applyFill="1" applyBorder="1" applyAlignment="1">
      <alignment horizontal="right"/>
    </xf>
    <xf numFmtId="165" fontId="1" fillId="0" borderId="26" xfId="0" applyNumberFormat="1" applyFont="1" applyFill="1" applyBorder="1" applyAlignment="1">
      <alignment horizontal="right"/>
    </xf>
    <xf numFmtId="3" fontId="9" fillId="0" borderId="0" xfId="0" applyNumberFormat="1" applyFont="1" applyAlignment="1">
      <alignment/>
    </xf>
    <xf numFmtId="3" fontId="1" fillId="0" borderId="0" xfId="0" applyNumberFormat="1" applyFont="1" applyBorder="1" applyAlignment="1">
      <alignment/>
    </xf>
    <xf numFmtId="0" fontId="1" fillId="0" borderId="29" xfId="0" applyFont="1" applyBorder="1" applyAlignment="1">
      <alignment/>
    </xf>
    <xf numFmtId="0" fontId="1" fillId="0" borderId="29" xfId="0" applyFont="1" applyFill="1" applyBorder="1" applyAlignment="1">
      <alignment horizontal="left" vertical="top" wrapText="1"/>
    </xf>
    <xf numFmtId="0" fontId="1" fillId="0" borderId="33" xfId="0" applyFont="1" applyFill="1" applyBorder="1" applyAlignment="1">
      <alignment horizontal="left" vertical="top" wrapText="1"/>
    </xf>
    <xf numFmtId="3" fontId="1" fillId="0" borderId="0" xfId="0" applyNumberFormat="1" applyFont="1" applyBorder="1" applyAlignment="1">
      <alignment/>
    </xf>
    <xf numFmtId="37" fontId="8" fillId="0" borderId="26" xfId="0" applyNumberFormat="1" applyFont="1" applyBorder="1" applyAlignment="1">
      <alignment/>
    </xf>
    <xf numFmtId="165" fontId="8" fillId="0" borderId="0" xfId="0" applyNumberFormat="1" applyFont="1" applyBorder="1" applyAlignment="1">
      <alignment/>
    </xf>
    <xf numFmtId="165" fontId="1" fillId="0" borderId="0" xfId="25" applyNumberFormat="1" applyFont="1" applyAlignment="1">
      <alignment/>
    </xf>
    <xf numFmtId="165" fontId="1" fillId="0" borderId="0" xfId="0" applyNumberFormat="1" applyFont="1" applyAlignment="1">
      <alignment/>
    </xf>
    <xf numFmtId="0" fontId="1" fillId="0" borderId="0" xfId="0" applyFont="1" applyAlignment="1">
      <alignment horizontal="right"/>
    </xf>
    <xf numFmtId="0" fontId="9" fillId="0" borderId="0" xfId="0" applyFont="1" applyBorder="1" applyAlignment="1">
      <alignment/>
    </xf>
    <xf numFmtId="38" fontId="8" fillId="0" borderId="37" xfId="17" applyNumberFormat="1" applyFont="1" applyFill="1" applyBorder="1" applyAlignment="1">
      <alignment horizontal="right" vertical="top" wrapText="1"/>
    </xf>
    <xf numFmtId="0" fontId="14" fillId="0" borderId="0" xfId="0" applyFont="1" applyAlignment="1">
      <alignment horizontal="right"/>
    </xf>
    <xf numFmtId="14" fontId="14" fillId="0" borderId="0" xfId="0" applyNumberFormat="1" applyFont="1" applyAlignment="1">
      <alignment horizontal="left"/>
    </xf>
    <xf numFmtId="0" fontId="0" fillId="0" borderId="0" xfId="0" applyAlignment="1">
      <alignment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14" fontId="0" fillId="0" borderId="48" xfId="0" applyNumberFormat="1" applyFont="1" applyBorder="1" applyAlignment="1">
      <alignment horizontal="left" vertical="center" wrapText="1"/>
    </xf>
    <xf numFmtId="0" fontId="0" fillId="0" borderId="48" xfId="0" applyFont="1" applyBorder="1" applyAlignment="1">
      <alignment horizontal="left" vertical="center" wrapText="1"/>
    </xf>
    <xf numFmtId="0" fontId="0" fillId="0" borderId="46" xfId="0" applyFont="1" applyBorder="1" applyAlignment="1">
      <alignment horizontal="justify" vertical="top" wrapText="1"/>
    </xf>
    <xf numFmtId="0" fontId="0" fillId="0" borderId="49" xfId="0" applyFont="1" applyBorder="1" applyAlignment="1">
      <alignment horizontal="justify" vertical="top" wrapText="1"/>
    </xf>
    <xf numFmtId="0" fontId="0" fillId="0" borderId="46" xfId="0" applyFont="1" applyBorder="1" applyAlignment="1">
      <alignment vertical="center" wrapText="1"/>
    </xf>
    <xf numFmtId="0" fontId="0" fillId="0" borderId="48" xfId="0" applyFont="1" applyBorder="1" applyAlignment="1">
      <alignment vertical="center" wrapText="1"/>
    </xf>
    <xf numFmtId="0" fontId="0" fillId="0" borderId="47"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top" wrapText="1"/>
    </xf>
    <xf numFmtId="0" fontId="0" fillId="0" borderId="46" xfId="0" applyFont="1" applyBorder="1" applyAlignment="1">
      <alignment vertical="top" wrapText="1"/>
    </xf>
    <xf numFmtId="0" fontId="0" fillId="0" borderId="46" xfId="0" applyFont="1" applyBorder="1" applyAlignment="1">
      <alignment horizontal="left" vertical="top" wrapText="1"/>
    </xf>
    <xf numFmtId="0" fontId="0" fillId="0" borderId="0" xfId="0" applyAlignment="1">
      <alignment wrapText="1"/>
    </xf>
    <xf numFmtId="0" fontId="0" fillId="0" borderId="46" xfId="0" applyBorder="1" applyAlignment="1">
      <alignment wrapText="1"/>
    </xf>
    <xf numFmtId="0" fontId="0" fillId="0" borderId="46" xfId="0" applyNumberFormat="1" applyBorder="1" applyAlignment="1">
      <alignment wrapText="1"/>
    </xf>
    <xf numFmtId="0" fontId="0" fillId="0" borderId="52" xfId="0" applyBorder="1" applyAlignment="1">
      <alignment wrapText="1"/>
    </xf>
    <xf numFmtId="0" fontId="18" fillId="0" borderId="0" xfId="0" applyFont="1" applyAlignment="1">
      <alignment/>
    </xf>
    <xf numFmtId="0" fontId="0" fillId="7" borderId="0" xfId="0" applyFill="1" applyBorder="1" applyAlignment="1">
      <alignment/>
    </xf>
    <xf numFmtId="0" fontId="15" fillId="7" borderId="0" xfId="0" applyFont="1" applyFill="1" applyBorder="1" applyAlignment="1">
      <alignment/>
    </xf>
    <xf numFmtId="0" fontId="19" fillId="7" borderId="0" xfId="0" applyFont="1" applyFill="1" applyBorder="1" applyAlignment="1">
      <alignment horizontal="left"/>
    </xf>
    <xf numFmtId="0" fontId="0" fillId="7" borderId="0" xfId="0" applyFont="1" applyFill="1" applyBorder="1" applyAlignment="1">
      <alignment/>
    </xf>
    <xf numFmtId="0" fontId="19" fillId="7" borderId="0" xfId="0" applyFont="1" applyFill="1" applyBorder="1" applyAlignment="1">
      <alignment/>
    </xf>
    <xf numFmtId="0" fontId="0" fillId="7" borderId="0" xfId="0" applyFill="1" applyBorder="1" applyAlignment="1">
      <alignment horizontal="left" vertical="top"/>
    </xf>
    <xf numFmtId="0" fontId="0" fillId="7" borderId="0" xfId="0" applyNumberFormat="1" applyFill="1" applyBorder="1" applyAlignment="1">
      <alignment vertical="top" wrapText="1"/>
    </xf>
    <xf numFmtId="0" fontId="0" fillId="7" borderId="0" xfId="0" applyFont="1" applyFill="1" applyBorder="1" applyAlignment="1">
      <alignment horizontal="justify" vertical="top" wrapText="1"/>
    </xf>
    <xf numFmtId="0" fontId="0" fillId="7" borderId="0" xfId="0" applyNumberFormat="1" applyFill="1" applyBorder="1" applyAlignment="1">
      <alignment wrapText="1"/>
    </xf>
    <xf numFmtId="14" fontId="14" fillId="7" borderId="0" xfId="0" applyNumberFormat="1" applyFont="1" applyFill="1" applyBorder="1" applyAlignment="1">
      <alignment horizontal="right" vertical="top"/>
    </xf>
    <xf numFmtId="0" fontId="15" fillId="0" borderId="0" xfId="0" applyFont="1" applyAlignment="1">
      <alignment/>
    </xf>
    <xf numFmtId="0" fontId="14" fillId="0" borderId="0" xfId="0" applyFont="1" applyAlignment="1">
      <alignment horizontal="right" vertical="top"/>
    </xf>
    <xf numFmtId="0" fontId="19" fillId="0" borderId="0" xfId="0" applyFont="1" applyAlignment="1">
      <alignment/>
    </xf>
    <xf numFmtId="14" fontId="14" fillId="0" borderId="0" xfId="0" applyNumberFormat="1" applyFont="1" applyAlignment="1">
      <alignment horizontal="right" vertical="top"/>
    </xf>
    <xf numFmtId="0" fontId="20" fillId="0" borderId="0" xfId="0" applyFont="1" applyAlignment="1">
      <alignment/>
    </xf>
    <xf numFmtId="0" fontId="21" fillId="0" borderId="53"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0" xfId="0" applyFont="1" applyAlignment="1">
      <alignment/>
    </xf>
    <xf numFmtId="0" fontId="0" fillId="0" borderId="5" xfId="0" applyFill="1" applyBorder="1" applyAlignment="1">
      <alignment vertical="center"/>
    </xf>
    <xf numFmtId="0" fontId="0" fillId="0" borderId="0" xfId="0" applyBorder="1" applyAlignment="1">
      <alignment vertical="center" wrapText="1"/>
    </xf>
    <xf numFmtId="9" fontId="21" fillId="5" borderId="31" xfId="0" applyNumberFormat="1" applyFont="1" applyFill="1" applyBorder="1" applyAlignment="1">
      <alignment horizontal="center" vertical="center"/>
    </xf>
    <xf numFmtId="9" fontId="0" fillId="0" borderId="5" xfId="0" applyNumberFormat="1" applyBorder="1" applyAlignment="1">
      <alignment horizontal="center" vertical="center"/>
    </xf>
    <xf numFmtId="0" fontId="0" fillId="0" borderId="29" xfId="0" applyBorder="1" applyAlignment="1">
      <alignment horizontal="center" vertical="center"/>
    </xf>
    <xf numFmtId="9" fontId="0" fillId="3" borderId="5" xfId="0" applyNumberFormat="1" applyFont="1" applyFill="1" applyBorder="1" applyAlignment="1">
      <alignment horizontal="center" vertical="center"/>
    </xf>
    <xf numFmtId="0" fontId="23" fillId="0" borderId="6" xfId="0" applyFont="1" applyFill="1" applyBorder="1" applyAlignment="1">
      <alignment horizontal="center" vertical="center" wrapText="1"/>
    </xf>
    <xf numFmtId="0" fontId="0" fillId="0" borderId="6" xfId="0" applyFill="1" applyBorder="1" applyAlignment="1">
      <alignment vertical="center"/>
    </xf>
    <xf numFmtId="0" fontId="0" fillId="0" borderId="26" xfId="0" applyBorder="1" applyAlignment="1">
      <alignment vertical="center" wrapText="1"/>
    </xf>
    <xf numFmtId="9" fontId="21" fillId="5" borderId="32" xfId="0" applyNumberFormat="1" applyFont="1" applyFill="1" applyBorder="1" applyAlignment="1">
      <alignment horizontal="center" vertical="center"/>
    </xf>
    <xf numFmtId="9" fontId="0" fillId="0" borderId="6" xfId="0" applyNumberFormat="1" applyBorder="1" applyAlignment="1">
      <alignment horizontal="center" vertical="center"/>
    </xf>
    <xf numFmtId="0" fontId="0" fillId="0" borderId="33" xfId="0" applyBorder="1" applyAlignment="1">
      <alignment horizontal="center" vertical="center"/>
    </xf>
    <xf numFmtId="9" fontId="0" fillId="3" borderId="6" xfId="0" applyNumberFormat="1" applyFont="1" applyFill="1" applyBorder="1" applyAlignment="1">
      <alignment horizontal="center" vertical="center"/>
    </xf>
    <xf numFmtId="0" fontId="24" fillId="0" borderId="0" xfId="0" applyFont="1" applyAlignment="1">
      <alignment horizontal="center" vertical="center"/>
    </xf>
    <xf numFmtId="0" fontId="16" fillId="0" borderId="20" xfId="0" applyFont="1" applyFill="1" applyBorder="1" applyAlignment="1">
      <alignment vertical="center" wrapText="1"/>
    </xf>
    <xf numFmtId="0" fontId="0" fillId="0" borderId="1" xfId="0" applyBorder="1" applyAlignment="1">
      <alignment vertical="center"/>
    </xf>
    <xf numFmtId="0" fontId="0" fillId="0" borderId="4" xfId="23" applyFont="1" applyBorder="1" applyAlignment="1">
      <alignment vertical="center" wrapText="1"/>
      <protection/>
    </xf>
    <xf numFmtId="0" fontId="0" fillId="0" borderId="5" xfId="0" applyBorder="1" applyAlignment="1">
      <alignment vertical="center"/>
    </xf>
    <xf numFmtId="0" fontId="0" fillId="0" borderId="0" xfId="23" applyFont="1" applyBorder="1" applyAlignment="1">
      <alignment vertical="center" wrapText="1"/>
      <protection/>
    </xf>
    <xf numFmtId="9" fontId="21" fillId="5" borderId="31" xfId="25" applyFont="1" applyFill="1" applyBorder="1" applyAlignment="1">
      <alignment horizontal="center" vertical="center"/>
    </xf>
    <xf numFmtId="9" fontId="0" fillId="0" borderId="5" xfId="25" applyBorder="1" applyAlignment="1">
      <alignment horizontal="center" vertical="center"/>
    </xf>
    <xf numFmtId="0" fontId="0" fillId="0" borderId="29" xfId="23" applyFont="1" applyBorder="1" applyAlignment="1">
      <alignment horizontal="center" vertical="center"/>
      <protection/>
    </xf>
    <xf numFmtId="9" fontId="0" fillId="3" borderId="5" xfId="25" applyFont="1" applyFill="1" applyBorder="1" applyAlignment="1">
      <alignment horizontal="center" vertical="center"/>
    </xf>
    <xf numFmtId="0" fontId="0" fillId="0" borderId="6" xfId="0" applyBorder="1" applyAlignment="1">
      <alignment vertical="center"/>
    </xf>
    <xf numFmtId="0" fontId="0" fillId="0" borderId="33" xfId="23" applyFont="1" applyBorder="1" applyAlignment="1">
      <alignment vertical="center" wrapText="1"/>
      <protection/>
    </xf>
    <xf numFmtId="0" fontId="16" fillId="0" borderId="0" xfId="0" applyFont="1" applyFill="1" applyAlignment="1">
      <alignment horizontal="left" vertical="center" wrapText="1"/>
    </xf>
    <xf numFmtId="0" fontId="16" fillId="0" borderId="0" xfId="0" applyFont="1" applyAlignment="1">
      <alignment horizontal="right"/>
    </xf>
    <xf numFmtId="165" fontId="26" fillId="0" borderId="0" xfId="25" applyNumberFormat="1" applyFont="1" applyFill="1" applyBorder="1" applyAlignment="1">
      <alignment horizontal="center"/>
    </xf>
    <xf numFmtId="165" fontId="16" fillId="0" borderId="2" xfId="0" applyNumberFormat="1" applyFont="1" applyBorder="1" applyAlignment="1">
      <alignment horizontal="center"/>
    </xf>
    <xf numFmtId="165" fontId="16" fillId="0" borderId="0" xfId="0" applyNumberFormat="1" applyFont="1" applyBorder="1" applyAlignment="1">
      <alignment horizontal="center"/>
    </xf>
    <xf numFmtId="0" fontId="11" fillId="0" borderId="46" xfId="20" applyBorder="1" applyAlignment="1">
      <alignment wrapText="1"/>
    </xf>
    <xf numFmtId="0" fontId="11" fillId="0" borderId="46" xfId="20" applyFill="1" applyBorder="1" applyAlignment="1">
      <alignment horizontal="justify" vertical="top" wrapText="1"/>
    </xf>
    <xf numFmtId="0" fontId="11" fillId="0" borderId="46" xfId="20" applyBorder="1" applyAlignment="1">
      <alignment vertical="top" wrapText="1"/>
    </xf>
    <xf numFmtId="0" fontId="0" fillId="7" borderId="0" xfId="0" applyFont="1" applyFill="1" applyBorder="1" applyAlignment="1">
      <alignment horizontal="left" vertical="top" wrapText="1" indent="5"/>
    </xf>
    <xf numFmtId="0" fontId="0" fillId="0" borderId="0" xfId="0" applyAlignment="1">
      <alignment horizontal="left"/>
    </xf>
    <xf numFmtId="1" fontId="21" fillId="5" borderId="30" xfId="25" applyNumberFormat="1" applyFont="1" applyFill="1" applyBorder="1" applyAlignment="1">
      <alignment horizontal="center" vertical="center"/>
    </xf>
    <xf numFmtId="1" fontId="0" fillId="0" borderId="1" xfId="25" applyNumberFormat="1" applyBorder="1" applyAlignment="1">
      <alignment horizontal="center" vertical="center"/>
    </xf>
    <xf numFmtId="1" fontId="0" fillId="0" borderId="28" xfId="23" applyNumberFormat="1" applyFont="1" applyBorder="1" applyAlignment="1">
      <alignment horizontal="center" vertical="center"/>
      <protection/>
    </xf>
    <xf numFmtId="1" fontId="0" fillId="3" borderId="1" xfId="25" applyNumberFormat="1" applyFont="1" applyFill="1" applyBorder="1" applyAlignment="1">
      <alignment horizontal="center" vertical="center"/>
    </xf>
    <xf numFmtId="0" fontId="16" fillId="0" borderId="0" xfId="0" applyFont="1" applyAlignment="1">
      <alignment horizontal="right" vertical="center"/>
    </xf>
    <xf numFmtId="165" fontId="26" fillId="8" borderId="2" xfId="25" applyNumberFormat="1" applyFont="1" applyFill="1" applyBorder="1" applyAlignment="1">
      <alignment horizontal="center" vertical="center" wrapText="1"/>
    </xf>
    <xf numFmtId="0" fontId="16" fillId="0" borderId="2" xfId="0" applyFont="1" applyBorder="1" applyAlignment="1">
      <alignment horizontal="left" vertical="center"/>
    </xf>
    <xf numFmtId="9" fontId="21" fillId="5" borderId="31" xfId="25" applyNumberFormat="1" applyFont="1" applyFill="1" applyBorder="1" applyAlignment="1">
      <alignment horizontal="center" vertical="center"/>
    </xf>
    <xf numFmtId="9" fontId="0" fillId="3" borderId="5" xfId="25" applyNumberFormat="1" applyFont="1" applyFill="1" applyBorder="1" applyAlignment="1">
      <alignment horizontal="center" vertical="center"/>
    </xf>
    <xf numFmtId="9" fontId="0" fillId="0" borderId="5" xfId="25" applyNumberFormat="1" applyBorder="1" applyAlignment="1">
      <alignment horizontal="center" vertical="center"/>
    </xf>
    <xf numFmtId="9" fontId="0" fillId="0" borderId="29" xfId="23" applyNumberFormat="1" applyFont="1" applyBorder="1" applyAlignment="1">
      <alignment horizontal="center" vertical="center"/>
      <protection/>
    </xf>
    <xf numFmtId="165" fontId="6" fillId="0" borderId="29" xfId="0" applyNumberFormat="1" applyFont="1" applyFill="1" applyBorder="1" applyAlignment="1">
      <alignment horizontal="right" vertical="top"/>
    </xf>
    <xf numFmtId="0" fontId="1" fillId="0" borderId="0" xfId="24" applyFont="1" applyAlignment="1">
      <alignment vertical="top"/>
      <protection/>
    </xf>
    <xf numFmtId="0" fontId="6" fillId="0" borderId="0" xfId="24" applyFont="1" applyAlignment="1">
      <alignment horizontal="center" vertical="top"/>
      <protection/>
    </xf>
    <xf numFmtId="0" fontId="6" fillId="0" borderId="0" xfId="24" applyFont="1" applyAlignment="1">
      <alignment vertical="top"/>
      <protection/>
    </xf>
    <xf numFmtId="0" fontId="6" fillId="6" borderId="2" xfId="24" applyFont="1" applyFill="1" applyBorder="1" applyAlignment="1">
      <alignment horizontal="center" vertical="top" wrapText="1"/>
      <protection/>
    </xf>
    <xf numFmtId="0" fontId="6" fillId="6" borderId="55" xfId="24" applyFont="1" applyFill="1" applyBorder="1" applyAlignment="1">
      <alignment vertical="top"/>
      <protection/>
    </xf>
    <xf numFmtId="0" fontId="1" fillId="6" borderId="20" xfId="24" applyFont="1" applyFill="1" applyBorder="1" applyAlignment="1">
      <alignment horizontal="center" vertical="top"/>
      <protection/>
    </xf>
    <xf numFmtId="0" fontId="6" fillId="6" borderId="20" xfId="24" applyFont="1" applyFill="1" applyBorder="1" applyAlignment="1">
      <alignment horizontal="centerContinuous" vertical="top" wrapText="1"/>
      <protection/>
    </xf>
    <xf numFmtId="0" fontId="6" fillId="6" borderId="56" xfId="24" applyFont="1" applyFill="1" applyBorder="1" applyAlignment="1">
      <alignment horizontal="centerContinuous" vertical="top" wrapText="1"/>
      <protection/>
    </xf>
    <xf numFmtId="0" fontId="1" fillId="0" borderId="2" xfId="24" applyFont="1" applyBorder="1" applyAlignment="1">
      <alignment horizontal="left" vertical="top"/>
      <protection/>
    </xf>
    <xf numFmtId="0" fontId="1" fillId="0" borderId="2" xfId="24" applyFont="1" applyBorder="1" applyAlignment="1">
      <alignment horizontal="center" vertical="top"/>
      <protection/>
    </xf>
    <xf numFmtId="167" fontId="1" fillId="0" borderId="2" xfId="24" applyNumberFormat="1" applyFont="1" applyBorder="1" applyAlignment="1">
      <alignment horizontal="right" vertical="top"/>
      <protection/>
    </xf>
    <xf numFmtId="9" fontId="1" fillId="0" borderId="2" xfId="25" applyFont="1" applyBorder="1" applyAlignment="1">
      <alignment horizontal="center" vertical="top"/>
    </xf>
    <xf numFmtId="0" fontId="1" fillId="0" borderId="2" xfId="0" applyFont="1" applyBorder="1" applyAlignment="1">
      <alignment horizontal="left" vertical="top" wrapText="1"/>
    </xf>
    <xf numFmtId="0" fontId="1" fillId="0" borderId="2" xfId="24" applyFont="1" applyBorder="1" applyAlignment="1">
      <alignment horizontal="left" vertical="top" indent="1"/>
      <protection/>
    </xf>
    <xf numFmtId="3" fontId="1" fillId="0" borderId="2" xfId="24" applyNumberFormat="1" applyFont="1" applyBorder="1" applyAlignment="1">
      <alignment horizontal="right" vertical="top"/>
      <protection/>
    </xf>
    <xf numFmtId="0" fontId="1" fillId="0" borderId="0" xfId="24" applyFont="1" applyAlignment="1">
      <alignment horizontal="center" vertical="top"/>
      <protection/>
    </xf>
    <xf numFmtId="9" fontId="1" fillId="0" borderId="2" xfId="0" applyNumberFormat="1" applyFont="1" applyBorder="1" applyAlignment="1">
      <alignment vertical="top" wrapText="1"/>
    </xf>
    <xf numFmtId="3" fontId="1" fillId="9" borderId="2" xfId="0" applyNumberFormat="1" applyFont="1" applyFill="1" applyBorder="1" applyAlignment="1">
      <alignment vertical="top" wrapText="1"/>
    </xf>
    <xf numFmtId="0" fontId="29" fillId="0" borderId="5" xfId="20" applyFont="1" applyBorder="1" applyAlignment="1">
      <alignment vertical="center"/>
    </xf>
    <xf numFmtId="0" fontId="16" fillId="0" borderId="0" xfId="0" applyFont="1" applyFill="1" applyAlignment="1">
      <alignment vertical="center" wrapText="1"/>
    </xf>
    <xf numFmtId="0" fontId="31" fillId="0" borderId="0" xfId="0" applyNumberFormat="1" applyFont="1" applyAlignment="1">
      <alignment vertical="top"/>
    </xf>
    <xf numFmtId="0" fontId="1" fillId="0" borderId="17" xfId="0" applyFont="1" applyBorder="1" applyAlignment="1">
      <alignment vertical="top"/>
    </xf>
    <xf numFmtId="0" fontId="1" fillId="0" borderId="0" xfId="0" applyFont="1" applyBorder="1" applyAlignment="1">
      <alignment vertical="top" wrapText="1"/>
    </xf>
    <xf numFmtId="3" fontId="1" fillId="0" borderId="29" xfId="0" applyNumberFormat="1" applyFont="1" applyBorder="1" applyAlignment="1">
      <alignment horizontal="right" vertical="top"/>
    </xf>
    <xf numFmtId="0" fontId="1" fillId="0" borderId="4" xfId="0" applyFont="1" applyBorder="1" applyAlignment="1">
      <alignment vertical="top" wrapText="1"/>
    </xf>
    <xf numFmtId="9" fontId="10" fillId="0" borderId="0" xfId="0" applyNumberFormat="1" applyFont="1" applyBorder="1" applyAlignment="1">
      <alignment vertical="top" wrapText="1"/>
    </xf>
    <xf numFmtId="0" fontId="1" fillId="0" borderId="26" xfId="0" applyFont="1" applyBorder="1" applyAlignment="1">
      <alignment vertical="top" wrapText="1"/>
    </xf>
    <xf numFmtId="3" fontId="1" fillId="0" borderId="28" xfId="0" applyNumberFormat="1" applyFont="1" applyBorder="1" applyAlignment="1">
      <alignment horizontal="right" vertical="top"/>
    </xf>
    <xf numFmtId="3" fontId="1" fillId="0" borderId="33" xfId="0" applyNumberFormat="1" applyFont="1" applyBorder="1" applyAlignment="1">
      <alignment horizontal="right" vertical="top"/>
    </xf>
    <xf numFmtId="0" fontId="1" fillId="0" borderId="9" xfId="0" applyFont="1" applyBorder="1" applyAlignment="1">
      <alignment vertical="top"/>
    </xf>
    <xf numFmtId="0" fontId="1" fillId="0" borderId="57" xfId="0" applyFont="1" applyBorder="1" applyAlignment="1">
      <alignment vertical="top"/>
    </xf>
    <xf numFmtId="0" fontId="1" fillId="0" borderId="1"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6" fillId="0" borderId="58" xfId="0" applyFont="1" applyBorder="1" applyAlignment="1">
      <alignment vertical="top" wrapText="1"/>
    </xf>
    <xf numFmtId="9" fontId="6" fillId="0" borderId="54" xfId="0" applyNumberFormat="1" applyFont="1" applyBorder="1" applyAlignment="1">
      <alignment horizontal="right" vertical="top"/>
    </xf>
    <xf numFmtId="0" fontId="1" fillId="0" borderId="59" xfId="0" applyFont="1" applyBorder="1" applyAlignment="1">
      <alignment horizontal="right" vertical="top"/>
    </xf>
    <xf numFmtId="3" fontId="1" fillId="0" borderId="59" xfId="0" applyNumberFormat="1" applyFont="1" applyBorder="1" applyAlignment="1">
      <alignment horizontal="right" vertical="top"/>
    </xf>
    <xf numFmtId="3" fontId="1" fillId="0" borderId="60" xfId="0" applyNumberFormat="1" applyFont="1" applyBorder="1" applyAlignment="1">
      <alignment horizontal="right" vertical="top"/>
    </xf>
    <xf numFmtId="0" fontId="0"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6" fillId="7" borderId="0" xfId="0" applyFont="1" applyFill="1" applyBorder="1" applyAlignment="1">
      <alignment/>
    </xf>
    <xf numFmtId="0" fontId="16" fillId="7" borderId="0" xfId="0" applyNumberFormat="1" applyFont="1" applyFill="1" applyBorder="1" applyAlignment="1">
      <alignment vertical="top" wrapText="1"/>
    </xf>
    <xf numFmtId="0" fontId="16" fillId="7" borderId="0" xfId="0" applyFont="1" applyFill="1" applyBorder="1" applyAlignment="1">
      <alignment horizontal="justify" vertical="top" wrapText="1"/>
    </xf>
    <xf numFmtId="0" fontId="16" fillId="0" borderId="1" xfId="0" applyFont="1" applyFill="1" applyBorder="1" applyAlignment="1">
      <alignment horizontal="left" vertical="center"/>
    </xf>
    <xf numFmtId="0" fontId="0" fillId="0" borderId="45"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45" xfId="0" applyFont="1" applyBorder="1" applyAlignment="1">
      <alignment horizontal="left" vertical="center" wrapText="1"/>
    </xf>
    <xf numFmtId="0" fontId="0" fillId="0" borderId="64" xfId="0" applyFont="1" applyBorder="1" applyAlignment="1">
      <alignment horizontal="left" vertical="center" wrapText="1"/>
    </xf>
    <xf numFmtId="0" fontId="15" fillId="0" borderId="0" xfId="0" applyFont="1" applyAlignment="1">
      <alignment horizontal="center" vertical="center"/>
    </xf>
    <xf numFmtId="0" fontId="0" fillId="0" borderId="65"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Alignment="1">
      <alignment horizontal="left" wrapText="1"/>
    </xf>
    <xf numFmtId="0" fontId="16" fillId="0" borderId="0" xfId="0" applyFont="1" applyFill="1" applyAlignment="1">
      <alignment horizontal="left" vertical="center" wrapText="1"/>
    </xf>
    <xf numFmtId="0" fontId="0" fillId="0" borderId="4" xfId="0" applyBorder="1" applyAlignment="1">
      <alignment horizontal="center"/>
    </xf>
    <xf numFmtId="0" fontId="25" fillId="0" borderId="31" xfId="0" applyFont="1" applyBorder="1" applyAlignment="1">
      <alignment horizontal="center" vertical="center" wrapText="1"/>
    </xf>
    <xf numFmtId="0" fontId="20" fillId="0" borderId="28" xfId="0" applyFont="1" applyBorder="1" applyAlignment="1">
      <alignment vertical="center"/>
    </xf>
    <xf numFmtId="0" fontId="20" fillId="0" borderId="38" xfId="0" applyFont="1" applyBorder="1" applyAlignment="1">
      <alignment vertical="center"/>
    </xf>
    <xf numFmtId="0" fontId="20" fillId="0" borderId="55" xfId="0" applyFont="1" applyBorder="1" applyAlignment="1">
      <alignment horizontal="center"/>
    </xf>
    <xf numFmtId="0" fontId="20" fillId="0" borderId="20" xfId="0" applyFont="1" applyBorder="1" applyAlignment="1">
      <alignment horizontal="center"/>
    </xf>
    <xf numFmtId="0" fontId="20" fillId="0" borderId="56" xfId="0" applyFont="1" applyBorder="1" applyAlignment="1">
      <alignment horizontal="center"/>
    </xf>
    <xf numFmtId="0" fontId="16" fillId="0" borderId="43" xfId="0" applyFont="1" applyFill="1" applyBorder="1" applyAlignment="1">
      <alignment horizontal="left" vertical="center"/>
    </xf>
    <xf numFmtId="0" fontId="1" fillId="0" borderId="41" xfId="0" applyFont="1" applyBorder="1" applyAlignment="1">
      <alignment horizontal="left" vertical="top" wrapText="1"/>
    </xf>
    <xf numFmtId="0" fontId="1" fillId="0" borderId="0" xfId="0" applyFont="1" applyBorder="1" applyAlignment="1">
      <alignment horizontal="left" vertical="top" wrapText="1"/>
    </xf>
    <xf numFmtId="0" fontId="4" fillId="0" borderId="0" xfId="22" applyFont="1" applyBorder="1" applyAlignment="1">
      <alignment horizontal="left" wrapText="1"/>
      <protection/>
    </xf>
    <xf numFmtId="0" fontId="3" fillId="0" borderId="0" xfId="21" applyFont="1" applyBorder="1" applyAlignment="1">
      <alignment horizontal="left" wrapText="1"/>
      <protection/>
    </xf>
    <xf numFmtId="0" fontId="3" fillId="0" borderId="30" xfId="22" applyFont="1" applyBorder="1" applyAlignment="1">
      <alignment horizontal="center"/>
      <protection/>
    </xf>
    <xf numFmtId="0" fontId="3" fillId="0" borderId="4" xfId="22" applyFont="1" applyBorder="1" applyAlignment="1">
      <alignment horizontal="center"/>
      <protection/>
    </xf>
    <xf numFmtId="0" fontId="3" fillId="0" borderId="28" xfId="22" applyFont="1" applyBorder="1" applyAlignment="1">
      <alignment horizontal="center"/>
      <protection/>
    </xf>
    <xf numFmtId="0" fontId="4" fillId="0" borderId="30" xfId="22" applyFont="1" applyBorder="1" applyAlignment="1">
      <alignment horizontal="left" wrapText="1"/>
      <protection/>
    </xf>
    <xf numFmtId="0" fontId="4" fillId="0" borderId="4" xfId="22" applyFont="1" applyBorder="1" applyAlignment="1">
      <alignment horizontal="left" wrapText="1"/>
      <protection/>
    </xf>
    <xf numFmtId="0" fontId="4" fillId="0" borderId="28" xfId="22" applyFont="1" applyBorder="1" applyAlignment="1">
      <alignment horizontal="left" wrapText="1"/>
      <protection/>
    </xf>
    <xf numFmtId="0" fontId="11" fillId="0" borderId="46" xfId="20" applyNumberFormat="1" applyBorder="1" applyAlignment="1">
      <alignment wrapText="1"/>
    </xf>
    <xf numFmtId="0" fontId="29" fillId="0" borderId="6" xfId="20" applyFont="1" applyBorder="1" applyAlignment="1">
      <alignment vertical="center"/>
    </xf>
  </cellXfs>
  <cellStyles count="12">
    <cellStyle name="Normal" xfId="0"/>
    <cellStyle name="Comma" xfId="15"/>
    <cellStyle name="Comma [0]" xfId="16"/>
    <cellStyle name="Currency" xfId="17"/>
    <cellStyle name="Currency [0]" xfId="18"/>
    <cellStyle name="Followed Hyperlink" xfId="19"/>
    <cellStyle name="Hyperlink" xfId="20"/>
    <cellStyle name="Normal_arpa wate" xfId="21"/>
    <cellStyle name="Normal_Egegnadzor" xfId="22"/>
    <cellStyle name="Normal_Mongolia Rail ERR.IM Cleaned" xfId="23"/>
    <cellStyle name="Normal_ZEMLI" xfId="24"/>
    <cellStyle name="Percent" xfId="25"/>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Undiscounted Net Annual Benefits of Armenia Irrigated Agriculture Project
</a:t>
            </a:r>
          </a:p>
        </c:rich>
      </c:tx>
      <c:layout/>
      <c:spPr>
        <a:noFill/>
        <a:ln>
          <a:noFill/>
        </a:ln>
      </c:spPr>
    </c:title>
    <c:plotArea>
      <c:layout/>
      <c:areaChart>
        <c:grouping val="standard"/>
        <c:varyColors val="0"/>
        <c:ser>
          <c:idx val="0"/>
          <c:order val="0"/>
          <c:tx>
            <c:v>Incremental Net Benefits</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Ref>
              <c:f>'Irrigation Summary'!$F$492:$Y$492</c:f>
              <c:numCache>
                <c:ptCount val="20"/>
                <c:pt idx="0">
                  <c:v>-1710.089457520245</c:v>
                </c:pt>
                <c:pt idx="1">
                  <c:v>-20963.445843179044</c:v>
                </c:pt>
                <c:pt idx="2">
                  <c:v>-40670.785056810804</c:v>
                </c:pt>
                <c:pt idx="3">
                  <c:v>-31930.921612333215</c:v>
                </c:pt>
                <c:pt idx="4">
                  <c:v>5246.577233856544</c:v>
                </c:pt>
                <c:pt idx="5">
                  <c:v>22504.574029937336</c:v>
                </c:pt>
                <c:pt idx="6">
                  <c:v>32180.108974084887</c:v>
                </c:pt>
                <c:pt idx="7">
                  <c:v>42864.3657023559</c:v>
                </c:pt>
                <c:pt idx="8">
                  <c:v>49629.256420197344</c:v>
                </c:pt>
                <c:pt idx="9">
                  <c:v>53880.913515988985</c:v>
                </c:pt>
                <c:pt idx="10">
                  <c:v>55158.88067497487</c:v>
                </c:pt>
                <c:pt idx="11">
                  <c:v>56119.42320887532</c:v>
                </c:pt>
                <c:pt idx="12">
                  <c:v>57081.39269712558</c:v>
                </c:pt>
                <c:pt idx="13">
                  <c:v>58045.58611283973</c:v>
                </c:pt>
                <c:pt idx="14">
                  <c:v>59012.81751015769</c:v>
                </c:pt>
                <c:pt idx="15">
                  <c:v>59983.91900344409</c:v>
                </c:pt>
                <c:pt idx="16">
                  <c:v>60959.74177973615</c:v>
                </c:pt>
                <c:pt idx="17">
                  <c:v>61941.15714588862</c:v>
                </c:pt>
                <c:pt idx="18">
                  <c:v>62929.057611919736</c:v>
                </c:pt>
                <c:pt idx="19">
                  <c:v>63924.35801212001</c:v>
                </c:pt>
              </c:numCache>
            </c:numRef>
          </c:val>
        </c:ser>
        <c:axId val="598066"/>
        <c:axId val="5382595"/>
      </c:areaChart>
      <c:catAx>
        <c:axId val="598066"/>
        <c:scaling>
          <c:orientation val="minMax"/>
        </c:scaling>
        <c:axPos val="b"/>
        <c:title>
          <c:tx>
            <c:rich>
              <a:bodyPr vert="horz" rot="0" anchor="ctr"/>
              <a:lstStyle/>
              <a:p>
                <a:pPr algn="ctr">
                  <a:defRPr/>
                </a:pPr>
                <a:r>
                  <a:rPr lang="en-US" cap="none" sz="1425"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spPr>
          <a:ln w="12700">
            <a:solidFill/>
          </a:ln>
        </c:spPr>
        <c:crossAx val="5382595"/>
        <c:crosses val="autoZero"/>
        <c:auto val="1"/>
        <c:lblOffset val="100"/>
        <c:tickLblSkip val="1"/>
        <c:noMultiLvlLbl val="0"/>
      </c:catAx>
      <c:valAx>
        <c:axId val="5382595"/>
        <c:scaling>
          <c:orientation val="minMax"/>
        </c:scaling>
        <c:axPos val="l"/>
        <c:title>
          <c:tx>
            <c:rich>
              <a:bodyPr vert="horz" rot="-5400000" anchor="ctr"/>
              <a:lstStyle/>
              <a:p>
                <a:pPr algn="ctr">
                  <a:defRPr/>
                </a:pPr>
                <a:r>
                  <a:rPr lang="en-US" cap="none" sz="1425" b="1" i="0" u="none" baseline="0">
                    <a:latin typeface="Arial"/>
                    <a:ea typeface="Arial"/>
                    <a:cs typeface="Arial"/>
                  </a:rPr>
                  <a:t>thousands US$</a:t>
                </a:r>
              </a:p>
            </c:rich>
          </c:tx>
          <c:layout/>
          <c:overlay val="0"/>
          <c:spPr>
            <a:noFill/>
            <a:ln>
              <a:noFill/>
            </a:ln>
          </c:spPr>
        </c:title>
        <c:majorGridlines/>
        <c:delete val="0"/>
        <c:numFmt formatCode="#,##0" sourceLinked="0"/>
        <c:majorTickMark val="out"/>
        <c:minorTickMark val="none"/>
        <c:tickLblPos val="nextTo"/>
        <c:crossAx val="598066"/>
        <c:crossesAt val="1"/>
        <c:crossBetween val="midCat"/>
        <c:dispUnits/>
      </c:valAx>
      <c:spPr>
        <a:solidFill>
          <a:srgbClr val="C0C0C0"/>
        </a:solidFill>
        <a:ln w="3175">
          <a:no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Economic Rate of Return (ERR) Given Uncertainty in Key Parameters </a:t>
            </a:r>
            <a:r>
              <a:rPr lang="en-US" cap="none" sz="1000" b="1" i="0" u="none" baseline="0">
                <a:latin typeface="Arial"/>
                <a:ea typeface="Arial"/>
                <a:cs typeface="Arial"/>
              </a:rPr>
              <a:t>
</a:t>
            </a:r>
            <a:r>
              <a:rPr lang="en-US" cap="none" sz="800" b="1" i="0" u="none" baseline="0">
                <a:latin typeface="Arial"/>
                <a:ea typeface="Arial"/>
                <a:cs typeface="Arial"/>
              </a:rPr>
              <a:t>(as of 11/17/2005)</a:t>
            </a:r>
          </a:p>
        </c:rich>
      </c:tx>
      <c:layout/>
      <c:spPr>
        <a:noFill/>
        <a:ln>
          <a:noFill/>
        </a:ln>
      </c:spPr>
    </c:title>
    <c:plotArea>
      <c:layout>
        <c:manualLayout>
          <c:xMode val="edge"/>
          <c:yMode val="edge"/>
          <c:x val="0.0355"/>
          <c:y val="0.15075"/>
          <c:w val="0.95325"/>
          <c:h val="0.81625"/>
        </c:manualLayout>
      </c:layout>
      <c:barChart>
        <c:barDir val="col"/>
        <c:grouping val="stack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0.20855166562462873</c:v>
              </c:pt>
              <c:pt idx="10">
                <c:v>0.21814769520950097</c:v>
              </c:pt>
              <c:pt idx="20">
                <c:v>0.22774372479437324</c:v>
              </c:pt>
              <c:pt idx="30">
                <c:v>0.23733975437924548</c:v>
              </c:pt>
              <c:pt idx="40">
                <c:v>0.24693578396411772</c:v>
              </c:pt>
              <c:pt idx="49">
                <c:v>0.2555722105905028</c:v>
              </c:pt>
            </c:strLit>
          </c:cat>
          <c:val>
            <c:numLit>
              <c:ptCount val="50"/>
              <c:pt idx="0">
                <c:v>2</c:v>
              </c:pt>
              <c:pt idx="1">
                <c:v>7</c:v>
              </c:pt>
              <c:pt idx="2">
                <c:v>9</c:v>
              </c:pt>
              <c:pt idx="3">
                <c:v>12</c:v>
              </c:pt>
              <c:pt idx="4">
                <c:v>21</c:v>
              </c:pt>
              <c:pt idx="5">
                <c:v>42</c:v>
              </c:pt>
              <c:pt idx="6">
                <c:v>63</c:v>
              </c:pt>
              <c:pt idx="7">
                <c:v>51</c:v>
              </c:pt>
              <c:pt idx="8">
                <c:v>85</c:v>
              </c:pt>
              <c:pt idx="9">
                <c:v>105</c:v>
              </c:pt>
              <c:pt idx="10">
                <c:v>136</c:v>
              </c:pt>
              <c:pt idx="11">
                <c:v>159</c:v>
              </c:pt>
              <c:pt idx="12">
                <c:v>191</c:v>
              </c:pt>
              <c:pt idx="13">
                <c:v>222</c:v>
              </c:pt>
              <c:pt idx="14">
                <c:v>246</c:v>
              </c:pt>
              <c:pt idx="15">
                <c:v>281</c:v>
              </c:pt>
              <c:pt idx="16">
                <c:v>296</c:v>
              </c:pt>
              <c:pt idx="17">
                <c:v>351</c:v>
              </c:pt>
              <c:pt idx="18">
                <c:v>366</c:v>
              </c:pt>
              <c:pt idx="19">
                <c:v>364</c:v>
              </c:pt>
              <c:pt idx="20">
                <c:v>370</c:v>
              </c:pt>
              <c:pt idx="21">
                <c:v>454</c:v>
              </c:pt>
              <c:pt idx="22">
                <c:v>431</c:v>
              </c:pt>
              <c:pt idx="23">
                <c:v>465</c:v>
              </c:pt>
              <c:pt idx="24">
                <c:v>438</c:v>
              </c:pt>
              <c:pt idx="25">
                <c:v>463</c:v>
              </c:pt>
              <c:pt idx="26">
                <c:v>384</c:v>
              </c:pt>
              <c:pt idx="27">
                <c:v>385</c:v>
              </c:pt>
              <c:pt idx="28">
                <c:v>375</c:v>
              </c:pt>
              <c:pt idx="29">
                <c:v>351</c:v>
              </c:pt>
              <c:pt idx="30">
                <c:v>332</c:v>
              </c:pt>
              <c:pt idx="31">
                <c:v>306</c:v>
              </c:pt>
              <c:pt idx="32">
                <c:v>285</c:v>
              </c:pt>
              <c:pt idx="33">
                <c:v>265</c:v>
              </c:pt>
              <c:pt idx="34">
                <c:v>234</c:v>
              </c:pt>
              <c:pt idx="35">
                <c:v>230</c:v>
              </c:pt>
              <c:pt idx="36">
                <c:v>195</c:v>
              </c:pt>
              <c:pt idx="37">
                <c:v>169</c:v>
              </c:pt>
              <c:pt idx="38">
                <c:v>177</c:v>
              </c:pt>
              <c:pt idx="39">
                <c:v>133</c:v>
              </c:pt>
              <c:pt idx="40">
                <c:v>115</c:v>
              </c:pt>
              <c:pt idx="41">
                <c:v>87</c:v>
              </c:pt>
              <c:pt idx="42">
                <c:v>81</c:v>
              </c:pt>
              <c:pt idx="43">
                <c:v>81</c:v>
              </c:pt>
              <c:pt idx="44">
                <c:v>67</c:v>
              </c:pt>
              <c:pt idx="45">
                <c:v>44</c:v>
              </c:pt>
              <c:pt idx="46">
                <c:v>30</c:v>
              </c:pt>
              <c:pt idx="47">
                <c:v>17</c:v>
              </c:pt>
              <c:pt idx="48">
                <c:v>13</c:v>
              </c:pt>
              <c:pt idx="49">
                <c:v>6</c:v>
              </c:pt>
            </c:numLit>
          </c:val>
        </c:ser>
        <c:overlap val="100"/>
        <c:gapWidth val="10"/>
        <c:axId val="48443356"/>
        <c:axId val="33337021"/>
      </c:barChart>
      <c:catAx>
        <c:axId val="48443356"/>
        <c:scaling>
          <c:orientation val="minMax"/>
        </c:scaling>
        <c:axPos val="b"/>
        <c:delete val="0"/>
        <c:numFmt formatCode="0.0%" sourceLinked="0"/>
        <c:majorTickMark val="out"/>
        <c:minorTickMark val="none"/>
        <c:tickLblPos val="nextTo"/>
        <c:txPr>
          <a:bodyPr vert="horz" rot="0"/>
          <a:lstStyle/>
          <a:p>
            <a:pPr>
              <a:defRPr lang="en-US" cap="none" sz="1000" b="0" i="0" u="none" baseline="0">
                <a:latin typeface="Arial"/>
                <a:ea typeface="Arial"/>
                <a:cs typeface="Arial"/>
              </a:defRPr>
            </a:pPr>
          </a:p>
        </c:txPr>
        <c:crossAx val="33337021"/>
        <c:crosses val="autoZero"/>
        <c:auto val="0"/>
        <c:lblOffset val="100"/>
        <c:tickLblSkip val="1"/>
        <c:tickMarkSkip val="5"/>
        <c:noMultiLvlLbl val="0"/>
      </c:catAx>
      <c:valAx>
        <c:axId val="33337021"/>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48443356"/>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9525</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22</xdr:row>
      <xdr:rowOff>19050</xdr:rowOff>
    </xdr:from>
    <xdr:to>
      <xdr:col>1</xdr:col>
      <xdr:colOff>2200275</xdr:colOff>
      <xdr:row>23</xdr:row>
      <xdr:rowOff>9525</xdr:rowOff>
    </xdr:to>
    <xdr:pic>
      <xdr:nvPicPr>
        <xdr:cNvPr id="1" name="Picture 1"/>
        <xdr:cNvPicPr preferRelativeResize="1">
          <a:picLocks noChangeAspect="1"/>
        </xdr:cNvPicPr>
      </xdr:nvPicPr>
      <xdr:blipFill>
        <a:blip r:embed="rId1"/>
        <a:stretch>
          <a:fillRect/>
        </a:stretch>
      </xdr:blipFill>
      <xdr:spPr>
        <a:xfrm>
          <a:off x="409575" y="5705475"/>
          <a:ext cx="21717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23</xdr:row>
      <xdr:rowOff>66675</xdr:rowOff>
    </xdr:from>
    <xdr:to>
      <xdr:col>6</xdr:col>
      <xdr:colOff>381000</xdr:colOff>
      <xdr:row>45</xdr:row>
      <xdr:rowOff>152400</xdr:rowOff>
    </xdr:to>
    <xdr:graphicFrame>
      <xdr:nvGraphicFramePr>
        <xdr:cNvPr id="1" name="Chart 1"/>
        <xdr:cNvGraphicFramePr/>
      </xdr:nvGraphicFramePr>
      <xdr:xfrm>
        <a:off x="952500" y="6924675"/>
        <a:ext cx="8601075" cy="364807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57150</xdr:colOff>
      <xdr:row>1</xdr:row>
      <xdr:rowOff>85725</xdr:rowOff>
    </xdr:from>
    <xdr:to>
      <xdr:col>7</xdr:col>
      <xdr:colOff>19050</xdr:colOff>
      <xdr:row>1</xdr:row>
      <xdr:rowOff>238125</xdr:rowOff>
    </xdr:to>
    <xdr:pic>
      <xdr:nvPicPr>
        <xdr:cNvPr id="2" name="Picture 4"/>
        <xdr:cNvPicPr preferRelativeResize="1">
          <a:picLocks noChangeAspect="1"/>
        </xdr:cNvPicPr>
      </xdr:nvPicPr>
      <xdr:blipFill>
        <a:blip r:embed="rId2"/>
        <a:stretch>
          <a:fillRect/>
        </a:stretch>
      </xdr:blipFill>
      <xdr:spPr>
        <a:xfrm>
          <a:off x="8134350" y="247650"/>
          <a:ext cx="2162175" cy="15240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1</xdr:col>
      <xdr:colOff>581025</xdr:colOff>
      <xdr:row>47</xdr:row>
      <xdr:rowOff>104775</xdr:rowOff>
    </xdr:from>
    <xdr:to>
      <xdr:col>6</xdr:col>
      <xdr:colOff>438150</xdr:colOff>
      <xdr:row>66</xdr:row>
      <xdr:rowOff>38100</xdr:rowOff>
    </xdr:to>
    <xdr:graphicFrame>
      <xdr:nvGraphicFramePr>
        <xdr:cNvPr id="8" name="Chart 10"/>
        <xdr:cNvGraphicFramePr/>
      </xdr:nvGraphicFramePr>
      <xdr:xfrm>
        <a:off x="962025" y="10848975"/>
        <a:ext cx="8648700" cy="30099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_divisions\Economic%20Analysis\ERR%20Spreadsheets\Web%20Dissemination\Beta%20Version\Mongolia\mcc-err-mongolia-healt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ountryfile\Armenia\7.%20M&amp;E\ERRs\RevisedAnalysis\_Analysis_IM_Clean\AgProjectSummary\ProjectIrrigatedAgriculture_rev_IM_Cle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berningcc\Local%20Settings\Temp\Temporary%20Directory%201%20for%20Arm_MCA_Assistance_Irrigation_ERRs_Zone_1_4_Oct_27_05.zip\Arm_MCA%20Assistance_Irrigation%20ERRs_Zone1_Oct%2027_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5">
        <row r="5">
          <cell r="C5">
            <v>0.015</v>
          </cell>
        </row>
        <row r="6">
          <cell r="E6">
            <v>955.449080602039</v>
          </cell>
        </row>
        <row r="27">
          <cell r="C27">
            <v>0.33</v>
          </cell>
        </row>
        <row r="28">
          <cell r="C28">
            <v>0.2</v>
          </cell>
        </row>
        <row r="32">
          <cell r="E32">
            <v>0.14285714285714285</v>
          </cell>
          <cell r="J32">
            <v>0.02</v>
          </cell>
        </row>
        <row r="33">
          <cell r="E33">
            <v>0.2</v>
          </cell>
          <cell r="J33">
            <v>0.04</v>
          </cell>
        </row>
        <row r="34">
          <cell r="E34">
            <v>0.3333333333333333</v>
          </cell>
          <cell r="J34">
            <v>0.06</v>
          </cell>
        </row>
        <row r="82">
          <cell r="J82">
            <v>0.02</v>
          </cell>
        </row>
        <row r="83">
          <cell r="J83">
            <v>0.04</v>
          </cell>
        </row>
        <row r="84">
          <cell r="J84">
            <v>0.06</v>
          </cell>
        </row>
      </sheetData>
      <sheetData sheetId="6">
        <row r="25">
          <cell r="C25">
            <v>0.2</v>
          </cell>
        </row>
        <row r="26">
          <cell r="C26">
            <v>0.1</v>
          </cell>
        </row>
        <row r="31">
          <cell r="E31">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ers"/>
      <sheetName val="Infrastructure"/>
      <sheetName val="WUA_Profit_Improve"/>
      <sheetName val="Project_Overall"/>
      <sheetName val="InfraSen"/>
      <sheetName val="ProfitSen"/>
      <sheetName val="Credit_Requirement"/>
      <sheetName val="IRR_OFWM_HVA_Base"/>
    </sheetNames>
    <sheetDataSet>
      <sheetData sheetId="0">
        <row r="6">
          <cell r="C6">
            <v>0.125</v>
          </cell>
        </row>
        <row r="7">
          <cell r="C7">
            <v>460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2">
        <row r="2">
          <cell r="B2" t="str">
            <v>Table 1: Economic Analysis - Irrigation Scheme 01 - Artashat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C45"/>
  <sheetViews>
    <sheetView showGridLines="0" zoomScale="85" zoomScaleNormal="85" zoomScaleSheetLayoutView="100" workbookViewId="0" topLeftCell="A1">
      <selection activeCell="A8" sqref="A8:A9"/>
    </sheetView>
  </sheetViews>
  <sheetFormatPr defaultColWidth="9.140625" defaultRowHeight="12.75"/>
  <cols>
    <col min="1" max="1" width="39.7109375" style="0" customWidth="1"/>
    <col min="2" max="2" width="106.421875" style="0" customWidth="1"/>
  </cols>
  <sheetData>
    <row r="1" spans="2:3" ht="12.75">
      <c r="B1" s="211" t="s">
        <v>850</v>
      </c>
      <c r="C1" s="212"/>
    </row>
    <row r="2" ht="20.25" customHeight="1">
      <c r="B2" s="349" t="s">
        <v>845</v>
      </c>
    </row>
    <row r="3" ht="12.75">
      <c r="B3" s="349"/>
    </row>
    <row r="4" ht="12.75">
      <c r="B4" s="349"/>
    </row>
    <row r="5" ht="12.75">
      <c r="B5" s="349"/>
    </row>
    <row r="6" ht="12.75">
      <c r="B6" s="349"/>
    </row>
    <row r="7" ht="13.5" thickBot="1"/>
    <row r="8" spans="1:2" s="213" customFormat="1" ht="18" customHeight="1" thickTop="1">
      <c r="A8" s="350" t="s">
        <v>738</v>
      </c>
      <c r="B8" s="340" t="s">
        <v>775</v>
      </c>
    </row>
    <row r="9" spans="1:2" s="213" customFormat="1" ht="18" customHeight="1" thickBot="1">
      <c r="A9" s="351"/>
      <c r="B9" s="339" t="s">
        <v>844</v>
      </c>
    </row>
    <row r="10" spans="1:2" s="213" customFormat="1" ht="18" customHeight="1" thickTop="1">
      <c r="A10" s="214" t="s">
        <v>739</v>
      </c>
      <c r="B10" s="215" t="s">
        <v>753</v>
      </c>
    </row>
    <row r="11" spans="1:2" s="213" customFormat="1" ht="18" customHeight="1">
      <c r="A11" s="216" t="s">
        <v>740</v>
      </c>
      <c r="B11" s="217">
        <v>38673</v>
      </c>
    </row>
    <row r="12" spans="1:2" s="213" customFormat="1" ht="18" customHeight="1">
      <c r="A12" s="216" t="s">
        <v>741</v>
      </c>
      <c r="B12" s="218" t="s">
        <v>846</v>
      </c>
    </row>
    <row r="13" spans="1:2" ht="25.5">
      <c r="A13" s="347" t="s">
        <v>742</v>
      </c>
      <c r="B13" s="219" t="s">
        <v>781</v>
      </c>
    </row>
    <row r="14" spans="1:2" ht="12.75" customHeight="1">
      <c r="A14" s="347"/>
      <c r="B14" s="219"/>
    </row>
    <row r="15" spans="1:2" ht="12.75" customHeight="1">
      <c r="A15" s="347"/>
      <c r="B15" s="219" t="s">
        <v>848</v>
      </c>
    </row>
    <row r="16" spans="1:2" ht="12.75" customHeight="1">
      <c r="A16" s="347"/>
      <c r="B16" s="219" t="s">
        <v>776</v>
      </c>
    </row>
    <row r="17" spans="1:2" ht="12.75" customHeight="1">
      <c r="A17" s="347"/>
      <c r="B17" s="219" t="s">
        <v>777</v>
      </c>
    </row>
    <row r="18" spans="1:2" ht="12.75" customHeight="1">
      <c r="A18" s="347"/>
      <c r="B18" s="219" t="s">
        <v>778</v>
      </c>
    </row>
    <row r="19" spans="1:2" ht="12.75" customHeight="1">
      <c r="A19" s="347"/>
      <c r="B19" s="219" t="s">
        <v>779</v>
      </c>
    </row>
    <row r="20" spans="1:2" ht="12.75" customHeight="1">
      <c r="A20" s="347"/>
      <c r="B20" s="219" t="s">
        <v>780</v>
      </c>
    </row>
    <row r="21" spans="1:2" ht="12.75">
      <c r="A21" s="348"/>
      <c r="B21" s="220"/>
    </row>
    <row r="22" spans="1:2" ht="30" customHeight="1">
      <c r="A22" s="214" t="s">
        <v>743</v>
      </c>
      <c r="B22" s="221" t="s">
        <v>782</v>
      </c>
    </row>
    <row r="23" spans="1:2" ht="25.5">
      <c r="A23" s="216" t="s">
        <v>744</v>
      </c>
      <c r="B23" s="222" t="s">
        <v>745</v>
      </c>
    </row>
    <row r="24" spans="1:2" ht="18" customHeight="1">
      <c r="A24" s="223" t="s">
        <v>746</v>
      </c>
      <c r="B24" s="218" t="s">
        <v>2</v>
      </c>
    </row>
    <row r="25" spans="1:2" ht="12.75" customHeight="1">
      <c r="A25" s="224"/>
      <c r="B25" s="225"/>
    </row>
    <row r="26" spans="1:2" ht="12.75">
      <c r="A26" s="345" t="s">
        <v>747</v>
      </c>
      <c r="B26" s="285" t="s">
        <v>838</v>
      </c>
    </row>
    <row r="27" spans="1:2" ht="25.5">
      <c r="A27" s="345"/>
      <c r="B27" s="226" t="s">
        <v>748</v>
      </c>
    </row>
    <row r="28" spans="1:2" ht="12.75">
      <c r="A28" s="345"/>
      <c r="B28" s="227"/>
    </row>
    <row r="29" spans="1:2" s="228" customFormat="1" ht="12.75">
      <c r="A29" s="345"/>
      <c r="B29" s="284" t="s">
        <v>749</v>
      </c>
    </row>
    <row r="30" spans="1:2" s="228" customFormat="1" ht="25.5">
      <c r="A30" s="345"/>
      <c r="B30" s="229" t="s">
        <v>750</v>
      </c>
    </row>
    <row r="31" spans="1:2" s="228" customFormat="1" ht="12.75">
      <c r="A31" s="345"/>
      <c r="B31" s="229"/>
    </row>
    <row r="32" spans="1:2" s="228" customFormat="1" ht="12.75">
      <c r="A32" s="345"/>
      <c r="B32" s="283" t="s">
        <v>856</v>
      </c>
    </row>
    <row r="33" spans="1:2" s="228" customFormat="1" ht="25.5">
      <c r="A33" s="345"/>
      <c r="B33" s="230" t="s">
        <v>751</v>
      </c>
    </row>
    <row r="34" spans="1:2" s="228" customFormat="1" ht="12.75">
      <c r="A34" s="345"/>
      <c r="B34" s="229"/>
    </row>
    <row r="35" spans="1:2" s="228" customFormat="1" ht="12.75">
      <c r="A35" s="345"/>
      <c r="B35" s="283" t="s">
        <v>774</v>
      </c>
    </row>
    <row r="36" spans="1:2" s="228" customFormat="1" ht="12.75">
      <c r="A36" s="345"/>
      <c r="B36" s="230" t="s">
        <v>858</v>
      </c>
    </row>
    <row r="37" spans="1:2" s="228" customFormat="1" ht="12.75">
      <c r="A37" s="345"/>
      <c r="B37" s="230"/>
    </row>
    <row r="38" spans="1:2" s="228" customFormat="1" ht="12.75">
      <c r="A38" s="345"/>
      <c r="B38" s="372" t="s">
        <v>773</v>
      </c>
    </row>
    <row r="39" spans="1:2" s="228" customFormat="1" ht="12.75">
      <c r="A39" s="345"/>
      <c r="B39" s="230" t="s">
        <v>857</v>
      </c>
    </row>
    <row r="40" spans="1:2" s="228" customFormat="1" ht="12.75">
      <c r="A40" s="345"/>
      <c r="B40" s="230"/>
    </row>
    <row r="41" spans="1:2" s="228" customFormat="1" ht="12.75">
      <c r="A41" s="345"/>
      <c r="B41" s="372" t="s">
        <v>852</v>
      </c>
    </row>
    <row r="42" spans="1:2" s="228" customFormat="1" ht="12.75">
      <c r="A42" s="345"/>
      <c r="B42" s="230" t="s">
        <v>853</v>
      </c>
    </row>
    <row r="43" spans="1:2" s="228" customFormat="1" ht="6.75" customHeight="1" thickBot="1">
      <c r="A43" s="346"/>
      <c r="B43" s="231"/>
    </row>
    <row r="44" ht="13.5" thickTop="1"/>
    <row r="45" ht="12.75">
      <c r="B45" s="232" t="s">
        <v>752</v>
      </c>
    </row>
  </sheetData>
  <mergeCells count="4">
    <mergeCell ref="A26:A43"/>
    <mergeCell ref="A13:A21"/>
    <mergeCell ref="B2:B6"/>
    <mergeCell ref="A8:A9"/>
  </mergeCells>
  <hyperlinks>
    <hyperlink ref="B29" location="'ERR &amp; Sensitivity Analysis'!A1" display="ERR &amp; Sensitivity Analysis"/>
    <hyperlink ref="B32" location="'Cost and Benefit Summary'!A1" display="Cost and Benefit Summary"/>
    <hyperlink ref="B26" location="'Activity Description'!A1" display="Activity Description"/>
    <hyperlink ref="B38" location="'Assumptions and Basic Info'!A1" display="Assumptions and Basic Info"/>
    <hyperlink ref="B41" location="Prices!A1" display="Prices"/>
    <hyperlink ref="B35" location="'Irrigation Summary'!A1" display="Irrigation Summary"/>
  </hyperlinks>
  <printOptions/>
  <pageMargins left="1.46" right="0.75" top="0.49" bottom="0.49" header="0.5" footer="0.5"/>
  <pageSetup fitToHeight="1" fitToWidth="1" horizontalDpi="600" verticalDpi="600" orientation="landscape" scale="78" r:id="rId2"/>
  <drawing r:id="rId1"/>
</worksheet>
</file>

<file path=xl/worksheets/sheet2.xml><?xml version="1.0" encoding="utf-8"?>
<worksheet xmlns="http://schemas.openxmlformats.org/spreadsheetml/2006/main" xmlns:r="http://schemas.openxmlformats.org/officeDocument/2006/relationships">
  <sheetPr codeName="Sheet18"/>
  <dimension ref="A2:B23"/>
  <sheetViews>
    <sheetView showGridLines="0" tabSelected="1" zoomScale="95" zoomScaleNormal="95" workbookViewId="0" topLeftCell="A1">
      <selection activeCell="A1" sqref="A1"/>
    </sheetView>
  </sheetViews>
  <sheetFormatPr defaultColWidth="9.140625" defaultRowHeight="12.75"/>
  <cols>
    <col min="1" max="1" width="5.7109375" style="233" customWidth="1"/>
    <col min="2" max="2" width="101.421875" style="233" customWidth="1"/>
    <col min="3" max="16384" width="9.140625" style="233" customWidth="1"/>
  </cols>
  <sheetData>
    <row r="2" ht="20.25">
      <c r="B2" s="234" t="s">
        <v>843</v>
      </c>
    </row>
    <row r="4" ht="18">
      <c r="B4" s="235" t="s">
        <v>838</v>
      </c>
    </row>
    <row r="5" ht="12.75">
      <c r="A5" s="236"/>
    </row>
    <row r="6" spans="1:2" ht="12.75" customHeight="1">
      <c r="A6" s="237"/>
      <c r="B6" s="341" t="s">
        <v>754</v>
      </c>
    </row>
    <row r="7" ht="6.75" customHeight="1"/>
    <row r="8" spans="1:2" ht="38.25">
      <c r="A8" s="238"/>
      <c r="B8" s="239" t="s">
        <v>847</v>
      </c>
    </row>
    <row r="9" spans="1:2" ht="40.5" customHeight="1">
      <c r="A9" s="238"/>
      <c r="B9" s="239" t="s">
        <v>783</v>
      </c>
    </row>
    <row r="10" spans="1:2" ht="12.75">
      <c r="A10" s="238"/>
      <c r="B10" s="239"/>
    </row>
    <row r="11" spans="1:2" ht="12.75">
      <c r="A11" s="238"/>
      <c r="B11" s="342" t="s">
        <v>755</v>
      </c>
    </row>
    <row r="12" spans="1:2" ht="6.75" customHeight="1">
      <c r="A12" s="238"/>
      <c r="B12" s="239"/>
    </row>
    <row r="13" spans="1:2" ht="50.25" customHeight="1">
      <c r="A13" s="238"/>
      <c r="B13" s="240" t="s">
        <v>849</v>
      </c>
    </row>
    <row r="14" spans="1:2" ht="6.75" customHeight="1">
      <c r="A14" s="238"/>
      <c r="B14" s="240"/>
    </row>
    <row r="15" spans="1:2" ht="6.75" customHeight="1">
      <c r="A15" s="238"/>
      <c r="B15" s="286"/>
    </row>
    <row r="16" spans="1:2" ht="7.5" customHeight="1">
      <c r="A16" s="238"/>
      <c r="B16" s="240"/>
    </row>
    <row r="17" spans="1:2" ht="12.75">
      <c r="A17" s="238"/>
      <c r="B17" s="343" t="s">
        <v>756</v>
      </c>
    </row>
    <row r="18" spans="1:2" ht="9" customHeight="1">
      <c r="A18" s="238"/>
      <c r="B18" s="240"/>
    </row>
    <row r="19" spans="1:2" ht="114.75" customHeight="1">
      <c r="A19" s="238"/>
      <c r="B19" s="241" t="s">
        <v>837</v>
      </c>
    </row>
    <row r="20" ht="7.5" customHeight="1">
      <c r="B20" s="240"/>
    </row>
    <row r="21" ht="12.75">
      <c r="B21" s="240"/>
    </row>
    <row r="22" ht="12.75">
      <c r="B22" s="240"/>
    </row>
    <row r="23" ht="12.75">
      <c r="B23" s="242" t="s">
        <v>850</v>
      </c>
    </row>
  </sheetData>
  <printOptions/>
  <pageMargins left="0.75" right="0.75" top="1" bottom="1" header="0.5" footer="0.5"/>
  <pageSetup horizontalDpi="600" verticalDpi="600" orientation="portrait" scale="55" r:id="rId2"/>
  <drawing r:id="rId1"/>
</worksheet>
</file>

<file path=xl/worksheets/sheet3.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9">
    <pageSetUpPr fitToPage="1"/>
  </sheetPr>
  <dimension ref="B2:J22"/>
  <sheetViews>
    <sheetView showGridLines="0" zoomScale="90" zoomScaleNormal="90" workbookViewId="0" topLeftCell="A1">
      <selection activeCell="A1" sqref="A1"/>
    </sheetView>
  </sheetViews>
  <sheetFormatPr defaultColWidth="9.140625" defaultRowHeight="12.75"/>
  <cols>
    <col min="1" max="1" width="5.7109375" style="0" customWidth="1"/>
    <col min="2" max="2" width="16.28125" style="0" customWidth="1"/>
    <col min="3" max="3" width="67.00390625" style="0" customWidth="1"/>
    <col min="4" max="4" width="17.140625" style="0" customWidth="1"/>
    <col min="5" max="5" width="15.00390625" style="0" customWidth="1"/>
    <col min="6" max="6" width="16.421875" style="0" customWidth="1"/>
    <col min="7" max="7" width="16.57421875" style="0" customWidth="1"/>
    <col min="8" max="8" width="5.7109375" style="0" customWidth="1"/>
    <col min="9" max="9" width="20.7109375" style="0" customWidth="1"/>
  </cols>
  <sheetData>
    <row r="2" spans="2:7" ht="20.25">
      <c r="B2" s="243" t="s">
        <v>843</v>
      </c>
      <c r="G2" s="244"/>
    </row>
    <row r="4" spans="2:7" ht="18">
      <c r="B4" s="245" t="s">
        <v>757</v>
      </c>
      <c r="G4" s="246" t="s">
        <v>851</v>
      </c>
    </row>
    <row r="5" ht="12.75" customHeight="1">
      <c r="C5" s="247"/>
    </row>
    <row r="6" spans="2:7" ht="39.75" customHeight="1">
      <c r="B6" s="352" t="s">
        <v>772</v>
      </c>
      <c r="C6" s="352"/>
      <c r="D6" s="352"/>
      <c r="E6" s="352"/>
      <c r="F6" s="352"/>
      <c r="G6" s="352"/>
    </row>
    <row r="8" spans="2:7" s="247" customFormat="1" ht="15.75">
      <c r="B8" s="344" t="s">
        <v>758</v>
      </c>
      <c r="C8" s="356" t="s">
        <v>759</v>
      </c>
      <c r="D8" s="358" t="s">
        <v>760</v>
      </c>
      <c r="E8" s="359"/>
      <c r="F8" s="359"/>
      <c r="G8" s="360"/>
    </row>
    <row r="9" spans="2:10" s="247" customFormat="1" ht="39" thickBot="1">
      <c r="B9" s="361"/>
      <c r="C9" s="357"/>
      <c r="D9" s="248" t="s">
        <v>761</v>
      </c>
      <c r="E9" s="249" t="s">
        <v>762</v>
      </c>
      <c r="F9" s="250" t="s">
        <v>763</v>
      </c>
      <c r="G9" s="249" t="s">
        <v>764</v>
      </c>
      <c r="I9" s="251" t="s">
        <v>765</v>
      </c>
      <c r="J9" s="252"/>
    </row>
    <row r="10" spans="2:9" ht="38.25" customHeight="1">
      <c r="B10" s="253" t="s">
        <v>754</v>
      </c>
      <c r="C10" s="254" t="s">
        <v>766</v>
      </c>
      <c r="D10" s="255">
        <v>1</v>
      </c>
      <c r="E10" s="256">
        <v>1</v>
      </c>
      <c r="F10" s="257" t="s">
        <v>767</v>
      </c>
      <c r="G10" s="258">
        <f>D10</f>
        <v>1</v>
      </c>
      <c r="I10" s="259" t="str">
        <f>IF(D10=E10,IF(D11=E11,"Y","N"),"N")</f>
        <v>Y</v>
      </c>
    </row>
    <row r="11" spans="2:9" ht="38.25" customHeight="1">
      <c r="B11" s="260" t="s">
        <v>754</v>
      </c>
      <c r="C11" s="261" t="s">
        <v>768</v>
      </c>
      <c r="D11" s="262">
        <v>1</v>
      </c>
      <c r="E11" s="263">
        <v>1</v>
      </c>
      <c r="F11" s="264" t="s">
        <v>767</v>
      </c>
      <c r="G11" s="265">
        <f>D11</f>
        <v>1</v>
      </c>
      <c r="I11" s="266" t="str">
        <f>IF(D13=E13,IF(D14=E14,IF(D15=E15,IF(D16=E16,"Y","N"),"N"),"N"),"N")</f>
        <v>Y</v>
      </c>
    </row>
    <row r="12" spans="2:9" ht="14.25" customHeight="1">
      <c r="B12" s="267"/>
      <c r="C12" s="267"/>
      <c r="D12" s="267"/>
      <c r="E12" s="267"/>
      <c r="F12" s="267"/>
      <c r="G12" s="267"/>
      <c r="I12" s="287"/>
    </row>
    <row r="13" spans="2:9" ht="35.25" customHeight="1">
      <c r="B13" s="268" t="s">
        <v>769</v>
      </c>
      <c r="C13" s="269" t="s">
        <v>841</v>
      </c>
      <c r="D13" s="288">
        <v>1</v>
      </c>
      <c r="E13" s="289">
        <v>1</v>
      </c>
      <c r="F13" s="290" t="s">
        <v>3</v>
      </c>
      <c r="G13" s="291">
        <f>IF($I$11="Y",IF(E13&lt;=2,IF(E13&gt;=0,E13,D13),D13),D13)</f>
        <v>1</v>
      </c>
      <c r="H13" s="355"/>
      <c r="I13" s="294" t="s">
        <v>770</v>
      </c>
    </row>
    <row r="14" spans="2:9" ht="42" customHeight="1">
      <c r="B14" s="270" t="s">
        <v>769</v>
      </c>
      <c r="C14" s="271" t="s">
        <v>785</v>
      </c>
      <c r="D14" s="272">
        <v>1</v>
      </c>
      <c r="E14" s="273">
        <v>1</v>
      </c>
      <c r="F14" s="274" t="s">
        <v>786</v>
      </c>
      <c r="G14" s="275">
        <f>IF($I$11="Y",IF(D14&gt;1,100%,IF(D14&lt;0,0%,D14)),D14)</f>
        <v>1</v>
      </c>
      <c r="H14" s="355"/>
      <c r="I14" s="318" t="s">
        <v>855</v>
      </c>
    </row>
    <row r="15" spans="2:9" ht="33" customHeight="1">
      <c r="B15" s="270" t="s">
        <v>769</v>
      </c>
      <c r="C15" s="271" t="s">
        <v>787</v>
      </c>
      <c r="D15" s="272">
        <v>1</v>
      </c>
      <c r="E15" s="273">
        <v>1</v>
      </c>
      <c r="F15" s="274" t="s">
        <v>786</v>
      </c>
      <c r="G15" s="275">
        <f>IF($I$11="Y",IF(D15&gt;1,100%,IF(D15&lt;0,0%,D15)),D15)</f>
        <v>1</v>
      </c>
      <c r="H15" s="355"/>
      <c r="I15" s="373" t="s">
        <v>854</v>
      </c>
    </row>
    <row r="16" spans="2:9" ht="48" customHeight="1">
      <c r="B16" s="276" t="s">
        <v>769</v>
      </c>
      <c r="C16" s="277" t="s">
        <v>836</v>
      </c>
      <c r="D16" s="295">
        <v>1</v>
      </c>
      <c r="E16" s="297">
        <v>1</v>
      </c>
      <c r="F16" s="298" t="s">
        <v>786</v>
      </c>
      <c r="G16" s="296">
        <f>IF($I$11="Y",IF(D16&gt;1,D16,IF(D16&lt;0,0%,D16)),D16)</f>
        <v>1</v>
      </c>
      <c r="H16" s="355"/>
      <c r="I16" s="319"/>
    </row>
    <row r="17" spans="4:7" ht="12.75">
      <c r="D17" s="354"/>
      <c r="E17" s="354"/>
      <c r="F17" s="354"/>
      <c r="G17" s="354"/>
    </row>
    <row r="18" spans="2:7" ht="31.5" customHeight="1">
      <c r="B18" s="353">
        <f>IF(I10="N",IF(I11="N","Reminder: Please reset all summary parameters to original values before changing specific parameters.  Specific parameters will only be used in ERR computation when all summary parameters are set to initial values",0),0)</f>
        <v>0</v>
      </c>
      <c r="C18" s="353"/>
      <c r="D18" s="353"/>
      <c r="E18" s="353"/>
      <c r="F18" s="353"/>
      <c r="G18" s="353"/>
    </row>
    <row r="19" spans="2:7" ht="12" customHeight="1">
      <c r="B19" s="278"/>
      <c r="C19" s="278"/>
      <c r="D19" s="278"/>
      <c r="E19" s="278"/>
      <c r="F19" s="278"/>
      <c r="G19" s="278"/>
    </row>
    <row r="20" spans="3:5" ht="12.75">
      <c r="C20" s="292" t="s">
        <v>771</v>
      </c>
      <c r="D20" s="293">
        <f>IF(G13=0,'Irrigation Summary'!D493,IF(G13=1,'Irrigation Summary'!D499,IF(G13=2,'Irrigation Summary'!D505)))</f>
        <v>0.2296053597311766</v>
      </c>
      <c r="E20" s="280"/>
    </row>
    <row r="21" spans="3:5" ht="12.75">
      <c r="C21" s="279"/>
      <c r="D21" s="280"/>
      <c r="E21" s="280"/>
    </row>
    <row r="22" spans="3:5" ht="12.75">
      <c r="C22" s="279" t="s">
        <v>784</v>
      </c>
      <c r="D22" s="281">
        <v>0.23</v>
      </c>
      <c r="E22" s="282"/>
    </row>
  </sheetData>
  <sheetProtection/>
  <mergeCells count="7">
    <mergeCell ref="B6:G6"/>
    <mergeCell ref="B18:G18"/>
    <mergeCell ref="D17:G17"/>
    <mergeCell ref="H13:H16"/>
    <mergeCell ref="C8:C9"/>
    <mergeCell ref="D8:G8"/>
    <mergeCell ref="B8:B9"/>
  </mergeCells>
  <conditionalFormatting sqref="B18:B19 B12">
    <cfRule type="cellIs" priority="1" dxfId="0" operator="equal" stopIfTrue="1">
      <formula>0</formula>
    </cfRule>
    <cfRule type="cellIs" priority="2" dxfId="1" operator="notEqual" stopIfTrue="1">
      <formula>0</formula>
    </cfRule>
  </conditionalFormatting>
  <hyperlinks>
    <hyperlink ref="I14" location="'Activity Description'!A1" display="   Project Description"/>
    <hyperlink ref="I15" location="'User''s Guide'!A1" display="   User's Guide"/>
  </hyperlinks>
  <printOptions/>
  <pageMargins left="1.57" right="0.75" top="0.49" bottom="0.49" header="0.5" footer="0.5"/>
  <pageSetup fitToHeight="1" fitToWidth="1" horizontalDpi="600" verticalDpi="600" orientation="landscape" scale="49"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1:AE535"/>
  <sheetViews>
    <sheetView showGridLines="0" zoomScaleSheetLayoutView="100" workbookViewId="0" topLeftCell="A1">
      <pane xSplit="5" ySplit="3" topLeftCell="F479" activePane="bottomRight" state="frozen"/>
      <selection pane="topLeft" activeCell="A1" sqref="A1"/>
      <selection pane="topRight" activeCell="F1" sqref="F1"/>
      <selection pane="bottomLeft" activeCell="A4" sqref="A4"/>
      <selection pane="bottomRight" activeCell="A1" sqref="A1"/>
    </sheetView>
  </sheetViews>
  <sheetFormatPr defaultColWidth="9.140625" defaultRowHeight="12.75"/>
  <cols>
    <col min="1" max="1" width="2.28125" style="1" customWidth="1"/>
    <col min="2" max="2" width="6.421875" style="1" customWidth="1"/>
    <col min="3" max="3" width="48.140625" style="20" customWidth="1"/>
    <col min="4" max="4" width="7.7109375" style="20" customWidth="1"/>
    <col min="5" max="5" width="9.8515625" style="2" customWidth="1"/>
    <col min="6" max="6" width="6.7109375" style="22" customWidth="1"/>
    <col min="7" max="7" width="7.8515625" style="22" customWidth="1"/>
    <col min="8" max="25" width="6.7109375" style="22" customWidth="1"/>
    <col min="26" max="26" width="4.00390625" style="22" customWidth="1"/>
    <col min="27" max="27" width="0.13671875" style="22" customWidth="1"/>
    <col min="28" max="29" width="0.42578125" style="22" hidden="1" customWidth="1"/>
    <col min="30" max="30" width="0.13671875" style="22" customWidth="1"/>
    <col min="31" max="31" width="0.2890625" style="22" hidden="1" customWidth="1"/>
    <col min="32" max="16384" width="9.140625" style="1" customWidth="1"/>
  </cols>
  <sheetData>
    <row r="1" spans="3:4" ht="31.5" customHeight="1">
      <c r="C1" s="320">
        <f>IF('ERR &amp; Sensitivity Analysis'!I11="Y",IF('ERR &amp; Sensitivity Analysis'!I10="Y","","Note: Current calculations are based on user input and are not the original MCC estimates"),"Note: Current calculations are based on user input and are not the original MCC estimates")</f>
      </c>
      <c r="D1" s="53"/>
    </row>
    <row r="2" spans="2:7" ht="12" thickBot="1">
      <c r="B2" s="19" t="s">
        <v>505</v>
      </c>
      <c r="F2" s="105"/>
      <c r="G2" s="129"/>
    </row>
    <row r="3" spans="2:29" ht="12" customHeight="1">
      <c r="B3" s="32"/>
      <c r="C3" s="86"/>
      <c r="D3" s="87"/>
      <c r="E3" s="21" t="s">
        <v>80</v>
      </c>
      <c r="F3" s="33" t="s">
        <v>4</v>
      </c>
      <c r="G3" s="33" t="s">
        <v>5</v>
      </c>
      <c r="H3" s="33" t="s">
        <v>6</v>
      </c>
      <c r="I3" s="33" t="s">
        <v>7</v>
      </c>
      <c r="J3" s="33" t="s">
        <v>8</v>
      </c>
      <c r="K3" s="33" t="s">
        <v>9</v>
      </c>
      <c r="L3" s="33" t="s">
        <v>10</v>
      </c>
      <c r="M3" s="33" t="s">
        <v>11</v>
      </c>
      <c r="N3" s="33" t="s">
        <v>12</v>
      </c>
      <c r="O3" s="33" t="s">
        <v>13</v>
      </c>
      <c r="P3" s="33" t="s">
        <v>14</v>
      </c>
      <c r="Q3" s="33" t="s">
        <v>15</v>
      </c>
      <c r="R3" s="33" t="s">
        <v>16</v>
      </c>
      <c r="S3" s="33" t="s">
        <v>17</v>
      </c>
      <c r="T3" s="33" t="s">
        <v>18</v>
      </c>
      <c r="U3" s="33" t="s">
        <v>19</v>
      </c>
      <c r="V3" s="33" t="s">
        <v>20</v>
      </c>
      <c r="W3" s="33" t="s">
        <v>21</v>
      </c>
      <c r="X3" s="33" t="s">
        <v>22</v>
      </c>
      <c r="Y3" s="34" t="s">
        <v>23</v>
      </c>
      <c r="AA3" s="68" t="s">
        <v>96</v>
      </c>
      <c r="AB3" s="71"/>
      <c r="AC3" s="65"/>
    </row>
    <row r="4" spans="2:28" ht="3" customHeight="1" hidden="1">
      <c r="B4" s="35" t="s">
        <v>68</v>
      </c>
      <c r="C4" s="25" t="s">
        <v>130</v>
      </c>
      <c r="D4" s="25"/>
      <c r="E4" s="48"/>
      <c r="F4" s="26"/>
      <c r="G4" s="26"/>
      <c r="H4" s="26"/>
      <c r="I4" s="26"/>
      <c r="J4" s="26"/>
      <c r="K4" s="26"/>
      <c r="L4" s="26"/>
      <c r="M4" s="26"/>
      <c r="N4" s="26"/>
      <c r="O4" s="26"/>
      <c r="P4" s="26"/>
      <c r="Q4" s="26"/>
      <c r="R4" s="26"/>
      <c r="S4" s="26"/>
      <c r="T4" s="26"/>
      <c r="U4" s="26"/>
      <c r="V4" s="26"/>
      <c r="W4" s="26"/>
      <c r="X4" s="26"/>
      <c r="Y4" s="36"/>
      <c r="AA4" s="68" t="s">
        <v>104</v>
      </c>
      <c r="AB4" s="71"/>
    </row>
    <row r="5" spans="2:29" ht="11.25" hidden="1">
      <c r="B5" s="37" t="s">
        <v>69</v>
      </c>
      <c r="C5" s="80" t="s">
        <v>124</v>
      </c>
      <c r="D5" s="81"/>
      <c r="E5" s="49" t="s">
        <v>54</v>
      </c>
      <c r="F5" s="27">
        <v>28902</v>
      </c>
      <c r="G5" s="27">
        <v>28512.10222222222</v>
      </c>
      <c r="H5" s="27">
        <v>28128.246844444446</v>
      </c>
      <c r="I5" s="27">
        <v>27750.313018666664</v>
      </c>
      <c r="J5" s="27">
        <v>27378.18231384889</v>
      </c>
      <c r="K5" s="27">
        <v>27011.73866757191</v>
      </c>
      <c r="L5" s="27">
        <v>26650.86833866491</v>
      </c>
      <c r="M5" s="27">
        <v>26295.459860780502</v>
      </c>
      <c r="N5" s="27">
        <v>25945.40399689823</v>
      </c>
      <c r="O5" s="27">
        <v>25600.59369473804</v>
      </c>
      <c r="P5" s="27">
        <v>25348.70182084328</v>
      </c>
      <c r="Q5" s="27">
        <v>25101.847784426413</v>
      </c>
      <c r="R5" s="27">
        <v>24859.93082873788</v>
      </c>
      <c r="S5" s="27">
        <v>24622.852212163125</v>
      </c>
      <c r="T5" s="27">
        <v>24390.51516791986</v>
      </c>
      <c r="U5" s="27">
        <v>24162.824864561466</v>
      </c>
      <c r="V5" s="27">
        <v>23939.68836727024</v>
      </c>
      <c r="W5" s="27">
        <v>23721.014599924834</v>
      </c>
      <c r="X5" s="27">
        <v>23506.714307926333</v>
      </c>
      <c r="Y5" s="38">
        <v>23296.700021767814</v>
      </c>
      <c r="AA5" s="52">
        <v>28902</v>
      </c>
      <c r="AC5" s="52"/>
    </row>
    <row r="6" spans="2:27" ht="11.25" hidden="1">
      <c r="B6" s="39" t="s">
        <v>70</v>
      </c>
      <c r="C6" s="82" t="s">
        <v>125</v>
      </c>
      <c r="D6" s="83"/>
      <c r="E6" s="50" t="s">
        <v>54</v>
      </c>
      <c r="F6" s="28">
        <v>28902</v>
      </c>
      <c r="G6" s="28">
        <v>28512.10222222222</v>
      </c>
      <c r="H6" s="28">
        <v>29103.84674419763</v>
      </c>
      <c r="I6" s="28">
        <v>34074.86781485165</v>
      </c>
      <c r="J6" s="28">
        <v>34364.30172227747</v>
      </c>
      <c r="K6" s="28">
        <v>34509</v>
      </c>
      <c r="L6" s="28">
        <v>34509</v>
      </c>
      <c r="M6" s="28">
        <v>34509</v>
      </c>
      <c r="N6" s="28">
        <v>34509</v>
      </c>
      <c r="O6" s="28">
        <v>34509</v>
      </c>
      <c r="P6" s="28">
        <v>34509</v>
      </c>
      <c r="Q6" s="28">
        <v>34509</v>
      </c>
      <c r="R6" s="28">
        <v>34509</v>
      </c>
      <c r="S6" s="28">
        <v>34509</v>
      </c>
      <c r="T6" s="28">
        <v>34509</v>
      </c>
      <c r="U6" s="28">
        <v>34509</v>
      </c>
      <c r="V6" s="28">
        <v>34509</v>
      </c>
      <c r="W6" s="28">
        <v>34509</v>
      </c>
      <c r="X6" s="28">
        <v>34509</v>
      </c>
      <c r="Y6" s="40">
        <v>34509</v>
      </c>
      <c r="AA6" s="52">
        <v>34509</v>
      </c>
    </row>
    <row r="7" spans="2:27" ht="11.25" hidden="1">
      <c r="B7" s="39" t="s">
        <v>71</v>
      </c>
      <c r="C7" s="82" t="s">
        <v>81</v>
      </c>
      <c r="D7" s="83"/>
      <c r="E7" s="50" t="s">
        <v>54</v>
      </c>
      <c r="F7" s="28">
        <v>0</v>
      </c>
      <c r="G7" s="28">
        <v>0</v>
      </c>
      <c r="H7" s="28">
        <v>975.599899753186</v>
      </c>
      <c r="I7" s="28">
        <v>6324.554796184984</v>
      </c>
      <c r="J7" s="28">
        <v>6986.119408428582</v>
      </c>
      <c r="K7" s="28">
        <v>7497.26133242809</v>
      </c>
      <c r="L7" s="28">
        <v>7858.13166133509</v>
      </c>
      <c r="M7" s="28">
        <v>8213.540139219498</v>
      </c>
      <c r="N7" s="28">
        <v>8563.596003101771</v>
      </c>
      <c r="O7" s="28">
        <v>8908.40630526196</v>
      </c>
      <c r="P7" s="28">
        <v>9160.298179156722</v>
      </c>
      <c r="Q7" s="28">
        <v>9407.152215573587</v>
      </c>
      <c r="R7" s="28">
        <v>9649.06917126212</v>
      </c>
      <c r="S7" s="28">
        <v>9886.147787836875</v>
      </c>
      <c r="T7" s="28">
        <v>10118.48483208014</v>
      </c>
      <c r="U7" s="28">
        <v>10346.175135438534</v>
      </c>
      <c r="V7" s="28">
        <v>10569.311632729761</v>
      </c>
      <c r="W7" s="28">
        <v>10787.985400075166</v>
      </c>
      <c r="X7" s="28">
        <v>11002.285692073667</v>
      </c>
      <c r="Y7" s="40">
        <v>11212.299978232186</v>
      </c>
      <c r="AA7" s="52">
        <v>5607</v>
      </c>
    </row>
    <row r="8" spans="2:27" ht="11.25" hidden="1">
      <c r="B8" s="39" t="s">
        <v>72</v>
      </c>
      <c r="C8" s="82" t="s">
        <v>65</v>
      </c>
      <c r="D8" s="83"/>
      <c r="E8" s="50" t="s">
        <v>119</v>
      </c>
      <c r="F8" s="28">
        <v>0</v>
      </c>
      <c r="G8" s="28">
        <v>0</v>
      </c>
      <c r="H8" s="28">
        <v>0</v>
      </c>
      <c r="I8" s="28">
        <v>1866.6666666666663</v>
      </c>
      <c r="J8" s="28">
        <v>1555.5555555555552</v>
      </c>
      <c r="K8" s="28">
        <v>1244.4444444444441</v>
      </c>
      <c r="L8" s="28">
        <v>933.333333333333</v>
      </c>
      <c r="M8" s="28">
        <v>622.222222222222</v>
      </c>
      <c r="N8" s="28">
        <v>311.11111111111086</v>
      </c>
      <c r="O8" s="28">
        <v>0</v>
      </c>
      <c r="P8" s="28">
        <v>0</v>
      </c>
      <c r="Q8" s="28">
        <v>0</v>
      </c>
      <c r="R8" s="28">
        <v>0</v>
      </c>
      <c r="S8" s="28">
        <v>0</v>
      </c>
      <c r="T8" s="28">
        <v>0</v>
      </c>
      <c r="U8" s="28">
        <v>0</v>
      </c>
      <c r="V8" s="28">
        <v>0</v>
      </c>
      <c r="W8" s="28">
        <v>0</v>
      </c>
      <c r="X8" s="28">
        <v>0</v>
      </c>
      <c r="Y8" s="40">
        <v>0</v>
      </c>
      <c r="AA8" s="52">
        <v>2800</v>
      </c>
    </row>
    <row r="9" spans="2:27" ht="11.25" hidden="1">
      <c r="B9" s="39" t="s">
        <v>73</v>
      </c>
      <c r="C9" s="82" t="s">
        <v>516</v>
      </c>
      <c r="D9" s="83"/>
      <c r="E9" s="50" t="s">
        <v>526</v>
      </c>
      <c r="F9" s="28">
        <v>0</v>
      </c>
      <c r="G9" s="28">
        <v>0</v>
      </c>
      <c r="H9" s="28">
        <v>8257.417583364571</v>
      </c>
      <c r="I9" s="28">
        <v>15545.328960000003</v>
      </c>
      <c r="J9" s="28">
        <v>16429.022118400004</v>
      </c>
      <c r="K9" s="28">
        <v>17348.063003136005</v>
      </c>
      <c r="L9" s="28">
        <v>18303.865523261447</v>
      </c>
      <c r="M9" s="28">
        <v>19297.900144191906</v>
      </c>
      <c r="N9" s="28">
        <v>20331.69614995958</v>
      </c>
      <c r="O9" s="28">
        <v>21406.843995957966</v>
      </c>
      <c r="P9" s="28">
        <v>22524.997755796285</v>
      </c>
      <c r="Q9" s="28">
        <v>23687.877666028136</v>
      </c>
      <c r="R9" s="28">
        <v>24897.272772669265</v>
      </c>
      <c r="S9" s="28">
        <v>26155.043683576037</v>
      </c>
      <c r="T9" s="28">
        <v>27463.125430919077</v>
      </c>
      <c r="U9" s="28">
        <v>28823.53044815584</v>
      </c>
      <c r="V9" s="28">
        <v>30238.351666082075</v>
      </c>
      <c r="W9" s="28">
        <v>31709.765732725362</v>
      </c>
      <c r="X9" s="28">
        <v>33240.03636203438</v>
      </c>
      <c r="Y9" s="40">
        <v>34831.517816515756</v>
      </c>
      <c r="AA9" s="52">
        <v>13093</v>
      </c>
    </row>
    <row r="10" spans="2:27" ht="11.25" hidden="1">
      <c r="B10" s="39" t="s">
        <v>74</v>
      </c>
      <c r="C10" s="82" t="s">
        <v>58</v>
      </c>
      <c r="D10" s="83"/>
      <c r="E10" s="50" t="s">
        <v>118</v>
      </c>
      <c r="F10" s="28">
        <v>0</v>
      </c>
      <c r="G10" s="28">
        <v>5569.350988142292</v>
      </c>
      <c r="H10" s="28">
        <v>2700.9236144533597</v>
      </c>
      <c r="I10" s="28">
        <v>458.1913043478261</v>
      </c>
      <c r="J10" s="28">
        <v>229.06608695652199</v>
      </c>
      <c r="K10" s="28">
        <v>0</v>
      </c>
      <c r="L10" s="31">
        <v>0</v>
      </c>
      <c r="M10" s="31">
        <v>0</v>
      </c>
      <c r="N10" s="31">
        <v>0</v>
      </c>
      <c r="O10" s="31">
        <v>0</v>
      </c>
      <c r="P10" s="31">
        <v>0</v>
      </c>
      <c r="Q10" s="31">
        <v>0</v>
      </c>
      <c r="R10" s="31">
        <v>0</v>
      </c>
      <c r="S10" s="31">
        <v>0</v>
      </c>
      <c r="T10" s="31">
        <v>0</v>
      </c>
      <c r="U10" s="31">
        <v>0</v>
      </c>
      <c r="V10" s="31">
        <v>0</v>
      </c>
      <c r="W10" s="31">
        <v>0</v>
      </c>
      <c r="X10" s="31">
        <v>0</v>
      </c>
      <c r="Y10" s="46">
        <v>0</v>
      </c>
      <c r="AA10" s="52">
        <v>8957.5319939</v>
      </c>
    </row>
    <row r="11" spans="2:27" ht="11.25" hidden="1">
      <c r="B11" s="39" t="s">
        <v>75</v>
      </c>
      <c r="C11" s="82" t="s">
        <v>24</v>
      </c>
      <c r="D11" s="83"/>
      <c r="E11" s="50" t="s">
        <v>118</v>
      </c>
      <c r="F11" s="28">
        <v>0</v>
      </c>
      <c r="G11" s="28">
        <v>835.4026482213438</v>
      </c>
      <c r="H11" s="28">
        <v>405.13854216800394</v>
      </c>
      <c r="I11" s="28">
        <v>68.72869565217391</v>
      </c>
      <c r="J11" s="28">
        <v>34.359913043478294</v>
      </c>
      <c r="K11" s="28">
        <v>0</v>
      </c>
      <c r="L11" s="28">
        <v>0</v>
      </c>
      <c r="M11" s="28">
        <v>0</v>
      </c>
      <c r="N11" s="28">
        <v>0</v>
      </c>
      <c r="O11" s="28">
        <v>0</v>
      </c>
      <c r="P11" s="28">
        <v>0</v>
      </c>
      <c r="Q11" s="28">
        <v>0</v>
      </c>
      <c r="R11" s="28">
        <v>0</v>
      </c>
      <c r="S11" s="28">
        <v>0</v>
      </c>
      <c r="T11" s="28">
        <v>0</v>
      </c>
      <c r="U11" s="28">
        <v>0</v>
      </c>
      <c r="V11" s="31">
        <v>0</v>
      </c>
      <c r="W11" s="31">
        <v>0</v>
      </c>
      <c r="X11" s="31">
        <v>0</v>
      </c>
      <c r="Y11" s="46">
        <v>0</v>
      </c>
      <c r="AA11" s="54">
        <f>+AA10*'Assumptions and Basic Info'!$C$4</f>
        <v>8957.5319939</v>
      </c>
    </row>
    <row r="12" spans="2:27" ht="11.25" hidden="1">
      <c r="B12" s="39" t="s">
        <v>517</v>
      </c>
      <c r="C12" s="82" t="s">
        <v>83</v>
      </c>
      <c r="D12" s="83"/>
      <c r="E12" s="50" t="s">
        <v>118</v>
      </c>
      <c r="F12" s="28">
        <v>86.23913927372999</v>
      </c>
      <c r="G12" s="28">
        <v>511.23226999999997</v>
      </c>
      <c r="H12" s="28">
        <v>305.46111209492</v>
      </c>
      <c r="I12" s="28">
        <v>47.422799999999995</v>
      </c>
      <c r="J12" s="28">
        <v>23.708340000000025</v>
      </c>
      <c r="K12" s="28">
        <v>0</v>
      </c>
      <c r="L12" s="28">
        <v>0</v>
      </c>
      <c r="M12" s="28">
        <v>0</v>
      </c>
      <c r="N12" s="28">
        <v>0</v>
      </c>
      <c r="O12" s="28">
        <v>0</v>
      </c>
      <c r="P12" s="28">
        <v>0</v>
      </c>
      <c r="Q12" s="28">
        <v>0</v>
      </c>
      <c r="R12" s="28">
        <v>0</v>
      </c>
      <c r="S12" s="28">
        <v>0</v>
      </c>
      <c r="T12" s="28">
        <v>0</v>
      </c>
      <c r="U12" s="28">
        <v>0</v>
      </c>
      <c r="V12" s="31">
        <v>0</v>
      </c>
      <c r="W12" s="31">
        <v>0</v>
      </c>
      <c r="X12" s="31">
        <v>0</v>
      </c>
      <c r="Y12" s="46">
        <v>0</v>
      </c>
      <c r="AA12" s="52">
        <v>974.06366136865</v>
      </c>
    </row>
    <row r="13" spans="2:27" ht="11.25" hidden="1">
      <c r="B13" s="39" t="s">
        <v>518</v>
      </c>
      <c r="C13" s="82" t="s">
        <v>82</v>
      </c>
      <c r="D13" s="83"/>
      <c r="E13" s="50" t="s">
        <v>118</v>
      </c>
      <c r="F13" s="28">
        <v>0</v>
      </c>
      <c r="G13" s="28">
        <v>1.7247827854745998</v>
      </c>
      <c r="H13" s="28">
        <v>177.9195787763837</v>
      </c>
      <c r="I13" s="28">
        <v>259.92997628707303</v>
      </c>
      <c r="J13" s="28">
        <v>271.4168322870731</v>
      </c>
      <c r="K13" s="28">
        <v>277.1595190870731</v>
      </c>
      <c r="L13" s="28">
        <v>277.1595190870731</v>
      </c>
      <c r="M13" s="28">
        <v>277.1595190870731</v>
      </c>
      <c r="N13" s="28">
        <v>277.1595190870731</v>
      </c>
      <c r="O13" s="28">
        <v>277.1595190870731</v>
      </c>
      <c r="P13" s="28">
        <v>277.1595190870731</v>
      </c>
      <c r="Q13" s="28">
        <v>277.1595190870731</v>
      </c>
      <c r="R13" s="28">
        <v>277.1595190870731</v>
      </c>
      <c r="S13" s="28">
        <v>277.1595190870731</v>
      </c>
      <c r="T13" s="28">
        <v>277.1595190870731</v>
      </c>
      <c r="U13" s="28">
        <v>277.1595190870731</v>
      </c>
      <c r="V13" s="28">
        <v>277.1595190870731</v>
      </c>
      <c r="W13" s="28">
        <v>277.1595190870731</v>
      </c>
      <c r="X13" s="28">
        <v>277.1595190870731</v>
      </c>
      <c r="Y13" s="40">
        <v>277.1595190870731</v>
      </c>
      <c r="AA13" s="52"/>
    </row>
    <row r="14" spans="2:27" ht="11.25" hidden="1">
      <c r="B14" s="39" t="s">
        <v>577</v>
      </c>
      <c r="C14" s="82" t="s">
        <v>578</v>
      </c>
      <c r="D14" s="83"/>
      <c r="E14" s="50" t="s">
        <v>118</v>
      </c>
      <c r="F14" s="28">
        <v>109.78</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40">
        <v>0</v>
      </c>
      <c r="AA14" s="52">
        <v>109.78</v>
      </c>
    </row>
    <row r="15" spans="2:27" ht="11.25" hidden="1">
      <c r="B15" s="39" t="s">
        <v>690</v>
      </c>
      <c r="C15" s="82" t="s">
        <v>691</v>
      </c>
      <c r="D15" s="83"/>
      <c r="E15" s="50" t="s">
        <v>118</v>
      </c>
      <c r="F15" s="28">
        <v>0</v>
      </c>
      <c r="G15" s="28">
        <v>0</v>
      </c>
      <c r="H15" s="28">
        <v>72.35847685645588</v>
      </c>
      <c r="I15" s="28">
        <v>883.3584768564559</v>
      </c>
      <c r="J15" s="28">
        <v>72.3584768564559</v>
      </c>
      <c r="K15" s="28">
        <v>36.17456943063229</v>
      </c>
      <c r="L15" s="28">
        <v>0</v>
      </c>
      <c r="M15" s="28">
        <v>0</v>
      </c>
      <c r="N15" s="28">
        <v>0</v>
      </c>
      <c r="O15" s="28">
        <v>0</v>
      </c>
      <c r="P15" s="28">
        <v>0</v>
      </c>
      <c r="Q15" s="28">
        <v>0</v>
      </c>
      <c r="R15" s="28">
        <v>0</v>
      </c>
      <c r="S15" s="28">
        <v>0</v>
      </c>
      <c r="T15" s="28">
        <v>0</v>
      </c>
      <c r="U15" s="28">
        <v>0</v>
      </c>
      <c r="V15" s="28">
        <v>0</v>
      </c>
      <c r="W15" s="28">
        <v>0</v>
      </c>
      <c r="X15" s="28">
        <v>0</v>
      </c>
      <c r="Y15" s="40">
        <v>0</v>
      </c>
      <c r="AA15" s="52"/>
    </row>
    <row r="16" spans="2:27" ht="11.25" hidden="1">
      <c r="B16" s="39" t="s">
        <v>76</v>
      </c>
      <c r="C16" s="82" t="s">
        <v>692</v>
      </c>
      <c r="D16" s="83"/>
      <c r="E16" s="50" t="s">
        <v>118</v>
      </c>
      <c r="F16" s="28">
        <v>196.01913927373</v>
      </c>
      <c r="G16" s="28">
        <v>6917.71068914911</v>
      </c>
      <c r="H16" s="28">
        <v>3661.801324349123</v>
      </c>
      <c r="I16" s="28">
        <v>1717.6312531435287</v>
      </c>
      <c r="J16" s="28">
        <v>630.9096491435292</v>
      </c>
      <c r="K16" s="28">
        <v>313.33408851770537</v>
      </c>
      <c r="L16" s="28">
        <v>277.1595190870731</v>
      </c>
      <c r="M16" s="28">
        <v>277.1595190870731</v>
      </c>
      <c r="N16" s="28">
        <v>277.1595190870731</v>
      </c>
      <c r="O16" s="28">
        <v>277.1595190870731</v>
      </c>
      <c r="P16" s="28">
        <v>277.1595190870731</v>
      </c>
      <c r="Q16" s="28">
        <v>277.1595190870731</v>
      </c>
      <c r="R16" s="28">
        <v>277.1595190870731</v>
      </c>
      <c r="S16" s="28">
        <v>277.1595190870731</v>
      </c>
      <c r="T16" s="28">
        <v>277.1595190870731</v>
      </c>
      <c r="U16" s="28">
        <v>277.1595190870731</v>
      </c>
      <c r="V16" s="28">
        <v>277.1595190870731</v>
      </c>
      <c r="W16" s="28">
        <v>277.1595190870731</v>
      </c>
      <c r="X16" s="28">
        <v>277.1595190870731</v>
      </c>
      <c r="Y16" s="40">
        <v>277.1595190870731</v>
      </c>
      <c r="AA16" s="52">
        <f>+AA10+AA11+AA12</f>
        <v>18889.12764916865</v>
      </c>
    </row>
    <row r="17" spans="2:27" ht="11.25" hidden="1">
      <c r="B17" s="39" t="s">
        <v>519</v>
      </c>
      <c r="C17" s="82" t="s">
        <v>128</v>
      </c>
      <c r="D17" s="83"/>
      <c r="E17" s="50" t="s">
        <v>118</v>
      </c>
      <c r="F17" s="28">
        <v>0</v>
      </c>
      <c r="G17" s="28">
        <v>0</v>
      </c>
      <c r="H17" s="28">
        <v>78.15077308500818</v>
      </c>
      <c r="I17" s="28">
        <v>2744.601207503242</v>
      </c>
      <c r="J17" s="28">
        <v>4859.487066977271</v>
      </c>
      <c r="K17" s="28">
        <v>6721.988322819136</v>
      </c>
      <c r="L17" s="28">
        <v>8567.334142290614</v>
      </c>
      <c r="M17" s="28">
        <v>10278.448972386299</v>
      </c>
      <c r="N17" s="28">
        <v>10049.220663037882</v>
      </c>
      <c r="O17" s="28">
        <v>10504.113829771411</v>
      </c>
      <c r="P17" s="28">
        <v>10818.05102632297</v>
      </c>
      <c r="Q17" s="28">
        <v>11159.96877398824</v>
      </c>
      <c r="R17" s="28">
        <v>11495.048166700206</v>
      </c>
      <c r="S17" s="28">
        <v>11823.425971557932</v>
      </c>
      <c r="T17" s="28">
        <v>12145.236220318504</v>
      </c>
      <c r="U17" s="28">
        <v>12460.610264103867</v>
      </c>
      <c r="V17" s="28">
        <v>12769.676827013518</v>
      </c>
      <c r="W17" s="28">
        <v>13072.562058664978</v>
      </c>
      <c r="X17" s="28">
        <v>13369.389585683413</v>
      </c>
      <c r="Y17" s="40">
        <v>13660.280562161475</v>
      </c>
      <c r="AA17" s="52"/>
    </row>
    <row r="18" spans="2:27" ht="11.25" hidden="1">
      <c r="B18" s="39" t="s">
        <v>520</v>
      </c>
      <c r="C18" s="82" t="s">
        <v>63</v>
      </c>
      <c r="D18" s="83"/>
      <c r="E18" s="50" t="s">
        <v>118</v>
      </c>
      <c r="F18" s="28">
        <v>0</v>
      </c>
      <c r="G18" s="28">
        <v>0</v>
      </c>
      <c r="H18" s="28">
        <v>0</v>
      </c>
      <c r="I18" s="28">
        <v>78.77333333333333</v>
      </c>
      <c r="J18" s="28">
        <v>65.64444444444443</v>
      </c>
      <c r="K18" s="28">
        <v>52.51555555555555</v>
      </c>
      <c r="L18" s="28">
        <v>39.386666666666656</v>
      </c>
      <c r="M18" s="28">
        <v>26.257777777777765</v>
      </c>
      <c r="N18" s="28">
        <v>13.128888888888879</v>
      </c>
      <c r="O18" s="28">
        <v>0</v>
      </c>
      <c r="P18" s="28">
        <v>0</v>
      </c>
      <c r="Q18" s="28">
        <v>0</v>
      </c>
      <c r="R18" s="28">
        <v>0</v>
      </c>
      <c r="S18" s="28">
        <v>0</v>
      </c>
      <c r="T18" s="28">
        <v>0</v>
      </c>
      <c r="U18" s="28">
        <v>0</v>
      </c>
      <c r="V18" s="28">
        <v>0</v>
      </c>
      <c r="W18" s="28">
        <v>0</v>
      </c>
      <c r="X18" s="28">
        <v>0</v>
      </c>
      <c r="Y18" s="40">
        <v>0</v>
      </c>
      <c r="AA18" s="52"/>
    </row>
    <row r="19" spans="2:27" ht="11.25" hidden="1">
      <c r="B19" s="39" t="s">
        <v>521</v>
      </c>
      <c r="C19" s="82" t="s">
        <v>522</v>
      </c>
      <c r="D19" s="83"/>
      <c r="E19" s="50" t="s">
        <v>118</v>
      </c>
      <c r="F19" s="28">
        <v>0</v>
      </c>
      <c r="G19" s="28">
        <v>0</v>
      </c>
      <c r="H19" s="28">
        <v>209.7384066174601</v>
      </c>
      <c r="I19" s="28">
        <v>394.8513555840001</v>
      </c>
      <c r="J19" s="28">
        <v>417.29716180736006</v>
      </c>
      <c r="K19" s="28">
        <v>440.6408002796545</v>
      </c>
      <c r="L19" s="28">
        <v>464.91818429084077</v>
      </c>
      <c r="M19" s="28">
        <v>490.1666636624744</v>
      </c>
      <c r="N19" s="28">
        <v>516.4250822089733</v>
      </c>
      <c r="O19" s="28">
        <v>543.7338374973324</v>
      </c>
      <c r="P19" s="28">
        <v>572.1349429972256</v>
      </c>
      <c r="Q19" s="28">
        <v>601.6720927171147</v>
      </c>
      <c r="R19" s="28">
        <v>632.3907284257992</v>
      </c>
      <c r="S19" s="28">
        <v>664.3381095628314</v>
      </c>
      <c r="T19" s="28">
        <v>697.5633859453445</v>
      </c>
      <c r="U19" s="28">
        <v>732.1176733831583</v>
      </c>
      <c r="V19" s="28">
        <v>768.0541323184847</v>
      </c>
      <c r="W19" s="28">
        <v>805.4280496112241</v>
      </c>
      <c r="X19" s="28">
        <v>844.2969235956732</v>
      </c>
      <c r="Y19" s="40">
        <v>884.7205525395002</v>
      </c>
      <c r="AA19" s="52"/>
    </row>
    <row r="20" spans="2:27" ht="11.25" hidden="1">
      <c r="B20" s="39" t="s">
        <v>77</v>
      </c>
      <c r="C20" s="82" t="s">
        <v>523</v>
      </c>
      <c r="D20" s="83"/>
      <c r="E20" s="50" t="s">
        <v>118</v>
      </c>
      <c r="F20" s="28">
        <v>0</v>
      </c>
      <c r="G20" s="28">
        <v>0</v>
      </c>
      <c r="H20" s="28">
        <v>287.88917970246825</v>
      </c>
      <c r="I20" s="28">
        <v>3218.2258964205757</v>
      </c>
      <c r="J20" s="28">
        <v>5342.428673229075</v>
      </c>
      <c r="K20" s="28">
        <v>7215.144678654346</v>
      </c>
      <c r="L20" s="28">
        <v>9071.638993248122</v>
      </c>
      <c r="M20" s="28">
        <v>10794.87341382655</v>
      </c>
      <c r="N20" s="28">
        <v>10578.774634135743</v>
      </c>
      <c r="O20" s="28">
        <v>11047.847667268743</v>
      </c>
      <c r="P20" s="28">
        <v>11390.185969320195</v>
      </c>
      <c r="Q20" s="28">
        <v>11761.640866705355</v>
      </c>
      <c r="R20" s="28">
        <v>12127.438895126004</v>
      </c>
      <c r="S20" s="28">
        <v>12487.764081120764</v>
      </c>
      <c r="T20" s="28">
        <v>12842.799606263849</v>
      </c>
      <c r="U20" s="28">
        <v>13192.727937487025</v>
      </c>
      <c r="V20" s="28">
        <v>13537.730959332002</v>
      </c>
      <c r="W20" s="28">
        <v>13877.990108276203</v>
      </c>
      <c r="X20" s="28">
        <v>14213.686509279087</v>
      </c>
      <c r="Y20" s="40">
        <v>14545.001114700975</v>
      </c>
      <c r="AA20" s="52"/>
    </row>
    <row r="21" spans="2:27" ht="11.25" hidden="1">
      <c r="B21" s="42" t="s">
        <v>78</v>
      </c>
      <c r="C21" s="84" t="s">
        <v>524</v>
      </c>
      <c r="D21" s="85"/>
      <c r="E21" s="72" t="s">
        <v>118</v>
      </c>
      <c r="F21" s="30">
        <v>-196.01913927373</v>
      </c>
      <c r="G21" s="30">
        <v>-6917.71068914911</v>
      </c>
      <c r="H21" s="30">
        <v>-3373.912144646655</v>
      </c>
      <c r="I21" s="30">
        <v>1500.594643277047</v>
      </c>
      <c r="J21" s="30">
        <v>4711.519024085545</v>
      </c>
      <c r="K21" s="30">
        <v>6901.81059013664</v>
      </c>
      <c r="L21" s="30">
        <v>8794.479474161048</v>
      </c>
      <c r="M21" s="30">
        <v>10517.713894739476</v>
      </c>
      <c r="N21" s="30">
        <v>10301.61511504867</v>
      </c>
      <c r="O21" s="30">
        <v>10770.688148181669</v>
      </c>
      <c r="P21" s="30">
        <v>11113.026450233121</v>
      </c>
      <c r="Q21" s="30">
        <v>11484.48134761828</v>
      </c>
      <c r="R21" s="30">
        <v>11850.27937603893</v>
      </c>
      <c r="S21" s="30">
        <v>12210.60456203369</v>
      </c>
      <c r="T21" s="30">
        <v>12565.640087176775</v>
      </c>
      <c r="U21" s="30">
        <v>12915.568418399951</v>
      </c>
      <c r="V21" s="30">
        <v>13260.571440244928</v>
      </c>
      <c r="W21" s="30">
        <v>13600.830589189129</v>
      </c>
      <c r="X21" s="30">
        <v>13936.526990192013</v>
      </c>
      <c r="Y21" s="43">
        <v>14267.841595613902</v>
      </c>
      <c r="AA21" s="52"/>
    </row>
    <row r="22" spans="2:27" ht="11.25" hidden="1">
      <c r="B22" s="96" t="s">
        <v>79</v>
      </c>
      <c r="C22" s="91" t="s">
        <v>121</v>
      </c>
      <c r="D22" s="78">
        <f>+AA16</f>
        <v>18889.12764916865</v>
      </c>
      <c r="E22" s="94"/>
      <c r="F22" s="73"/>
      <c r="G22" s="73"/>
      <c r="H22" s="73"/>
      <c r="I22" s="73"/>
      <c r="J22" s="73"/>
      <c r="K22" s="73"/>
      <c r="L22" s="73"/>
      <c r="M22" s="73"/>
      <c r="N22" s="73"/>
      <c r="O22" s="73"/>
      <c r="P22" s="73"/>
      <c r="Q22" s="73"/>
      <c r="R22" s="73"/>
      <c r="S22" s="73"/>
      <c r="T22" s="73"/>
      <c r="U22" s="73"/>
      <c r="V22" s="73"/>
      <c r="W22" s="73"/>
      <c r="X22" s="73"/>
      <c r="Y22" s="74"/>
      <c r="AA22" s="52"/>
    </row>
    <row r="23" spans="2:27" ht="11.25" hidden="1">
      <c r="B23" s="96" t="s">
        <v>122</v>
      </c>
      <c r="C23" s="92" t="s">
        <v>579</v>
      </c>
      <c r="D23" s="113">
        <f>+AA14</f>
        <v>109.78</v>
      </c>
      <c r="E23" s="95"/>
      <c r="F23" s="54"/>
      <c r="G23" s="54"/>
      <c r="H23" s="54"/>
      <c r="I23" s="54"/>
      <c r="J23" s="54"/>
      <c r="K23" s="54"/>
      <c r="L23" s="54"/>
      <c r="M23" s="54"/>
      <c r="N23" s="54"/>
      <c r="O23" s="54"/>
      <c r="P23" s="54"/>
      <c r="Q23" s="54"/>
      <c r="R23" s="54"/>
      <c r="S23" s="54"/>
      <c r="T23" s="54"/>
      <c r="U23" s="54"/>
      <c r="V23" s="54"/>
      <c r="W23" s="54"/>
      <c r="X23" s="54"/>
      <c r="Y23" s="75"/>
      <c r="AA23" s="52"/>
    </row>
    <row r="24" spans="2:27" ht="11.25" hidden="1">
      <c r="B24" s="96" t="s">
        <v>525</v>
      </c>
      <c r="C24" s="92" t="s">
        <v>57</v>
      </c>
      <c r="D24" s="79">
        <f>+IRR(F21:Y21)</f>
        <v>0.4334944238430595</v>
      </c>
      <c r="E24" s="95"/>
      <c r="F24" s="88"/>
      <c r="G24" s="54"/>
      <c r="H24" s="54"/>
      <c r="I24" s="54"/>
      <c r="J24" s="54"/>
      <c r="K24" s="54"/>
      <c r="L24" s="54"/>
      <c r="M24" s="54"/>
      <c r="N24" s="54"/>
      <c r="O24" s="54"/>
      <c r="P24" s="54"/>
      <c r="Q24" s="54"/>
      <c r="R24" s="54"/>
      <c r="S24" s="54"/>
      <c r="T24" s="54"/>
      <c r="U24" s="54"/>
      <c r="V24" s="54"/>
      <c r="W24" s="54"/>
      <c r="X24" s="54"/>
      <c r="Y24" s="75"/>
      <c r="AA24" s="52"/>
    </row>
    <row r="25" spans="2:27" ht="12" hidden="1" thickBot="1">
      <c r="B25" s="107" t="s">
        <v>580</v>
      </c>
      <c r="C25" s="102" t="s">
        <v>120</v>
      </c>
      <c r="D25" s="103">
        <f>+NPV('Assumptions and Basic Info'!$C$20,'Cost and Benefit Summary'!F21:Y21)</f>
        <v>46847.75533994372</v>
      </c>
      <c r="E25" s="108"/>
      <c r="F25" s="105"/>
      <c r="G25" s="128"/>
      <c r="H25" s="105"/>
      <c r="I25" s="105"/>
      <c r="J25" s="105"/>
      <c r="K25" s="105"/>
      <c r="L25" s="105"/>
      <c r="M25" s="105"/>
      <c r="N25" s="105"/>
      <c r="O25" s="105"/>
      <c r="P25" s="105"/>
      <c r="Q25" s="105"/>
      <c r="R25" s="105"/>
      <c r="S25" s="105"/>
      <c r="T25" s="105"/>
      <c r="U25" s="105"/>
      <c r="V25" s="105"/>
      <c r="W25" s="105"/>
      <c r="X25" s="105"/>
      <c r="Y25" s="106"/>
      <c r="AA25" s="52"/>
    </row>
    <row r="26" spans="2:31" ht="11.25" hidden="1">
      <c r="B26" s="44" t="s">
        <v>106</v>
      </c>
      <c r="C26" s="23" t="s">
        <v>129</v>
      </c>
      <c r="D26" s="23"/>
      <c r="E26" s="51"/>
      <c r="F26" s="24"/>
      <c r="G26" s="24"/>
      <c r="H26" s="24"/>
      <c r="I26" s="24"/>
      <c r="J26" s="24"/>
      <c r="K26" s="24"/>
      <c r="L26" s="24"/>
      <c r="M26" s="24"/>
      <c r="N26" s="24"/>
      <c r="O26" s="24"/>
      <c r="P26" s="24"/>
      <c r="Q26" s="24"/>
      <c r="R26" s="24"/>
      <c r="S26" s="24"/>
      <c r="T26" s="24"/>
      <c r="U26" s="24"/>
      <c r="V26" s="24"/>
      <c r="W26" s="24"/>
      <c r="X26" s="24"/>
      <c r="Y26" s="45"/>
      <c r="AA26" s="52"/>
      <c r="AD26" s="1"/>
      <c r="AE26" s="1"/>
    </row>
    <row r="27" spans="2:31" ht="11.25" hidden="1">
      <c r="B27" s="37" t="s">
        <v>107</v>
      </c>
      <c r="C27" s="80" t="s">
        <v>124</v>
      </c>
      <c r="D27" s="81"/>
      <c r="E27" s="49" t="s">
        <v>54</v>
      </c>
      <c r="F27" s="27">
        <v>13178</v>
      </c>
      <c r="G27" s="27">
        <v>13043</v>
      </c>
      <c r="H27" s="27">
        <v>12910.7</v>
      </c>
      <c r="I27" s="27">
        <v>12781.045999999998</v>
      </c>
      <c r="J27" s="27">
        <v>12653.985079999999</v>
      </c>
      <c r="K27" s="27">
        <v>12529.4653784</v>
      </c>
      <c r="L27" s="27">
        <v>12407.436070831998</v>
      </c>
      <c r="M27" s="27">
        <v>12287.847349415359</v>
      </c>
      <c r="N27" s="27">
        <v>12170.65040242705</v>
      </c>
      <c r="O27" s="27">
        <v>12055.797394378511</v>
      </c>
      <c r="P27" s="27">
        <v>11943.241446490942</v>
      </c>
      <c r="Q27" s="27">
        <v>11832.936617561121</v>
      </c>
      <c r="R27" s="27">
        <v>11724.837885209898</v>
      </c>
      <c r="S27" s="27">
        <v>11618.901127505702</v>
      </c>
      <c r="T27" s="27">
        <v>11515.083104955585</v>
      </c>
      <c r="U27" s="27">
        <v>11413.341442856476</v>
      </c>
      <c r="V27" s="27">
        <v>11313.634613999347</v>
      </c>
      <c r="W27" s="27">
        <v>11215.92192171936</v>
      </c>
      <c r="X27" s="27">
        <v>11120.16348328497</v>
      </c>
      <c r="Y27" s="38">
        <v>11026.32021361927</v>
      </c>
      <c r="AA27" s="52">
        <v>13178</v>
      </c>
      <c r="AC27" s="52"/>
      <c r="AD27" s="1"/>
      <c r="AE27" s="1"/>
    </row>
    <row r="28" spans="2:31" ht="11.25" hidden="1">
      <c r="B28" s="39" t="s">
        <v>108</v>
      </c>
      <c r="C28" s="82" t="s">
        <v>125</v>
      </c>
      <c r="D28" s="83"/>
      <c r="E28" s="50" t="s">
        <v>54</v>
      </c>
      <c r="F28" s="28">
        <v>13178</v>
      </c>
      <c r="G28" s="28">
        <v>13043</v>
      </c>
      <c r="H28" s="28">
        <v>13698.723102704427</v>
      </c>
      <c r="I28" s="28">
        <v>15978.86180173913</v>
      </c>
      <c r="J28" s="28">
        <v>16146.292702608696</v>
      </c>
      <c r="K28" s="28">
        <v>16230</v>
      </c>
      <c r="L28" s="28">
        <v>16230</v>
      </c>
      <c r="M28" s="28">
        <v>16230</v>
      </c>
      <c r="N28" s="28">
        <v>16230</v>
      </c>
      <c r="O28" s="28">
        <v>16230</v>
      </c>
      <c r="P28" s="28">
        <v>16230</v>
      </c>
      <c r="Q28" s="28">
        <v>16230</v>
      </c>
      <c r="R28" s="28">
        <v>16230</v>
      </c>
      <c r="S28" s="28">
        <v>16230</v>
      </c>
      <c r="T28" s="28">
        <v>16230</v>
      </c>
      <c r="U28" s="28">
        <v>16230</v>
      </c>
      <c r="V28" s="28">
        <v>16230</v>
      </c>
      <c r="W28" s="28">
        <v>16230</v>
      </c>
      <c r="X28" s="28">
        <v>16230</v>
      </c>
      <c r="Y28" s="40">
        <v>16230</v>
      </c>
      <c r="AA28" s="52">
        <v>16230</v>
      </c>
      <c r="AD28" s="1"/>
      <c r="AE28" s="1"/>
    </row>
    <row r="29" spans="2:31" ht="11.25" hidden="1">
      <c r="B29" s="39" t="s">
        <v>116</v>
      </c>
      <c r="C29" s="82" t="s">
        <v>81</v>
      </c>
      <c r="D29" s="83"/>
      <c r="E29" s="50" t="s">
        <v>54</v>
      </c>
      <c r="F29" s="28">
        <v>0</v>
      </c>
      <c r="G29" s="28">
        <v>0</v>
      </c>
      <c r="H29" s="28">
        <v>788.0231027044265</v>
      </c>
      <c r="I29" s="28">
        <v>3197.8158017391324</v>
      </c>
      <c r="J29" s="28">
        <v>3492.307622608698</v>
      </c>
      <c r="K29" s="28">
        <v>3700.5346216</v>
      </c>
      <c r="L29" s="28">
        <v>3822.563929168002</v>
      </c>
      <c r="M29" s="28">
        <v>3942.1526505846414</v>
      </c>
      <c r="N29" s="28">
        <v>4059.3495975729493</v>
      </c>
      <c r="O29" s="28">
        <v>4174.202605621489</v>
      </c>
      <c r="P29" s="28">
        <v>4286.758553509058</v>
      </c>
      <c r="Q29" s="28">
        <v>4397.063382438879</v>
      </c>
      <c r="R29" s="28">
        <v>4505.162114790102</v>
      </c>
      <c r="S29" s="28">
        <v>4611.098872494298</v>
      </c>
      <c r="T29" s="28">
        <v>4714.916895044415</v>
      </c>
      <c r="U29" s="28">
        <v>4816.658557143524</v>
      </c>
      <c r="V29" s="28">
        <v>4916.3653860006525</v>
      </c>
      <c r="W29" s="28">
        <v>5014.07807828064</v>
      </c>
      <c r="X29" s="28">
        <v>5109.83651671503</v>
      </c>
      <c r="Y29" s="40">
        <v>5203.67978638073</v>
      </c>
      <c r="AA29" s="52">
        <v>3052</v>
      </c>
      <c r="AB29" s="52"/>
      <c r="AD29" s="1"/>
      <c r="AE29" s="1"/>
    </row>
    <row r="30" spans="2:31" ht="11.25" hidden="1">
      <c r="B30" s="39" t="s">
        <v>109</v>
      </c>
      <c r="C30" s="82" t="s">
        <v>516</v>
      </c>
      <c r="D30" s="83"/>
      <c r="E30" s="50" t="s">
        <v>526</v>
      </c>
      <c r="F30" s="28">
        <v>0</v>
      </c>
      <c r="G30" s="28">
        <v>0</v>
      </c>
      <c r="H30" s="28">
        <v>6686.615091743122</v>
      </c>
      <c r="I30" s="28">
        <v>12526.443200000002</v>
      </c>
      <c r="J30" s="28">
        <v>13372.340928000001</v>
      </c>
      <c r="K30" s="28">
        <v>14252.074565120001</v>
      </c>
      <c r="L30" s="28">
        <v>15166.9975477248</v>
      </c>
      <c r="M30" s="28">
        <v>16118.517449633793</v>
      </c>
      <c r="N30" s="28">
        <v>17108.098147619145</v>
      </c>
      <c r="O30" s="28">
        <v>18137.26207352391</v>
      </c>
      <c r="P30" s="28">
        <v>19207.592556464868</v>
      </c>
      <c r="Q30" s="28">
        <v>20320.736258723464</v>
      </c>
      <c r="R30" s="28">
        <v>21478.4057090724</v>
      </c>
      <c r="S30" s="28">
        <v>22682.3819374353</v>
      </c>
      <c r="T30" s="28">
        <v>23934.517214932715</v>
      </c>
      <c r="U30" s="28">
        <v>25236.737903530026</v>
      </c>
      <c r="V30" s="28">
        <v>26591.04741967123</v>
      </c>
      <c r="W30" s="28">
        <v>27999.52931645808</v>
      </c>
      <c r="X30" s="28">
        <v>29464.350489116405</v>
      </c>
      <c r="Y30" s="40">
        <v>30987.76450868106</v>
      </c>
      <c r="AA30" s="52">
        <v>10179</v>
      </c>
      <c r="AB30" s="52"/>
      <c r="AD30" s="1"/>
      <c r="AE30" s="1"/>
    </row>
    <row r="31" spans="2:31" ht="11.25" hidden="1">
      <c r="B31" s="39" t="s">
        <v>110</v>
      </c>
      <c r="C31" s="82" t="s">
        <v>58</v>
      </c>
      <c r="D31" s="83"/>
      <c r="E31" s="50" t="s">
        <v>118</v>
      </c>
      <c r="F31" s="28">
        <v>0</v>
      </c>
      <c r="G31" s="28">
        <v>3405.7850592885375</v>
      </c>
      <c r="H31" s="28">
        <v>1987.8905928853756</v>
      </c>
      <c r="I31" s="28">
        <v>357.14782608695657</v>
      </c>
      <c r="J31" s="28">
        <v>178.5565217391303</v>
      </c>
      <c r="K31" s="28">
        <v>0</v>
      </c>
      <c r="L31" s="31">
        <v>0</v>
      </c>
      <c r="M31" s="31">
        <v>0</v>
      </c>
      <c r="N31" s="31">
        <v>0</v>
      </c>
      <c r="O31" s="31">
        <v>0</v>
      </c>
      <c r="P31" s="31">
        <v>0</v>
      </c>
      <c r="Q31" s="31">
        <v>0</v>
      </c>
      <c r="R31" s="31">
        <v>0</v>
      </c>
      <c r="S31" s="31">
        <v>0</v>
      </c>
      <c r="T31" s="31">
        <v>0</v>
      </c>
      <c r="U31" s="31">
        <v>0</v>
      </c>
      <c r="V31" s="31">
        <v>0</v>
      </c>
      <c r="W31" s="31">
        <v>0</v>
      </c>
      <c r="X31" s="31">
        <v>0</v>
      </c>
      <c r="Y31" s="46">
        <v>0</v>
      </c>
      <c r="AA31" s="52">
        <v>5929.38</v>
      </c>
      <c r="AD31" s="1"/>
      <c r="AE31" s="1"/>
    </row>
    <row r="32" spans="2:31" ht="11.25" hidden="1">
      <c r="B32" s="39" t="s">
        <v>527</v>
      </c>
      <c r="C32" s="82" t="s">
        <v>24</v>
      </c>
      <c r="D32" s="83"/>
      <c r="E32" s="50" t="s">
        <v>118</v>
      </c>
      <c r="F32" s="28">
        <v>0</v>
      </c>
      <c r="G32" s="28">
        <v>510.86775889328055</v>
      </c>
      <c r="H32" s="28">
        <v>298.1835889328063</v>
      </c>
      <c r="I32" s="28">
        <v>53.572173913043486</v>
      </c>
      <c r="J32" s="28">
        <v>26.783478260869543</v>
      </c>
      <c r="K32" s="28">
        <v>0</v>
      </c>
      <c r="L32" s="28">
        <v>0</v>
      </c>
      <c r="M32" s="28">
        <v>0</v>
      </c>
      <c r="N32" s="28">
        <v>0</v>
      </c>
      <c r="O32" s="28">
        <v>0</v>
      </c>
      <c r="P32" s="28">
        <v>0</v>
      </c>
      <c r="Q32" s="28">
        <v>0</v>
      </c>
      <c r="R32" s="28">
        <v>0</v>
      </c>
      <c r="S32" s="28">
        <v>0</v>
      </c>
      <c r="T32" s="28">
        <v>0</v>
      </c>
      <c r="U32" s="28">
        <v>0</v>
      </c>
      <c r="V32" s="31">
        <v>0</v>
      </c>
      <c r="W32" s="31">
        <v>0</v>
      </c>
      <c r="X32" s="31">
        <v>0</v>
      </c>
      <c r="Y32" s="46">
        <v>0</v>
      </c>
      <c r="AA32" s="54">
        <f>+AA31*'Assumptions and Basic Info'!$C$4</f>
        <v>5929.38</v>
      </c>
      <c r="AD32" s="1"/>
      <c r="AE32" s="1"/>
    </row>
    <row r="33" spans="2:31" ht="11.25" hidden="1">
      <c r="B33" s="39" t="s">
        <v>528</v>
      </c>
      <c r="C33" s="82" t="s">
        <v>83</v>
      </c>
      <c r="D33" s="83"/>
      <c r="E33" s="50" t="s">
        <v>118</v>
      </c>
      <c r="F33" s="28">
        <v>27.095471999999997</v>
      </c>
      <c r="G33" s="28">
        <v>363.97498581818184</v>
      </c>
      <c r="H33" s="28">
        <v>200.91712218181817</v>
      </c>
      <c r="I33" s="28">
        <v>36.964800000000004</v>
      </c>
      <c r="J33" s="28">
        <v>18.480599999999985</v>
      </c>
      <c r="K33" s="28">
        <v>0</v>
      </c>
      <c r="L33" s="28">
        <v>0</v>
      </c>
      <c r="M33" s="28">
        <v>0</v>
      </c>
      <c r="N33" s="28">
        <v>0</v>
      </c>
      <c r="O33" s="28">
        <v>0</v>
      </c>
      <c r="P33" s="28">
        <v>0</v>
      </c>
      <c r="Q33" s="28">
        <v>0</v>
      </c>
      <c r="R33" s="28">
        <v>0</v>
      </c>
      <c r="S33" s="28">
        <v>0</v>
      </c>
      <c r="T33" s="28">
        <v>0</v>
      </c>
      <c r="U33" s="28">
        <v>0</v>
      </c>
      <c r="V33" s="31">
        <v>0</v>
      </c>
      <c r="W33" s="31">
        <v>0</v>
      </c>
      <c r="X33" s="31">
        <v>0</v>
      </c>
      <c r="Y33" s="46">
        <v>0</v>
      </c>
      <c r="AA33" s="54">
        <v>647.4329799999999</v>
      </c>
      <c r="AD33" s="1"/>
      <c r="AE33" s="1"/>
    </row>
    <row r="34" spans="2:31" ht="11.25" hidden="1">
      <c r="B34" s="39" t="s">
        <v>529</v>
      </c>
      <c r="C34" s="82" t="s">
        <v>82</v>
      </c>
      <c r="D34" s="83"/>
      <c r="E34" s="50" t="s">
        <v>118</v>
      </c>
      <c r="F34" s="28">
        <v>0</v>
      </c>
      <c r="G34" s="28">
        <v>0.54190944</v>
      </c>
      <c r="H34" s="28">
        <v>113.68083052</v>
      </c>
      <c r="I34" s="28">
        <v>173.0106566</v>
      </c>
      <c r="J34" s="28">
        <v>181.96435259999998</v>
      </c>
      <c r="K34" s="28">
        <v>186.4407646</v>
      </c>
      <c r="L34" s="28">
        <v>186.4407646</v>
      </c>
      <c r="M34" s="28">
        <v>186.4407646</v>
      </c>
      <c r="N34" s="28">
        <v>186.4407646</v>
      </c>
      <c r="O34" s="28">
        <v>186.4407646</v>
      </c>
      <c r="P34" s="28">
        <v>186.4407646</v>
      </c>
      <c r="Q34" s="28">
        <v>186.4407646</v>
      </c>
      <c r="R34" s="28">
        <v>186.4407646</v>
      </c>
      <c r="S34" s="28">
        <v>186.4407646</v>
      </c>
      <c r="T34" s="28">
        <v>186.4407646</v>
      </c>
      <c r="U34" s="28">
        <v>186.4407646</v>
      </c>
      <c r="V34" s="28">
        <v>186.4407646</v>
      </c>
      <c r="W34" s="28">
        <v>186.4407646</v>
      </c>
      <c r="X34" s="28">
        <v>186.4407646</v>
      </c>
      <c r="Y34" s="40">
        <v>186.4407646</v>
      </c>
      <c r="AA34" s="52"/>
      <c r="AD34" s="1"/>
      <c r="AE34" s="1"/>
    </row>
    <row r="35" spans="2:31" ht="11.25" hidden="1">
      <c r="B35" s="39" t="s">
        <v>591</v>
      </c>
      <c r="C35" s="82" t="s">
        <v>578</v>
      </c>
      <c r="D35" s="83"/>
      <c r="E35" s="50" t="s">
        <v>118</v>
      </c>
      <c r="F35" s="28">
        <v>4.766666666666667</v>
      </c>
      <c r="G35" s="28">
        <v>9.533333333333333</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40">
        <v>0</v>
      </c>
      <c r="AA35" s="52">
        <v>14.3</v>
      </c>
      <c r="AD35" s="1"/>
      <c r="AE35" s="1"/>
    </row>
    <row r="36" spans="2:31" ht="11.25" hidden="1">
      <c r="B36" s="39" t="s">
        <v>693</v>
      </c>
      <c r="C36" s="82" t="s">
        <v>691</v>
      </c>
      <c r="D36" s="83"/>
      <c r="E36" s="50" t="s">
        <v>118</v>
      </c>
      <c r="F36" s="28">
        <v>0</v>
      </c>
      <c r="G36" s="28">
        <v>0</v>
      </c>
      <c r="H36" s="28">
        <v>41.85772521739131</v>
      </c>
      <c r="I36" s="28">
        <v>351.8577252173913</v>
      </c>
      <c r="J36" s="28">
        <v>41.85772521739132</v>
      </c>
      <c r="K36" s="28">
        <v>20.926824347826056</v>
      </c>
      <c r="L36" s="28">
        <v>0</v>
      </c>
      <c r="M36" s="28">
        <v>0</v>
      </c>
      <c r="N36" s="28">
        <v>0</v>
      </c>
      <c r="O36" s="28">
        <v>0</v>
      </c>
      <c r="P36" s="28">
        <v>0</v>
      </c>
      <c r="Q36" s="28">
        <v>0</v>
      </c>
      <c r="R36" s="28">
        <v>0</v>
      </c>
      <c r="S36" s="28">
        <v>0</v>
      </c>
      <c r="T36" s="28">
        <v>0</v>
      </c>
      <c r="U36" s="28">
        <v>0</v>
      </c>
      <c r="V36" s="28">
        <v>0</v>
      </c>
      <c r="W36" s="28">
        <v>0</v>
      </c>
      <c r="X36" s="28">
        <v>0</v>
      </c>
      <c r="Y36" s="40">
        <v>0</v>
      </c>
      <c r="AA36" s="52"/>
      <c r="AD36" s="1"/>
      <c r="AE36" s="1"/>
    </row>
    <row r="37" spans="2:31" ht="11.25" hidden="1">
      <c r="B37" s="39" t="s">
        <v>111</v>
      </c>
      <c r="C37" s="82" t="s">
        <v>694</v>
      </c>
      <c r="D37" s="83"/>
      <c r="E37" s="50" t="s">
        <v>118</v>
      </c>
      <c r="F37" s="28">
        <v>31.862138666666663</v>
      </c>
      <c r="G37" s="28">
        <v>4290.703046773334</v>
      </c>
      <c r="H37" s="28">
        <v>2642.5298597373917</v>
      </c>
      <c r="I37" s="28">
        <v>972.5531818173913</v>
      </c>
      <c r="J37" s="28">
        <v>447.6426778173911</v>
      </c>
      <c r="K37" s="28">
        <v>207.36758894782605</v>
      </c>
      <c r="L37" s="28">
        <v>186.4407646</v>
      </c>
      <c r="M37" s="28">
        <v>186.4407646</v>
      </c>
      <c r="N37" s="28">
        <v>186.4407646</v>
      </c>
      <c r="O37" s="28">
        <v>186.4407646</v>
      </c>
      <c r="P37" s="28">
        <v>186.4407646</v>
      </c>
      <c r="Q37" s="28">
        <v>186.4407646</v>
      </c>
      <c r="R37" s="28">
        <v>186.4407646</v>
      </c>
      <c r="S37" s="28">
        <v>186.4407646</v>
      </c>
      <c r="T37" s="28">
        <v>186.4407646</v>
      </c>
      <c r="U37" s="28">
        <v>186.4407646</v>
      </c>
      <c r="V37" s="28">
        <v>186.4407646</v>
      </c>
      <c r="W37" s="28">
        <v>186.4407646</v>
      </c>
      <c r="X37" s="28">
        <v>186.4407646</v>
      </c>
      <c r="Y37" s="40">
        <v>186.4407646</v>
      </c>
      <c r="AA37" s="52">
        <f>+AA31+AA32+AA33</f>
        <v>12506.19298</v>
      </c>
      <c r="AD37" s="1"/>
      <c r="AE37" s="1"/>
    </row>
    <row r="38" spans="2:31" ht="11.25" hidden="1">
      <c r="B38" s="39" t="s">
        <v>530</v>
      </c>
      <c r="C38" s="82" t="s">
        <v>128</v>
      </c>
      <c r="D38" s="83"/>
      <c r="E38" s="50" t="s">
        <v>118</v>
      </c>
      <c r="F38" s="28">
        <v>0</v>
      </c>
      <c r="G38" s="28">
        <v>0</v>
      </c>
      <c r="H38" s="28">
        <v>45.20843621139758</v>
      </c>
      <c r="I38" s="28">
        <v>1042.8376060096439</v>
      </c>
      <c r="J38" s="28">
        <v>1886.3560815089643</v>
      </c>
      <c r="K38" s="28">
        <v>2642.9332894279505</v>
      </c>
      <c r="L38" s="28">
        <v>3391.8247458980604</v>
      </c>
      <c r="M38" s="28">
        <v>4054.7912250413588</v>
      </c>
      <c r="N38" s="28">
        <v>3957.83120473498</v>
      </c>
      <c r="O38" s="28">
        <v>4103.781391379411</v>
      </c>
      <c r="P38" s="28">
        <v>4239.459422878336</v>
      </c>
      <c r="Q38" s="28">
        <v>4392.242740549499</v>
      </c>
      <c r="R38" s="28">
        <v>4541.970391867239</v>
      </c>
      <c r="S38" s="28">
        <v>4688.703490158624</v>
      </c>
      <c r="T38" s="28">
        <v>4832.501926484181</v>
      </c>
      <c r="U38" s="28">
        <v>4973.4243940832275</v>
      </c>
      <c r="V38" s="28">
        <v>5111.528412330293</v>
      </c>
      <c r="W38" s="28">
        <v>5246.870350212416</v>
      </c>
      <c r="X38" s="28">
        <v>5379.505449336898</v>
      </c>
      <c r="Y38" s="40">
        <v>5509.487846478889</v>
      </c>
      <c r="AA38" s="52"/>
      <c r="AD38" s="1"/>
      <c r="AE38" s="1"/>
    </row>
    <row r="39" spans="2:31" ht="11.25" hidden="1">
      <c r="B39" s="39" t="s">
        <v>531</v>
      </c>
      <c r="C39" s="82" t="s">
        <v>522</v>
      </c>
      <c r="D39" s="83"/>
      <c r="E39" s="50" t="s">
        <v>118</v>
      </c>
      <c r="F39" s="28">
        <v>0</v>
      </c>
      <c r="G39" s="28">
        <v>0</v>
      </c>
      <c r="H39" s="28">
        <v>169.8400233302753</v>
      </c>
      <c r="I39" s="28">
        <v>318.17165728000003</v>
      </c>
      <c r="J39" s="28">
        <v>339.65745957120004</v>
      </c>
      <c r="K39" s="28">
        <v>362.002693954048</v>
      </c>
      <c r="L39" s="28">
        <v>385.24173771220995</v>
      </c>
      <c r="M39" s="28">
        <v>409.4103432206983</v>
      </c>
      <c r="N39" s="28">
        <v>434.54569294952626</v>
      </c>
      <c r="O39" s="28">
        <v>460.6864566675073</v>
      </c>
      <c r="P39" s="28">
        <v>487.87285093420763</v>
      </c>
      <c r="Q39" s="28">
        <v>516.146700971576</v>
      </c>
      <c r="R39" s="28">
        <v>545.551505010439</v>
      </c>
      <c r="S39" s="28">
        <v>576.1325012108566</v>
      </c>
      <c r="T39" s="28">
        <v>607.936737259291</v>
      </c>
      <c r="U39" s="28">
        <v>641.0131427496626</v>
      </c>
      <c r="V39" s="28">
        <v>675.4126044596492</v>
      </c>
      <c r="W39" s="28">
        <v>711.1880446380352</v>
      </c>
      <c r="X39" s="28">
        <v>748.3945024235567</v>
      </c>
      <c r="Y39" s="40">
        <v>787.0892185204989</v>
      </c>
      <c r="AA39" s="52"/>
      <c r="AD39" s="1"/>
      <c r="AE39" s="1"/>
    </row>
    <row r="40" spans="2:31" ht="11.25" hidden="1">
      <c r="B40" s="39" t="s">
        <v>112</v>
      </c>
      <c r="C40" s="82" t="s">
        <v>532</v>
      </c>
      <c r="D40" s="83"/>
      <c r="E40" s="50" t="s">
        <v>118</v>
      </c>
      <c r="F40" s="28">
        <v>0</v>
      </c>
      <c r="G40" s="28">
        <v>0</v>
      </c>
      <c r="H40" s="28">
        <v>215.04845954167288</v>
      </c>
      <c r="I40" s="28">
        <v>1361.009263289644</v>
      </c>
      <c r="J40" s="28">
        <v>2226.0135410801645</v>
      </c>
      <c r="K40" s="28">
        <v>3004.9359833819985</v>
      </c>
      <c r="L40" s="28">
        <v>3777.0664836102706</v>
      </c>
      <c r="M40" s="28">
        <v>4464.201568262057</v>
      </c>
      <c r="N40" s="28">
        <v>4392.376897684506</v>
      </c>
      <c r="O40" s="28">
        <v>4564.467848046918</v>
      </c>
      <c r="P40" s="28">
        <v>4727.3322738125435</v>
      </c>
      <c r="Q40" s="28">
        <v>4908.389441521075</v>
      </c>
      <c r="R40" s="28">
        <v>5087.521896877678</v>
      </c>
      <c r="S40" s="28">
        <v>5264.83599136948</v>
      </c>
      <c r="T40" s="28">
        <v>5440.438663743473</v>
      </c>
      <c r="U40" s="28">
        <v>5614.43753683289</v>
      </c>
      <c r="V40" s="28">
        <v>5786.941016789942</v>
      </c>
      <c r="W40" s="28">
        <v>5958.058394850452</v>
      </c>
      <c r="X40" s="28">
        <v>6127.899951760454</v>
      </c>
      <c r="Y40" s="40">
        <v>6296.577064999388</v>
      </c>
      <c r="AA40" s="52"/>
      <c r="AD40" s="1"/>
      <c r="AE40" s="1"/>
    </row>
    <row r="41" spans="2:31" ht="11.25" hidden="1">
      <c r="B41" s="42" t="s">
        <v>113</v>
      </c>
      <c r="C41" s="84" t="s">
        <v>533</v>
      </c>
      <c r="D41" s="85"/>
      <c r="E41" s="50" t="s">
        <v>118</v>
      </c>
      <c r="F41" s="28">
        <v>-31.862138666666663</v>
      </c>
      <c r="G41" s="28">
        <v>-4290.703046773334</v>
      </c>
      <c r="H41" s="28">
        <v>-2427.481400195719</v>
      </c>
      <c r="I41" s="28">
        <v>388.45608147225266</v>
      </c>
      <c r="J41" s="28">
        <v>1778.3708632627734</v>
      </c>
      <c r="K41" s="28">
        <v>2797.5683944341727</v>
      </c>
      <c r="L41" s="28">
        <v>3590.6257190102706</v>
      </c>
      <c r="M41" s="28">
        <v>4277.760803662057</v>
      </c>
      <c r="N41" s="28">
        <v>4205.936133084506</v>
      </c>
      <c r="O41" s="28">
        <v>4378.027083446918</v>
      </c>
      <c r="P41" s="28">
        <v>4540.8915092125435</v>
      </c>
      <c r="Q41" s="28">
        <v>4721.948676921075</v>
      </c>
      <c r="R41" s="28">
        <v>4901.081132277678</v>
      </c>
      <c r="S41" s="28">
        <v>5078.39522676948</v>
      </c>
      <c r="T41" s="28">
        <v>5253.997899143473</v>
      </c>
      <c r="U41" s="28">
        <v>5427.99677223289</v>
      </c>
      <c r="V41" s="28">
        <v>5600.500252189942</v>
      </c>
      <c r="W41" s="28">
        <v>5771.617630250452</v>
      </c>
      <c r="X41" s="28">
        <v>5941.459187160454</v>
      </c>
      <c r="Y41" s="40">
        <v>6110.136300399388</v>
      </c>
      <c r="AA41" s="52"/>
      <c r="AD41" s="1"/>
      <c r="AE41" s="1"/>
    </row>
    <row r="42" spans="2:27" ht="11.25" hidden="1">
      <c r="B42" s="96" t="s">
        <v>114</v>
      </c>
      <c r="C42" s="91" t="s">
        <v>121</v>
      </c>
      <c r="D42" s="113">
        <f>+AA37</f>
        <v>12506.19298</v>
      </c>
      <c r="E42" s="94"/>
      <c r="F42" s="73"/>
      <c r="G42" s="73"/>
      <c r="H42" s="73"/>
      <c r="I42" s="73"/>
      <c r="J42" s="73"/>
      <c r="K42" s="73"/>
      <c r="L42" s="73"/>
      <c r="M42" s="73"/>
      <c r="N42" s="73"/>
      <c r="O42" s="73"/>
      <c r="P42" s="73"/>
      <c r="Q42" s="73"/>
      <c r="R42" s="73"/>
      <c r="S42" s="73"/>
      <c r="T42" s="73"/>
      <c r="U42" s="73"/>
      <c r="V42" s="73"/>
      <c r="W42" s="73"/>
      <c r="X42" s="73"/>
      <c r="Y42" s="74"/>
      <c r="AA42" s="52"/>
    </row>
    <row r="43" spans="2:27" ht="11.25" hidden="1">
      <c r="B43" s="96" t="s">
        <v>115</v>
      </c>
      <c r="C43" s="92" t="s">
        <v>579</v>
      </c>
      <c r="D43" s="113">
        <f>+AA35</f>
        <v>14.3</v>
      </c>
      <c r="E43" s="95"/>
      <c r="F43" s="54"/>
      <c r="G43" s="54"/>
      <c r="H43" s="54"/>
      <c r="I43" s="54"/>
      <c r="J43" s="54"/>
      <c r="K43" s="54"/>
      <c r="L43" s="54"/>
      <c r="M43" s="54"/>
      <c r="N43" s="54"/>
      <c r="O43" s="54"/>
      <c r="P43" s="54"/>
      <c r="Q43" s="54"/>
      <c r="R43" s="54"/>
      <c r="S43" s="54"/>
      <c r="T43" s="54"/>
      <c r="U43" s="54"/>
      <c r="V43" s="54"/>
      <c r="W43" s="54"/>
      <c r="X43" s="54"/>
      <c r="Y43" s="75"/>
      <c r="AA43" s="52"/>
    </row>
    <row r="44" spans="2:27" ht="11.25" hidden="1">
      <c r="B44" s="96" t="s">
        <v>534</v>
      </c>
      <c r="C44" s="92" t="s">
        <v>57</v>
      </c>
      <c r="D44" s="79">
        <f>+IRR(F41:Y41)</f>
        <v>0.323656650231195</v>
      </c>
      <c r="E44" s="95"/>
      <c r="F44" s="88"/>
      <c r="G44" s="54"/>
      <c r="H44" s="54"/>
      <c r="I44" s="54"/>
      <c r="J44" s="54"/>
      <c r="K44" s="54"/>
      <c r="L44" s="54"/>
      <c r="M44" s="54"/>
      <c r="N44" s="54"/>
      <c r="O44" s="54"/>
      <c r="P44" s="54"/>
      <c r="Q44" s="54"/>
      <c r="R44" s="54"/>
      <c r="S44" s="54"/>
      <c r="T44" s="54"/>
      <c r="U44" s="54"/>
      <c r="V44" s="54"/>
      <c r="W44" s="54"/>
      <c r="X44" s="54"/>
      <c r="Y44" s="75"/>
      <c r="AA44" s="52"/>
    </row>
    <row r="45" spans="2:27" ht="12" hidden="1" thickBot="1">
      <c r="B45" s="107" t="s">
        <v>592</v>
      </c>
      <c r="C45" s="102" t="s">
        <v>120</v>
      </c>
      <c r="D45" s="103">
        <f>+NPV('Assumptions and Basic Info'!$C$20,F41:Y41)</f>
        <v>17177.663552655566</v>
      </c>
      <c r="E45" s="108"/>
      <c r="F45" s="105"/>
      <c r="G45" s="128"/>
      <c r="H45" s="105"/>
      <c r="I45" s="105"/>
      <c r="J45" s="105"/>
      <c r="K45" s="105"/>
      <c r="L45" s="105"/>
      <c r="M45" s="105"/>
      <c r="N45" s="105"/>
      <c r="O45" s="105"/>
      <c r="P45" s="105"/>
      <c r="Q45" s="105"/>
      <c r="R45" s="105"/>
      <c r="S45" s="105"/>
      <c r="T45" s="105"/>
      <c r="U45" s="105"/>
      <c r="V45" s="105"/>
      <c r="W45" s="105"/>
      <c r="X45" s="105"/>
      <c r="Y45" s="106"/>
      <c r="AA45" s="52"/>
    </row>
    <row r="46" spans="2:31" ht="11.25" hidden="1">
      <c r="B46" s="44" t="s">
        <v>86</v>
      </c>
      <c r="C46" s="23" t="s">
        <v>131</v>
      </c>
      <c r="D46" s="23"/>
      <c r="E46" s="51"/>
      <c r="F46" s="24"/>
      <c r="G46" s="24"/>
      <c r="H46" s="24"/>
      <c r="I46" s="24"/>
      <c r="J46" s="24"/>
      <c r="K46" s="24"/>
      <c r="L46" s="24"/>
      <c r="M46" s="24"/>
      <c r="N46" s="24"/>
      <c r="O46" s="24"/>
      <c r="P46" s="24"/>
      <c r="Q46" s="24"/>
      <c r="R46" s="24"/>
      <c r="S46" s="24"/>
      <c r="T46" s="24"/>
      <c r="U46" s="24"/>
      <c r="V46" s="24"/>
      <c r="W46" s="24"/>
      <c r="X46" s="24"/>
      <c r="Y46" s="45"/>
      <c r="AA46" s="52"/>
      <c r="AD46" s="1"/>
      <c r="AE46" s="1"/>
    </row>
    <row r="47" spans="2:31" ht="11.25" hidden="1">
      <c r="B47" s="37" t="s">
        <v>87</v>
      </c>
      <c r="C47" s="80" t="s">
        <v>124</v>
      </c>
      <c r="D47" s="81"/>
      <c r="E47" s="49" t="s">
        <v>54</v>
      </c>
      <c r="F47" s="27">
        <v>23003</v>
      </c>
      <c r="G47" s="27">
        <v>22985.88</v>
      </c>
      <c r="H47" s="27">
        <v>22969.1024</v>
      </c>
      <c r="I47" s="27">
        <v>22952.660352</v>
      </c>
      <c r="J47" s="27">
        <v>22936.54714496</v>
      </c>
      <c r="K47" s="27">
        <v>22920.7562020608</v>
      </c>
      <c r="L47" s="27">
        <v>22905.281078019583</v>
      </c>
      <c r="M47" s="27">
        <v>22890.115456459193</v>
      </c>
      <c r="N47" s="27">
        <v>22875.253147330008</v>
      </c>
      <c r="O47" s="27">
        <v>22860.688084383408</v>
      </c>
      <c r="P47" s="27">
        <v>22846.41432269574</v>
      </c>
      <c r="Q47" s="27">
        <v>22832.426036241824</v>
      </c>
      <c r="R47" s="27">
        <v>22818.71751551699</v>
      </c>
      <c r="S47" s="27">
        <v>22805.28316520665</v>
      </c>
      <c r="T47" s="27">
        <v>22792.117501902518</v>
      </c>
      <c r="U47" s="27">
        <v>22779.215151864464</v>
      </c>
      <c r="V47" s="27">
        <v>22766.570848827178</v>
      </c>
      <c r="W47" s="27">
        <v>22754.179431850633</v>
      </c>
      <c r="X47" s="27">
        <v>22742.03584321362</v>
      </c>
      <c r="Y47" s="38">
        <v>22730.13512634935</v>
      </c>
      <c r="AA47" s="52">
        <v>23003</v>
      </c>
      <c r="AC47" s="52"/>
      <c r="AD47" s="1"/>
      <c r="AE47" s="1"/>
    </row>
    <row r="48" spans="2:31" ht="11.25" hidden="1">
      <c r="B48" s="39" t="s">
        <v>88</v>
      </c>
      <c r="C48" s="82" t="s">
        <v>125</v>
      </c>
      <c r="D48" s="83"/>
      <c r="E48" s="50" t="s">
        <v>54</v>
      </c>
      <c r="F48" s="28">
        <v>23003</v>
      </c>
      <c r="G48" s="28">
        <v>22985.88</v>
      </c>
      <c r="H48" s="28">
        <v>23107.537191547814</v>
      </c>
      <c r="I48" s="28">
        <v>23955.777075860762</v>
      </c>
      <c r="J48" s="28">
        <v>24396.119360173703</v>
      </c>
      <c r="K48" s="28">
        <v>24531</v>
      </c>
      <c r="L48" s="28">
        <v>24531</v>
      </c>
      <c r="M48" s="28">
        <v>24531</v>
      </c>
      <c r="N48" s="28">
        <v>24531</v>
      </c>
      <c r="O48" s="28">
        <v>24531</v>
      </c>
      <c r="P48" s="28">
        <v>24531</v>
      </c>
      <c r="Q48" s="28">
        <v>24531</v>
      </c>
      <c r="R48" s="28">
        <v>24531</v>
      </c>
      <c r="S48" s="28">
        <v>24531</v>
      </c>
      <c r="T48" s="28">
        <v>24531</v>
      </c>
      <c r="U48" s="28">
        <v>24531</v>
      </c>
      <c r="V48" s="28">
        <v>24531</v>
      </c>
      <c r="W48" s="28">
        <v>24531</v>
      </c>
      <c r="X48" s="28">
        <v>24531</v>
      </c>
      <c r="Y48" s="40">
        <v>24531</v>
      </c>
      <c r="AA48" s="52">
        <v>24531</v>
      </c>
      <c r="AD48" s="1"/>
      <c r="AE48" s="1"/>
    </row>
    <row r="49" spans="2:31" ht="11.25" hidden="1">
      <c r="B49" s="39" t="s">
        <v>89</v>
      </c>
      <c r="C49" s="82" t="s">
        <v>81</v>
      </c>
      <c r="D49" s="83"/>
      <c r="E49" s="50" t="s">
        <v>54</v>
      </c>
      <c r="F49" s="28">
        <v>0</v>
      </c>
      <c r="G49" s="28">
        <v>0</v>
      </c>
      <c r="H49" s="28">
        <v>138.4347915478138</v>
      </c>
      <c r="I49" s="28">
        <v>1003.1167238607632</v>
      </c>
      <c r="J49" s="28">
        <v>1459.5722152137023</v>
      </c>
      <c r="K49" s="28">
        <v>1610.2437979392016</v>
      </c>
      <c r="L49" s="28">
        <v>1625.7189219804168</v>
      </c>
      <c r="M49" s="28">
        <v>1640.8845435408075</v>
      </c>
      <c r="N49" s="28">
        <v>1655.7468526699922</v>
      </c>
      <c r="O49" s="28">
        <v>1670.3119156165922</v>
      </c>
      <c r="P49" s="28">
        <v>1684.5856773042615</v>
      </c>
      <c r="Q49" s="28">
        <v>1698.5739637581755</v>
      </c>
      <c r="R49" s="28">
        <v>1712.2824844830102</v>
      </c>
      <c r="S49" s="28">
        <v>1725.7168347933512</v>
      </c>
      <c r="T49" s="28">
        <v>1738.8824980974823</v>
      </c>
      <c r="U49" s="28">
        <v>1751.7848481355359</v>
      </c>
      <c r="V49" s="28">
        <v>1764.4291511728225</v>
      </c>
      <c r="W49" s="28">
        <v>1776.8205681493673</v>
      </c>
      <c r="X49" s="28">
        <v>1788.96415678638</v>
      </c>
      <c r="Y49" s="40">
        <v>1800.8648736506511</v>
      </c>
      <c r="AA49" s="52">
        <v>1528</v>
      </c>
      <c r="AB49" s="52"/>
      <c r="AD49" s="1"/>
      <c r="AE49" s="1"/>
    </row>
    <row r="50" spans="2:31" ht="11.25" hidden="1">
      <c r="B50" s="39" t="s">
        <v>90</v>
      </c>
      <c r="C50" s="82" t="s">
        <v>516</v>
      </c>
      <c r="D50" s="83"/>
      <c r="E50" s="50" t="s">
        <v>526</v>
      </c>
      <c r="F50" s="28">
        <v>0</v>
      </c>
      <c r="G50" s="28">
        <v>0</v>
      </c>
      <c r="H50" s="28">
        <v>4577.256529474311</v>
      </c>
      <c r="I50" s="28">
        <v>17979.273421874874</v>
      </c>
      <c r="J50" s="28">
        <v>31383.747163965156</v>
      </c>
      <c r="K50" s="28">
        <v>36198.43594035202</v>
      </c>
      <c r="L50" s="28">
        <v>38192.77337796611</v>
      </c>
      <c r="M50" s="28">
        <v>40266.88431308475</v>
      </c>
      <c r="N50" s="28">
        <v>42423.95968560815</v>
      </c>
      <c r="O50" s="28">
        <v>44667.31807303247</v>
      </c>
      <c r="P50" s="28">
        <v>47000.410795953765</v>
      </c>
      <c r="Q50" s="28">
        <v>49426.82722779192</v>
      </c>
      <c r="R50" s="28">
        <v>51950.300316903595</v>
      </c>
      <c r="S50" s="28">
        <v>54574.712329579736</v>
      </c>
      <c r="T50" s="28">
        <v>57304.10082276292</v>
      </c>
      <c r="U50" s="28">
        <v>60142.66485567344</v>
      </c>
      <c r="V50" s="28">
        <v>63094.77144990038</v>
      </c>
      <c r="W50" s="28">
        <v>66164.96230789639</v>
      </c>
      <c r="X50" s="28">
        <v>69357.96080021225</v>
      </c>
      <c r="Y50" s="40">
        <v>72678.67923222075</v>
      </c>
      <c r="AA50" s="52">
        <v>27320</v>
      </c>
      <c r="AB50" s="52"/>
      <c r="AD50" s="1"/>
      <c r="AE50" s="1"/>
    </row>
    <row r="51" spans="2:31" ht="11.25" hidden="1">
      <c r="B51" s="39" t="s">
        <v>105</v>
      </c>
      <c r="C51" s="82" t="s">
        <v>58</v>
      </c>
      <c r="D51" s="83"/>
      <c r="E51" s="50" t="s">
        <v>118</v>
      </c>
      <c r="F51" s="28">
        <v>0</v>
      </c>
      <c r="G51" s="28">
        <v>1085.7020553359685</v>
      </c>
      <c r="H51" s="28">
        <v>2466.403162055336</v>
      </c>
      <c r="I51" s="28">
        <v>2034.7826086956522</v>
      </c>
      <c r="J51" s="28">
        <v>655.640251413043</v>
      </c>
      <c r="K51" s="28">
        <v>0</v>
      </c>
      <c r="L51" s="31">
        <v>0</v>
      </c>
      <c r="M51" s="31">
        <v>0</v>
      </c>
      <c r="N51" s="31">
        <v>0</v>
      </c>
      <c r="O51" s="31">
        <v>0</v>
      </c>
      <c r="P51" s="31">
        <v>0</v>
      </c>
      <c r="Q51" s="31">
        <v>0</v>
      </c>
      <c r="R51" s="31">
        <v>0</v>
      </c>
      <c r="S51" s="31">
        <v>0</v>
      </c>
      <c r="T51" s="31">
        <v>0</v>
      </c>
      <c r="U51" s="31">
        <v>0</v>
      </c>
      <c r="V51" s="31">
        <v>0</v>
      </c>
      <c r="W51" s="31">
        <v>0</v>
      </c>
      <c r="X51" s="31">
        <v>0</v>
      </c>
      <c r="Y51" s="46">
        <v>0</v>
      </c>
      <c r="AA51" s="52">
        <v>6242.5280775</v>
      </c>
      <c r="AD51" s="1"/>
      <c r="AE51" s="1"/>
    </row>
    <row r="52" spans="2:31" ht="11.25" hidden="1">
      <c r="B52" s="39" t="s">
        <v>535</v>
      </c>
      <c r="C52" s="82" t="s">
        <v>24</v>
      </c>
      <c r="D52" s="83"/>
      <c r="E52" s="50" t="s">
        <v>118</v>
      </c>
      <c r="F52" s="28">
        <v>0</v>
      </c>
      <c r="G52" s="28">
        <v>162.85530830039528</v>
      </c>
      <c r="H52" s="28">
        <v>369.9604743083004</v>
      </c>
      <c r="I52" s="28">
        <v>305.2173913043478</v>
      </c>
      <c r="J52" s="28">
        <v>98.34603771195644</v>
      </c>
      <c r="K52" s="28">
        <v>0</v>
      </c>
      <c r="L52" s="28">
        <v>0</v>
      </c>
      <c r="M52" s="28">
        <v>0</v>
      </c>
      <c r="N52" s="28">
        <v>0</v>
      </c>
      <c r="O52" s="28">
        <v>0</v>
      </c>
      <c r="P52" s="28">
        <v>0</v>
      </c>
      <c r="Q52" s="28">
        <v>0</v>
      </c>
      <c r="R52" s="28">
        <v>0</v>
      </c>
      <c r="S52" s="28">
        <v>0</v>
      </c>
      <c r="T52" s="28">
        <v>0</v>
      </c>
      <c r="U52" s="28">
        <v>0</v>
      </c>
      <c r="V52" s="31">
        <v>0</v>
      </c>
      <c r="W52" s="31">
        <v>0</v>
      </c>
      <c r="X52" s="31">
        <v>0</v>
      </c>
      <c r="Y52" s="46">
        <v>0</v>
      </c>
      <c r="AA52" s="54">
        <f>+AA51*'Assumptions and Basic Info'!$C$4</f>
        <v>6242.5280775</v>
      </c>
      <c r="AD52" s="1"/>
      <c r="AE52" s="1"/>
    </row>
    <row r="53" spans="2:31" ht="11.25" hidden="1">
      <c r="B53" s="39" t="s">
        <v>536</v>
      </c>
      <c r="C53" s="82" t="s">
        <v>83</v>
      </c>
      <c r="D53" s="83"/>
      <c r="E53" s="50" t="s">
        <v>118</v>
      </c>
      <c r="F53" s="28">
        <v>52.17735770999999</v>
      </c>
      <c r="G53" s="28">
        <v>114.77273636363637</v>
      </c>
      <c r="H53" s="28">
        <v>237.88036363636363</v>
      </c>
      <c r="I53" s="28">
        <v>188.244</v>
      </c>
      <c r="J53" s="28">
        <v>62.25640831124994</v>
      </c>
      <c r="K53" s="28">
        <v>0</v>
      </c>
      <c r="L53" s="28">
        <v>0</v>
      </c>
      <c r="M53" s="28">
        <v>0</v>
      </c>
      <c r="N53" s="28">
        <v>0</v>
      </c>
      <c r="O53" s="28">
        <v>0</v>
      </c>
      <c r="P53" s="28">
        <v>0</v>
      </c>
      <c r="Q53" s="28">
        <v>0</v>
      </c>
      <c r="R53" s="28">
        <v>0</v>
      </c>
      <c r="S53" s="28">
        <v>0</v>
      </c>
      <c r="T53" s="28">
        <v>0</v>
      </c>
      <c r="U53" s="28">
        <v>0</v>
      </c>
      <c r="V53" s="31">
        <v>0</v>
      </c>
      <c r="W53" s="31">
        <v>0</v>
      </c>
      <c r="X53" s="31">
        <v>0</v>
      </c>
      <c r="Y53" s="46">
        <v>0</v>
      </c>
      <c r="AA53" s="54">
        <v>655.3308660212499</v>
      </c>
      <c r="AD53" s="1"/>
      <c r="AE53" s="1"/>
    </row>
    <row r="54" spans="2:31" ht="11.25" hidden="1">
      <c r="B54" s="39" t="s">
        <v>537</v>
      </c>
      <c r="C54" s="82" t="s">
        <v>82</v>
      </c>
      <c r="D54" s="83"/>
      <c r="E54" s="50" t="s">
        <v>118</v>
      </c>
      <c r="F54" s="28">
        <v>0</v>
      </c>
      <c r="G54" s="28">
        <v>1.0435471541999999</v>
      </c>
      <c r="H54" s="28">
        <v>33.00228015420001</v>
      </c>
      <c r="I54" s="28">
        <v>99.94716015419999</v>
      </c>
      <c r="J54" s="28">
        <v>150.5120401542</v>
      </c>
      <c r="K54" s="28">
        <v>166.836894102925</v>
      </c>
      <c r="L54" s="28">
        <v>166.836894102925</v>
      </c>
      <c r="M54" s="28">
        <v>166.836894102925</v>
      </c>
      <c r="N54" s="28">
        <v>166.836894102925</v>
      </c>
      <c r="O54" s="28">
        <v>166.836894102925</v>
      </c>
      <c r="P54" s="28">
        <v>166.836894102925</v>
      </c>
      <c r="Q54" s="28">
        <v>166.836894102925</v>
      </c>
      <c r="R54" s="28">
        <v>166.836894102925</v>
      </c>
      <c r="S54" s="28">
        <v>166.836894102925</v>
      </c>
      <c r="T54" s="28">
        <v>166.836894102925</v>
      </c>
      <c r="U54" s="28">
        <v>166.836894102925</v>
      </c>
      <c r="V54" s="28">
        <v>166.836894102925</v>
      </c>
      <c r="W54" s="28">
        <v>166.836894102925</v>
      </c>
      <c r="X54" s="28">
        <v>166.836894102925</v>
      </c>
      <c r="Y54" s="40">
        <v>166.836894102925</v>
      </c>
      <c r="AA54" s="52"/>
      <c r="AD54" s="1"/>
      <c r="AE54" s="1"/>
    </row>
    <row r="55" spans="2:31" ht="11.25" hidden="1">
      <c r="B55" s="39" t="s">
        <v>593</v>
      </c>
      <c r="C55" s="82" t="s">
        <v>578</v>
      </c>
      <c r="D55" s="83"/>
      <c r="E55" s="50" t="s">
        <v>118</v>
      </c>
      <c r="F55" s="28">
        <v>4.766666666666667</v>
      </c>
      <c r="G55" s="28">
        <v>9.533333333333333</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40">
        <v>0</v>
      </c>
      <c r="AA55" s="52">
        <v>14.3</v>
      </c>
      <c r="AD55" s="1"/>
      <c r="AE55" s="1"/>
    </row>
    <row r="56" spans="2:31" ht="11.25" hidden="1">
      <c r="B56" s="39" t="s">
        <v>695</v>
      </c>
      <c r="C56" s="82" t="s">
        <v>691</v>
      </c>
      <c r="D56" s="83"/>
      <c r="E56" s="50" t="s">
        <v>118</v>
      </c>
      <c r="F56" s="28">
        <v>0</v>
      </c>
      <c r="G56" s="28">
        <v>0</v>
      </c>
      <c r="H56" s="28">
        <v>25.031400824526603</v>
      </c>
      <c r="I56" s="28">
        <v>118.5314008245266</v>
      </c>
      <c r="J56" s="28">
        <v>25.031400824526607</v>
      </c>
      <c r="K56" s="28">
        <v>12.405797526420187</v>
      </c>
      <c r="L56" s="28">
        <v>0</v>
      </c>
      <c r="M56" s="28">
        <v>0</v>
      </c>
      <c r="N56" s="28">
        <v>0</v>
      </c>
      <c r="O56" s="28">
        <v>0</v>
      </c>
      <c r="P56" s="28">
        <v>0</v>
      </c>
      <c r="Q56" s="28">
        <v>0</v>
      </c>
      <c r="R56" s="28">
        <v>0</v>
      </c>
      <c r="S56" s="28">
        <v>0</v>
      </c>
      <c r="T56" s="28">
        <v>0</v>
      </c>
      <c r="U56" s="28">
        <v>0</v>
      </c>
      <c r="V56" s="28">
        <v>0</v>
      </c>
      <c r="W56" s="28">
        <v>0</v>
      </c>
      <c r="X56" s="28">
        <v>0</v>
      </c>
      <c r="Y56" s="40">
        <v>0</v>
      </c>
      <c r="AA56" s="52"/>
      <c r="AD56" s="1"/>
      <c r="AE56" s="1"/>
    </row>
    <row r="57" spans="2:31" ht="11.25" hidden="1">
      <c r="B57" s="39" t="s">
        <v>91</v>
      </c>
      <c r="C57" s="82" t="s">
        <v>696</v>
      </c>
      <c r="D57" s="83"/>
      <c r="E57" s="50" t="s">
        <v>118</v>
      </c>
      <c r="F57" s="28">
        <v>56.944024376666654</v>
      </c>
      <c r="G57" s="28">
        <v>1373.9069804875335</v>
      </c>
      <c r="H57" s="28">
        <v>3132.277680978727</v>
      </c>
      <c r="I57" s="28">
        <v>2746.7225609787265</v>
      </c>
      <c r="J57" s="28">
        <v>991.786138414976</v>
      </c>
      <c r="K57" s="28">
        <v>179.2426916293452</v>
      </c>
      <c r="L57" s="28">
        <v>166.836894102925</v>
      </c>
      <c r="M57" s="28">
        <v>166.836894102925</v>
      </c>
      <c r="N57" s="28">
        <v>166.836894102925</v>
      </c>
      <c r="O57" s="28">
        <v>166.836894102925</v>
      </c>
      <c r="P57" s="28">
        <v>166.836894102925</v>
      </c>
      <c r="Q57" s="28">
        <v>166.836894102925</v>
      </c>
      <c r="R57" s="28">
        <v>166.836894102925</v>
      </c>
      <c r="S57" s="28">
        <v>166.836894102925</v>
      </c>
      <c r="T57" s="28">
        <v>166.836894102925</v>
      </c>
      <c r="U57" s="28">
        <v>166.836894102925</v>
      </c>
      <c r="V57" s="28">
        <v>166.836894102925</v>
      </c>
      <c r="W57" s="28">
        <v>166.836894102925</v>
      </c>
      <c r="X57" s="28">
        <v>166.836894102925</v>
      </c>
      <c r="Y57" s="40">
        <v>166.836894102925</v>
      </c>
      <c r="AA57" s="52">
        <f>+AA51+AA52+AA53</f>
        <v>13140.38702102125</v>
      </c>
      <c r="AD57" s="1"/>
      <c r="AE57" s="1"/>
    </row>
    <row r="58" spans="2:31" ht="11.25" hidden="1">
      <c r="B58" s="39" t="s">
        <v>538</v>
      </c>
      <c r="C58" s="82" t="s">
        <v>128</v>
      </c>
      <c r="D58" s="83"/>
      <c r="E58" s="50" t="s">
        <v>118</v>
      </c>
      <c r="F58" s="28">
        <v>0</v>
      </c>
      <c r="G58" s="28">
        <v>0</v>
      </c>
      <c r="H58" s="28">
        <v>27.035164514562744</v>
      </c>
      <c r="I58" s="28">
        <v>265.31604177687734</v>
      </c>
      <c r="J58" s="28">
        <v>538.0277241207295</v>
      </c>
      <c r="K58" s="28">
        <v>793.7868791130103</v>
      </c>
      <c r="L58" s="28">
        <v>1047.2220036285314</v>
      </c>
      <c r="M58" s="28">
        <v>1245.5527924359528</v>
      </c>
      <c r="N58" s="28">
        <v>1199.7395259425978</v>
      </c>
      <c r="O58" s="28">
        <v>1211.9181561877924</v>
      </c>
      <c r="P58" s="28">
        <v>1219.700012932823</v>
      </c>
      <c r="Q58" s="28">
        <v>1239.0752010700846</v>
      </c>
      <c r="R58" s="28">
        <v>1258.0628854446009</v>
      </c>
      <c r="S58" s="28">
        <v>1276.670816131627</v>
      </c>
      <c r="T58" s="28">
        <v>1294.9065882049124</v>
      </c>
      <c r="U58" s="28">
        <v>1312.7776448367322</v>
      </c>
      <c r="V58" s="28">
        <v>1330.2912803359156</v>
      </c>
      <c r="W58" s="28">
        <v>1347.4546431251151</v>
      </c>
      <c r="X58" s="28">
        <v>1364.2747386585309</v>
      </c>
      <c r="Y58" s="40">
        <v>1380.7584322812784</v>
      </c>
      <c r="AA58" s="52"/>
      <c r="AD58" s="1"/>
      <c r="AE58" s="1"/>
    </row>
    <row r="59" spans="2:31" ht="11.25" hidden="1">
      <c r="B59" s="39" t="s">
        <v>539</v>
      </c>
      <c r="C59" s="82" t="s">
        <v>522</v>
      </c>
      <c r="D59" s="83"/>
      <c r="E59" s="50" t="s">
        <v>118</v>
      </c>
      <c r="F59" s="28">
        <v>0</v>
      </c>
      <c r="G59" s="28">
        <v>0</v>
      </c>
      <c r="H59" s="28">
        <v>116.26231584864749</v>
      </c>
      <c r="I59" s="28">
        <v>456.67354491562173</v>
      </c>
      <c r="J59" s="28">
        <v>797.147177964715</v>
      </c>
      <c r="K59" s="28">
        <v>919.4402728849414</v>
      </c>
      <c r="L59" s="28">
        <v>970.096443800339</v>
      </c>
      <c r="M59" s="28">
        <v>1022.7788615523526</v>
      </c>
      <c r="N59" s="28">
        <v>1077.5685760144468</v>
      </c>
      <c r="O59" s="28">
        <v>1134.5498790550246</v>
      </c>
      <c r="P59" s="28">
        <v>1193.8104342172255</v>
      </c>
      <c r="Q59" s="28">
        <v>1255.4414115859147</v>
      </c>
      <c r="R59" s="28">
        <v>1319.5376280493513</v>
      </c>
      <c r="S59" s="28">
        <v>1386.1976931713252</v>
      </c>
      <c r="T59" s="28">
        <v>1455.524160898178</v>
      </c>
      <c r="U59" s="28">
        <v>1527.6236873341054</v>
      </c>
      <c r="V59" s="28">
        <v>1602.6071948274696</v>
      </c>
      <c r="W59" s="28">
        <v>1680.5900426205683</v>
      </c>
      <c r="X59" s="28">
        <v>1761.6922043253912</v>
      </c>
      <c r="Y59" s="40">
        <v>1846.038452498407</v>
      </c>
      <c r="AA59" s="52"/>
      <c r="AD59" s="1"/>
      <c r="AE59" s="1"/>
    </row>
    <row r="60" spans="2:31" ht="11.25" hidden="1">
      <c r="B60" s="39" t="s">
        <v>92</v>
      </c>
      <c r="C60" s="82" t="s">
        <v>540</v>
      </c>
      <c r="D60" s="83"/>
      <c r="E60" s="50" t="s">
        <v>118</v>
      </c>
      <c r="F60" s="28">
        <v>0</v>
      </c>
      <c r="G60" s="28">
        <v>0</v>
      </c>
      <c r="H60" s="28">
        <v>143.29748036321024</v>
      </c>
      <c r="I60" s="28">
        <v>721.9895866924991</v>
      </c>
      <c r="J60" s="28">
        <v>1335.1749020854445</v>
      </c>
      <c r="K60" s="28">
        <v>1713.2271519979518</v>
      </c>
      <c r="L60" s="28">
        <v>2017.3184474288705</v>
      </c>
      <c r="M60" s="28">
        <v>2268.3316539883053</v>
      </c>
      <c r="N60" s="28">
        <v>2277.3081019570445</v>
      </c>
      <c r="O60" s="28">
        <v>2346.4680352428168</v>
      </c>
      <c r="P60" s="28">
        <v>2413.5104471500485</v>
      </c>
      <c r="Q60" s="28">
        <v>2494.5166126559993</v>
      </c>
      <c r="R60" s="28">
        <v>2577.6005134939523</v>
      </c>
      <c r="S60" s="28">
        <v>2662.868509302952</v>
      </c>
      <c r="T60" s="28">
        <v>2750.4307491030904</v>
      </c>
      <c r="U60" s="28">
        <v>2840.4013321708376</v>
      </c>
      <c r="V60" s="28">
        <v>2932.8984751633852</v>
      </c>
      <c r="W60" s="28">
        <v>3028.0446857456836</v>
      </c>
      <c r="X60" s="28">
        <v>3125.9669429839223</v>
      </c>
      <c r="Y60" s="40">
        <v>3226.7968847796856</v>
      </c>
      <c r="AA60" s="52"/>
      <c r="AD60" s="1"/>
      <c r="AE60" s="1"/>
    </row>
    <row r="61" spans="2:31" ht="11.25" hidden="1">
      <c r="B61" s="42" t="s">
        <v>93</v>
      </c>
      <c r="C61" s="84" t="s">
        <v>541</v>
      </c>
      <c r="D61" s="85"/>
      <c r="E61" s="50" t="s">
        <v>118</v>
      </c>
      <c r="F61" s="28">
        <v>-56.944024376666654</v>
      </c>
      <c r="G61" s="28">
        <v>-1373.9069804875335</v>
      </c>
      <c r="H61" s="28">
        <v>-2988.980200615517</v>
      </c>
      <c r="I61" s="28">
        <v>-2024.7329742862275</v>
      </c>
      <c r="J61" s="28">
        <v>343.3887636704685</v>
      </c>
      <c r="K61" s="28">
        <v>1533.9844603686065</v>
      </c>
      <c r="L61" s="28">
        <v>1850.4815533259455</v>
      </c>
      <c r="M61" s="28">
        <v>2101.4947598853805</v>
      </c>
      <c r="N61" s="28">
        <v>2110.4712078541197</v>
      </c>
      <c r="O61" s="28">
        <v>2179.631141139892</v>
      </c>
      <c r="P61" s="28">
        <v>2246.6735530471237</v>
      </c>
      <c r="Q61" s="28">
        <v>2327.6797185530745</v>
      </c>
      <c r="R61" s="28">
        <v>2410.7636193910275</v>
      </c>
      <c r="S61" s="28">
        <v>2496.0316152000273</v>
      </c>
      <c r="T61" s="28">
        <v>2583.5938550001656</v>
      </c>
      <c r="U61" s="28">
        <v>2673.5644380679128</v>
      </c>
      <c r="V61" s="28">
        <v>2766.0615810604604</v>
      </c>
      <c r="W61" s="28">
        <v>2861.207791642759</v>
      </c>
      <c r="X61" s="28">
        <v>2959.1300488809975</v>
      </c>
      <c r="Y61" s="40">
        <v>3059.9599906767608</v>
      </c>
      <c r="AA61" s="52"/>
      <c r="AD61" s="1"/>
      <c r="AE61" s="1"/>
    </row>
    <row r="62" spans="2:27" ht="11.25" hidden="1">
      <c r="B62" s="96" t="s">
        <v>94</v>
      </c>
      <c r="C62" s="91" t="s">
        <v>121</v>
      </c>
      <c r="D62" s="113">
        <f>+AA57</f>
        <v>13140.38702102125</v>
      </c>
      <c r="E62" s="94"/>
      <c r="F62" s="73"/>
      <c r="G62" s="73"/>
      <c r="H62" s="73"/>
      <c r="I62" s="73"/>
      <c r="J62" s="73"/>
      <c r="K62" s="73"/>
      <c r="L62" s="73"/>
      <c r="M62" s="73"/>
      <c r="N62" s="73"/>
      <c r="O62" s="73"/>
      <c r="P62" s="73"/>
      <c r="Q62" s="73"/>
      <c r="R62" s="73"/>
      <c r="S62" s="73"/>
      <c r="T62" s="73"/>
      <c r="U62" s="73"/>
      <c r="V62" s="73"/>
      <c r="W62" s="73"/>
      <c r="X62" s="73"/>
      <c r="Y62" s="74"/>
      <c r="AA62" s="52"/>
    </row>
    <row r="63" spans="2:27" ht="11.25" hidden="1">
      <c r="B63" s="96" t="s">
        <v>95</v>
      </c>
      <c r="C63" s="92" t="s">
        <v>579</v>
      </c>
      <c r="D63" s="113">
        <f>+AA55</f>
        <v>14.3</v>
      </c>
      <c r="E63" s="95"/>
      <c r="F63" s="54"/>
      <c r="G63" s="54"/>
      <c r="H63" s="54"/>
      <c r="I63" s="54"/>
      <c r="J63" s="54"/>
      <c r="K63" s="54"/>
      <c r="L63" s="54"/>
      <c r="M63" s="54"/>
      <c r="N63" s="54"/>
      <c r="O63" s="54"/>
      <c r="P63" s="54"/>
      <c r="Q63" s="54"/>
      <c r="R63" s="54"/>
      <c r="S63" s="54"/>
      <c r="T63" s="54"/>
      <c r="U63" s="54"/>
      <c r="V63" s="54"/>
      <c r="W63" s="54"/>
      <c r="X63" s="54"/>
      <c r="Y63" s="75"/>
      <c r="AA63" s="52"/>
    </row>
    <row r="64" spans="2:27" ht="11.25" hidden="1">
      <c r="B64" s="96" t="s">
        <v>542</v>
      </c>
      <c r="C64" s="92" t="s">
        <v>57</v>
      </c>
      <c r="D64" s="79">
        <f>+IRR(F61:Y61)</f>
        <v>0.21732498611021442</v>
      </c>
      <c r="E64" s="95"/>
      <c r="F64" s="88"/>
      <c r="G64" s="54"/>
      <c r="H64" s="54"/>
      <c r="I64" s="54"/>
      <c r="J64" s="54"/>
      <c r="K64" s="54"/>
      <c r="L64" s="54"/>
      <c r="M64" s="54"/>
      <c r="N64" s="54"/>
      <c r="O64" s="54"/>
      <c r="P64" s="54"/>
      <c r="Q64" s="54"/>
      <c r="R64" s="54"/>
      <c r="S64" s="54"/>
      <c r="T64" s="54"/>
      <c r="U64" s="54"/>
      <c r="V64" s="54"/>
      <c r="W64" s="54"/>
      <c r="X64" s="54"/>
      <c r="Y64" s="75"/>
      <c r="AA64" s="52"/>
    </row>
    <row r="65" spans="2:27" ht="12" hidden="1" thickBot="1">
      <c r="B65" s="107" t="s">
        <v>594</v>
      </c>
      <c r="C65" s="102" t="s">
        <v>120</v>
      </c>
      <c r="D65" s="103">
        <f>+NPV('Assumptions and Basic Info'!$C$20,F61:Y61)</f>
        <v>6014.2370924594015</v>
      </c>
      <c r="E65" s="108"/>
      <c r="F65" s="105"/>
      <c r="G65" s="127"/>
      <c r="H65" s="105"/>
      <c r="I65" s="105"/>
      <c r="J65" s="105"/>
      <c r="K65" s="105"/>
      <c r="L65" s="105"/>
      <c r="M65" s="105"/>
      <c r="N65" s="105"/>
      <c r="O65" s="105"/>
      <c r="P65" s="105"/>
      <c r="Q65" s="105"/>
      <c r="R65" s="105"/>
      <c r="S65" s="105"/>
      <c r="T65" s="105"/>
      <c r="U65" s="105"/>
      <c r="V65" s="105"/>
      <c r="W65" s="105"/>
      <c r="X65" s="105"/>
      <c r="Y65" s="106"/>
      <c r="AA65" s="52"/>
    </row>
    <row r="66" spans="2:27" ht="11.25" hidden="1">
      <c r="B66" s="35" t="s">
        <v>132</v>
      </c>
      <c r="C66" s="25" t="s">
        <v>147</v>
      </c>
      <c r="D66" s="25"/>
      <c r="E66" s="48"/>
      <c r="F66" s="26"/>
      <c r="G66" s="26"/>
      <c r="H66" s="26"/>
      <c r="I66" s="26"/>
      <c r="J66" s="26"/>
      <c r="K66" s="26"/>
      <c r="L66" s="26"/>
      <c r="M66" s="26"/>
      <c r="N66" s="26"/>
      <c r="O66" s="26"/>
      <c r="P66" s="26"/>
      <c r="Q66" s="26"/>
      <c r="R66" s="26"/>
      <c r="S66" s="26"/>
      <c r="T66" s="26"/>
      <c r="U66" s="26"/>
      <c r="V66" s="26"/>
      <c r="W66" s="26"/>
      <c r="X66" s="26"/>
      <c r="Y66" s="36"/>
      <c r="AA66" s="52"/>
    </row>
    <row r="67" spans="2:29" ht="11.25" hidden="1">
      <c r="B67" s="37" t="s">
        <v>471</v>
      </c>
      <c r="C67" s="80" t="s">
        <v>124</v>
      </c>
      <c r="D67" s="81"/>
      <c r="E67" s="49" t="s">
        <v>54</v>
      </c>
      <c r="F67" s="27">
        <v>13056</v>
      </c>
      <c r="G67" s="27">
        <v>12826.88</v>
      </c>
      <c r="H67" s="27">
        <v>12598.3424</v>
      </c>
      <c r="I67" s="27">
        <v>12370.375552</v>
      </c>
      <c r="J67" s="27">
        <v>12142.96804096</v>
      </c>
      <c r="K67" s="27">
        <v>11916.1086801408</v>
      </c>
      <c r="L67" s="27">
        <v>11689.786506537985</v>
      </c>
      <c r="M67" s="27">
        <v>11463.990776407223</v>
      </c>
      <c r="N67" s="27">
        <v>11238.71096087908</v>
      </c>
      <c r="O67" s="27">
        <v>11013.936741661499</v>
      </c>
      <c r="P67" s="27">
        <v>10989.658006828267</v>
      </c>
      <c r="Q67" s="27">
        <v>10965.864846691702</v>
      </c>
      <c r="R67" s="27">
        <v>10942.547549757868</v>
      </c>
      <c r="S67" s="27">
        <v>10919.696598762712</v>
      </c>
      <c r="T67" s="27">
        <v>10897.302666787456</v>
      </c>
      <c r="U67" s="27">
        <v>10875.356613451708</v>
      </c>
      <c r="V67" s="27">
        <v>10853.849481182673</v>
      </c>
      <c r="W67" s="27">
        <v>10832.77249155902</v>
      </c>
      <c r="X67" s="27">
        <v>10812.11704172784</v>
      </c>
      <c r="Y67" s="38">
        <v>10791.874700893282</v>
      </c>
      <c r="AA67" s="52">
        <v>13056</v>
      </c>
      <c r="AC67" s="52"/>
    </row>
    <row r="68" spans="2:29" ht="11.25" hidden="1">
      <c r="B68" s="39" t="s">
        <v>472</v>
      </c>
      <c r="C68" s="82" t="s">
        <v>125</v>
      </c>
      <c r="D68" s="83"/>
      <c r="E68" s="50" t="s">
        <v>54</v>
      </c>
      <c r="F68" s="28">
        <v>13056</v>
      </c>
      <c r="G68" s="28">
        <v>12826.88</v>
      </c>
      <c r="H68" s="28">
        <v>12918.406668765621</v>
      </c>
      <c r="I68" s="28">
        <v>16792.69101182739</v>
      </c>
      <c r="J68" s="28">
        <v>22100.0692344285</v>
      </c>
      <c r="K68" s="28">
        <v>23320</v>
      </c>
      <c r="L68" s="28">
        <v>23320</v>
      </c>
      <c r="M68" s="28">
        <v>23320</v>
      </c>
      <c r="N68" s="28">
        <v>23320</v>
      </c>
      <c r="O68" s="28">
        <v>23320</v>
      </c>
      <c r="P68" s="28">
        <v>23320</v>
      </c>
      <c r="Q68" s="28">
        <v>23320</v>
      </c>
      <c r="R68" s="28">
        <v>23320</v>
      </c>
      <c r="S68" s="28">
        <v>23320</v>
      </c>
      <c r="T68" s="28">
        <v>23320</v>
      </c>
      <c r="U68" s="28">
        <v>23320</v>
      </c>
      <c r="V68" s="28">
        <v>23320</v>
      </c>
      <c r="W68" s="28">
        <v>23320</v>
      </c>
      <c r="X68" s="28">
        <v>23320</v>
      </c>
      <c r="Y68" s="40">
        <v>23320</v>
      </c>
      <c r="AA68" s="52">
        <v>23320</v>
      </c>
      <c r="AC68" s="52"/>
    </row>
    <row r="69" spans="2:27" ht="11.25" hidden="1">
      <c r="B69" s="39" t="s">
        <v>473</v>
      </c>
      <c r="C69" s="82" t="s">
        <v>81</v>
      </c>
      <c r="D69" s="83"/>
      <c r="E69" s="50" t="s">
        <v>54</v>
      </c>
      <c r="F69" s="28">
        <v>0</v>
      </c>
      <c r="G69" s="28">
        <v>0</v>
      </c>
      <c r="H69" s="28">
        <v>320.0642687656218</v>
      </c>
      <c r="I69" s="28">
        <v>4422.315459827392</v>
      </c>
      <c r="J69" s="28">
        <v>9957.101193468501</v>
      </c>
      <c r="K69" s="28">
        <v>11403.8913198592</v>
      </c>
      <c r="L69" s="28">
        <v>11630.213493462015</v>
      </c>
      <c r="M69" s="28">
        <v>11856.009223592777</v>
      </c>
      <c r="N69" s="28">
        <v>12081.28903912092</v>
      </c>
      <c r="O69" s="28">
        <v>12306.063258338501</v>
      </c>
      <c r="P69" s="28">
        <v>12330.341993171733</v>
      </c>
      <c r="Q69" s="28">
        <v>12354.135153308298</v>
      </c>
      <c r="R69" s="28">
        <v>12377.452450242132</v>
      </c>
      <c r="S69" s="28">
        <v>12400.303401237288</v>
      </c>
      <c r="T69" s="28">
        <v>12422.697333212544</v>
      </c>
      <c r="U69" s="28">
        <v>12444.643386548292</v>
      </c>
      <c r="V69" s="28">
        <v>12466.150518817327</v>
      </c>
      <c r="W69" s="28">
        <v>12487.22750844098</v>
      </c>
      <c r="X69" s="28">
        <v>12507.88295827216</v>
      </c>
      <c r="Y69" s="40">
        <v>12528.125299106718</v>
      </c>
      <c r="AA69" s="52">
        <v>10264</v>
      </c>
    </row>
    <row r="70" spans="2:27" ht="11.25" hidden="1">
      <c r="B70" s="39" t="s">
        <v>474</v>
      </c>
      <c r="C70" s="82" t="s">
        <v>65</v>
      </c>
      <c r="D70" s="83"/>
      <c r="E70" s="50" t="s">
        <v>119</v>
      </c>
      <c r="F70" s="28">
        <v>0</v>
      </c>
      <c r="G70" s="28">
        <v>0</v>
      </c>
      <c r="H70" s="28">
        <v>0</v>
      </c>
      <c r="I70" s="28">
        <v>0</v>
      </c>
      <c r="J70" s="28">
        <v>2477.7777777777774</v>
      </c>
      <c r="K70" s="28">
        <v>1982.2222222222217</v>
      </c>
      <c r="L70" s="28">
        <v>1486.666666666666</v>
      </c>
      <c r="M70" s="28">
        <v>991.1111111111105</v>
      </c>
      <c r="N70" s="28">
        <v>495.555555555555</v>
      </c>
      <c r="O70" s="28">
        <v>0</v>
      </c>
      <c r="P70" s="28">
        <v>0</v>
      </c>
      <c r="Q70" s="28">
        <v>0</v>
      </c>
      <c r="R70" s="28">
        <v>0</v>
      </c>
      <c r="S70" s="28">
        <v>0</v>
      </c>
      <c r="T70" s="28">
        <v>0</v>
      </c>
      <c r="U70" s="28">
        <v>0</v>
      </c>
      <c r="V70" s="28">
        <v>0</v>
      </c>
      <c r="W70" s="28">
        <v>0</v>
      </c>
      <c r="X70" s="28">
        <v>0</v>
      </c>
      <c r="Y70" s="40">
        <v>0</v>
      </c>
      <c r="AA70" s="52">
        <v>4460</v>
      </c>
    </row>
    <row r="71" spans="2:27" ht="11.25" hidden="1">
      <c r="B71" s="39" t="s">
        <v>475</v>
      </c>
      <c r="C71" s="82" t="s">
        <v>516</v>
      </c>
      <c r="D71" s="83"/>
      <c r="E71" s="50" t="s">
        <v>526</v>
      </c>
      <c r="F71" s="28">
        <v>0</v>
      </c>
      <c r="G71" s="28">
        <v>0</v>
      </c>
      <c r="H71" s="28">
        <v>0</v>
      </c>
      <c r="I71" s="28">
        <v>20734.510275088163</v>
      </c>
      <c r="J71" s="28">
        <v>54699.74515915682</v>
      </c>
      <c r="K71" s="28">
        <v>65829.64122880001</v>
      </c>
      <c r="L71" s="28">
        <v>69455.26687795202</v>
      </c>
      <c r="M71" s="28">
        <v>73225.9175530701</v>
      </c>
      <c r="N71" s="28">
        <v>77147.3942551929</v>
      </c>
      <c r="O71" s="28">
        <v>81225.73002540063</v>
      </c>
      <c r="P71" s="28">
        <v>85467.19922641665</v>
      </c>
      <c r="Q71" s="28">
        <v>89878.32719547332</v>
      </c>
      <c r="R71" s="28">
        <v>94465.90028329226</v>
      </c>
      <c r="S71" s="28">
        <v>99236.97629462395</v>
      </c>
      <c r="T71" s="28">
        <v>104198.89534640891</v>
      </c>
      <c r="U71" s="28">
        <v>109359.29116026527</v>
      </c>
      <c r="V71" s="28">
        <v>114726.10280667589</v>
      </c>
      <c r="W71" s="28">
        <v>120307.58691894292</v>
      </c>
      <c r="X71" s="28">
        <v>126112.33039570064</v>
      </c>
      <c r="Y71" s="40">
        <v>132149.26361152867</v>
      </c>
      <c r="AA71" s="52">
        <v>49689</v>
      </c>
    </row>
    <row r="72" spans="2:27" ht="11.25" hidden="1">
      <c r="B72" s="39" t="s">
        <v>476</v>
      </c>
      <c r="C72" s="82" t="s">
        <v>58</v>
      </c>
      <c r="D72" s="83"/>
      <c r="E72" s="50" t="s">
        <v>118</v>
      </c>
      <c r="F72" s="28">
        <v>0</v>
      </c>
      <c r="G72" s="28">
        <v>1157.598814229249</v>
      </c>
      <c r="H72" s="28">
        <v>3119.38814229249</v>
      </c>
      <c r="I72" s="28">
        <v>4332.927391304348</v>
      </c>
      <c r="J72" s="28">
        <v>992.8505521739132</v>
      </c>
      <c r="K72" s="28">
        <v>0</v>
      </c>
      <c r="L72" s="31">
        <v>0</v>
      </c>
      <c r="M72" s="31">
        <v>0</v>
      </c>
      <c r="N72" s="31">
        <v>0</v>
      </c>
      <c r="O72" s="31">
        <v>0</v>
      </c>
      <c r="P72" s="31">
        <v>0</v>
      </c>
      <c r="Q72" s="31">
        <v>0</v>
      </c>
      <c r="R72" s="31">
        <v>0</v>
      </c>
      <c r="S72" s="31">
        <v>0</v>
      </c>
      <c r="T72" s="31">
        <v>0</v>
      </c>
      <c r="U72" s="31">
        <v>0</v>
      </c>
      <c r="V72" s="31">
        <v>0</v>
      </c>
      <c r="W72" s="31">
        <v>0</v>
      </c>
      <c r="X72" s="31">
        <v>0</v>
      </c>
      <c r="Y72" s="46">
        <v>0</v>
      </c>
      <c r="AA72" s="52">
        <v>9602.7649</v>
      </c>
    </row>
    <row r="73" spans="2:27" ht="11.25" hidden="1">
      <c r="B73" s="39" t="s">
        <v>477</v>
      </c>
      <c r="C73" s="82" t="s">
        <v>24</v>
      </c>
      <c r="D73" s="83"/>
      <c r="E73" s="50" t="s">
        <v>118</v>
      </c>
      <c r="F73" s="28">
        <v>0</v>
      </c>
      <c r="G73" s="28">
        <v>173.63982213438734</v>
      </c>
      <c r="H73" s="28">
        <v>467.90822134387355</v>
      </c>
      <c r="I73" s="28">
        <v>649.9391086956523</v>
      </c>
      <c r="J73" s="28">
        <v>148.92758282608696</v>
      </c>
      <c r="K73" s="28">
        <v>0</v>
      </c>
      <c r="L73" s="28">
        <v>0</v>
      </c>
      <c r="M73" s="28">
        <v>0</v>
      </c>
      <c r="N73" s="28">
        <v>0</v>
      </c>
      <c r="O73" s="28">
        <v>0</v>
      </c>
      <c r="P73" s="28">
        <v>0</v>
      </c>
      <c r="Q73" s="28">
        <v>0</v>
      </c>
      <c r="R73" s="28">
        <v>0</v>
      </c>
      <c r="S73" s="28">
        <v>0</v>
      </c>
      <c r="T73" s="28">
        <v>0</v>
      </c>
      <c r="U73" s="28">
        <v>0</v>
      </c>
      <c r="V73" s="31">
        <v>0</v>
      </c>
      <c r="W73" s="31">
        <v>0</v>
      </c>
      <c r="X73" s="31">
        <v>0</v>
      </c>
      <c r="Y73" s="46">
        <v>0</v>
      </c>
      <c r="AA73" s="54">
        <f>+AA72*'Assumptions and Basic Info'!$C$4</f>
        <v>9602.7649</v>
      </c>
    </row>
    <row r="74" spans="2:27" ht="11.25" hidden="1">
      <c r="B74" s="39" t="s">
        <v>543</v>
      </c>
      <c r="C74" s="82" t="s">
        <v>83</v>
      </c>
      <c r="D74" s="83"/>
      <c r="E74" s="50" t="s">
        <v>118</v>
      </c>
      <c r="F74" s="28">
        <v>0</v>
      </c>
      <c r="G74" s="28">
        <v>307.60179243500005</v>
      </c>
      <c r="H74" s="28">
        <v>290.819764984</v>
      </c>
      <c r="I74" s="28">
        <v>354.23463696799996</v>
      </c>
      <c r="J74" s="28">
        <v>82.111042715</v>
      </c>
      <c r="K74" s="28">
        <v>0</v>
      </c>
      <c r="L74" s="28">
        <v>0</v>
      </c>
      <c r="M74" s="28">
        <v>0</v>
      </c>
      <c r="N74" s="28">
        <v>0</v>
      </c>
      <c r="O74" s="28">
        <v>0</v>
      </c>
      <c r="P74" s="28">
        <v>0</v>
      </c>
      <c r="Q74" s="28">
        <v>0</v>
      </c>
      <c r="R74" s="28">
        <v>0</v>
      </c>
      <c r="S74" s="28">
        <v>0</v>
      </c>
      <c r="T74" s="28">
        <v>0</v>
      </c>
      <c r="U74" s="28">
        <v>0</v>
      </c>
      <c r="V74" s="31">
        <v>0</v>
      </c>
      <c r="W74" s="31">
        <v>0</v>
      </c>
      <c r="X74" s="31">
        <v>0</v>
      </c>
      <c r="Y74" s="46">
        <v>0</v>
      </c>
      <c r="AA74" s="54">
        <v>1034.767237102</v>
      </c>
    </row>
    <row r="75" spans="2:27" ht="11.25" hidden="1">
      <c r="B75" s="39" t="s">
        <v>544</v>
      </c>
      <c r="C75" s="82" t="s">
        <v>82</v>
      </c>
      <c r="D75" s="83"/>
      <c r="E75" s="50" t="s">
        <v>118</v>
      </c>
      <c r="F75" s="28">
        <v>0</v>
      </c>
      <c r="G75" s="28">
        <v>0</v>
      </c>
      <c r="H75" s="28">
        <v>42.94686368960909</v>
      </c>
      <c r="I75" s="28">
        <v>132.56159894806</v>
      </c>
      <c r="J75" s="28">
        <v>239.30362168742002</v>
      </c>
      <c r="K75" s="28">
        <v>263.78140524172</v>
      </c>
      <c r="L75" s="28">
        <v>263.78140524172</v>
      </c>
      <c r="M75" s="28">
        <v>263.78140524172</v>
      </c>
      <c r="N75" s="28">
        <v>263.78140524172</v>
      </c>
      <c r="O75" s="28">
        <v>263.78140524172</v>
      </c>
      <c r="P75" s="28">
        <v>263.78140524172</v>
      </c>
      <c r="Q75" s="28">
        <v>263.78140524172</v>
      </c>
      <c r="R75" s="28">
        <v>263.78140524172</v>
      </c>
      <c r="S75" s="28">
        <v>263.78140524172</v>
      </c>
      <c r="T75" s="28">
        <v>263.78140524172</v>
      </c>
      <c r="U75" s="28">
        <v>263.78140524172</v>
      </c>
      <c r="V75" s="28">
        <v>263.78140524172</v>
      </c>
      <c r="W75" s="28">
        <v>263.78140524172</v>
      </c>
      <c r="X75" s="28">
        <v>263.78140524172</v>
      </c>
      <c r="Y75" s="40">
        <v>263.78140524172</v>
      </c>
      <c r="AA75" s="52"/>
    </row>
    <row r="76" spans="2:27" ht="11.25" hidden="1">
      <c r="B76" s="39" t="s">
        <v>595</v>
      </c>
      <c r="C76" s="82" t="s">
        <v>578</v>
      </c>
      <c r="D76" s="83"/>
      <c r="E76" s="50" t="s">
        <v>118</v>
      </c>
      <c r="F76" s="28">
        <v>0</v>
      </c>
      <c r="G76" s="28">
        <v>0</v>
      </c>
      <c r="H76" s="28">
        <v>73.18666666666667</v>
      </c>
      <c r="I76" s="28">
        <v>36.593333333333334</v>
      </c>
      <c r="J76" s="28">
        <v>0</v>
      </c>
      <c r="K76" s="28">
        <v>0</v>
      </c>
      <c r="L76" s="28">
        <v>0</v>
      </c>
      <c r="M76" s="28">
        <v>0</v>
      </c>
      <c r="N76" s="28">
        <v>0</v>
      </c>
      <c r="O76" s="28">
        <v>0</v>
      </c>
      <c r="P76" s="28">
        <v>0</v>
      </c>
      <c r="Q76" s="28">
        <v>0</v>
      </c>
      <c r="R76" s="28">
        <v>0</v>
      </c>
      <c r="S76" s="28">
        <v>0</v>
      </c>
      <c r="T76" s="28">
        <v>0</v>
      </c>
      <c r="U76" s="28">
        <v>0</v>
      </c>
      <c r="V76" s="28">
        <v>0</v>
      </c>
      <c r="W76" s="28">
        <v>0</v>
      </c>
      <c r="X76" s="28">
        <v>0</v>
      </c>
      <c r="Y76" s="40">
        <v>0</v>
      </c>
      <c r="AA76" s="52">
        <v>109.78</v>
      </c>
    </row>
    <row r="77" spans="2:27" ht="11.25" hidden="1">
      <c r="B77" s="39" t="s">
        <v>697</v>
      </c>
      <c r="C77" s="82" t="s">
        <v>691</v>
      </c>
      <c r="D77" s="83"/>
      <c r="E77" s="50" t="s">
        <v>118</v>
      </c>
      <c r="F77" s="28">
        <v>0</v>
      </c>
      <c r="G77" s="28">
        <v>0</v>
      </c>
      <c r="H77" s="28">
        <v>54.86833230858494</v>
      </c>
      <c r="I77" s="28">
        <v>923.9327413715463</v>
      </c>
      <c r="J77" s="28">
        <v>245.56474137154635</v>
      </c>
      <c r="K77" s="28">
        <v>76.64218494832235</v>
      </c>
      <c r="L77" s="28">
        <v>0</v>
      </c>
      <c r="M77" s="28">
        <v>0</v>
      </c>
      <c r="N77" s="28">
        <v>0</v>
      </c>
      <c r="O77" s="28">
        <v>0</v>
      </c>
      <c r="P77" s="28">
        <v>0</v>
      </c>
      <c r="Q77" s="28">
        <v>0</v>
      </c>
      <c r="R77" s="28">
        <v>0</v>
      </c>
      <c r="S77" s="28">
        <v>0</v>
      </c>
      <c r="T77" s="28">
        <v>0</v>
      </c>
      <c r="U77" s="28">
        <v>0</v>
      </c>
      <c r="V77" s="28">
        <v>0</v>
      </c>
      <c r="W77" s="28">
        <v>0</v>
      </c>
      <c r="X77" s="28">
        <v>0</v>
      </c>
      <c r="Y77" s="40">
        <v>0</v>
      </c>
      <c r="AA77" s="52"/>
    </row>
    <row r="78" spans="2:27" ht="11.25" hidden="1">
      <c r="B78" s="39" t="s">
        <v>478</v>
      </c>
      <c r="C78" s="82" t="s">
        <v>698</v>
      </c>
      <c r="D78" s="83"/>
      <c r="E78" s="50" t="s">
        <v>118</v>
      </c>
      <c r="F78" s="28">
        <v>0</v>
      </c>
      <c r="G78" s="28">
        <v>1638.8404287986364</v>
      </c>
      <c r="H78" s="28">
        <v>4049.117991285224</v>
      </c>
      <c r="I78" s="28">
        <v>6430.18881062094</v>
      </c>
      <c r="J78" s="28">
        <v>1708.7575407739664</v>
      </c>
      <c r="K78" s="28">
        <v>340.4235901900423</v>
      </c>
      <c r="L78" s="28">
        <v>263.78140524172</v>
      </c>
      <c r="M78" s="28">
        <v>263.78140524172</v>
      </c>
      <c r="N78" s="28">
        <v>263.78140524172</v>
      </c>
      <c r="O78" s="28">
        <v>263.78140524172</v>
      </c>
      <c r="P78" s="28">
        <v>263.78140524172</v>
      </c>
      <c r="Q78" s="28">
        <v>263.78140524172</v>
      </c>
      <c r="R78" s="28">
        <v>263.78140524172</v>
      </c>
      <c r="S78" s="28">
        <v>263.78140524172</v>
      </c>
      <c r="T78" s="28">
        <v>263.78140524172</v>
      </c>
      <c r="U78" s="28">
        <v>263.78140524172</v>
      </c>
      <c r="V78" s="28">
        <v>263.78140524172</v>
      </c>
      <c r="W78" s="28">
        <v>263.78140524172</v>
      </c>
      <c r="X78" s="28">
        <v>263.78140524172</v>
      </c>
      <c r="Y78" s="40">
        <v>263.78140524172</v>
      </c>
      <c r="AA78" s="52">
        <f>+AA72+AA73+AA74</f>
        <v>20240.297037102002</v>
      </c>
    </row>
    <row r="79" spans="2:27" ht="11.25" hidden="1">
      <c r="B79" s="39" t="s">
        <v>545</v>
      </c>
      <c r="C79" s="82" t="s">
        <v>128</v>
      </c>
      <c r="D79" s="83"/>
      <c r="E79" s="50" t="s">
        <v>118</v>
      </c>
      <c r="F79" s="28">
        <v>0</v>
      </c>
      <c r="G79" s="28">
        <v>0</v>
      </c>
      <c r="H79" s="28">
        <v>10.280559584852858</v>
      </c>
      <c r="I79" s="28">
        <v>235.41715741454556</v>
      </c>
      <c r="J79" s="28">
        <v>570.823681993385</v>
      </c>
      <c r="K79" s="28">
        <v>858.9901494044166</v>
      </c>
      <c r="L79" s="28">
        <v>2588.698497248614</v>
      </c>
      <c r="M79" s="28">
        <v>4298.01468458167</v>
      </c>
      <c r="N79" s="28">
        <v>5212.2333066173815</v>
      </c>
      <c r="O79" s="28">
        <v>5595.340316271609</v>
      </c>
      <c r="P79" s="28">
        <v>5642.766506536168</v>
      </c>
      <c r="Q79" s="28">
        <v>5665.723311603317</v>
      </c>
      <c r="R79" s="28">
        <v>5688.220980569123</v>
      </c>
      <c r="S79" s="28">
        <v>5710.268696155612</v>
      </c>
      <c r="T79" s="28">
        <v>5731.875457430371</v>
      </c>
      <c r="U79" s="28">
        <v>5753.050083479636</v>
      </c>
      <c r="V79" s="28">
        <v>5773.8012170079155</v>
      </c>
      <c r="W79" s="28">
        <v>5794.137327865629</v>
      </c>
      <c r="X79" s="28">
        <v>5814.066716506188</v>
      </c>
      <c r="Y79" s="40">
        <v>5833.597517373936</v>
      </c>
      <c r="AA79" s="52"/>
    </row>
    <row r="80" spans="2:27" ht="11.25" hidden="1">
      <c r="B80" s="39" t="s">
        <v>546</v>
      </c>
      <c r="C80" s="82" t="s">
        <v>63</v>
      </c>
      <c r="D80" s="83"/>
      <c r="E80" s="50" t="s">
        <v>118</v>
      </c>
      <c r="F80" s="28">
        <v>0</v>
      </c>
      <c r="G80" s="28">
        <v>0</v>
      </c>
      <c r="H80" s="28">
        <v>0</v>
      </c>
      <c r="I80" s="28">
        <v>0</v>
      </c>
      <c r="J80" s="28">
        <v>104.56222222222222</v>
      </c>
      <c r="K80" s="28">
        <v>83.64977777777777</v>
      </c>
      <c r="L80" s="28">
        <v>62.73733333333331</v>
      </c>
      <c r="M80" s="28">
        <v>41.82488888888887</v>
      </c>
      <c r="N80" s="28">
        <v>20.91244444444442</v>
      </c>
      <c r="O80" s="28">
        <v>0</v>
      </c>
      <c r="P80" s="28">
        <v>0</v>
      </c>
      <c r="Q80" s="28">
        <v>0</v>
      </c>
      <c r="R80" s="28">
        <v>0</v>
      </c>
      <c r="S80" s="28">
        <v>0</v>
      </c>
      <c r="T80" s="28">
        <v>0</v>
      </c>
      <c r="U80" s="28">
        <v>0</v>
      </c>
      <c r="V80" s="28">
        <v>0</v>
      </c>
      <c r="W80" s="28">
        <v>0</v>
      </c>
      <c r="X80" s="28">
        <v>0</v>
      </c>
      <c r="Y80" s="40">
        <v>0</v>
      </c>
      <c r="AA80" s="52"/>
    </row>
    <row r="81" spans="2:27" ht="11.25" hidden="1">
      <c r="B81" s="39" t="s">
        <v>547</v>
      </c>
      <c r="C81" s="82" t="s">
        <v>522</v>
      </c>
      <c r="D81" s="83"/>
      <c r="E81" s="50" t="s">
        <v>118</v>
      </c>
      <c r="F81" s="28">
        <v>0</v>
      </c>
      <c r="G81" s="28">
        <v>0</v>
      </c>
      <c r="H81" s="28">
        <v>0</v>
      </c>
      <c r="I81" s="28">
        <v>526.6565609872393</v>
      </c>
      <c r="J81" s="28">
        <v>1389.3735270425832</v>
      </c>
      <c r="K81" s="28">
        <v>1672.0728872115203</v>
      </c>
      <c r="L81" s="28">
        <v>1764.163778699981</v>
      </c>
      <c r="M81" s="28">
        <v>1859.9383058479805</v>
      </c>
      <c r="N81" s="28">
        <v>1959.5438140818999</v>
      </c>
      <c r="O81" s="28">
        <v>2063.1335426451756</v>
      </c>
      <c r="P81" s="28">
        <v>2170.8668603509827</v>
      </c>
      <c r="Q81" s="28">
        <v>2282.9095107650223</v>
      </c>
      <c r="R81" s="28">
        <v>2399.433867195623</v>
      </c>
      <c r="S81" s="28">
        <v>2520.619197883448</v>
      </c>
      <c r="T81" s="28">
        <v>2646.651941798786</v>
      </c>
      <c r="U81" s="28">
        <v>2777.725995470738</v>
      </c>
      <c r="V81" s="28">
        <v>2914.0430112895674</v>
      </c>
      <c r="W81" s="28">
        <v>3055.81270774115</v>
      </c>
      <c r="X81" s="28">
        <v>3203.253192050796</v>
      </c>
      <c r="Y81" s="40">
        <v>3356.5912957328283</v>
      </c>
      <c r="AA81" s="52"/>
    </row>
    <row r="82" spans="2:27" ht="11.25" hidden="1">
      <c r="B82" s="39" t="s">
        <v>479</v>
      </c>
      <c r="C82" s="82" t="s">
        <v>548</v>
      </c>
      <c r="D82" s="83"/>
      <c r="E82" s="50" t="s">
        <v>118</v>
      </c>
      <c r="F82" s="28">
        <v>0</v>
      </c>
      <c r="G82" s="28">
        <v>0</v>
      </c>
      <c r="H82" s="28">
        <v>10.280559584852858</v>
      </c>
      <c r="I82" s="28">
        <v>762.0737184017848</v>
      </c>
      <c r="J82" s="28">
        <v>2064.7594312581905</v>
      </c>
      <c r="K82" s="28">
        <v>2614.712814393715</v>
      </c>
      <c r="L82" s="28">
        <v>4415.599609281929</v>
      </c>
      <c r="M82" s="28">
        <v>6199.77787931854</v>
      </c>
      <c r="N82" s="28">
        <v>7192.689565143725</v>
      </c>
      <c r="O82" s="28">
        <v>7658.473858916785</v>
      </c>
      <c r="P82" s="28">
        <v>7813.63336688715</v>
      </c>
      <c r="Q82" s="28">
        <v>7948.6328223683395</v>
      </c>
      <c r="R82" s="28">
        <v>8087.654847764746</v>
      </c>
      <c r="S82" s="28">
        <v>8230.88789403906</v>
      </c>
      <c r="T82" s="28">
        <v>8378.527399229157</v>
      </c>
      <c r="U82" s="28">
        <v>8530.776078950374</v>
      </c>
      <c r="V82" s="28">
        <v>8687.844228297483</v>
      </c>
      <c r="W82" s="28">
        <v>8849.95003560678</v>
      </c>
      <c r="X82" s="28">
        <v>9017.319908556983</v>
      </c>
      <c r="Y82" s="40">
        <v>9190.188813106764</v>
      </c>
      <c r="AA82" s="52"/>
    </row>
    <row r="83" spans="2:27" ht="11.25" hidden="1">
      <c r="B83" s="42" t="s">
        <v>480</v>
      </c>
      <c r="C83" s="84" t="s">
        <v>549</v>
      </c>
      <c r="D83" s="85"/>
      <c r="E83" s="72" t="s">
        <v>118</v>
      </c>
      <c r="F83" s="30">
        <v>0</v>
      </c>
      <c r="G83" s="30">
        <v>-1638.8404287986364</v>
      </c>
      <c r="H83" s="30">
        <v>-4038.8374317003713</v>
      </c>
      <c r="I83" s="30">
        <v>-5668.1150922191555</v>
      </c>
      <c r="J83" s="30">
        <v>356.0018904842241</v>
      </c>
      <c r="K83" s="30">
        <v>2274.2892242036723</v>
      </c>
      <c r="L83" s="30">
        <v>4151.818204040209</v>
      </c>
      <c r="M83" s="30">
        <v>5935.99647407682</v>
      </c>
      <c r="N83" s="30">
        <v>6928.9081599020055</v>
      </c>
      <c r="O83" s="30">
        <v>7394.692453675065</v>
      </c>
      <c r="P83" s="30">
        <v>7549.8519616454305</v>
      </c>
      <c r="Q83" s="30">
        <v>7684.85141712662</v>
      </c>
      <c r="R83" s="30">
        <v>7823.873442523026</v>
      </c>
      <c r="S83" s="30">
        <v>7967.106488797341</v>
      </c>
      <c r="T83" s="30">
        <v>8114.745993987437</v>
      </c>
      <c r="U83" s="30">
        <v>8266.994673708654</v>
      </c>
      <c r="V83" s="30">
        <v>8424.062823055763</v>
      </c>
      <c r="W83" s="30">
        <v>8586.16863036506</v>
      </c>
      <c r="X83" s="30">
        <v>8753.538503315263</v>
      </c>
      <c r="Y83" s="43">
        <v>8926.407407865045</v>
      </c>
      <c r="AA83" s="52"/>
    </row>
    <row r="84" spans="2:27" ht="11.25" hidden="1">
      <c r="B84" s="96" t="s">
        <v>481</v>
      </c>
      <c r="C84" s="91" t="s">
        <v>121</v>
      </c>
      <c r="D84" s="113">
        <f>+AA78</f>
        <v>20240.297037102002</v>
      </c>
      <c r="E84" s="94"/>
      <c r="F84" s="73"/>
      <c r="G84" s="73"/>
      <c r="H84" s="73"/>
      <c r="I84" s="73"/>
      <c r="J84" s="73"/>
      <c r="K84" s="73"/>
      <c r="L84" s="73"/>
      <c r="M84" s="73"/>
      <c r="N84" s="73"/>
      <c r="O84" s="73"/>
      <c r="P84" s="73"/>
      <c r="Q84" s="73"/>
      <c r="R84" s="73"/>
      <c r="S84" s="73"/>
      <c r="T84" s="73"/>
      <c r="U84" s="73"/>
      <c r="V84" s="73"/>
      <c r="W84" s="73"/>
      <c r="X84" s="73"/>
      <c r="Y84" s="74"/>
      <c r="AA84" s="52"/>
    </row>
    <row r="85" spans="2:27" ht="11.25" hidden="1">
      <c r="B85" s="96" t="s">
        <v>482</v>
      </c>
      <c r="C85" s="92" t="s">
        <v>596</v>
      </c>
      <c r="D85" s="113">
        <f>+AA76</f>
        <v>109.78</v>
      </c>
      <c r="E85" s="95"/>
      <c r="F85" s="54"/>
      <c r="G85" s="54"/>
      <c r="H85" s="54"/>
      <c r="I85" s="54"/>
      <c r="J85" s="54"/>
      <c r="K85" s="54"/>
      <c r="L85" s="54"/>
      <c r="M85" s="54"/>
      <c r="N85" s="54"/>
      <c r="O85" s="54"/>
      <c r="P85" s="54"/>
      <c r="Q85" s="54"/>
      <c r="R85" s="54"/>
      <c r="S85" s="54"/>
      <c r="T85" s="54"/>
      <c r="U85" s="54"/>
      <c r="V85" s="54"/>
      <c r="W85" s="54"/>
      <c r="X85" s="54"/>
      <c r="Y85" s="75"/>
      <c r="AA85" s="52"/>
    </row>
    <row r="86" spans="2:27" ht="11.25" hidden="1">
      <c r="B86" s="96" t="s">
        <v>550</v>
      </c>
      <c r="C86" s="92" t="s">
        <v>57</v>
      </c>
      <c r="D86" s="79">
        <f>+IRR(F83:Y83)</f>
        <v>0.3050932212517651</v>
      </c>
      <c r="E86" s="95"/>
      <c r="F86" s="88"/>
      <c r="G86" s="54"/>
      <c r="H86" s="54"/>
      <c r="I86" s="54"/>
      <c r="J86" s="54"/>
      <c r="K86" s="54"/>
      <c r="L86" s="54"/>
      <c r="M86" s="54"/>
      <c r="N86" s="54"/>
      <c r="O86" s="54"/>
      <c r="P86" s="54"/>
      <c r="Q86" s="54"/>
      <c r="R86" s="54"/>
      <c r="S86" s="54"/>
      <c r="T86" s="54"/>
      <c r="U86" s="54"/>
      <c r="V86" s="54"/>
      <c r="W86" s="54"/>
      <c r="X86" s="54"/>
      <c r="Y86" s="75"/>
      <c r="AA86" s="52"/>
    </row>
    <row r="87" spans="2:27" ht="12" hidden="1" thickBot="1">
      <c r="B87" s="107" t="s">
        <v>597</v>
      </c>
      <c r="C87" s="102" t="s">
        <v>120</v>
      </c>
      <c r="D87" s="103">
        <f>+NPV('Assumptions and Basic Info'!$C$20,F83:Y83)</f>
        <v>23103.726844515837</v>
      </c>
      <c r="E87" s="108"/>
      <c r="F87" s="105"/>
      <c r="G87" s="127"/>
      <c r="H87" s="105"/>
      <c r="I87" s="105"/>
      <c r="J87" s="105"/>
      <c r="K87" s="105"/>
      <c r="L87" s="105"/>
      <c r="M87" s="105"/>
      <c r="N87" s="105"/>
      <c r="O87" s="105"/>
      <c r="P87" s="105"/>
      <c r="Q87" s="105"/>
      <c r="R87" s="105"/>
      <c r="S87" s="105"/>
      <c r="T87" s="105"/>
      <c r="U87" s="105"/>
      <c r="V87" s="105"/>
      <c r="W87" s="105"/>
      <c r="X87" s="105"/>
      <c r="Y87" s="106"/>
      <c r="AA87" s="52"/>
    </row>
    <row r="88" spans="2:27" ht="11.25" hidden="1">
      <c r="B88" s="44" t="s">
        <v>133</v>
      </c>
      <c r="C88" s="23" t="s">
        <v>148</v>
      </c>
      <c r="D88" s="23"/>
      <c r="E88" s="51"/>
      <c r="F88" s="24"/>
      <c r="G88" s="24"/>
      <c r="H88" s="24"/>
      <c r="I88" s="24"/>
      <c r="J88" s="24"/>
      <c r="K88" s="24"/>
      <c r="L88" s="24"/>
      <c r="M88" s="24"/>
      <c r="N88" s="24"/>
      <c r="O88" s="24"/>
      <c r="P88" s="24"/>
      <c r="Q88" s="24"/>
      <c r="R88" s="24"/>
      <c r="S88" s="24"/>
      <c r="T88" s="24"/>
      <c r="U88" s="24"/>
      <c r="V88" s="24"/>
      <c r="W88" s="24"/>
      <c r="X88" s="24"/>
      <c r="Y88" s="45"/>
      <c r="AA88" s="52"/>
    </row>
    <row r="89" spans="2:29" ht="11.25" hidden="1">
      <c r="B89" s="37" t="s">
        <v>134</v>
      </c>
      <c r="C89" s="80" t="s">
        <v>124</v>
      </c>
      <c r="D89" s="81"/>
      <c r="E89" s="49" t="s">
        <v>54</v>
      </c>
      <c r="F89" s="27">
        <v>15765</v>
      </c>
      <c r="G89" s="27">
        <v>15701.935555555554</v>
      </c>
      <c r="H89" s="27">
        <v>15638.94351111111</v>
      </c>
      <c r="I89" s="27">
        <v>15576.022418666666</v>
      </c>
      <c r="J89" s="27">
        <v>15513.170859182223</v>
      </c>
      <c r="K89" s="27">
        <v>15450.387441998577</v>
      </c>
      <c r="L89" s="27">
        <v>15387.670804269717</v>
      </c>
      <c r="M89" s="27">
        <v>15325.019610406545</v>
      </c>
      <c r="N89" s="27">
        <v>15262.432551531749</v>
      </c>
      <c r="O89" s="27">
        <v>15199.908344945557</v>
      </c>
      <c r="P89" s="27">
        <v>15196.890178046646</v>
      </c>
      <c r="Q89" s="27">
        <v>15193.932374485714</v>
      </c>
      <c r="R89" s="27">
        <v>15191.033726995998</v>
      </c>
      <c r="S89" s="27">
        <v>15188.19305245608</v>
      </c>
      <c r="T89" s="27">
        <v>15185.409191406958</v>
      </c>
      <c r="U89" s="27">
        <v>15182.681007578818</v>
      </c>
      <c r="V89" s="27">
        <v>15180.007387427242</v>
      </c>
      <c r="W89" s="27">
        <v>15177.387239678697</v>
      </c>
      <c r="X89" s="27">
        <v>15174.819494885123</v>
      </c>
      <c r="Y89" s="38">
        <v>15172.30310498742</v>
      </c>
      <c r="AA89" s="52">
        <v>15765</v>
      </c>
      <c r="AB89" s="1" t="s">
        <v>126</v>
      </c>
      <c r="AC89" s="52"/>
    </row>
    <row r="90" spans="2:28" ht="11.25" hidden="1">
      <c r="B90" s="39" t="s">
        <v>135</v>
      </c>
      <c r="C90" s="82" t="s">
        <v>125</v>
      </c>
      <c r="D90" s="83"/>
      <c r="E90" s="50" t="s">
        <v>54</v>
      </c>
      <c r="F90" s="28">
        <v>15765</v>
      </c>
      <c r="G90" s="28">
        <v>15701.935555555554</v>
      </c>
      <c r="H90" s="28">
        <v>16035.858779969722</v>
      </c>
      <c r="I90" s="28">
        <v>17267.633735770938</v>
      </c>
      <c r="J90" s="28">
        <v>20375.30736534993</v>
      </c>
      <c r="K90" s="28">
        <v>20765</v>
      </c>
      <c r="L90" s="28">
        <v>20765</v>
      </c>
      <c r="M90" s="28">
        <v>20765</v>
      </c>
      <c r="N90" s="28">
        <v>20765</v>
      </c>
      <c r="O90" s="28">
        <v>20765</v>
      </c>
      <c r="P90" s="28">
        <v>20765</v>
      </c>
      <c r="Q90" s="28">
        <v>20765</v>
      </c>
      <c r="R90" s="28">
        <v>20765</v>
      </c>
      <c r="S90" s="28">
        <v>20765</v>
      </c>
      <c r="T90" s="28">
        <v>20765</v>
      </c>
      <c r="U90" s="28">
        <v>20765</v>
      </c>
      <c r="V90" s="28">
        <v>20765</v>
      </c>
      <c r="W90" s="28">
        <v>20765</v>
      </c>
      <c r="X90" s="28">
        <v>20765</v>
      </c>
      <c r="Y90" s="40">
        <v>20765</v>
      </c>
      <c r="Z90" s="52"/>
      <c r="AA90" s="52">
        <v>20765</v>
      </c>
      <c r="AB90" s="1" t="s">
        <v>127</v>
      </c>
    </row>
    <row r="91" spans="2:29" ht="11.25" hidden="1">
      <c r="B91" s="39" t="s">
        <v>136</v>
      </c>
      <c r="C91" s="82" t="s">
        <v>81</v>
      </c>
      <c r="D91" s="83"/>
      <c r="E91" s="50" t="s">
        <v>54</v>
      </c>
      <c r="F91" s="28">
        <v>0</v>
      </c>
      <c r="G91" s="28">
        <v>0</v>
      </c>
      <c r="H91" s="28">
        <v>396.91526885861094</v>
      </c>
      <c r="I91" s="28">
        <v>1691.6113171042725</v>
      </c>
      <c r="J91" s="28">
        <v>4862.136506167708</v>
      </c>
      <c r="K91" s="28">
        <v>5314.612558001423</v>
      </c>
      <c r="L91" s="28">
        <v>5377.329195730283</v>
      </c>
      <c r="M91" s="28">
        <v>5439.980389593455</v>
      </c>
      <c r="N91" s="28">
        <v>5502.567448468251</v>
      </c>
      <c r="O91" s="28">
        <v>5565.0916550544425</v>
      </c>
      <c r="P91" s="28">
        <v>5568.109821953354</v>
      </c>
      <c r="Q91" s="28">
        <v>5571.067625514286</v>
      </c>
      <c r="R91" s="28">
        <v>5573.966273004002</v>
      </c>
      <c r="S91" s="28">
        <v>5576.806947543921</v>
      </c>
      <c r="T91" s="28">
        <v>5579.590808593042</v>
      </c>
      <c r="U91" s="28">
        <v>5582.318992421182</v>
      </c>
      <c r="V91" s="28">
        <v>5584.992612572758</v>
      </c>
      <c r="W91" s="28">
        <v>5587.612760321303</v>
      </c>
      <c r="X91" s="28">
        <v>5590.180505114877</v>
      </c>
      <c r="Y91" s="40">
        <v>5592.696895012579</v>
      </c>
      <c r="AA91" s="52">
        <v>5000</v>
      </c>
      <c r="AB91" s="1" t="s">
        <v>127</v>
      </c>
      <c r="AC91" s="52">
        <v>5000</v>
      </c>
    </row>
    <row r="92" spans="2:28" ht="11.25" hidden="1">
      <c r="B92" s="39" t="s">
        <v>137</v>
      </c>
      <c r="C92" s="82" t="s">
        <v>65</v>
      </c>
      <c r="D92" s="83"/>
      <c r="E92" s="50" t="s">
        <v>138</v>
      </c>
      <c r="F92" s="28">
        <v>0</v>
      </c>
      <c r="G92" s="28">
        <v>0</v>
      </c>
      <c r="H92" s="28">
        <v>0</v>
      </c>
      <c r="I92" s="28">
        <v>0</v>
      </c>
      <c r="J92" s="28">
        <v>1888.8888888888887</v>
      </c>
      <c r="K92" s="28">
        <v>1511.1111111111109</v>
      </c>
      <c r="L92" s="28">
        <v>1133.333333333333</v>
      </c>
      <c r="M92" s="28">
        <v>755.5555555555552</v>
      </c>
      <c r="N92" s="28">
        <v>377.77777777777743</v>
      </c>
      <c r="O92" s="28">
        <v>0</v>
      </c>
      <c r="P92" s="28">
        <v>0</v>
      </c>
      <c r="Q92" s="28">
        <v>0</v>
      </c>
      <c r="R92" s="28">
        <v>0</v>
      </c>
      <c r="S92" s="28">
        <v>0</v>
      </c>
      <c r="T92" s="28">
        <v>0</v>
      </c>
      <c r="U92" s="28">
        <v>0</v>
      </c>
      <c r="V92" s="28">
        <v>0</v>
      </c>
      <c r="W92" s="28">
        <v>0</v>
      </c>
      <c r="X92" s="28">
        <v>0</v>
      </c>
      <c r="Y92" s="40">
        <v>0</v>
      </c>
      <c r="AA92" s="52">
        <v>3600</v>
      </c>
      <c r="AB92" s="1" t="s">
        <v>127</v>
      </c>
    </row>
    <row r="93" spans="2:28" ht="11.25" hidden="1">
      <c r="B93" s="39" t="s">
        <v>139</v>
      </c>
      <c r="C93" s="82" t="s">
        <v>516</v>
      </c>
      <c r="D93" s="83"/>
      <c r="E93" s="50" t="s">
        <v>526</v>
      </c>
      <c r="F93" s="28">
        <v>0</v>
      </c>
      <c r="G93" s="28">
        <v>0</v>
      </c>
      <c r="H93" s="28">
        <v>4582.507553664349</v>
      </c>
      <c r="I93" s="28">
        <v>17187.087258609736</v>
      </c>
      <c r="J93" s="28">
        <v>29860.54325155513</v>
      </c>
      <c r="K93" s="28">
        <v>34433.78551552</v>
      </c>
      <c r="L93" s="28">
        <v>36370.696936140805</v>
      </c>
      <c r="M93" s="28">
        <v>38385.084813586436</v>
      </c>
      <c r="N93" s="28">
        <v>40480.0482061299</v>
      </c>
      <c r="O93" s="28">
        <v>42658.8101343751</v>
      </c>
      <c r="P93" s="28">
        <v>44924.7225397501</v>
      </c>
      <c r="Q93" s="28">
        <v>47281.27144134011</v>
      </c>
      <c r="R93" s="28">
        <v>49732.082298993715</v>
      </c>
      <c r="S93" s="28">
        <v>52280.92559095347</v>
      </c>
      <c r="T93" s="28">
        <v>54931.72261459161</v>
      </c>
      <c r="U93" s="28">
        <v>57688.55151917528</v>
      </c>
      <c r="V93" s="28">
        <v>60555.653579942285</v>
      </c>
      <c r="W93" s="28">
        <v>63537.43972313998</v>
      </c>
      <c r="X93" s="28">
        <v>66638.49731206558</v>
      </c>
      <c r="Y93" s="40">
        <v>69863.5972045482</v>
      </c>
      <c r="AA93" s="52">
        <v>25811</v>
      </c>
      <c r="AB93" s="1"/>
    </row>
    <row r="94" spans="2:27" ht="11.25" hidden="1">
      <c r="B94" s="39" t="s">
        <v>140</v>
      </c>
      <c r="C94" s="82" t="s">
        <v>58</v>
      </c>
      <c r="D94" s="83"/>
      <c r="E94" s="50" t="s">
        <v>118</v>
      </c>
      <c r="F94" s="28">
        <v>0</v>
      </c>
      <c r="G94" s="28">
        <v>579.1304347826087</v>
      </c>
      <c r="H94" s="28">
        <v>4577.132806324112</v>
      </c>
      <c r="I94" s="28">
        <v>4669.375572806324</v>
      </c>
      <c r="J94" s="28">
        <v>672.558376086957</v>
      </c>
      <c r="K94" s="28">
        <v>0</v>
      </c>
      <c r="L94" s="31">
        <v>0</v>
      </c>
      <c r="M94" s="31">
        <v>0</v>
      </c>
      <c r="N94" s="31">
        <v>0</v>
      </c>
      <c r="O94" s="31">
        <v>0</v>
      </c>
      <c r="P94" s="31">
        <v>0</v>
      </c>
      <c r="Q94" s="31">
        <v>0</v>
      </c>
      <c r="R94" s="31">
        <v>0</v>
      </c>
      <c r="S94" s="31">
        <v>0</v>
      </c>
      <c r="T94" s="31">
        <v>0</v>
      </c>
      <c r="U94" s="31">
        <v>0</v>
      </c>
      <c r="V94" s="31">
        <v>0</v>
      </c>
      <c r="W94" s="31">
        <v>0</v>
      </c>
      <c r="X94" s="31">
        <v>0</v>
      </c>
      <c r="Y94" s="46">
        <v>0</v>
      </c>
      <c r="AA94" s="52">
        <v>10498.197189999999</v>
      </c>
    </row>
    <row r="95" spans="2:27" ht="11.25" hidden="1">
      <c r="B95" s="39" t="s">
        <v>141</v>
      </c>
      <c r="C95" s="82" t="s">
        <v>24</v>
      </c>
      <c r="D95" s="83"/>
      <c r="E95" s="50" t="s">
        <v>118</v>
      </c>
      <c r="F95" s="28">
        <v>0</v>
      </c>
      <c r="G95" s="28">
        <v>86.86956521739131</v>
      </c>
      <c r="H95" s="28">
        <v>686.5699209486166</v>
      </c>
      <c r="I95" s="28">
        <v>700.4063359209485</v>
      </c>
      <c r="J95" s="28">
        <v>100.88375641304353</v>
      </c>
      <c r="K95" s="28">
        <v>0</v>
      </c>
      <c r="L95" s="28">
        <v>0</v>
      </c>
      <c r="M95" s="28">
        <v>0</v>
      </c>
      <c r="N95" s="28">
        <v>0</v>
      </c>
      <c r="O95" s="28">
        <v>0</v>
      </c>
      <c r="P95" s="28">
        <v>0</v>
      </c>
      <c r="Q95" s="28">
        <v>0</v>
      </c>
      <c r="R95" s="28">
        <v>0</v>
      </c>
      <c r="S95" s="28">
        <v>0</v>
      </c>
      <c r="T95" s="28">
        <v>0</v>
      </c>
      <c r="U95" s="28">
        <v>0</v>
      </c>
      <c r="V95" s="31">
        <v>0</v>
      </c>
      <c r="W95" s="31">
        <v>0</v>
      </c>
      <c r="X95" s="31">
        <v>0</v>
      </c>
      <c r="Y95" s="46">
        <v>0</v>
      </c>
      <c r="AA95" s="54">
        <f>+AA94*'Assumptions and Basic Info'!$C$4</f>
        <v>10498.197189999999</v>
      </c>
    </row>
    <row r="96" spans="2:27" ht="11.25" hidden="1">
      <c r="B96" s="39" t="s">
        <v>551</v>
      </c>
      <c r="C96" s="82" t="s">
        <v>83</v>
      </c>
      <c r="D96" s="83"/>
      <c r="E96" s="50" t="s">
        <v>118</v>
      </c>
      <c r="F96" s="28">
        <v>89.51529838500001</v>
      </c>
      <c r="G96" s="28">
        <v>114.33823362000001</v>
      </c>
      <c r="H96" s="28">
        <v>474.3944447392728</v>
      </c>
      <c r="I96" s="28">
        <v>409.13913290472726</v>
      </c>
      <c r="J96" s="28">
        <v>60.05049354000003</v>
      </c>
      <c r="K96" s="28">
        <v>0</v>
      </c>
      <c r="L96" s="28">
        <v>0</v>
      </c>
      <c r="M96" s="28">
        <v>0</v>
      </c>
      <c r="N96" s="28">
        <v>0</v>
      </c>
      <c r="O96" s="28">
        <v>0</v>
      </c>
      <c r="P96" s="28">
        <v>0</v>
      </c>
      <c r="Q96" s="28">
        <v>0</v>
      </c>
      <c r="R96" s="28">
        <v>0</v>
      </c>
      <c r="S96" s="28">
        <v>0</v>
      </c>
      <c r="T96" s="28">
        <v>0</v>
      </c>
      <c r="U96" s="28">
        <v>0</v>
      </c>
      <c r="V96" s="31">
        <v>0</v>
      </c>
      <c r="W96" s="31">
        <v>0</v>
      </c>
      <c r="X96" s="31">
        <v>0</v>
      </c>
      <c r="Y96" s="46">
        <v>0</v>
      </c>
      <c r="AA96" s="54">
        <v>1147.437603189</v>
      </c>
    </row>
    <row r="97" spans="2:27" ht="11.25" hidden="1">
      <c r="B97" s="39" t="s">
        <v>552</v>
      </c>
      <c r="C97" s="82" t="s">
        <v>82</v>
      </c>
      <c r="D97" s="83"/>
      <c r="E97" s="50" t="s">
        <v>118</v>
      </c>
      <c r="F97" s="28">
        <v>0</v>
      </c>
      <c r="G97" s="28">
        <v>1.7903059677000002</v>
      </c>
      <c r="H97" s="28">
        <v>17.397070640100004</v>
      </c>
      <c r="I97" s="28">
        <v>142.44414752058</v>
      </c>
      <c r="J97" s="28">
        <v>256.22113096081995</v>
      </c>
      <c r="K97" s="28">
        <v>272.89098348161997</v>
      </c>
      <c r="L97" s="28">
        <v>272.89098348161997</v>
      </c>
      <c r="M97" s="28">
        <v>272.89098348161997</v>
      </c>
      <c r="N97" s="28">
        <v>272.89098348161997</v>
      </c>
      <c r="O97" s="28">
        <v>272.89098348161997</v>
      </c>
      <c r="P97" s="28">
        <v>272.89098348161997</v>
      </c>
      <c r="Q97" s="28">
        <v>272.89098348161997</v>
      </c>
      <c r="R97" s="28">
        <v>272.89098348161997</v>
      </c>
      <c r="S97" s="28">
        <v>272.89098348161997</v>
      </c>
      <c r="T97" s="28">
        <v>272.89098348161997</v>
      </c>
      <c r="U97" s="28">
        <v>272.89098348161997</v>
      </c>
      <c r="V97" s="28">
        <v>272.89098348161997</v>
      </c>
      <c r="W97" s="28">
        <v>272.89098348161997</v>
      </c>
      <c r="X97" s="28">
        <v>272.89098348161997</v>
      </c>
      <c r="Y97" s="40">
        <v>272.89098348161997</v>
      </c>
      <c r="AA97" s="52"/>
    </row>
    <row r="98" spans="2:27" ht="11.25" hidden="1">
      <c r="B98" s="39" t="s">
        <v>598</v>
      </c>
      <c r="C98" s="82" t="s">
        <v>578</v>
      </c>
      <c r="D98" s="83"/>
      <c r="E98" s="50" t="s">
        <v>118</v>
      </c>
      <c r="F98" s="28">
        <v>0</v>
      </c>
      <c r="G98" s="28">
        <v>70.96833333333333</v>
      </c>
      <c r="H98" s="28">
        <v>354.8416666666667</v>
      </c>
      <c r="I98" s="28">
        <v>0</v>
      </c>
      <c r="J98" s="28">
        <v>0</v>
      </c>
      <c r="K98" s="28">
        <v>0</v>
      </c>
      <c r="L98" s="28">
        <v>0</v>
      </c>
      <c r="M98" s="28">
        <v>0</v>
      </c>
      <c r="N98" s="28">
        <v>0</v>
      </c>
      <c r="O98" s="28">
        <v>0</v>
      </c>
      <c r="P98" s="28">
        <v>0</v>
      </c>
      <c r="Q98" s="28">
        <v>0</v>
      </c>
      <c r="R98" s="28">
        <v>0</v>
      </c>
      <c r="S98" s="28">
        <v>0</v>
      </c>
      <c r="T98" s="28">
        <v>0</v>
      </c>
      <c r="U98" s="28">
        <v>0</v>
      </c>
      <c r="V98" s="28">
        <v>0</v>
      </c>
      <c r="W98" s="28">
        <v>0</v>
      </c>
      <c r="X98" s="28">
        <v>0</v>
      </c>
      <c r="Y98" s="40">
        <v>0</v>
      </c>
      <c r="AA98" s="52">
        <v>425.81</v>
      </c>
    </row>
    <row r="99" spans="2:27" ht="11.25" hidden="1">
      <c r="B99" s="39" t="s">
        <v>699</v>
      </c>
      <c r="C99" s="82" t="s">
        <v>691</v>
      </c>
      <c r="D99" s="83"/>
      <c r="E99" s="50" t="s">
        <v>123</v>
      </c>
      <c r="F99" s="28">
        <v>0</v>
      </c>
      <c r="G99" s="28">
        <v>0</v>
      </c>
      <c r="H99" s="28">
        <v>93.36224148338287</v>
      </c>
      <c r="I99" s="28">
        <v>93.36224148338287</v>
      </c>
      <c r="J99" s="28">
        <v>652.0182414833828</v>
      </c>
      <c r="K99" s="28">
        <v>46.36927554985143</v>
      </c>
      <c r="L99" s="28">
        <v>0</v>
      </c>
      <c r="M99" s="28">
        <v>0</v>
      </c>
      <c r="N99" s="28">
        <v>0</v>
      </c>
      <c r="O99" s="28">
        <v>0</v>
      </c>
      <c r="P99" s="28">
        <v>0</v>
      </c>
      <c r="Q99" s="28">
        <v>0</v>
      </c>
      <c r="R99" s="28">
        <v>0</v>
      </c>
      <c r="S99" s="28">
        <v>0</v>
      </c>
      <c r="T99" s="28">
        <v>0</v>
      </c>
      <c r="U99" s="28">
        <v>0</v>
      </c>
      <c r="V99" s="28">
        <v>0</v>
      </c>
      <c r="W99" s="28">
        <v>0</v>
      </c>
      <c r="X99" s="28">
        <v>0</v>
      </c>
      <c r="Y99" s="40">
        <v>0</v>
      </c>
      <c r="AA99" s="52"/>
    </row>
    <row r="100" spans="2:27" ht="11.25" hidden="1">
      <c r="B100" s="39" t="s">
        <v>142</v>
      </c>
      <c r="C100" s="82" t="s">
        <v>700</v>
      </c>
      <c r="D100" s="83"/>
      <c r="E100" s="50" t="s">
        <v>118</v>
      </c>
      <c r="F100" s="28">
        <v>89.51529838500001</v>
      </c>
      <c r="G100" s="28">
        <v>853.0968729210333</v>
      </c>
      <c r="H100" s="28">
        <v>6203.698150802151</v>
      </c>
      <c r="I100" s="28">
        <v>6014.727430635963</v>
      </c>
      <c r="J100" s="28">
        <v>1741.7319984842034</v>
      </c>
      <c r="K100" s="28">
        <v>319.2602590314714</v>
      </c>
      <c r="L100" s="28">
        <v>272.89098348161997</v>
      </c>
      <c r="M100" s="28">
        <v>272.89098348161997</v>
      </c>
      <c r="N100" s="28">
        <v>272.89098348161997</v>
      </c>
      <c r="O100" s="28">
        <v>272.89098348161997</v>
      </c>
      <c r="P100" s="28">
        <v>272.89098348161997</v>
      </c>
      <c r="Q100" s="28">
        <v>272.89098348161997</v>
      </c>
      <c r="R100" s="28">
        <v>272.89098348161997</v>
      </c>
      <c r="S100" s="28">
        <v>272.89098348161997</v>
      </c>
      <c r="T100" s="28">
        <v>272.89098348161997</v>
      </c>
      <c r="U100" s="28">
        <v>272.89098348161997</v>
      </c>
      <c r="V100" s="28">
        <v>272.89098348161997</v>
      </c>
      <c r="W100" s="28">
        <v>272.89098348161997</v>
      </c>
      <c r="X100" s="28">
        <v>272.89098348161997</v>
      </c>
      <c r="Y100" s="40">
        <v>272.89098348161997</v>
      </c>
      <c r="AA100" s="52">
        <f>+AA94+AA95+AA96</f>
        <v>22143.831983188997</v>
      </c>
    </row>
    <row r="101" spans="2:27" ht="11.25" hidden="1">
      <c r="B101" s="39" t="s">
        <v>553</v>
      </c>
      <c r="C101" s="82" t="s">
        <v>128</v>
      </c>
      <c r="D101" s="83"/>
      <c r="E101" s="50" t="s">
        <v>118</v>
      </c>
      <c r="F101" s="28">
        <v>0</v>
      </c>
      <c r="G101" s="28">
        <v>0</v>
      </c>
      <c r="H101" s="28">
        <v>17.49307927106729</v>
      </c>
      <c r="I101" s="28">
        <v>-17.070477806230667</v>
      </c>
      <c r="J101" s="28">
        <v>306.62812723631674</v>
      </c>
      <c r="K101" s="28">
        <v>170.7079890415966</v>
      </c>
      <c r="L101" s="28">
        <v>536.0472595280929</v>
      </c>
      <c r="M101" s="28">
        <v>1771.7071455525647</v>
      </c>
      <c r="N101" s="28">
        <v>2694.7064871054117</v>
      </c>
      <c r="O101" s="28">
        <v>3013.2636036203357</v>
      </c>
      <c r="P101" s="28">
        <v>3030.6964465081865</v>
      </c>
      <c r="Q101" s="28">
        <v>3033.5502801051325</v>
      </c>
      <c r="R101" s="28">
        <v>3036.34703703014</v>
      </c>
      <c r="S101" s="28">
        <v>3039.087858816648</v>
      </c>
      <c r="T101" s="28">
        <v>3041.773864167425</v>
      </c>
      <c r="U101" s="28">
        <v>3044.4061494111866</v>
      </c>
      <c r="V101" s="28">
        <v>3046.9857889500727</v>
      </c>
      <c r="W101" s="28">
        <v>3049.5138356981815</v>
      </c>
      <c r="X101" s="28">
        <v>3051.9913215113274</v>
      </c>
      <c r="Y101" s="40">
        <v>3054.4192576082114</v>
      </c>
      <c r="AA101" s="52"/>
    </row>
    <row r="102" spans="2:27" ht="11.25" hidden="1">
      <c r="B102" s="39" t="s">
        <v>554</v>
      </c>
      <c r="C102" s="82" t="s">
        <v>63</v>
      </c>
      <c r="D102" s="83"/>
      <c r="E102" s="50" t="s">
        <v>118</v>
      </c>
      <c r="F102" s="28">
        <v>0</v>
      </c>
      <c r="G102" s="28">
        <v>0</v>
      </c>
      <c r="H102" s="28">
        <v>0</v>
      </c>
      <c r="I102" s="28">
        <v>0</v>
      </c>
      <c r="J102" s="28">
        <v>79.71111111111111</v>
      </c>
      <c r="K102" s="28">
        <v>63.76888888888888</v>
      </c>
      <c r="L102" s="28">
        <v>47.826666666666654</v>
      </c>
      <c r="M102" s="28">
        <v>31.88444444444443</v>
      </c>
      <c r="N102" s="28">
        <v>15.942222222222208</v>
      </c>
      <c r="O102" s="28">
        <v>0</v>
      </c>
      <c r="P102" s="28">
        <v>0</v>
      </c>
      <c r="Q102" s="28">
        <v>0</v>
      </c>
      <c r="R102" s="28">
        <v>0</v>
      </c>
      <c r="S102" s="28">
        <v>0</v>
      </c>
      <c r="T102" s="28">
        <v>0</v>
      </c>
      <c r="U102" s="28">
        <v>0</v>
      </c>
      <c r="V102" s="28">
        <v>0</v>
      </c>
      <c r="W102" s="28">
        <v>0</v>
      </c>
      <c r="X102" s="28">
        <v>0</v>
      </c>
      <c r="Y102" s="40">
        <v>0</v>
      </c>
      <c r="AA102" s="52"/>
    </row>
    <row r="103" spans="2:27" ht="11.25" hidden="1">
      <c r="B103" s="39" t="s">
        <v>555</v>
      </c>
      <c r="C103" s="82" t="s">
        <v>522</v>
      </c>
      <c r="D103" s="83"/>
      <c r="E103" s="50" t="s">
        <v>118</v>
      </c>
      <c r="F103" s="28">
        <v>0</v>
      </c>
      <c r="G103" s="28">
        <v>0</v>
      </c>
      <c r="H103" s="28">
        <v>116.39569186307446</v>
      </c>
      <c r="I103" s="28">
        <v>436.55201636868725</v>
      </c>
      <c r="J103" s="28">
        <v>758.4577985895003</v>
      </c>
      <c r="K103" s="28">
        <v>874.618152094208</v>
      </c>
      <c r="L103" s="28">
        <v>923.8157021779764</v>
      </c>
      <c r="M103" s="28">
        <v>974.9811542650955</v>
      </c>
      <c r="N103" s="28">
        <v>1028.1932244356992</v>
      </c>
      <c r="O103" s="28">
        <v>1083.5337774131274</v>
      </c>
      <c r="P103" s="28">
        <v>1141.0879525096525</v>
      </c>
      <c r="Q103" s="28">
        <v>1200.944294610039</v>
      </c>
      <c r="R103" s="28">
        <v>1263.1948903944403</v>
      </c>
      <c r="S103" s="28">
        <v>1327.935510010218</v>
      </c>
      <c r="T103" s="28">
        <v>1395.2657544106269</v>
      </c>
      <c r="U103" s="28">
        <v>1465.2892085870521</v>
      </c>
      <c r="V103" s="28">
        <v>1538.1136009305342</v>
      </c>
      <c r="W103" s="28">
        <v>1613.8509689677553</v>
      </c>
      <c r="X103" s="28">
        <v>1692.6178317264655</v>
      </c>
      <c r="Y103" s="40">
        <v>1774.5353689955243</v>
      </c>
      <c r="AA103" s="52"/>
    </row>
    <row r="104" spans="2:27" ht="11.25" hidden="1">
      <c r="B104" s="39" t="s">
        <v>143</v>
      </c>
      <c r="C104" s="82" t="s">
        <v>556</v>
      </c>
      <c r="D104" s="83"/>
      <c r="E104" s="50" t="s">
        <v>123</v>
      </c>
      <c r="F104" s="28">
        <v>0</v>
      </c>
      <c r="G104" s="28">
        <v>0</v>
      </c>
      <c r="H104" s="28">
        <v>133.88877113414176</v>
      </c>
      <c r="I104" s="28">
        <v>419.4815385624566</v>
      </c>
      <c r="J104" s="28">
        <v>1144.7970369369282</v>
      </c>
      <c r="K104" s="28">
        <v>1109.0950300246934</v>
      </c>
      <c r="L104" s="28">
        <v>1507.6896283727358</v>
      </c>
      <c r="M104" s="28">
        <v>2778.5727442621046</v>
      </c>
      <c r="N104" s="28">
        <v>3738.8419337633336</v>
      </c>
      <c r="O104" s="28">
        <v>4096.797381033463</v>
      </c>
      <c r="P104" s="28">
        <v>4171.784399017839</v>
      </c>
      <c r="Q104" s="28">
        <v>4234.494574715171</v>
      </c>
      <c r="R104" s="28">
        <v>4299.5419274245805</v>
      </c>
      <c r="S104" s="28">
        <v>4367.023368826865</v>
      </c>
      <c r="T104" s="28">
        <v>4437.039618578052</v>
      </c>
      <c r="U104" s="28">
        <v>4509.695357998238</v>
      </c>
      <c r="V104" s="28">
        <v>4585.099389880606</v>
      </c>
      <c r="W104" s="28">
        <v>4663.364804665936</v>
      </c>
      <c r="X104" s="28">
        <v>4744.609153237793</v>
      </c>
      <c r="Y104" s="40">
        <v>4828.954626603736</v>
      </c>
      <c r="AA104" s="52"/>
    </row>
    <row r="105" spans="2:27" ht="11.25" hidden="1">
      <c r="B105" s="42" t="s">
        <v>144</v>
      </c>
      <c r="C105" s="84" t="s">
        <v>557</v>
      </c>
      <c r="D105" s="85"/>
      <c r="E105" s="50" t="s">
        <v>123</v>
      </c>
      <c r="F105" s="28">
        <v>-89.51529838500001</v>
      </c>
      <c r="G105" s="28">
        <v>-853.0968729210333</v>
      </c>
      <c r="H105" s="28">
        <v>-6069.809379668009</v>
      </c>
      <c r="I105" s="28">
        <v>-5595.245892073506</v>
      </c>
      <c r="J105" s="28">
        <v>-596.9349615472752</v>
      </c>
      <c r="K105" s="28">
        <v>789.834770993222</v>
      </c>
      <c r="L105" s="28">
        <v>1234.7986448911158</v>
      </c>
      <c r="M105" s="28">
        <v>2505.6817607804846</v>
      </c>
      <c r="N105" s="28">
        <v>3465.9509502817136</v>
      </c>
      <c r="O105" s="28">
        <v>3823.9063975518434</v>
      </c>
      <c r="P105" s="28">
        <v>3898.893415536219</v>
      </c>
      <c r="Q105" s="28">
        <v>3961.6035912335515</v>
      </c>
      <c r="R105" s="28">
        <v>4026.6509439429606</v>
      </c>
      <c r="S105" s="28">
        <v>4094.1323853452454</v>
      </c>
      <c r="T105" s="28">
        <v>4164.1486350964315</v>
      </c>
      <c r="U105" s="28">
        <v>4236.804374516618</v>
      </c>
      <c r="V105" s="28">
        <v>4312.208406398986</v>
      </c>
      <c r="W105" s="28">
        <v>4390.473821184316</v>
      </c>
      <c r="X105" s="28">
        <v>4471.718169756174</v>
      </c>
      <c r="Y105" s="40">
        <v>4556.0636431221155</v>
      </c>
      <c r="AA105" s="52"/>
    </row>
    <row r="106" spans="2:27" ht="11.25" hidden="1">
      <c r="B106" s="96" t="s">
        <v>145</v>
      </c>
      <c r="C106" s="91" t="s">
        <v>121</v>
      </c>
      <c r="D106" s="78">
        <f>+AA100</f>
        <v>22143.831983188997</v>
      </c>
      <c r="E106" s="94"/>
      <c r="F106" s="73"/>
      <c r="G106" s="73"/>
      <c r="H106" s="73"/>
      <c r="I106" s="73"/>
      <c r="J106" s="73"/>
      <c r="K106" s="73"/>
      <c r="L106" s="73"/>
      <c r="M106" s="73"/>
      <c r="N106" s="73"/>
      <c r="O106" s="73"/>
      <c r="P106" s="73"/>
      <c r="Q106" s="73"/>
      <c r="R106" s="73"/>
      <c r="S106" s="73"/>
      <c r="T106" s="73"/>
      <c r="U106" s="73"/>
      <c r="V106" s="73"/>
      <c r="W106" s="73"/>
      <c r="X106" s="73"/>
      <c r="Y106" s="74"/>
      <c r="AA106" s="52"/>
    </row>
    <row r="107" spans="2:27" ht="11.25" hidden="1">
      <c r="B107" s="96" t="s">
        <v>146</v>
      </c>
      <c r="C107" s="92" t="s">
        <v>596</v>
      </c>
      <c r="D107" s="113">
        <f>+AA98</f>
        <v>425.81</v>
      </c>
      <c r="E107" s="95"/>
      <c r="F107" s="54"/>
      <c r="G107" s="54"/>
      <c r="H107" s="54"/>
      <c r="I107" s="54"/>
      <c r="J107" s="54"/>
      <c r="K107" s="54"/>
      <c r="L107" s="54"/>
      <c r="M107" s="54"/>
      <c r="N107" s="54"/>
      <c r="O107" s="54"/>
      <c r="P107" s="54"/>
      <c r="Q107" s="54"/>
      <c r="R107" s="54"/>
      <c r="S107" s="54"/>
      <c r="T107" s="54"/>
      <c r="U107" s="54"/>
      <c r="V107" s="54"/>
      <c r="W107" s="54"/>
      <c r="X107" s="54"/>
      <c r="Y107" s="75"/>
      <c r="AA107" s="52"/>
    </row>
    <row r="108" spans="2:27" ht="11.25" hidden="1">
      <c r="B108" s="96" t="s">
        <v>558</v>
      </c>
      <c r="C108" s="92" t="s">
        <v>57</v>
      </c>
      <c r="D108" s="79">
        <f>+IRR(F105:Y105)</f>
        <v>0.15743015023164036</v>
      </c>
      <c r="E108" s="95"/>
      <c r="F108" s="88"/>
      <c r="G108" s="54"/>
      <c r="H108" s="54"/>
      <c r="I108" s="54"/>
      <c r="J108" s="54"/>
      <c r="K108" s="54"/>
      <c r="L108" s="54"/>
      <c r="M108" s="54"/>
      <c r="N108" s="54"/>
      <c r="O108" s="54"/>
      <c r="P108" s="54"/>
      <c r="Q108" s="54"/>
      <c r="R108" s="54"/>
      <c r="S108" s="54"/>
      <c r="T108" s="54"/>
      <c r="U108" s="54"/>
      <c r="V108" s="54"/>
      <c r="W108" s="54"/>
      <c r="X108" s="54"/>
      <c r="Y108" s="75"/>
      <c r="AA108" s="52"/>
    </row>
    <row r="109" spans="2:27" ht="12" hidden="1" thickBot="1">
      <c r="B109" s="107" t="s">
        <v>599</v>
      </c>
      <c r="C109" s="102" t="s">
        <v>120</v>
      </c>
      <c r="D109" s="103">
        <f>+NPV('Assumptions and Basic Info'!$C$20,F105:Y105)</f>
        <v>5496.996429622294</v>
      </c>
      <c r="E109" s="108"/>
      <c r="F109" s="105"/>
      <c r="G109" s="127"/>
      <c r="H109" s="105"/>
      <c r="I109" s="105"/>
      <c r="J109" s="105"/>
      <c r="K109" s="105"/>
      <c r="L109" s="105"/>
      <c r="M109" s="105"/>
      <c r="N109" s="105"/>
      <c r="O109" s="105"/>
      <c r="P109" s="105"/>
      <c r="Q109" s="105"/>
      <c r="R109" s="105"/>
      <c r="S109" s="105"/>
      <c r="T109" s="105"/>
      <c r="U109" s="105"/>
      <c r="V109" s="105"/>
      <c r="W109" s="105"/>
      <c r="X109" s="105"/>
      <c r="Y109" s="106"/>
      <c r="AA109" s="52"/>
    </row>
    <row r="110" spans="2:27" ht="11.25" hidden="1">
      <c r="B110" s="44" t="s">
        <v>149</v>
      </c>
      <c r="C110" s="23" t="s">
        <v>162</v>
      </c>
      <c r="D110" s="23"/>
      <c r="E110" s="51"/>
      <c r="F110" s="24"/>
      <c r="G110" s="24"/>
      <c r="H110" s="24"/>
      <c r="I110" s="24"/>
      <c r="J110" s="24"/>
      <c r="K110" s="24"/>
      <c r="L110" s="24"/>
      <c r="M110" s="24"/>
      <c r="N110" s="24"/>
      <c r="O110" s="24"/>
      <c r="P110" s="24"/>
      <c r="Q110" s="24"/>
      <c r="R110" s="24"/>
      <c r="S110" s="24"/>
      <c r="T110" s="24"/>
      <c r="U110" s="24"/>
      <c r="V110" s="24"/>
      <c r="W110" s="24"/>
      <c r="X110" s="24"/>
      <c r="Y110" s="45"/>
      <c r="AA110" s="52"/>
    </row>
    <row r="111" spans="2:29" ht="11.25" hidden="1">
      <c r="B111" s="37" t="s">
        <v>150</v>
      </c>
      <c r="C111" s="80" t="s">
        <v>124</v>
      </c>
      <c r="D111" s="81"/>
      <c r="E111" s="49" t="s">
        <v>54</v>
      </c>
      <c r="F111" s="27">
        <v>8562</v>
      </c>
      <c r="G111" s="27">
        <v>8428.666666666666</v>
      </c>
      <c r="H111" s="27">
        <v>8295.333333333334</v>
      </c>
      <c r="I111" s="27">
        <v>8162</v>
      </c>
      <c r="J111" s="27">
        <v>8028.666666666666</v>
      </c>
      <c r="K111" s="27">
        <v>7895.333333333334</v>
      </c>
      <c r="L111" s="27">
        <v>7762</v>
      </c>
      <c r="M111" s="27">
        <v>7628.666666666666</v>
      </c>
      <c r="N111" s="27">
        <v>7495.333333333334</v>
      </c>
      <c r="O111" s="27">
        <v>7362</v>
      </c>
      <c r="P111" s="27">
        <v>7362</v>
      </c>
      <c r="Q111" s="27">
        <v>7362</v>
      </c>
      <c r="R111" s="27">
        <v>7362</v>
      </c>
      <c r="S111" s="27">
        <v>7362</v>
      </c>
      <c r="T111" s="27">
        <v>7362</v>
      </c>
      <c r="U111" s="27">
        <v>7362</v>
      </c>
      <c r="V111" s="27">
        <v>7362</v>
      </c>
      <c r="W111" s="27">
        <v>7362</v>
      </c>
      <c r="X111" s="27">
        <v>7362</v>
      </c>
      <c r="Y111" s="38">
        <v>7362</v>
      </c>
      <c r="AA111" s="52">
        <v>8562</v>
      </c>
      <c r="AB111" s="116" t="s">
        <v>126</v>
      </c>
      <c r="AC111" s="52"/>
    </row>
    <row r="112" spans="2:28" ht="11.25" hidden="1">
      <c r="B112" s="39" t="s">
        <v>151</v>
      </c>
      <c r="C112" s="82" t="s">
        <v>125</v>
      </c>
      <c r="D112" s="83"/>
      <c r="E112" s="50" t="s">
        <v>54</v>
      </c>
      <c r="F112" s="28">
        <v>8562</v>
      </c>
      <c r="G112" s="28">
        <v>8428.666666666666</v>
      </c>
      <c r="H112" s="28">
        <v>8612.512604371226</v>
      </c>
      <c r="I112" s="28">
        <v>10101.193809859253</v>
      </c>
      <c r="J112" s="28">
        <v>14949.013853267768</v>
      </c>
      <c r="K112" s="28">
        <v>15521</v>
      </c>
      <c r="L112" s="28">
        <v>15521</v>
      </c>
      <c r="M112" s="28">
        <v>15521</v>
      </c>
      <c r="N112" s="28">
        <v>15521</v>
      </c>
      <c r="O112" s="28">
        <v>15521</v>
      </c>
      <c r="P112" s="28">
        <v>15521</v>
      </c>
      <c r="Q112" s="28">
        <v>15521</v>
      </c>
      <c r="R112" s="28">
        <v>15521</v>
      </c>
      <c r="S112" s="28">
        <v>15521</v>
      </c>
      <c r="T112" s="28">
        <v>15521</v>
      </c>
      <c r="U112" s="28">
        <v>15521</v>
      </c>
      <c r="V112" s="28">
        <v>15521</v>
      </c>
      <c r="W112" s="28">
        <v>15521</v>
      </c>
      <c r="X112" s="28">
        <v>15521</v>
      </c>
      <c r="Y112" s="40">
        <v>15521</v>
      </c>
      <c r="AA112" s="52">
        <v>15521</v>
      </c>
      <c r="AB112" s="116" t="s">
        <v>127</v>
      </c>
    </row>
    <row r="113" spans="2:29" ht="11.25" hidden="1">
      <c r="B113" s="39" t="s">
        <v>152</v>
      </c>
      <c r="C113" s="82" t="s">
        <v>81</v>
      </c>
      <c r="D113" s="83"/>
      <c r="E113" s="50" t="s">
        <v>54</v>
      </c>
      <c r="F113" s="28">
        <v>0</v>
      </c>
      <c r="G113" s="28">
        <v>0</v>
      </c>
      <c r="H113" s="28">
        <v>317.17927103789225</v>
      </c>
      <c r="I113" s="28">
        <v>1939.1938098592527</v>
      </c>
      <c r="J113" s="28">
        <v>6920.347186601102</v>
      </c>
      <c r="K113" s="28">
        <v>7625.666666666666</v>
      </c>
      <c r="L113" s="28">
        <v>7759</v>
      </c>
      <c r="M113" s="28">
        <v>7892.333333333334</v>
      </c>
      <c r="N113" s="28">
        <v>8025.666666666666</v>
      </c>
      <c r="O113" s="28">
        <v>8159</v>
      </c>
      <c r="P113" s="28">
        <v>8159</v>
      </c>
      <c r="Q113" s="28">
        <v>8159</v>
      </c>
      <c r="R113" s="28">
        <v>8159</v>
      </c>
      <c r="S113" s="28">
        <v>8159</v>
      </c>
      <c r="T113" s="28">
        <v>8159</v>
      </c>
      <c r="U113" s="28">
        <v>8159</v>
      </c>
      <c r="V113" s="28">
        <v>8159</v>
      </c>
      <c r="W113" s="28">
        <v>8159</v>
      </c>
      <c r="X113" s="28">
        <v>8159</v>
      </c>
      <c r="Y113" s="40">
        <v>8159</v>
      </c>
      <c r="AA113" s="52">
        <v>6959</v>
      </c>
      <c r="AB113" s="116" t="s">
        <v>127</v>
      </c>
      <c r="AC113" s="52">
        <v>6959</v>
      </c>
    </row>
    <row r="114" spans="2:28" ht="11.25" hidden="1">
      <c r="B114" s="39" t="s">
        <v>153</v>
      </c>
      <c r="C114" s="82" t="s">
        <v>65</v>
      </c>
      <c r="D114" s="83"/>
      <c r="E114" s="50" t="s">
        <v>119</v>
      </c>
      <c r="F114" s="28">
        <v>0</v>
      </c>
      <c r="G114" s="28">
        <v>0</v>
      </c>
      <c r="H114" s="28">
        <v>0</v>
      </c>
      <c r="I114" s="28">
        <v>0</v>
      </c>
      <c r="J114" s="28">
        <v>3944.4444444444453</v>
      </c>
      <c r="K114" s="28">
        <v>3155.5555555555566</v>
      </c>
      <c r="L114" s="28">
        <v>2366.666666666668</v>
      </c>
      <c r="M114" s="28">
        <v>1577.777777777779</v>
      </c>
      <c r="N114" s="28">
        <v>788.88888888889</v>
      </c>
      <c r="O114" s="28">
        <v>0</v>
      </c>
      <c r="P114" s="28">
        <v>0</v>
      </c>
      <c r="Q114" s="28">
        <v>0</v>
      </c>
      <c r="R114" s="28">
        <v>0</v>
      </c>
      <c r="S114" s="28">
        <v>0</v>
      </c>
      <c r="T114" s="28">
        <v>0</v>
      </c>
      <c r="U114" s="28">
        <v>0</v>
      </c>
      <c r="V114" s="28">
        <v>0</v>
      </c>
      <c r="W114" s="28">
        <v>0</v>
      </c>
      <c r="X114" s="28">
        <v>0</v>
      </c>
      <c r="Y114" s="40">
        <v>0</v>
      </c>
      <c r="AA114" s="52">
        <v>7100</v>
      </c>
      <c r="AB114" s="116" t="s">
        <v>127</v>
      </c>
    </row>
    <row r="115" spans="2:28" ht="11.25" hidden="1">
      <c r="B115" s="39" t="s">
        <v>154</v>
      </c>
      <c r="C115" s="82" t="s">
        <v>516</v>
      </c>
      <c r="D115" s="83"/>
      <c r="E115" s="50" t="s">
        <v>526</v>
      </c>
      <c r="F115" s="28">
        <v>0</v>
      </c>
      <c r="G115" s="28">
        <v>0</v>
      </c>
      <c r="H115" s="28">
        <v>0</v>
      </c>
      <c r="I115" s="28">
        <v>5420.751739465506</v>
      </c>
      <c r="J115" s="28">
        <v>9483.397483187893</v>
      </c>
      <c r="K115" s="28">
        <v>11193.511960096886</v>
      </c>
      <c r="L115" s="28">
        <v>11940.536842170488</v>
      </c>
      <c r="M115" s="28">
        <v>12717.442719527033</v>
      </c>
      <c r="N115" s="28">
        <v>13525.424831977838</v>
      </c>
      <c r="O115" s="28">
        <v>14365.726228926676</v>
      </c>
      <c r="P115" s="28">
        <v>15239.63968175347</v>
      </c>
      <c r="Q115" s="28">
        <v>16148.509672693333</v>
      </c>
      <c r="R115" s="28">
        <v>17093.734463270794</v>
      </c>
      <c r="S115" s="28">
        <v>18076.76824547135</v>
      </c>
      <c r="T115" s="28">
        <v>19099.12337895993</v>
      </c>
      <c r="U115" s="28">
        <v>20162.37271778805</v>
      </c>
      <c r="V115" s="28">
        <v>21268.152030169298</v>
      </c>
      <c r="W115" s="28">
        <v>22418.162515045795</v>
      </c>
      <c r="X115" s="28">
        <v>23614.17341931735</v>
      </c>
      <c r="Y115" s="40">
        <v>24858.02475975977</v>
      </c>
      <c r="AA115" s="52">
        <v>8000</v>
      </c>
      <c r="AB115" s="116"/>
    </row>
    <row r="116" spans="2:27" ht="11.25" hidden="1">
      <c r="B116" s="39" t="s">
        <v>155</v>
      </c>
      <c r="C116" s="82" t="s">
        <v>58</v>
      </c>
      <c r="D116" s="83"/>
      <c r="E116" s="50" t="s">
        <v>123</v>
      </c>
      <c r="F116" s="28">
        <v>0</v>
      </c>
      <c r="G116" s="28">
        <v>283.47826086956525</v>
      </c>
      <c r="H116" s="28">
        <v>4473.947826086957</v>
      </c>
      <c r="I116" s="28">
        <v>2274.6</v>
      </c>
      <c r="J116" s="28">
        <v>324.05875859347816</v>
      </c>
      <c r="K116" s="28">
        <v>0</v>
      </c>
      <c r="L116" s="31">
        <v>0</v>
      </c>
      <c r="M116" s="31">
        <v>0</v>
      </c>
      <c r="N116" s="31">
        <v>0</v>
      </c>
      <c r="O116" s="31">
        <v>0</v>
      </c>
      <c r="P116" s="31">
        <v>0</v>
      </c>
      <c r="Q116" s="31">
        <v>0</v>
      </c>
      <c r="R116" s="31">
        <v>0</v>
      </c>
      <c r="S116" s="31">
        <v>0</v>
      </c>
      <c r="T116" s="31">
        <v>0</v>
      </c>
      <c r="U116" s="31">
        <v>0</v>
      </c>
      <c r="V116" s="31">
        <v>0</v>
      </c>
      <c r="W116" s="31">
        <v>0</v>
      </c>
      <c r="X116" s="31">
        <v>0</v>
      </c>
      <c r="Y116" s="46">
        <v>0</v>
      </c>
      <c r="AA116" s="52">
        <v>7356.08484555</v>
      </c>
    </row>
    <row r="117" spans="2:27" ht="11.25" hidden="1">
      <c r="B117" s="39" t="s">
        <v>156</v>
      </c>
      <c r="C117" s="82" t="s">
        <v>24</v>
      </c>
      <c r="D117" s="83"/>
      <c r="E117" s="50" t="s">
        <v>123</v>
      </c>
      <c r="F117" s="28">
        <v>0</v>
      </c>
      <c r="G117" s="28">
        <v>42.52173913043478</v>
      </c>
      <c r="H117" s="28">
        <v>671.0921739130436</v>
      </c>
      <c r="I117" s="28">
        <v>341.19</v>
      </c>
      <c r="J117" s="28">
        <v>48.608813789021724</v>
      </c>
      <c r="K117" s="28">
        <v>0</v>
      </c>
      <c r="L117" s="28">
        <v>0</v>
      </c>
      <c r="M117" s="28">
        <v>0</v>
      </c>
      <c r="N117" s="28">
        <v>0</v>
      </c>
      <c r="O117" s="28">
        <v>0</v>
      </c>
      <c r="P117" s="28">
        <v>0</v>
      </c>
      <c r="Q117" s="28">
        <v>0</v>
      </c>
      <c r="R117" s="28">
        <v>0</v>
      </c>
      <c r="S117" s="28">
        <v>0</v>
      </c>
      <c r="T117" s="28">
        <v>0</v>
      </c>
      <c r="U117" s="28">
        <v>0</v>
      </c>
      <c r="V117" s="31">
        <v>0</v>
      </c>
      <c r="W117" s="31">
        <v>0</v>
      </c>
      <c r="X117" s="31">
        <v>0</v>
      </c>
      <c r="Y117" s="46">
        <v>0</v>
      </c>
      <c r="AA117" s="54">
        <f>+AA116*'Assumptions and Basic Info'!$C$4</f>
        <v>7356.08484555</v>
      </c>
    </row>
    <row r="118" spans="2:27" ht="11.25" hidden="1">
      <c r="B118" s="39" t="s">
        <v>559</v>
      </c>
      <c r="C118" s="82" t="s">
        <v>83</v>
      </c>
      <c r="D118" s="83"/>
      <c r="E118" s="50" t="s">
        <v>123</v>
      </c>
      <c r="F118" s="28">
        <v>0</v>
      </c>
      <c r="G118" s="28">
        <v>133.37356499999999</v>
      </c>
      <c r="H118" s="28">
        <v>397.098956327445</v>
      </c>
      <c r="I118" s="28">
        <v>201.716178672555</v>
      </c>
      <c r="J118" s="28">
        <v>29.166081514424995</v>
      </c>
      <c r="K118" s="28">
        <v>0</v>
      </c>
      <c r="L118" s="28">
        <v>0</v>
      </c>
      <c r="M118" s="28">
        <v>0</v>
      </c>
      <c r="N118" s="28">
        <v>0</v>
      </c>
      <c r="O118" s="28">
        <v>0</v>
      </c>
      <c r="P118" s="28">
        <v>0</v>
      </c>
      <c r="Q118" s="28">
        <v>0</v>
      </c>
      <c r="R118" s="28">
        <v>0</v>
      </c>
      <c r="S118" s="28">
        <v>0</v>
      </c>
      <c r="T118" s="28">
        <v>0</v>
      </c>
      <c r="U118" s="28">
        <v>0</v>
      </c>
      <c r="V118" s="31">
        <v>0</v>
      </c>
      <c r="W118" s="31">
        <v>0</v>
      </c>
      <c r="X118" s="31">
        <v>0</v>
      </c>
      <c r="Y118" s="46">
        <v>0</v>
      </c>
      <c r="AA118" s="54">
        <v>761.354781514425</v>
      </c>
    </row>
    <row r="119" spans="2:27" ht="11.25" hidden="1">
      <c r="B119" s="39" t="s">
        <v>560</v>
      </c>
      <c r="C119" s="82" t="s">
        <v>82</v>
      </c>
      <c r="D119" s="83"/>
      <c r="E119" s="50" t="s">
        <v>123</v>
      </c>
      <c r="F119" s="28">
        <v>0</v>
      </c>
      <c r="G119" s="28">
        <v>0</v>
      </c>
      <c r="H119" s="28">
        <v>8.337860500000001</v>
      </c>
      <c r="I119" s="28">
        <v>127.48982955309782</v>
      </c>
      <c r="J119" s="28">
        <v>183.8399531265489</v>
      </c>
      <c r="K119" s="28">
        <v>191.87662620448742</v>
      </c>
      <c r="L119" s="28">
        <v>191.87662620448742</v>
      </c>
      <c r="M119" s="28">
        <v>191.87662620448742</v>
      </c>
      <c r="N119" s="28">
        <v>191.87662620448742</v>
      </c>
      <c r="O119" s="28">
        <v>191.87662620448742</v>
      </c>
      <c r="P119" s="28">
        <v>191.87662620448742</v>
      </c>
      <c r="Q119" s="28">
        <v>191.87662620448742</v>
      </c>
      <c r="R119" s="28">
        <v>191.87662620448742</v>
      </c>
      <c r="S119" s="28">
        <v>191.87662620448742</v>
      </c>
      <c r="T119" s="28">
        <v>191.87662620448742</v>
      </c>
      <c r="U119" s="28">
        <v>191.87662620448742</v>
      </c>
      <c r="V119" s="28">
        <v>191.87662620448742</v>
      </c>
      <c r="W119" s="28">
        <v>191.87662620448742</v>
      </c>
      <c r="X119" s="28">
        <v>191.87662620448742</v>
      </c>
      <c r="Y119" s="40">
        <v>191.87662620448742</v>
      </c>
      <c r="AA119" s="52"/>
    </row>
    <row r="120" spans="2:27" ht="11.25" hidden="1">
      <c r="B120" s="39" t="s">
        <v>619</v>
      </c>
      <c r="C120" s="82" t="s">
        <v>578</v>
      </c>
      <c r="D120" s="83"/>
      <c r="E120" s="50" t="s">
        <v>123</v>
      </c>
      <c r="F120" s="28">
        <v>0</v>
      </c>
      <c r="G120" s="28">
        <v>109.78</v>
      </c>
      <c r="H120" s="28">
        <v>0</v>
      </c>
      <c r="I120" s="28">
        <v>0</v>
      </c>
      <c r="J120" s="28">
        <v>0</v>
      </c>
      <c r="K120" s="28">
        <v>0</v>
      </c>
      <c r="L120" s="28">
        <v>0</v>
      </c>
      <c r="M120" s="28">
        <v>0</v>
      </c>
      <c r="N120" s="28">
        <v>0</v>
      </c>
      <c r="O120" s="28">
        <v>0</v>
      </c>
      <c r="P120" s="28">
        <v>0</v>
      </c>
      <c r="Q120" s="28">
        <v>0</v>
      </c>
      <c r="R120" s="28">
        <v>0</v>
      </c>
      <c r="S120" s="28">
        <v>0</v>
      </c>
      <c r="T120" s="28">
        <v>0</v>
      </c>
      <c r="U120" s="28">
        <v>0</v>
      </c>
      <c r="V120" s="28">
        <v>0</v>
      </c>
      <c r="W120" s="28">
        <v>0</v>
      </c>
      <c r="X120" s="28">
        <v>0</v>
      </c>
      <c r="Y120" s="40">
        <v>0</v>
      </c>
      <c r="AA120" s="52">
        <v>109.78</v>
      </c>
    </row>
    <row r="121" spans="2:27" ht="11.25" hidden="1">
      <c r="B121" s="39" t="s">
        <v>701</v>
      </c>
      <c r="C121" s="82" t="s">
        <v>691</v>
      </c>
      <c r="D121" s="83"/>
      <c r="E121" s="50" t="s">
        <v>123</v>
      </c>
      <c r="F121" s="28">
        <v>0</v>
      </c>
      <c r="G121" s="28">
        <v>0</v>
      </c>
      <c r="H121" s="28">
        <v>5.392047607644171</v>
      </c>
      <c r="I121" s="28">
        <v>5.392047607644171</v>
      </c>
      <c r="J121" s="28">
        <v>54.26704760764417</v>
      </c>
      <c r="K121" s="28">
        <v>2.6088571770674833</v>
      </c>
      <c r="L121" s="28">
        <v>0</v>
      </c>
      <c r="M121" s="28">
        <v>0</v>
      </c>
      <c r="N121" s="28">
        <v>0</v>
      </c>
      <c r="O121" s="28">
        <v>0</v>
      </c>
      <c r="P121" s="28">
        <v>0</v>
      </c>
      <c r="Q121" s="28">
        <v>0</v>
      </c>
      <c r="R121" s="28">
        <v>0</v>
      </c>
      <c r="S121" s="28">
        <v>0</v>
      </c>
      <c r="T121" s="28">
        <v>0</v>
      </c>
      <c r="U121" s="28">
        <v>0</v>
      </c>
      <c r="V121" s="28">
        <v>0</v>
      </c>
      <c r="W121" s="28">
        <v>0</v>
      </c>
      <c r="X121" s="28">
        <v>0</v>
      </c>
      <c r="Y121" s="40">
        <v>0</v>
      </c>
      <c r="AA121" s="52"/>
    </row>
    <row r="122" spans="2:27" ht="11.25" hidden="1">
      <c r="B122" s="39" t="s">
        <v>157</v>
      </c>
      <c r="C122" s="82" t="s">
        <v>702</v>
      </c>
      <c r="D122" s="83"/>
      <c r="E122" s="50" t="s">
        <v>123</v>
      </c>
      <c r="F122" s="28">
        <v>0</v>
      </c>
      <c r="G122" s="28">
        <v>569.153565</v>
      </c>
      <c r="H122" s="28">
        <v>5550.476816827446</v>
      </c>
      <c r="I122" s="28">
        <v>2944.996008225652</v>
      </c>
      <c r="J122" s="28">
        <v>585.6736070234738</v>
      </c>
      <c r="K122" s="28">
        <v>191.87662620448742</v>
      </c>
      <c r="L122" s="28">
        <v>191.87662620448742</v>
      </c>
      <c r="M122" s="28">
        <v>191.87662620448742</v>
      </c>
      <c r="N122" s="28">
        <v>191.87662620448742</v>
      </c>
      <c r="O122" s="28">
        <v>191.87662620448742</v>
      </c>
      <c r="P122" s="28">
        <v>191.87662620448742</v>
      </c>
      <c r="Q122" s="28">
        <v>191.87662620448742</v>
      </c>
      <c r="R122" s="28">
        <v>191.87662620448742</v>
      </c>
      <c r="S122" s="28">
        <v>191.87662620448742</v>
      </c>
      <c r="T122" s="28">
        <v>191.87662620448742</v>
      </c>
      <c r="U122" s="28">
        <v>191.87662620448742</v>
      </c>
      <c r="V122" s="28">
        <v>191.87662620448742</v>
      </c>
      <c r="W122" s="28">
        <v>191.87662620448742</v>
      </c>
      <c r="X122" s="28">
        <v>191.87662620448742</v>
      </c>
      <c r="Y122" s="40">
        <v>191.87662620448742</v>
      </c>
      <c r="AA122" s="52">
        <f>+AA116+AA117+AA118</f>
        <v>15473.524472614425</v>
      </c>
    </row>
    <row r="123" spans="2:27" ht="11.25" hidden="1">
      <c r="B123" s="39" t="s">
        <v>561</v>
      </c>
      <c r="C123" s="82" t="s">
        <v>128</v>
      </c>
      <c r="D123" s="83"/>
      <c r="E123" s="50" t="s">
        <v>123</v>
      </c>
      <c r="F123" s="28">
        <v>0</v>
      </c>
      <c r="G123" s="28">
        <v>0</v>
      </c>
      <c r="H123" s="28">
        <v>93.07786898628795</v>
      </c>
      <c r="I123" s="28">
        <v>252.3151052770388</v>
      </c>
      <c r="J123" s="28">
        <v>1718.4373453124847</v>
      </c>
      <c r="K123" s="28">
        <v>2599.6255812684167</v>
      </c>
      <c r="L123" s="28">
        <v>3419.471194304987</v>
      </c>
      <c r="M123" s="28">
        <v>3593.400506872507</v>
      </c>
      <c r="N123" s="28">
        <v>3735.7403005598626</v>
      </c>
      <c r="O123" s="28">
        <v>3841.313692243749</v>
      </c>
      <c r="P123" s="28">
        <v>3841.5402454010054</v>
      </c>
      <c r="Q123" s="28">
        <v>3841.5402454010054</v>
      </c>
      <c r="R123" s="28">
        <v>3841.5402454010054</v>
      </c>
      <c r="S123" s="28">
        <v>3841.5402454010054</v>
      </c>
      <c r="T123" s="28">
        <v>3841.5402454010054</v>
      </c>
      <c r="U123" s="28">
        <v>3841.5402454010054</v>
      </c>
      <c r="V123" s="28">
        <v>3841.5402454010054</v>
      </c>
      <c r="W123" s="28">
        <v>3841.5402454010054</v>
      </c>
      <c r="X123" s="28">
        <v>3841.5402454010054</v>
      </c>
      <c r="Y123" s="40">
        <v>3841.5402454010054</v>
      </c>
      <c r="AA123" s="52"/>
    </row>
    <row r="124" spans="2:27" ht="11.25" hidden="1">
      <c r="B124" s="39" t="s">
        <v>562</v>
      </c>
      <c r="C124" s="82" t="s">
        <v>63</v>
      </c>
      <c r="D124" s="83"/>
      <c r="E124" s="50" t="s">
        <v>123</v>
      </c>
      <c r="F124" s="28">
        <v>0</v>
      </c>
      <c r="G124" s="28">
        <v>0</v>
      </c>
      <c r="H124" s="28">
        <v>0</v>
      </c>
      <c r="I124" s="28">
        <v>0</v>
      </c>
      <c r="J124" s="28">
        <v>166.45555555555558</v>
      </c>
      <c r="K124" s="28">
        <v>133.16444444444448</v>
      </c>
      <c r="L124" s="28">
        <v>99.87333333333339</v>
      </c>
      <c r="M124" s="28">
        <v>66.58222222222227</v>
      </c>
      <c r="N124" s="28">
        <v>33.291111111111164</v>
      </c>
      <c r="O124" s="28">
        <v>0</v>
      </c>
      <c r="P124" s="28">
        <v>0</v>
      </c>
      <c r="Q124" s="28">
        <v>0</v>
      </c>
      <c r="R124" s="28">
        <v>0</v>
      </c>
      <c r="S124" s="28">
        <v>0</v>
      </c>
      <c r="T124" s="28">
        <v>0</v>
      </c>
      <c r="U124" s="28">
        <v>0</v>
      </c>
      <c r="V124" s="28">
        <v>0</v>
      </c>
      <c r="W124" s="28">
        <v>0</v>
      </c>
      <c r="X124" s="28">
        <v>0</v>
      </c>
      <c r="Y124" s="40">
        <v>0</v>
      </c>
      <c r="AA124" s="52"/>
    </row>
    <row r="125" spans="2:27" ht="11.25" hidden="1">
      <c r="B125" s="39" t="s">
        <v>563</v>
      </c>
      <c r="C125" s="82" t="s">
        <v>522</v>
      </c>
      <c r="D125" s="83"/>
      <c r="E125" s="50" t="s">
        <v>123</v>
      </c>
      <c r="F125" s="28">
        <v>0</v>
      </c>
      <c r="G125" s="28">
        <v>0</v>
      </c>
      <c r="H125" s="28">
        <v>0</v>
      </c>
      <c r="I125" s="28">
        <v>137.68709418242383</v>
      </c>
      <c r="J125" s="28">
        <v>240.87829607297246</v>
      </c>
      <c r="K125" s="28">
        <v>284.3152037864609</v>
      </c>
      <c r="L125" s="28">
        <v>303.28963579113037</v>
      </c>
      <c r="M125" s="28">
        <v>323.0230450759866</v>
      </c>
      <c r="N125" s="28">
        <v>343.54579073223704</v>
      </c>
      <c r="O125" s="28">
        <v>364.8894462147375</v>
      </c>
      <c r="P125" s="28">
        <v>387.08684791653815</v>
      </c>
      <c r="Q125" s="28">
        <v>410.17214568641066</v>
      </c>
      <c r="R125" s="28">
        <v>434.18085536707815</v>
      </c>
      <c r="S125" s="28">
        <v>459.1499134349723</v>
      </c>
      <c r="T125" s="28">
        <v>485.11773382558215</v>
      </c>
      <c r="U125" s="28">
        <v>512.1242670318164</v>
      </c>
      <c r="V125" s="28">
        <v>540.2110615663001</v>
      </c>
      <c r="W125" s="28">
        <v>569.4213278821632</v>
      </c>
      <c r="X125" s="28">
        <v>599.8000048506607</v>
      </c>
      <c r="Y125" s="40">
        <v>631.3938288978981</v>
      </c>
      <c r="AA125" s="52"/>
    </row>
    <row r="126" spans="2:27" ht="11.25" hidden="1">
      <c r="B126" s="39" t="s">
        <v>158</v>
      </c>
      <c r="C126" s="82" t="s">
        <v>564</v>
      </c>
      <c r="D126" s="83"/>
      <c r="E126" s="50" t="s">
        <v>123</v>
      </c>
      <c r="F126" s="28">
        <v>0</v>
      </c>
      <c r="G126" s="28">
        <v>0</v>
      </c>
      <c r="H126" s="28">
        <v>93.07786898628795</v>
      </c>
      <c r="I126" s="28">
        <v>390.00219945946264</v>
      </c>
      <c r="J126" s="28">
        <v>2125.7711969410125</v>
      </c>
      <c r="K126" s="28">
        <v>3017.1052294993224</v>
      </c>
      <c r="L126" s="28">
        <v>3822.634163429451</v>
      </c>
      <c r="M126" s="28">
        <v>3983.005774170716</v>
      </c>
      <c r="N126" s="28">
        <v>4112.57720240321</v>
      </c>
      <c r="O126" s="28">
        <v>4206.203138458486</v>
      </c>
      <c r="P126" s="28">
        <v>4228.627093317544</v>
      </c>
      <c r="Q126" s="28">
        <v>4251.712391087416</v>
      </c>
      <c r="R126" s="28">
        <v>4275.7211007680835</v>
      </c>
      <c r="S126" s="28">
        <v>4300.690158835978</v>
      </c>
      <c r="T126" s="28">
        <v>4326.6579792265875</v>
      </c>
      <c r="U126" s="28">
        <v>4353.6645124328215</v>
      </c>
      <c r="V126" s="28">
        <v>4381.751306967306</v>
      </c>
      <c r="W126" s="28">
        <v>4410.961573283169</v>
      </c>
      <c r="X126" s="28">
        <v>4441.3402502516665</v>
      </c>
      <c r="Y126" s="40">
        <v>4472.934074298903</v>
      </c>
      <c r="AA126" s="52"/>
    </row>
    <row r="127" spans="2:27" ht="11.25" hidden="1">
      <c r="B127" s="42" t="s">
        <v>159</v>
      </c>
      <c r="C127" s="84" t="s">
        <v>565</v>
      </c>
      <c r="D127" s="85"/>
      <c r="E127" s="50" t="s">
        <v>123</v>
      </c>
      <c r="F127" s="28">
        <v>0</v>
      </c>
      <c r="G127" s="28">
        <v>-569.153565</v>
      </c>
      <c r="H127" s="28">
        <v>-5457.398947841158</v>
      </c>
      <c r="I127" s="28">
        <v>-2554.9938087661894</v>
      </c>
      <c r="J127" s="28">
        <v>1540.0975899175387</v>
      </c>
      <c r="K127" s="28">
        <v>2825.228603294835</v>
      </c>
      <c r="L127" s="28">
        <v>3630.7575372249635</v>
      </c>
      <c r="M127" s="28">
        <v>3791.1291479662286</v>
      </c>
      <c r="N127" s="28">
        <v>3920.700576198723</v>
      </c>
      <c r="O127" s="28">
        <v>4014.3265122539988</v>
      </c>
      <c r="P127" s="28">
        <v>4036.7504671130564</v>
      </c>
      <c r="Q127" s="28">
        <v>4059.8357648829287</v>
      </c>
      <c r="R127" s="28">
        <v>4083.844474563596</v>
      </c>
      <c r="S127" s="28">
        <v>4108.8135326314905</v>
      </c>
      <c r="T127" s="28">
        <v>4134.7813530221</v>
      </c>
      <c r="U127" s="28">
        <v>4161.787886228334</v>
      </c>
      <c r="V127" s="28">
        <v>4189.874680762819</v>
      </c>
      <c r="W127" s="28">
        <v>4219.084947078682</v>
      </c>
      <c r="X127" s="28">
        <v>4249.463624047179</v>
      </c>
      <c r="Y127" s="40">
        <v>4281.057448094416</v>
      </c>
      <c r="AA127" s="52"/>
    </row>
    <row r="128" spans="2:27" ht="11.25" hidden="1">
      <c r="B128" s="96" t="s">
        <v>160</v>
      </c>
      <c r="C128" s="91" t="s">
        <v>121</v>
      </c>
      <c r="D128" s="78">
        <f>+AA122</f>
        <v>15473.524472614425</v>
      </c>
      <c r="E128" s="94"/>
      <c r="F128" s="73"/>
      <c r="G128" s="73"/>
      <c r="H128" s="73"/>
      <c r="I128" s="73"/>
      <c r="J128" s="73"/>
      <c r="K128" s="73"/>
      <c r="L128" s="73"/>
      <c r="M128" s="73"/>
      <c r="N128" s="73"/>
      <c r="O128" s="73"/>
      <c r="P128" s="73"/>
      <c r="Q128" s="73"/>
      <c r="R128" s="73"/>
      <c r="S128" s="73"/>
      <c r="T128" s="73"/>
      <c r="U128" s="73"/>
      <c r="V128" s="73"/>
      <c r="W128" s="73"/>
      <c r="X128" s="73"/>
      <c r="Y128" s="74"/>
      <c r="AA128" s="52"/>
    </row>
    <row r="129" spans="2:27" ht="11.25" hidden="1">
      <c r="B129" s="96" t="s">
        <v>161</v>
      </c>
      <c r="C129" s="92" t="s">
        <v>596</v>
      </c>
      <c r="D129" s="113">
        <f>+AA120</f>
        <v>109.78</v>
      </c>
      <c r="E129" s="95"/>
      <c r="F129" s="54"/>
      <c r="G129" s="54"/>
      <c r="H129" s="54"/>
      <c r="I129" s="54"/>
      <c r="J129" s="54"/>
      <c r="K129" s="54"/>
      <c r="L129" s="54"/>
      <c r="M129" s="54"/>
      <c r="N129" s="54"/>
      <c r="O129" s="54"/>
      <c r="P129" s="54"/>
      <c r="Q129" s="54"/>
      <c r="R129" s="54"/>
      <c r="S129" s="54"/>
      <c r="T129" s="54"/>
      <c r="U129" s="54"/>
      <c r="V129" s="54"/>
      <c r="W129" s="54"/>
      <c r="X129" s="54"/>
      <c r="Y129" s="75"/>
      <c r="AA129" s="52"/>
    </row>
    <row r="130" spans="2:27" ht="11.25" hidden="1">
      <c r="B130" s="96" t="s">
        <v>566</v>
      </c>
      <c r="C130" s="92" t="s">
        <v>57</v>
      </c>
      <c r="D130" s="79">
        <f>+IRR(F127:Y127)</f>
        <v>0.29435860166973654</v>
      </c>
      <c r="E130" s="95"/>
      <c r="F130" s="88"/>
      <c r="G130" s="54"/>
      <c r="H130" s="54"/>
      <c r="I130" s="54"/>
      <c r="J130" s="54"/>
      <c r="K130" s="54"/>
      <c r="L130" s="54"/>
      <c r="M130" s="54"/>
      <c r="N130" s="54"/>
      <c r="O130" s="54"/>
      <c r="P130" s="54"/>
      <c r="Q130" s="54"/>
      <c r="R130" s="54"/>
      <c r="S130" s="54"/>
      <c r="T130" s="54"/>
      <c r="U130" s="54"/>
      <c r="V130" s="54"/>
      <c r="W130" s="54"/>
      <c r="X130" s="54"/>
      <c r="Y130" s="75"/>
      <c r="AA130" s="52"/>
    </row>
    <row r="131" spans="2:27" ht="12" hidden="1" thickBot="1">
      <c r="B131" s="107" t="s">
        <v>620</v>
      </c>
      <c r="C131" s="102" t="s">
        <v>120</v>
      </c>
      <c r="D131" s="103">
        <f>+NPV('Assumptions and Basic Info'!$C$20,F127:Y127)</f>
        <v>12865.437217773828</v>
      </c>
      <c r="E131" s="108"/>
      <c r="F131" s="105"/>
      <c r="G131" s="127"/>
      <c r="H131" s="105"/>
      <c r="I131" s="105"/>
      <c r="J131" s="105"/>
      <c r="K131" s="105"/>
      <c r="L131" s="105"/>
      <c r="M131" s="105"/>
      <c r="N131" s="105"/>
      <c r="O131" s="105"/>
      <c r="P131" s="105"/>
      <c r="Q131" s="105"/>
      <c r="R131" s="105"/>
      <c r="S131" s="105"/>
      <c r="T131" s="105"/>
      <c r="U131" s="105"/>
      <c r="V131" s="105"/>
      <c r="W131" s="105"/>
      <c r="X131" s="105"/>
      <c r="Y131" s="106"/>
      <c r="AA131" s="52"/>
    </row>
    <row r="132" spans="2:27" ht="11.25" hidden="1">
      <c r="B132" s="44" t="s">
        <v>163</v>
      </c>
      <c r="C132" s="23" t="s">
        <v>200</v>
      </c>
      <c r="D132" s="23"/>
      <c r="E132" s="51"/>
      <c r="F132" s="24"/>
      <c r="G132" s="24"/>
      <c r="H132" s="24"/>
      <c r="I132" s="24"/>
      <c r="J132" s="24"/>
      <c r="K132" s="24"/>
      <c r="L132" s="24"/>
      <c r="M132" s="24"/>
      <c r="N132" s="24"/>
      <c r="O132" s="24"/>
      <c r="P132" s="24"/>
      <c r="Q132" s="24"/>
      <c r="R132" s="24"/>
      <c r="S132" s="24"/>
      <c r="T132" s="24"/>
      <c r="U132" s="24"/>
      <c r="V132" s="24"/>
      <c r="W132" s="24"/>
      <c r="X132" s="24"/>
      <c r="Y132" s="45"/>
      <c r="AA132" s="52"/>
    </row>
    <row r="133" spans="2:29" ht="11.25" hidden="1">
      <c r="B133" s="37" t="s">
        <v>164</v>
      </c>
      <c r="C133" s="80" t="s">
        <v>124</v>
      </c>
      <c r="D133" s="81"/>
      <c r="E133" s="49" t="s">
        <v>54</v>
      </c>
      <c r="F133" s="27">
        <v>1710</v>
      </c>
      <c r="G133" s="27">
        <v>1566.4666666666672</v>
      </c>
      <c r="H133" s="27">
        <v>1423.1373333333336</v>
      </c>
      <c r="I133" s="27">
        <v>1280.00792</v>
      </c>
      <c r="J133" s="27">
        <v>1137.0744282666665</v>
      </c>
      <c r="K133" s="27">
        <v>994.3329397013331</v>
      </c>
      <c r="L133" s="27">
        <v>851.7796142406401</v>
      </c>
      <c r="M133" s="27">
        <v>709.4106886224936</v>
      </c>
      <c r="N133" s="27">
        <v>567.2224748500439</v>
      </c>
      <c r="O133" s="27">
        <v>425.21135868637646</v>
      </c>
      <c r="P133" s="27">
        <v>416.70713151264886</v>
      </c>
      <c r="Q133" s="27">
        <v>408.37298888239593</v>
      </c>
      <c r="R133" s="27">
        <v>400.20552910474794</v>
      </c>
      <c r="S133" s="27">
        <v>392.20141852265306</v>
      </c>
      <c r="T133" s="27">
        <v>384.35739015219997</v>
      </c>
      <c r="U133" s="27">
        <v>376.67024234915584</v>
      </c>
      <c r="V133" s="27">
        <v>369.13683750217274</v>
      </c>
      <c r="W133" s="27">
        <v>361.75410075212926</v>
      </c>
      <c r="X133" s="27">
        <v>354.51901873708675</v>
      </c>
      <c r="Y133" s="38">
        <v>347.42863836234505</v>
      </c>
      <c r="AA133" s="52">
        <v>1710</v>
      </c>
      <c r="AC133" s="52"/>
    </row>
    <row r="134" spans="2:27" ht="11.25" hidden="1">
      <c r="B134" s="39" t="s">
        <v>165</v>
      </c>
      <c r="C134" s="82" t="s">
        <v>125</v>
      </c>
      <c r="D134" s="83"/>
      <c r="E134" s="50" t="s">
        <v>54</v>
      </c>
      <c r="F134" s="28">
        <v>1710</v>
      </c>
      <c r="G134" s="28">
        <v>1566.4666666666672</v>
      </c>
      <c r="H134" s="28">
        <v>1458.9041156703133</v>
      </c>
      <c r="I134" s="28">
        <v>1351.5414846739595</v>
      </c>
      <c r="J134" s="28">
        <v>2816.967013677606</v>
      </c>
      <c r="K134" s="28">
        <v>5249</v>
      </c>
      <c r="L134" s="28">
        <v>5249</v>
      </c>
      <c r="M134" s="28">
        <v>5249</v>
      </c>
      <c r="N134" s="28">
        <v>5249</v>
      </c>
      <c r="O134" s="28">
        <v>5249</v>
      </c>
      <c r="P134" s="28">
        <v>5249</v>
      </c>
      <c r="Q134" s="28">
        <v>5249</v>
      </c>
      <c r="R134" s="28">
        <v>5249</v>
      </c>
      <c r="S134" s="28">
        <v>5249</v>
      </c>
      <c r="T134" s="28">
        <v>5249</v>
      </c>
      <c r="U134" s="28">
        <v>5249</v>
      </c>
      <c r="V134" s="28">
        <v>5249</v>
      </c>
      <c r="W134" s="28">
        <v>5249</v>
      </c>
      <c r="X134" s="28">
        <v>5249</v>
      </c>
      <c r="Y134" s="40">
        <v>5249</v>
      </c>
      <c r="AA134" s="52">
        <v>5249</v>
      </c>
    </row>
    <row r="135" spans="2:27" ht="11.25" hidden="1">
      <c r="B135" s="39" t="s">
        <v>166</v>
      </c>
      <c r="C135" s="82" t="s">
        <v>81</v>
      </c>
      <c r="D135" s="83"/>
      <c r="E135" s="50" t="s">
        <v>54</v>
      </c>
      <c r="F135" s="28">
        <v>0</v>
      </c>
      <c r="G135" s="28">
        <v>0</v>
      </c>
      <c r="H135" s="28">
        <v>35.76678233697976</v>
      </c>
      <c r="I135" s="28">
        <v>71.53356467395952</v>
      </c>
      <c r="J135" s="28">
        <v>1679.8925854109393</v>
      </c>
      <c r="K135" s="28">
        <v>4254.667060298667</v>
      </c>
      <c r="L135" s="28">
        <v>4397.2203857593595</v>
      </c>
      <c r="M135" s="28">
        <v>4539.589311377506</v>
      </c>
      <c r="N135" s="28">
        <v>4681.777525149956</v>
      </c>
      <c r="O135" s="28">
        <v>4823.788641313624</v>
      </c>
      <c r="P135" s="28">
        <v>4832.292868487351</v>
      </c>
      <c r="Q135" s="28">
        <v>4840.627011117604</v>
      </c>
      <c r="R135" s="28">
        <v>4848.794470895252</v>
      </c>
      <c r="S135" s="28">
        <v>4856.798581477347</v>
      </c>
      <c r="T135" s="28">
        <v>4864.6426098478005</v>
      </c>
      <c r="U135" s="28">
        <v>4872.329757650844</v>
      </c>
      <c r="V135" s="28">
        <v>4879.863162497827</v>
      </c>
      <c r="W135" s="28">
        <v>4887.2458992478705</v>
      </c>
      <c r="X135" s="28">
        <v>4894.480981262914</v>
      </c>
      <c r="Y135" s="40">
        <v>4901.571361637655</v>
      </c>
      <c r="AA135" s="52">
        <v>3539</v>
      </c>
    </row>
    <row r="136" spans="2:27" ht="11.25" hidden="1">
      <c r="B136" s="39" t="s">
        <v>167</v>
      </c>
      <c r="C136" s="82" t="s">
        <v>65</v>
      </c>
      <c r="D136" s="83"/>
      <c r="E136" s="50" t="s">
        <v>119</v>
      </c>
      <c r="F136" s="28">
        <v>0</v>
      </c>
      <c r="G136" s="28">
        <v>0</v>
      </c>
      <c r="H136" s="28">
        <v>0</v>
      </c>
      <c r="I136" s="28">
        <v>0</v>
      </c>
      <c r="J136" s="28">
        <v>0</v>
      </c>
      <c r="K136" s="28">
        <v>1866.6666666666672</v>
      </c>
      <c r="L136" s="28">
        <v>1400</v>
      </c>
      <c r="M136" s="28">
        <v>933.3333333333337</v>
      </c>
      <c r="N136" s="28">
        <v>466.666666666667</v>
      </c>
      <c r="O136" s="28">
        <v>0</v>
      </c>
      <c r="P136" s="28">
        <v>0</v>
      </c>
      <c r="Q136" s="28">
        <v>0</v>
      </c>
      <c r="R136" s="28">
        <v>0</v>
      </c>
      <c r="S136" s="28">
        <v>0</v>
      </c>
      <c r="T136" s="28">
        <v>0</v>
      </c>
      <c r="U136" s="28">
        <v>0</v>
      </c>
      <c r="V136" s="28">
        <v>0</v>
      </c>
      <c r="W136" s="28">
        <v>0</v>
      </c>
      <c r="X136" s="28">
        <v>0</v>
      </c>
      <c r="Y136" s="40">
        <v>0</v>
      </c>
      <c r="AA136" s="54">
        <v>4200</v>
      </c>
    </row>
    <row r="137" spans="2:27" ht="11.25" hidden="1">
      <c r="B137" s="39" t="s">
        <v>168</v>
      </c>
      <c r="C137" s="82" t="s">
        <v>58</v>
      </c>
      <c r="D137" s="83"/>
      <c r="E137" s="50" t="s">
        <v>123</v>
      </c>
      <c r="F137" s="28">
        <v>0</v>
      </c>
      <c r="G137" s="28">
        <v>97.3913043478261</v>
      </c>
      <c r="H137" s="28">
        <v>1249.97185770751</v>
      </c>
      <c r="I137" s="28">
        <v>1990.9881422924902</v>
      </c>
      <c r="J137" s="28">
        <v>851.2404502521742</v>
      </c>
      <c r="K137" s="28">
        <v>0</v>
      </c>
      <c r="L137" s="31">
        <v>0</v>
      </c>
      <c r="M137" s="31">
        <v>0</v>
      </c>
      <c r="N137" s="31">
        <v>0</v>
      </c>
      <c r="O137" s="31">
        <v>0</v>
      </c>
      <c r="P137" s="31">
        <v>0</v>
      </c>
      <c r="Q137" s="31">
        <v>0</v>
      </c>
      <c r="R137" s="31">
        <v>0</v>
      </c>
      <c r="S137" s="31">
        <v>0</v>
      </c>
      <c r="T137" s="31">
        <v>0</v>
      </c>
      <c r="U137" s="31">
        <v>0</v>
      </c>
      <c r="V137" s="31">
        <v>0</v>
      </c>
      <c r="W137" s="31">
        <v>0</v>
      </c>
      <c r="X137" s="31">
        <v>0</v>
      </c>
      <c r="Y137" s="46">
        <v>0</v>
      </c>
      <c r="AA137" s="54">
        <v>4189.5917546</v>
      </c>
    </row>
    <row r="138" spans="2:27" ht="11.25" hidden="1">
      <c r="B138" s="39" t="s">
        <v>169</v>
      </c>
      <c r="C138" s="82" t="s">
        <v>24</v>
      </c>
      <c r="D138" s="83"/>
      <c r="E138" s="50" t="s">
        <v>123</v>
      </c>
      <c r="F138" s="28">
        <v>0</v>
      </c>
      <c r="G138" s="28">
        <v>14.608695652173914</v>
      </c>
      <c r="H138" s="28">
        <v>187.49577865612648</v>
      </c>
      <c r="I138" s="28">
        <v>298.64822134387356</v>
      </c>
      <c r="J138" s="28">
        <v>127.68606753782615</v>
      </c>
      <c r="K138" s="28">
        <v>0</v>
      </c>
      <c r="L138" s="28">
        <v>0</v>
      </c>
      <c r="M138" s="28">
        <v>0</v>
      </c>
      <c r="N138" s="28">
        <v>0</v>
      </c>
      <c r="O138" s="28">
        <v>0</v>
      </c>
      <c r="P138" s="28">
        <v>0</v>
      </c>
      <c r="Q138" s="28">
        <v>0</v>
      </c>
      <c r="R138" s="28">
        <v>0</v>
      </c>
      <c r="S138" s="28">
        <v>0</v>
      </c>
      <c r="T138" s="28">
        <v>0</v>
      </c>
      <c r="U138" s="28">
        <v>0</v>
      </c>
      <c r="V138" s="31">
        <v>0</v>
      </c>
      <c r="W138" s="31">
        <v>0</v>
      </c>
      <c r="X138" s="31">
        <v>0</v>
      </c>
      <c r="Y138" s="46">
        <v>0</v>
      </c>
      <c r="AA138" s="54">
        <f>+AA137*'Assumptions and Basic Info'!$C$4</f>
        <v>4189.5917546</v>
      </c>
    </row>
    <row r="139" spans="2:27" ht="11.25" hidden="1">
      <c r="B139" s="39" t="s">
        <v>170</v>
      </c>
      <c r="C139" s="82" t="s">
        <v>83</v>
      </c>
      <c r="D139" s="83"/>
      <c r="E139" s="50" t="s">
        <v>123</v>
      </c>
      <c r="F139" s="28">
        <v>0</v>
      </c>
      <c r="G139" s="28">
        <v>60.53660543969999</v>
      </c>
      <c r="H139" s="28">
        <v>138.93591526581557</v>
      </c>
      <c r="I139" s="28">
        <v>185.62058962254022</v>
      </c>
      <c r="J139" s="28">
        <v>79.02422712104425</v>
      </c>
      <c r="K139" s="28">
        <v>0</v>
      </c>
      <c r="L139" s="28">
        <v>0</v>
      </c>
      <c r="M139" s="28">
        <v>0</v>
      </c>
      <c r="N139" s="28">
        <v>0</v>
      </c>
      <c r="O139" s="28">
        <v>0</v>
      </c>
      <c r="P139" s="28">
        <v>0</v>
      </c>
      <c r="Q139" s="28">
        <v>0</v>
      </c>
      <c r="R139" s="28">
        <v>0</v>
      </c>
      <c r="S139" s="28">
        <v>0</v>
      </c>
      <c r="T139" s="28">
        <v>0</v>
      </c>
      <c r="U139" s="28">
        <v>0</v>
      </c>
      <c r="V139" s="31">
        <v>0</v>
      </c>
      <c r="W139" s="31">
        <v>0</v>
      </c>
      <c r="X139" s="31">
        <v>0</v>
      </c>
      <c r="Y139" s="46">
        <v>0</v>
      </c>
      <c r="AA139" s="54">
        <v>464.1173374491</v>
      </c>
    </row>
    <row r="140" spans="2:27" ht="11.25" hidden="1">
      <c r="B140" s="39" t="s">
        <v>171</v>
      </c>
      <c r="C140" s="82" t="s">
        <v>82</v>
      </c>
      <c r="D140" s="83"/>
      <c r="E140" s="50" t="s">
        <v>123</v>
      </c>
      <c r="F140" s="28">
        <v>0</v>
      </c>
      <c r="G140" s="28">
        <v>0</v>
      </c>
      <c r="H140" s="28">
        <v>3.450732108794</v>
      </c>
      <c r="I140" s="28">
        <v>43.04553308306299</v>
      </c>
      <c r="J140" s="28">
        <v>87.41067214824108</v>
      </c>
      <c r="K140" s="28">
        <v>108.56968704646198</v>
      </c>
      <c r="L140" s="28">
        <v>108.56968704646198</v>
      </c>
      <c r="M140" s="28">
        <v>108.56968704646198</v>
      </c>
      <c r="N140" s="28">
        <v>108.56968704646198</v>
      </c>
      <c r="O140" s="28">
        <v>108.56968704646198</v>
      </c>
      <c r="P140" s="28">
        <v>108.56968704646198</v>
      </c>
      <c r="Q140" s="28">
        <v>108.56968704646198</v>
      </c>
      <c r="R140" s="28">
        <v>108.56968704646198</v>
      </c>
      <c r="S140" s="28">
        <v>108.56968704646198</v>
      </c>
      <c r="T140" s="28">
        <v>108.56968704646198</v>
      </c>
      <c r="U140" s="28">
        <v>108.56968704646198</v>
      </c>
      <c r="V140" s="28">
        <v>108.56968704646198</v>
      </c>
      <c r="W140" s="28">
        <v>108.56968704646198</v>
      </c>
      <c r="X140" s="28">
        <v>108.56968704646198</v>
      </c>
      <c r="Y140" s="40">
        <v>108.56968704646198</v>
      </c>
      <c r="AA140" s="52"/>
    </row>
    <row r="141" spans="2:27" ht="11.25" hidden="1">
      <c r="B141" s="39" t="s">
        <v>621</v>
      </c>
      <c r="C141" s="82" t="s">
        <v>578</v>
      </c>
      <c r="D141" s="83"/>
      <c r="E141" s="50" t="s">
        <v>118</v>
      </c>
      <c r="F141" s="28">
        <v>0</v>
      </c>
      <c r="G141" s="28">
        <v>425.81</v>
      </c>
      <c r="H141" s="28">
        <v>0</v>
      </c>
      <c r="I141" s="28">
        <v>0</v>
      </c>
      <c r="J141" s="28">
        <v>0</v>
      </c>
      <c r="K141" s="28">
        <v>0</v>
      </c>
      <c r="L141" s="28">
        <v>0</v>
      </c>
      <c r="M141" s="28">
        <v>0</v>
      </c>
      <c r="N141" s="28">
        <v>0</v>
      </c>
      <c r="O141" s="28">
        <v>0</v>
      </c>
      <c r="P141" s="28">
        <v>0</v>
      </c>
      <c r="Q141" s="28">
        <v>0</v>
      </c>
      <c r="R141" s="28">
        <v>0</v>
      </c>
      <c r="S141" s="28">
        <v>0</v>
      </c>
      <c r="T141" s="28">
        <v>0</v>
      </c>
      <c r="U141" s="28">
        <v>0</v>
      </c>
      <c r="V141" s="28">
        <v>0</v>
      </c>
      <c r="W141" s="28">
        <v>0</v>
      </c>
      <c r="X141" s="28">
        <v>0</v>
      </c>
      <c r="Y141" s="40">
        <v>0</v>
      </c>
      <c r="AA141" s="52">
        <v>425.81</v>
      </c>
    </row>
    <row r="142" spans="2:27" ht="11.25" hidden="1">
      <c r="B142" s="39" t="s">
        <v>703</v>
      </c>
      <c r="C142" s="82" t="s">
        <v>691</v>
      </c>
      <c r="D142" s="83"/>
      <c r="E142" s="50" t="s">
        <v>123</v>
      </c>
      <c r="F142" s="28">
        <v>0</v>
      </c>
      <c r="G142" s="28">
        <v>0</v>
      </c>
      <c r="H142" s="28">
        <v>0</v>
      </c>
      <c r="I142" s="28">
        <v>0</v>
      </c>
      <c r="J142" s="28">
        <v>0</v>
      </c>
      <c r="K142" s="28">
        <v>0</v>
      </c>
      <c r="L142" s="28">
        <v>0</v>
      </c>
      <c r="M142" s="28">
        <v>0</v>
      </c>
      <c r="N142" s="28">
        <v>0</v>
      </c>
      <c r="O142" s="28">
        <v>0</v>
      </c>
      <c r="P142" s="28">
        <v>0</v>
      </c>
      <c r="Q142" s="28">
        <v>0</v>
      </c>
      <c r="R142" s="28">
        <v>0</v>
      </c>
      <c r="S142" s="28">
        <v>0</v>
      </c>
      <c r="T142" s="28">
        <v>0</v>
      </c>
      <c r="U142" s="28">
        <v>0</v>
      </c>
      <c r="V142" s="28">
        <v>0</v>
      </c>
      <c r="W142" s="28">
        <v>0</v>
      </c>
      <c r="X142" s="28">
        <v>0</v>
      </c>
      <c r="Y142" s="40">
        <v>0</v>
      </c>
      <c r="AA142" s="52"/>
    </row>
    <row r="143" spans="2:27" ht="11.25" hidden="1">
      <c r="B143" s="39" t="s">
        <v>172</v>
      </c>
      <c r="C143" s="82" t="s">
        <v>704</v>
      </c>
      <c r="D143" s="83"/>
      <c r="E143" s="50" t="s">
        <v>123</v>
      </c>
      <c r="F143" s="28">
        <v>0</v>
      </c>
      <c r="G143" s="28">
        <v>598.3466054396999</v>
      </c>
      <c r="H143" s="28">
        <v>1579.854283738246</v>
      </c>
      <c r="I143" s="28">
        <v>2518.302486341967</v>
      </c>
      <c r="J143" s="28">
        <v>1145.3614170592857</v>
      </c>
      <c r="K143" s="28">
        <v>108.56968704646198</v>
      </c>
      <c r="L143" s="28">
        <v>108.56968704646198</v>
      </c>
      <c r="M143" s="28">
        <v>108.56968704646198</v>
      </c>
      <c r="N143" s="28">
        <v>108.56968704646198</v>
      </c>
      <c r="O143" s="28">
        <v>108.56968704646198</v>
      </c>
      <c r="P143" s="28">
        <v>108.56968704646198</v>
      </c>
      <c r="Q143" s="28">
        <v>108.56968704646198</v>
      </c>
      <c r="R143" s="28">
        <v>108.56968704646198</v>
      </c>
      <c r="S143" s="28">
        <v>108.56968704646198</v>
      </c>
      <c r="T143" s="28">
        <v>108.56968704646198</v>
      </c>
      <c r="U143" s="28">
        <v>108.56968704646198</v>
      </c>
      <c r="V143" s="28">
        <v>108.56968704646198</v>
      </c>
      <c r="W143" s="28">
        <v>108.56968704646198</v>
      </c>
      <c r="X143" s="28">
        <v>108.56968704646198</v>
      </c>
      <c r="Y143" s="40">
        <v>108.56968704646198</v>
      </c>
      <c r="AA143" s="52">
        <f>+AA137+AA138+AA139</f>
        <v>8843.300846649101</v>
      </c>
    </row>
    <row r="144" spans="2:27" ht="11.25" hidden="1">
      <c r="B144" s="39" t="s">
        <v>173</v>
      </c>
      <c r="C144" s="82" t="s">
        <v>128</v>
      </c>
      <c r="D144" s="83"/>
      <c r="E144" s="50" t="s">
        <v>123</v>
      </c>
      <c r="F144" s="28">
        <v>0</v>
      </c>
      <c r="G144" s="28">
        <v>0</v>
      </c>
      <c r="H144" s="28">
        <v>10.495944043029116</v>
      </c>
      <c r="I144" s="28">
        <v>28.452362038810104</v>
      </c>
      <c r="J144" s="28">
        <v>54.04030712166471</v>
      </c>
      <c r="K144" s="28">
        <v>1121.1450012756652</v>
      </c>
      <c r="L144" s="28">
        <v>1624.5855669664927</v>
      </c>
      <c r="M144" s="28">
        <v>2129.5278587007087</v>
      </c>
      <c r="N144" s="28">
        <v>2251.3736018320656</v>
      </c>
      <c r="O144" s="28">
        <v>2374.798923343394</v>
      </c>
      <c r="P144" s="28">
        <v>2377.601935667109</v>
      </c>
      <c r="Q144" s="28">
        <v>2377.601935667109</v>
      </c>
      <c r="R144" s="28">
        <v>2377.601935667109</v>
      </c>
      <c r="S144" s="28">
        <v>2377.601935667109</v>
      </c>
      <c r="T144" s="28">
        <v>2377.601935667109</v>
      </c>
      <c r="U144" s="28">
        <v>2377.601935667109</v>
      </c>
      <c r="V144" s="28">
        <v>2377.601935667109</v>
      </c>
      <c r="W144" s="28">
        <v>2377.601935667109</v>
      </c>
      <c r="X144" s="28">
        <v>2377.601935667109</v>
      </c>
      <c r="Y144" s="40">
        <v>2377.601935667109</v>
      </c>
      <c r="AA144" s="52"/>
    </row>
    <row r="145" spans="2:27" ht="11.25" hidden="1">
      <c r="B145" s="39" t="s">
        <v>174</v>
      </c>
      <c r="C145" s="82" t="s">
        <v>63</v>
      </c>
      <c r="D145" s="83"/>
      <c r="E145" s="50" t="s">
        <v>123</v>
      </c>
      <c r="F145" s="28">
        <v>0</v>
      </c>
      <c r="G145" s="28">
        <v>0</v>
      </c>
      <c r="H145" s="28">
        <v>0</v>
      </c>
      <c r="I145" s="28">
        <v>0</v>
      </c>
      <c r="J145" s="28">
        <v>0</v>
      </c>
      <c r="K145" s="28">
        <v>78.77333333333335</v>
      </c>
      <c r="L145" s="28">
        <v>59.08</v>
      </c>
      <c r="M145" s="28">
        <v>39.386666666666684</v>
      </c>
      <c r="N145" s="28">
        <v>19.69333333333335</v>
      </c>
      <c r="O145" s="28">
        <v>0</v>
      </c>
      <c r="P145" s="28">
        <v>0</v>
      </c>
      <c r="Q145" s="28">
        <v>0</v>
      </c>
      <c r="R145" s="28">
        <v>0</v>
      </c>
      <c r="S145" s="28">
        <v>0</v>
      </c>
      <c r="T145" s="28">
        <v>0</v>
      </c>
      <c r="U145" s="28">
        <v>0</v>
      </c>
      <c r="V145" s="28">
        <v>0</v>
      </c>
      <c r="W145" s="28">
        <v>0</v>
      </c>
      <c r="X145" s="28">
        <v>0</v>
      </c>
      <c r="Y145" s="40">
        <v>0</v>
      </c>
      <c r="AA145" s="52"/>
    </row>
    <row r="146" spans="2:27" ht="11.25" hidden="1">
      <c r="B146" s="39" t="s">
        <v>175</v>
      </c>
      <c r="C146" s="82" t="s">
        <v>176</v>
      </c>
      <c r="D146" s="83"/>
      <c r="E146" s="50" t="s">
        <v>123</v>
      </c>
      <c r="F146" s="28">
        <v>0</v>
      </c>
      <c r="G146" s="28">
        <v>0</v>
      </c>
      <c r="H146" s="28">
        <v>10.495944043029116</v>
      </c>
      <c r="I146" s="28">
        <v>28.452362038810104</v>
      </c>
      <c r="J146" s="28">
        <v>54.04030712166471</v>
      </c>
      <c r="K146" s="28">
        <v>1199.9183346089985</v>
      </c>
      <c r="L146" s="28">
        <v>1683.6655669664926</v>
      </c>
      <c r="M146" s="28">
        <v>2168.9145253673755</v>
      </c>
      <c r="N146" s="28">
        <v>2271.0669351653987</v>
      </c>
      <c r="O146" s="28">
        <v>2374.798923343394</v>
      </c>
      <c r="P146" s="28">
        <v>2377.601935667109</v>
      </c>
      <c r="Q146" s="28">
        <v>2377.601935667109</v>
      </c>
      <c r="R146" s="28">
        <v>2377.601935667109</v>
      </c>
      <c r="S146" s="28">
        <v>2377.601935667109</v>
      </c>
      <c r="T146" s="28">
        <v>2377.601935667109</v>
      </c>
      <c r="U146" s="28">
        <v>2377.601935667109</v>
      </c>
      <c r="V146" s="28">
        <v>2377.601935667109</v>
      </c>
      <c r="W146" s="28">
        <v>2377.601935667109</v>
      </c>
      <c r="X146" s="28">
        <v>2377.601935667109</v>
      </c>
      <c r="Y146" s="40">
        <v>2377.601935667109</v>
      </c>
      <c r="AA146" s="52"/>
    </row>
    <row r="147" spans="2:27" ht="11.25" hidden="1">
      <c r="B147" s="39" t="s">
        <v>177</v>
      </c>
      <c r="C147" s="84" t="s">
        <v>178</v>
      </c>
      <c r="D147" s="85"/>
      <c r="E147" s="50" t="s">
        <v>123</v>
      </c>
      <c r="F147" s="28">
        <v>0</v>
      </c>
      <c r="G147" s="28">
        <v>-598.3466054396999</v>
      </c>
      <c r="H147" s="28">
        <v>-1569.358339695217</v>
      </c>
      <c r="I147" s="28">
        <v>-2489.850124303157</v>
      </c>
      <c r="J147" s="28">
        <v>-1091.321109937621</v>
      </c>
      <c r="K147" s="28">
        <v>1091.3486475625366</v>
      </c>
      <c r="L147" s="28">
        <v>1575.0958799200307</v>
      </c>
      <c r="M147" s="28">
        <v>2060.3448383209134</v>
      </c>
      <c r="N147" s="28">
        <v>2162.4972481189366</v>
      </c>
      <c r="O147" s="28">
        <v>2266.229236296932</v>
      </c>
      <c r="P147" s="28">
        <v>2269.032248620647</v>
      </c>
      <c r="Q147" s="28">
        <v>2269.032248620647</v>
      </c>
      <c r="R147" s="28">
        <v>2269.032248620647</v>
      </c>
      <c r="S147" s="28">
        <v>2269.032248620647</v>
      </c>
      <c r="T147" s="28">
        <v>2269.032248620647</v>
      </c>
      <c r="U147" s="28">
        <v>2269.032248620647</v>
      </c>
      <c r="V147" s="28">
        <v>2269.032248620647</v>
      </c>
      <c r="W147" s="28">
        <v>2269.032248620647</v>
      </c>
      <c r="X147" s="28">
        <v>2269.032248620647</v>
      </c>
      <c r="Y147" s="40">
        <v>2269.032248620647</v>
      </c>
      <c r="AA147" s="52"/>
    </row>
    <row r="148" spans="2:27" ht="11.25" hidden="1">
      <c r="B148" s="114" t="s">
        <v>179</v>
      </c>
      <c r="C148" s="91" t="s">
        <v>121</v>
      </c>
      <c r="D148" s="78">
        <f>+AA143</f>
        <v>8843.300846649101</v>
      </c>
      <c r="E148" s="94"/>
      <c r="F148" s="73"/>
      <c r="G148" s="73"/>
      <c r="H148" s="73"/>
      <c r="I148" s="73"/>
      <c r="J148" s="73"/>
      <c r="K148" s="73"/>
      <c r="L148" s="73"/>
      <c r="M148" s="73"/>
      <c r="N148" s="73"/>
      <c r="O148" s="73"/>
      <c r="P148" s="73"/>
      <c r="Q148" s="73"/>
      <c r="R148" s="73"/>
      <c r="S148" s="73"/>
      <c r="T148" s="73"/>
      <c r="U148" s="73"/>
      <c r="V148" s="73"/>
      <c r="W148" s="73"/>
      <c r="X148" s="73"/>
      <c r="Y148" s="74"/>
      <c r="AA148" s="52"/>
    </row>
    <row r="149" spans="2:27" ht="11.25" hidden="1">
      <c r="B149" s="90" t="s">
        <v>180</v>
      </c>
      <c r="C149" s="92" t="s">
        <v>596</v>
      </c>
      <c r="D149" s="113">
        <f>+AA141</f>
        <v>425.81</v>
      </c>
      <c r="E149" s="95"/>
      <c r="F149" s="54"/>
      <c r="G149" s="54"/>
      <c r="H149" s="54"/>
      <c r="I149" s="54"/>
      <c r="J149" s="54"/>
      <c r="K149" s="54"/>
      <c r="L149" s="54"/>
      <c r="M149" s="54"/>
      <c r="N149" s="54"/>
      <c r="O149" s="54"/>
      <c r="P149" s="54"/>
      <c r="Q149" s="54"/>
      <c r="R149" s="54"/>
      <c r="S149" s="54"/>
      <c r="T149" s="54"/>
      <c r="U149" s="54"/>
      <c r="V149" s="54"/>
      <c r="W149" s="54"/>
      <c r="X149" s="54"/>
      <c r="Y149" s="75"/>
      <c r="AA149" s="52"/>
    </row>
    <row r="150" spans="2:27" ht="11.25" hidden="1">
      <c r="B150" s="90" t="s">
        <v>181</v>
      </c>
      <c r="C150" s="92" t="s">
        <v>57</v>
      </c>
      <c r="D150" s="79">
        <f>+IRR(F147:Y147)</f>
        <v>0.2348841767002498</v>
      </c>
      <c r="E150" s="95"/>
      <c r="F150" s="88"/>
      <c r="G150" s="54"/>
      <c r="H150" s="54"/>
      <c r="I150" s="54"/>
      <c r="J150" s="54"/>
      <c r="K150" s="54"/>
      <c r="L150" s="54"/>
      <c r="M150" s="54"/>
      <c r="N150" s="54"/>
      <c r="O150" s="54"/>
      <c r="P150" s="54"/>
      <c r="Q150" s="54"/>
      <c r="R150" s="54"/>
      <c r="S150" s="54"/>
      <c r="T150" s="54"/>
      <c r="U150" s="54"/>
      <c r="V150" s="54"/>
      <c r="W150" s="54"/>
      <c r="X150" s="54"/>
      <c r="Y150" s="75"/>
      <c r="AA150" s="52"/>
    </row>
    <row r="151" spans="2:27" ht="12" hidden="1" thickBot="1">
      <c r="B151" s="122" t="s">
        <v>622</v>
      </c>
      <c r="C151" s="102" t="s">
        <v>120</v>
      </c>
      <c r="D151" s="103">
        <f>+NPV('Assumptions and Basic Info'!$C$20,F147:Y147)</f>
        <v>5499.837132416576</v>
      </c>
      <c r="E151" s="108"/>
      <c r="F151" s="105"/>
      <c r="G151" s="127"/>
      <c r="H151" s="105"/>
      <c r="I151" s="105"/>
      <c r="J151" s="105"/>
      <c r="K151" s="105"/>
      <c r="L151" s="105"/>
      <c r="M151" s="105"/>
      <c r="N151" s="105"/>
      <c r="O151" s="105"/>
      <c r="P151" s="105"/>
      <c r="Q151" s="105"/>
      <c r="R151" s="105"/>
      <c r="S151" s="105"/>
      <c r="T151" s="105"/>
      <c r="U151" s="105"/>
      <c r="V151" s="105"/>
      <c r="W151" s="105"/>
      <c r="X151" s="105"/>
      <c r="Y151" s="106"/>
      <c r="AA151" s="52"/>
    </row>
    <row r="152" spans="2:27" ht="11.25" hidden="1">
      <c r="B152" s="44" t="s">
        <v>182</v>
      </c>
      <c r="C152" s="23" t="s">
        <v>201</v>
      </c>
      <c r="D152" s="23"/>
      <c r="E152" s="51"/>
      <c r="F152" s="24"/>
      <c r="G152" s="24"/>
      <c r="H152" s="24"/>
      <c r="I152" s="24"/>
      <c r="J152" s="24"/>
      <c r="K152" s="24"/>
      <c r="L152" s="24"/>
      <c r="M152" s="24"/>
      <c r="N152" s="24"/>
      <c r="O152" s="24"/>
      <c r="P152" s="24"/>
      <c r="Q152" s="24"/>
      <c r="R152" s="24"/>
      <c r="S152" s="24"/>
      <c r="T152" s="24"/>
      <c r="U152" s="24"/>
      <c r="V152" s="24"/>
      <c r="W152" s="24"/>
      <c r="X152" s="24"/>
      <c r="Y152" s="45"/>
      <c r="AA152" s="52"/>
    </row>
    <row r="153" spans="2:28" ht="11.25" hidden="1">
      <c r="B153" s="37" t="s">
        <v>183</v>
      </c>
      <c r="C153" s="80" t="s">
        <v>124</v>
      </c>
      <c r="D153" s="81"/>
      <c r="E153" s="49" t="s">
        <v>54</v>
      </c>
      <c r="F153" s="27">
        <v>112</v>
      </c>
      <c r="G153" s="27">
        <v>99.55555555555554</v>
      </c>
      <c r="H153" s="27">
        <v>87.11111111111111</v>
      </c>
      <c r="I153" s="27">
        <v>74.66666666666669</v>
      </c>
      <c r="J153" s="27">
        <v>62.22222222222223</v>
      </c>
      <c r="K153" s="27">
        <v>49.77777777777777</v>
      </c>
      <c r="L153" s="27">
        <v>37.33333333333334</v>
      </c>
      <c r="M153" s="27">
        <v>24.888888888888914</v>
      </c>
      <c r="N153" s="27">
        <v>12.444444444444457</v>
      </c>
      <c r="O153" s="27">
        <v>0</v>
      </c>
      <c r="P153" s="27">
        <v>0</v>
      </c>
      <c r="Q153" s="27">
        <v>0</v>
      </c>
      <c r="R153" s="27">
        <v>0</v>
      </c>
      <c r="S153" s="27">
        <v>0</v>
      </c>
      <c r="T153" s="27">
        <v>0</v>
      </c>
      <c r="U153" s="27">
        <v>0</v>
      </c>
      <c r="V153" s="27">
        <v>0</v>
      </c>
      <c r="W153" s="27">
        <v>0</v>
      </c>
      <c r="X153" s="27">
        <v>0</v>
      </c>
      <c r="Y153" s="38">
        <v>0</v>
      </c>
      <c r="AA153" s="123">
        <v>112</v>
      </c>
      <c r="AB153" s="116" t="s">
        <v>126</v>
      </c>
    </row>
    <row r="154" spans="2:28" ht="11.25" hidden="1">
      <c r="B154" s="39" t="s">
        <v>184</v>
      </c>
      <c r="C154" s="82" t="s">
        <v>125</v>
      </c>
      <c r="D154" s="83"/>
      <c r="E154" s="50" t="s">
        <v>54</v>
      </c>
      <c r="F154" s="28">
        <v>112</v>
      </c>
      <c r="G154" s="28">
        <v>99.55555555555554</v>
      </c>
      <c r="H154" s="28">
        <v>265.25217515134347</v>
      </c>
      <c r="I154" s="28">
        <v>430.9487947471314</v>
      </c>
      <c r="J154" s="28">
        <v>984.4231921206971</v>
      </c>
      <c r="K154" s="28">
        <v>1070</v>
      </c>
      <c r="L154" s="28">
        <v>1070</v>
      </c>
      <c r="M154" s="28">
        <v>1070</v>
      </c>
      <c r="N154" s="28">
        <v>1070</v>
      </c>
      <c r="O154" s="28">
        <v>1070</v>
      </c>
      <c r="P154" s="28">
        <v>1070</v>
      </c>
      <c r="Q154" s="28">
        <v>1070</v>
      </c>
      <c r="R154" s="28">
        <v>1070</v>
      </c>
      <c r="S154" s="28">
        <v>1070</v>
      </c>
      <c r="T154" s="28">
        <v>1070</v>
      </c>
      <c r="U154" s="28">
        <v>1070</v>
      </c>
      <c r="V154" s="28">
        <v>1070</v>
      </c>
      <c r="W154" s="28">
        <v>1070</v>
      </c>
      <c r="X154" s="28">
        <v>1070</v>
      </c>
      <c r="Y154" s="40">
        <v>1070</v>
      </c>
      <c r="AA154" s="123">
        <v>1070</v>
      </c>
      <c r="AB154" s="116" t="s">
        <v>127</v>
      </c>
    </row>
    <row r="155" spans="2:29" ht="11.25" hidden="1">
      <c r="B155" s="39" t="s">
        <v>185</v>
      </c>
      <c r="C155" s="82" t="s">
        <v>81</v>
      </c>
      <c r="D155" s="83"/>
      <c r="E155" s="50" t="s">
        <v>54</v>
      </c>
      <c r="F155" s="28">
        <v>0</v>
      </c>
      <c r="G155" s="28">
        <v>0</v>
      </c>
      <c r="H155" s="28">
        <v>178.14106404023235</v>
      </c>
      <c r="I155" s="28">
        <v>356.2821280804647</v>
      </c>
      <c r="J155" s="28">
        <v>922.2009698984748</v>
      </c>
      <c r="K155" s="28">
        <v>1020.2222222222222</v>
      </c>
      <c r="L155" s="28">
        <v>1032.6666666666667</v>
      </c>
      <c r="M155" s="28">
        <v>1045.111111111111</v>
      </c>
      <c r="N155" s="28">
        <v>1057.5555555555557</v>
      </c>
      <c r="O155" s="28">
        <v>1070</v>
      </c>
      <c r="P155" s="28">
        <v>1070</v>
      </c>
      <c r="Q155" s="28">
        <v>1070</v>
      </c>
      <c r="R155" s="28">
        <v>1070</v>
      </c>
      <c r="S155" s="28">
        <v>1070</v>
      </c>
      <c r="T155" s="28">
        <v>1070</v>
      </c>
      <c r="U155" s="28">
        <v>1070</v>
      </c>
      <c r="V155" s="28">
        <v>1070</v>
      </c>
      <c r="W155" s="28">
        <v>1070</v>
      </c>
      <c r="X155" s="28">
        <v>1070</v>
      </c>
      <c r="Y155" s="40">
        <v>1070</v>
      </c>
      <c r="AA155" s="123">
        <v>958</v>
      </c>
      <c r="AB155" s="116" t="s">
        <v>127</v>
      </c>
      <c r="AC155" s="52"/>
    </row>
    <row r="156" spans="2:28" ht="11.25" hidden="1">
      <c r="B156" s="39" t="s">
        <v>186</v>
      </c>
      <c r="C156" s="82" t="s">
        <v>65</v>
      </c>
      <c r="D156" s="83"/>
      <c r="E156" s="50" t="s">
        <v>138</v>
      </c>
      <c r="F156" s="28">
        <v>0</v>
      </c>
      <c r="G156" s="28">
        <v>0</v>
      </c>
      <c r="H156" s="28">
        <v>0</v>
      </c>
      <c r="I156" s="28">
        <v>0</v>
      </c>
      <c r="J156" s="28">
        <v>566.6666666666665</v>
      </c>
      <c r="K156" s="28">
        <v>453.3333333333332</v>
      </c>
      <c r="L156" s="28">
        <v>340</v>
      </c>
      <c r="M156" s="28">
        <v>226.66666666666657</v>
      </c>
      <c r="N156" s="28">
        <v>113.33333333333324</v>
      </c>
      <c r="O156" s="28">
        <v>0</v>
      </c>
      <c r="P156" s="28">
        <v>0</v>
      </c>
      <c r="Q156" s="28">
        <v>0</v>
      </c>
      <c r="R156" s="28">
        <v>0</v>
      </c>
      <c r="S156" s="28">
        <v>0</v>
      </c>
      <c r="T156" s="28">
        <v>0</v>
      </c>
      <c r="U156" s="28">
        <v>0</v>
      </c>
      <c r="V156" s="28">
        <v>0</v>
      </c>
      <c r="W156" s="28">
        <v>0</v>
      </c>
      <c r="X156" s="28">
        <v>0</v>
      </c>
      <c r="Y156" s="40">
        <v>0</v>
      </c>
      <c r="AA156" s="123">
        <v>1020</v>
      </c>
      <c r="AB156" s="116" t="s">
        <v>127</v>
      </c>
    </row>
    <row r="157" spans="2:28" ht="11.25" hidden="1">
      <c r="B157" s="39" t="s">
        <v>187</v>
      </c>
      <c r="C157" s="82" t="s">
        <v>58</v>
      </c>
      <c r="D157" s="83"/>
      <c r="E157" s="50" t="s">
        <v>123</v>
      </c>
      <c r="F157" s="28">
        <v>0</v>
      </c>
      <c r="G157" s="28">
        <v>114.78260869565219</v>
      </c>
      <c r="H157" s="28">
        <v>471.304347826087</v>
      </c>
      <c r="I157" s="28">
        <v>1323.0108695652175</v>
      </c>
      <c r="J157" s="28">
        <v>55.14017391304344</v>
      </c>
      <c r="K157" s="28">
        <v>0</v>
      </c>
      <c r="L157" s="31">
        <v>0</v>
      </c>
      <c r="M157" s="31">
        <v>0</v>
      </c>
      <c r="N157" s="31">
        <v>0</v>
      </c>
      <c r="O157" s="31">
        <v>0</v>
      </c>
      <c r="P157" s="31">
        <v>0</v>
      </c>
      <c r="Q157" s="31">
        <v>0</v>
      </c>
      <c r="R157" s="31">
        <v>0</v>
      </c>
      <c r="S157" s="31">
        <v>0</v>
      </c>
      <c r="T157" s="31">
        <v>0</v>
      </c>
      <c r="U157" s="31">
        <v>0</v>
      </c>
      <c r="V157" s="31">
        <v>0</v>
      </c>
      <c r="W157" s="31">
        <v>0</v>
      </c>
      <c r="X157" s="31">
        <v>0</v>
      </c>
      <c r="Y157" s="46">
        <v>0</v>
      </c>
      <c r="AA157" s="52">
        <v>1964.238</v>
      </c>
      <c r="AB157" s="116"/>
    </row>
    <row r="158" spans="2:28" ht="11.25" hidden="1">
      <c r="B158" s="39" t="s">
        <v>188</v>
      </c>
      <c r="C158" s="82" t="s">
        <v>24</v>
      </c>
      <c r="D158" s="83"/>
      <c r="E158" s="50" t="s">
        <v>123</v>
      </c>
      <c r="F158" s="28">
        <v>0</v>
      </c>
      <c r="G158" s="28">
        <v>17.217391304347828</v>
      </c>
      <c r="H158" s="28">
        <v>70.69565217391305</v>
      </c>
      <c r="I158" s="28">
        <v>198.4516304347826</v>
      </c>
      <c r="J158" s="28">
        <v>8.271026086956516</v>
      </c>
      <c r="K158" s="28">
        <v>0</v>
      </c>
      <c r="L158" s="28">
        <v>0</v>
      </c>
      <c r="M158" s="28">
        <v>0</v>
      </c>
      <c r="N158" s="28">
        <v>0</v>
      </c>
      <c r="O158" s="28">
        <v>0</v>
      </c>
      <c r="P158" s="28">
        <v>0</v>
      </c>
      <c r="Q158" s="28">
        <v>0</v>
      </c>
      <c r="R158" s="28">
        <v>0</v>
      </c>
      <c r="S158" s="28">
        <v>0</v>
      </c>
      <c r="T158" s="28">
        <v>0</v>
      </c>
      <c r="U158" s="28">
        <v>0</v>
      </c>
      <c r="V158" s="31">
        <v>0</v>
      </c>
      <c r="W158" s="31">
        <v>0</v>
      </c>
      <c r="X158" s="31">
        <v>0</v>
      </c>
      <c r="Y158" s="46">
        <v>0</v>
      </c>
      <c r="AA158" s="54">
        <f>+AA157*'Assumptions and Basic Info'!$C$4</f>
        <v>1964.238</v>
      </c>
      <c r="AB158" s="116"/>
    </row>
    <row r="159" spans="2:28" ht="11.25" hidden="1">
      <c r="B159" s="39" t="s">
        <v>189</v>
      </c>
      <c r="C159" s="82" t="s">
        <v>83</v>
      </c>
      <c r="D159" s="83"/>
      <c r="E159" s="50" t="s">
        <v>123</v>
      </c>
      <c r="F159" s="28">
        <v>0</v>
      </c>
      <c r="G159" s="28">
        <v>11.88</v>
      </c>
      <c r="H159" s="28">
        <v>106.17573626</v>
      </c>
      <c r="I159" s="28">
        <v>106.17573626</v>
      </c>
      <c r="J159" s="28">
        <v>5.707007999999996</v>
      </c>
      <c r="K159" s="28">
        <v>0</v>
      </c>
      <c r="L159" s="28">
        <v>0</v>
      </c>
      <c r="M159" s="28">
        <v>0</v>
      </c>
      <c r="N159" s="28">
        <v>0</v>
      </c>
      <c r="O159" s="28">
        <v>0</v>
      </c>
      <c r="P159" s="28">
        <v>0</v>
      </c>
      <c r="Q159" s="28">
        <v>0</v>
      </c>
      <c r="R159" s="28">
        <v>0</v>
      </c>
      <c r="S159" s="28">
        <v>0</v>
      </c>
      <c r="T159" s="28">
        <v>0</v>
      </c>
      <c r="U159" s="28">
        <v>0</v>
      </c>
      <c r="V159" s="31">
        <v>0</v>
      </c>
      <c r="W159" s="31">
        <v>0</v>
      </c>
      <c r="X159" s="31">
        <v>0</v>
      </c>
      <c r="Y159" s="46">
        <v>0</v>
      </c>
      <c r="AA159" s="54">
        <v>229.93848051999998</v>
      </c>
      <c r="AB159" s="116"/>
    </row>
    <row r="160" spans="2:28" ht="11.25" hidden="1">
      <c r="B160" s="39" t="s">
        <v>190</v>
      </c>
      <c r="C160" s="82" t="s">
        <v>82</v>
      </c>
      <c r="D160" s="83"/>
      <c r="E160" s="50" t="s">
        <v>123</v>
      </c>
      <c r="F160" s="28">
        <v>0</v>
      </c>
      <c r="G160" s="28">
        <v>0</v>
      </c>
      <c r="H160" s="28">
        <v>2.8776</v>
      </c>
      <c r="I160" s="28">
        <v>15.8411147252</v>
      </c>
      <c r="J160" s="28">
        <v>48.39387945040001</v>
      </c>
      <c r="K160" s="28">
        <v>49.7762436104</v>
      </c>
      <c r="L160" s="28">
        <v>49.7762436104</v>
      </c>
      <c r="M160" s="28">
        <v>49.7762436104</v>
      </c>
      <c r="N160" s="28">
        <v>49.7762436104</v>
      </c>
      <c r="O160" s="28">
        <v>49.7762436104</v>
      </c>
      <c r="P160" s="28">
        <v>49.7762436104</v>
      </c>
      <c r="Q160" s="28">
        <v>49.7762436104</v>
      </c>
      <c r="R160" s="28">
        <v>49.7762436104</v>
      </c>
      <c r="S160" s="28">
        <v>49.7762436104</v>
      </c>
      <c r="T160" s="28">
        <v>49.7762436104</v>
      </c>
      <c r="U160" s="28">
        <v>49.7762436104</v>
      </c>
      <c r="V160" s="28">
        <v>49.7762436104</v>
      </c>
      <c r="W160" s="28">
        <v>49.7762436104</v>
      </c>
      <c r="X160" s="28">
        <v>49.7762436104</v>
      </c>
      <c r="Y160" s="40">
        <v>49.7762436104</v>
      </c>
      <c r="AA160" s="52"/>
      <c r="AB160" s="116"/>
    </row>
    <row r="161" spans="2:28" ht="11.25" hidden="1">
      <c r="B161" s="39" t="s">
        <v>600</v>
      </c>
      <c r="C161" s="82" t="s">
        <v>578</v>
      </c>
      <c r="D161" s="83"/>
      <c r="E161" s="50" t="s">
        <v>118</v>
      </c>
      <c r="F161" s="28">
        <v>0</v>
      </c>
      <c r="G161" s="28">
        <v>0</v>
      </c>
      <c r="H161" s="28">
        <v>425.81</v>
      </c>
      <c r="I161" s="28">
        <v>0</v>
      </c>
      <c r="J161" s="28">
        <v>0</v>
      </c>
      <c r="K161" s="28">
        <v>0</v>
      </c>
      <c r="L161" s="28">
        <v>0</v>
      </c>
      <c r="M161" s="28">
        <v>0</v>
      </c>
      <c r="N161" s="28">
        <v>0</v>
      </c>
      <c r="O161" s="28">
        <v>0</v>
      </c>
      <c r="P161" s="28">
        <v>0</v>
      </c>
      <c r="Q161" s="28">
        <v>0</v>
      </c>
      <c r="R161" s="28">
        <v>0</v>
      </c>
      <c r="S161" s="28">
        <v>0</v>
      </c>
      <c r="T161" s="28">
        <v>0</v>
      </c>
      <c r="U161" s="28">
        <v>0</v>
      </c>
      <c r="V161" s="28">
        <v>0</v>
      </c>
      <c r="W161" s="28">
        <v>0</v>
      </c>
      <c r="X161" s="28">
        <v>0</v>
      </c>
      <c r="Y161" s="40">
        <v>0</v>
      </c>
      <c r="AA161" s="52">
        <v>425.81</v>
      </c>
      <c r="AB161" s="116"/>
    </row>
    <row r="162" spans="2:28" ht="11.25" hidden="1">
      <c r="B162" s="39" t="s">
        <v>705</v>
      </c>
      <c r="C162" s="82" t="s">
        <v>691</v>
      </c>
      <c r="D162" s="83"/>
      <c r="E162" s="50" t="s">
        <v>118</v>
      </c>
      <c r="F162" s="28">
        <v>0</v>
      </c>
      <c r="G162" s="28">
        <v>0</v>
      </c>
      <c r="H162" s="28">
        <v>61.28052602983993</v>
      </c>
      <c r="I162" s="28">
        <v>61.28052602983993</v>
      </c>
      <c r="J162" s="28">
        <v>177.55252602983995</v>
      </c>
      <c r="K162" s="28">
        <v>29.438421910480166</v>
      </c>
      <c r="L162" s="28">
        <v>0</v>
      </c>
      <c r="M162" s="28">
        <v>0</v>
      </c>
      <c r="N162" s="28">
        <v>0</v>
      </c>
      <c r="O162" s="28">
        <v>0</v>
      </c>
      <c r="P162" s="28">
        <v>0</v>
      </c>
      <c r="Q162" s="28">
        <v>0</v>
      </c>
      <c r="R162" s="28">
        <v>0</v>
      </c>
      <c r="S162" s="28">
        <v>0</v>
      </c>
      <c r="T162" s="28">
        <v>0</v>
      </c>
      <c r="U162" s="28">
        <v>0</v>
      </c>
      <c r="V162" s="28">
        <v>0</v>
      </c>
      <c r="W162" s="28">
        <v>0</v>
      </c>
      <c r="X162" s="28">
        <v>0</v>
      </c>
      <c r="Y162" s="40">
        <v>0</v>
      </c>
      <c r="AA162" s="52"/>
      <c r="AB162" s="116"/>
    </row>
    <row r="163" spans="2:28" ht="11.25" hidden="1">
      <c r="B163" s="39" t="s">
        <v>191</v>
      </c>
      <c r="C163" s="82" t="s">
        <v>706</v>
      </c>
      <c r="D163" s="83"/>
      <c r="E163" s="50" t="s">
        <v>123</v>
      </c>
      <c r="F163" s="28">
        <v>0</v>
      </c>
      <c r="G163" s="28">
        <v>143.88</v>
      </c>
      <c r="H163" s="28">
        <v>1138.14386228984</v>
      </c>
      <c r="I163" s="28">
        <v>1704.7598770150398</v>
      </c>
      <c r="J163" s="28">
        <v>295.0646134802399</v>
      </c>
      <c r="K163" s="28">
        <v>79.21466552088017</v>
      </c>
      <c r="L163" s="28">
        <v>49.7762436104</v>
      </c>
      <c r="M163" s="28">
        <v>49.7762436104</v>
      </c>
      <c r="N163" s="28">
        <v>49.7762436104</v>
      </c>
      <c r="O163" s="28">
        <v>49.7762436104</v>
      </c>
      <c r="P163" s="28">
        <v>49.7762436104</v>
      </c>
      <c r="Q163" s="28">
        <v>49.7762436104</v>
      </c>
      <c r="R163" s="28">
        <v>49.7762436104</v>
      </c>
      <c r="S163" s="28">
        <v>49.7762436104</v>
      </c>
      <c r="T163" s="28">
        <v>49.7762436104</v>
      </c>
      <c r="U163" s="28">
        <v>49.7762436104</v>
      </c>
      <c r="V163" s="28">
        <v>49.7762436104</v>
      </c>
      <c r="W163" s="28">
        <v>49.7762436104</v>
      </c>
      <c r="X163" s="28">
        <v>49.7762436104</v>
      </c>
      <c r="Y163" s="40">
        <v>49.7762436104</v>
      </c>
      <c r="AA163" s="52">
        <f>+AA157+AA158+AA159</f>
        <v>4158.41448052</v>
      </c>
      <c r="AB163" s="116"/>
    </row>
    <row r="164" spans="2:27" ht="11.25" hidden="1">
      <c r="B164" s="39" t="s">
        <v>192</v>
      </c>
      <c r="C164" s="82" t="s">
        <v>128</v>
      </c>
      <c r="D164" s="83"/>
      <c r="E164" s="50" t="s">
        <v>123</v>
      </c>
      <c r="F164" s="28">
        <v>0</v>
      </c>
      <c r="G164" s="28">
        <v>0</v>
      </c>
      <c r="H164" s="28">
        <v>11.481998317312145</v>
      </c>
      <c r="I164" s="28">
        <v>-11.20461380238725</v>
      </c>
      <c r="J164" s="28">
        <v>42.887176969619645</v>
      </c>
      <c r="K164" s="28">
        <v>65.35782258298303</v>
      </c>
      <c r="L164" s="28">
        <v>249.54087402680636</v>
      </c>
      <c r="M164" s="28">
        <v>636.5062983035883</v>
      </c>
      <c r="N164" s="28">
        <v>921.2477195809284</v>
      </c>
      <c r="O164" s="28">
        <v>1023.1695663620055</v>
      </c>
      <c r="P164" s="28">
        <v>1032.388353663846</v>
      </c>
      <c r="Q164" s="28">
        <v>1032.388353663846</v>
      </c>
      <c r="R164" s="28">
        <v>1032.388353663846</v>
      </c>
      <c r="S164" s="28">
        <v>1032.388353663846</v>
      </c>
      <c r="T164" s="28">
        <v>1032.388353663846</v>
      </c>
      <c r="U164" s="28">
        <v>1032.388353663846</v>
      </c>
      <c r="V164" s="28">
        <v>1032.388353663846</v>
      </c>
      <c r="W164" s="28">
        <v>1032.388353663846</v>
      </c>
      <c r="X164" s="28">
        <v>1032.388353663846</v>
      </c>
      <c r="Y164" s="40">
        <v>1032.388353663846</v>
      </c>
      <c r="AA164" s="52"/>
    </row>
    <row r="165" spans="2:27" ht="11.25" hidden="1">
      <c r="B165" s="39" t="s">
        <v>193</v>
      </c>
      <c r="C165" s="82" t="s">
        <v>63</v>
      </c>
      <c r="D165" s="83"/>
      <c r="E165" s="50" t="s">
        <v>123</v>
      </c>
      <c r="F165" s="28">
        <v>0</v>
      </c>
      <c r="G165" s="28">
        <v>0</v>
      </c>
      <c r="H165" s="28">
        <v>0</v>
      </c>
      <c r="I165" s="28">
        <v>0</v>
      </c>
      <c r="J165" s="28">
        <v>23.913333333333327</v>
      </c>
      <c r="K165" s="28">
        <v>19.13066666666666</v>
      </c>
      <c r="L165" s="28">
        <v>14.347999999999997</v>
      </c>
      <c r="M165" s="28">
        <v>9.56533333333333</v>
      </c>
      <c r="N165" s="28">
        <v>4.782666666666663</v>
      </c>
      <c r="O165" s="28">
        <v>0</v>
      </c>
      <c r="P165" s="28">
        <v>0</v>
      </c>
      <c r="Q165" s="28">
        <v>0</v>
      </c>
      <c r="R165" s="28">
        <v>0</v>
      </c>
      <c r="S165" s="28">
        <v>0</v>
      </c>
      <c r="T165" s="28">
        <v>0</v>
      </c>
      <c r="U165" s="28">
        <v>0</v>
      </c>
      <c r="V165" s="28">
        <v>0</v>
      </c>
      <c r="W165" s="28">
        <v>0</v>
      </c>
      <c r="X165" s="28">
        <v>0</v>
      </c>
      <c r="Y165" s="40">
        <v>0</v>
      </c>
      <c r="AA165" s="52"/>
    </row>
    <row r="166" spans="2:27" ht="11.25" hidden="1">
      <c r="B166" s="39" t="s">
        <v>194</v>
      </c>
      <c r="C166" s="82" t="s">
        <v>195</v>
      </c>
      <c r="D166" s="83"/>
      <c r="E166" s="50" t="s">
        <v>123</v>
      </c>
      <c r="F166" s="28">
        <v>0</v>
      </c>
      <c r="G166" s="28">
        <v>0</v>
      </c>
      <c r="H166" s="28">
        <v>11.481998317312145</v>
      </c>
      <c r="I166" s="28">
        <v>-11.20461380238725</v>
      </c>
      <c r="J166" s="28">
        <v>66.80051030295297</v>
      </c>
      <c r="K166" s="28">
        <v>84.48848924964969</v>
      </c>
      <c r="L166" s="28">
        <v>263.8888740268064</v>
      </c>
      <c r="M166" s="28">
        <v>646.0716316369217</v>
      </c>
      <c r="N166" s="28">
        <v>926.0303862475951</v>
      </c>
      <c r="O166" s="28">
        <v>1023.1695663620055</v>
      </c>
      <c r="P166" s="28">
        <v>1032.388353663846</v>
      </c>
      <c r="Q166" s="28">
        <v>1032.388353663846</v>
      </c>
      <c r="R166" s="28">
        <v>1032.388353663846</v>
      </c>
      <c r="S166" s="28">
        <v>1032.388353663846</v>
      </c>
      <c r="T166" s="28">
        <v>1032.388353663846</v>
      </c>
      <c r="U166" s="28">
        <v>1032.388353663846</v>
      </c>
      <c r="V166" s="28">
        <v>1032.388353663846</v>
      </c>
      <c r="W166" s="28">
        <v>1032.388353663846</v>
      </c>
      <c r="X166" s="28">
        <v>1032.388353663846</v>
      </c>
      <c r="Y166" s="40">
        <v>1032.388353663846</v>
      </c>
      <c r="AA166" s="52"/>
    </row>
    <row r="167" spans="2:27" ht="11.25" hidden="1">
      <c r="B167" s="39" t="s">
        <v>196</v>
      </c>
      <c r="C167" s="84" t="s">
        <v>483</v>
      </c>
      <c r="D167" s="85"/>
      <c r="E167" s="50" t="s">
        <v>123</v>
      </c>
      <c r="F167" s="28">
        <v>0</v>
      </c>
      <c r="G167" s="28">
        <v>-143.88</v>
      </c>
      <c r="H167" s="28">
        <v>-1126.6618639725277</v>
      </c>
      <c r="I167" s="28">
        <v>-1715.964490817427</v>
      </c>
      <c r="J167" s="28">
        <v>-228.26410317728696</v>
      </c>
      <c r="K167" s="28">
        <v>5.273823728769514</v>
      </c>
      <c r="L167" s="28">
        <v>214.11263041640638</v>
      </c>
      <c r="M167" s="28">
        <v>596.2953880265217</v>
      </c>
      <c r="N167" s="28">
        <v>876.2541426371951</v>
      </c>
      <c r="O167" s="28">
        <v>973.3933227516055</v>
      </c>
      <c r="P167" s="28">
        <v>982.6121100534459</v>
      </c>
      <c r="Q167" s="28">
        <v>982.6121100534459</v>
      </c>
      <c r="R167" s="28">
        <v>982.6121100534459</v>
      </c>
      <c r="S167" s="28">
        <v>982.6121100534459</v>
      </c>
      <c r="T167" s="28">
        <v>982.6121100534459</v>
      </c>
      <c r="U167" s="28">
        <v>982.6121100534459</v>
      </c>
      <c r="V167" s="28">
        <v>982.6121100534459</v>
      </c>
      <c r="W167" s="28">
        <v>982.6121100534459</v>
      </c>
      <c r="X167" s="28">
        <v>982.6121100534459</v>
      </c>
      <c r="Y167" s="40">
        <v>982.6121100534459</v>
      </c>
      <c r="AA167" s="52"/>
    </row>
    <row r="168" spans="2:27" ht="11.25" hidden="1">
      <c r="B168" s="114" t="s">
        <v>197</v>
      </c>
      <c r="C168" s="91" t="s">
        <v>121</v>
      </c>
      <c r="D168" s="78">
        <f>+AA163</f>
        <v>4158.41448052</v>
      </c>
      <c r="E168" s="94"/>
      <c r="F168" s="73"/>
      <c r="G168" s="73"/>
      <c r="H168" s="73"/>
      <c r="I168" s="73"/>
      <c r="J168" s="73"/>
      <c r="K168" s="73"/>
      <c r="L168" s="73"/>
      <c r="M168" s="73"/>
      <c r="N168" s="73"/>
      <c r="O168" s="73"/>
      <c r="P168" s="73"/>
      <c r="Q168" s="73"/>
      <c r="R168" s="73"/>
      <c r="S168" s="73"/>
      <c r="T168" s="73"/>
      <c r="U168" s="73"/>
      <c r="V168" s="73"/>
      <c r="W168" s="73"/>
      <c r="X168" s="73"/>
      <c r="Y168" s="74"/>
      <c r="AA168" s="52"/>
    </row>
    <row r="169" spans="2:27" ht="11.25" hidden="1">
      <c r="B169" s="90" t="s">
        <v>198</v>
      </c>
      <c r="C169" s="92" t="s">
        <v>596</v>
      </c>
      <c r="D169" s="113">
        <f>+AA161</f>
        <v>425.81</v>
      </c>
      <c r="E169" s="95"/>
      <c r="F169" s="54"/>
      <c r="G169" s="54"/>
      <c r="H169" s="54"/>
      <c r="I169" s="54"/>
      <c r="J169" s="54"/>
      <c r="K169" s="54"/>
      <c r="L169" s="54"/>
      <c r="M169" s="54"/>
      <c r="N169" s="54"/>
      <c r="O169" s="54"/>
      <c r="P169" s="54"/>
      <c r="Q169" s="54"/>
      <c r="R169" s="54"/>
      <c r="S169" s="54"/>
      <c r="T169" s="54"/>
      <c r="U169" s="54"/>
      <c r="V169" s="54"/>
      <c r="W169" s="54"/>
      <c r="X169" s="54"/>
      <c r="Y169" s="75"/>
      <c r="AA169" s="52"/>
    </row>
    <row r="170" spans="2:27" ht="11.25" hidden="1">
      <c r="B170" s="90" t="s">
        <v>199</v>
      </c>
      <c r="C170" s="92" t="s">
        <v>57</v>
      </c>
      <c r="D170" s="79">
        <f>+IRR(F167:Y167)</f>
        <v>0.15285448728448586</v>
      </c>
      <c r="E170" s="95"/>
      <c r="F170" s="88"/>
      <c r="G170" s="54"/>
      <c r="H170" s="54"/>
      <c r="I170" s="54"/>
      <c r="J170" s="54"/>
      <c r="K170" s="54"/>
      <c r="L170" s="54"/>
      <c r="M170" s="54"/>
      <c r="N170" s="54"/>
      <c r="O170" s="54"/>
      <c r="P170" s="54"/>
      <c r="Q170" s="54"/>
      <c r="R170" s="54"/>
      <c r="S170" s="54"/>
      <c r="T170" s="54"/>
      <c r="U170" s="54"/>
      <c r="V170" s="54"/>
      <c r="W170" s="54"/>
      <c r="X170" s="54"/>
      <c r="Y170" s="75"/>
      <c r="AA170" s="52"/>
    </row>
    <row r="171" spans="2:27" ht="12" hidden="1" thickBot="1">
      <c r="B171" s="122" t="s">
        <v>601</v>
      </c>
      <c r="C171" s="102" t="s">
        <v>120</v>
      </c>
      <c r="D171" s="210">
        <f>+NPV('Assumptions and Basic Info'!$C$20,F167:Y167)</f>
        <v>1186.586379976963</v>
      </c>
      <c r="E171" s="108"/>
      <c r="F171" s="105"/>
      <c r="G171" s="127"/>
      <c r="H171" s="105"/>
      <c r="I171" s="105"/>
      <c r="J171" s="105"/>
      <c r="K171" s="105"/>
      <c r="L171" s="105"/>
      <c r="M171" s="105"/>
      <c r="N171" s="105"/>
      <c r="O171" s="105"/>
      <c r="P171" s="105"/>
      <c r="Q171" s="105"/>
      <c r="R171" s="105"/>
      <c r="S171" s="105"/>
      <c r="T171" s="105"/>
      <c r="U171" s="105"/>
      <c r="V171" s="105"/>
      <c r="W171" s="105"/>
      <c r="X171" s="105"/>
      <c r="Y171" s="106"/>
      <c r="AA171" s="52"/>
    </row>
    <row r="172" spans="2:27" ht="11.25" hidden="1">
      <c r="B172" s="44" t="s">
        <v>202</v>
      </c>
      <c r="C172" s="23" t="s">
        <v>221</v>
      </c>
      <c r="D172" s="23"/>
      <c r="E172" s="51"/>
      <c r="F172" s="24"/>
      <c r="G172" s="24"/>
      <c r="H172" s="24"/>
      <c r="I172" s="24"/>
      <c r="J172" s="24"/>
      <c r="K172" s="24"/>
      <c r="L172" s="24"/>
      <c r="M172" s="24"/>
      <c r="N172" s="24"/>
      <c r="O172" s="24"/>
      <c r="P172" s="24"/>
      <c r="Q172" s="24"/>
      <c r="R172" s="24"/>
      <c r="S172" s="24"/>
      <c r="T172" s="24"/>
      <c r="U172" s="24"/>
      <c r="V172" s="24"/>
      <c r="W172" s="24"/>
      <c r="X172" s="24"/>
      <c r="Y172" s="45"/>
      <c r="AA172" s="52"/>
    </row>
    <row r="173" spans="2:28" ht="11.25" hidden="1">
      <c r="B173" s="37" t="s">
        <v>203</v>
      </c>
      <c r="C173" s="80" t="s">
        <v>124</v>
      </c>
      <c r="D173" s="81"/>
      <c r="E173" s="49" t="s">
        <v>54</v>
      </c>
      <c r="F173" s="27">
        <v>430</v>
      </c>
      <c r="G173" s="27">
        <v>382.2222222222222</v>
      </c>
      <c r="H173" s="27">
        <v>334.44444444444446</v>
      </c>
      <c r="I173" s="27">
        <v>286.66666666666674</v>
      </c>
      <c r="J173" s="27">
        <v>238.8888888888889</v>
      </c>
      <c r="K173" s="27">
        <v>191.1111111111111</v>
      </c>
      <c r="L173" s="27">
        <v>143.33333333333337</v>
      </c>
      <c r="M173" s="27">
        <v>95.55555555555566</v>
      </c>
      <c r="N173" s="27">
        <v>47.77777777777783</v>
      </c>
      <c r="O173" s="27">
        <v>0</v>
      </c>
      <c r="P173" s="27">
        <v>0</v>
      </c>
      <c r="Q173" s="27">
        <v>0</v>
      </c>
      <c r="R173" s="27">
        <v>0</v>
      </c>
      <c r="S173" s="27">
        <v>0</v>
      </c>
      <c r="T173" s="27">
        <v>0</v>
      </c>
      <c r="U173" s="27">
        <v>0</v>
      </c>
      <c r="V173" s="27">
        <v>0</v>
      </c>
      <c r="W173" s="27">
        <v>0</v>
      </c>
      <c r="X173" s="27">
        <v>0</v>
      </c>
      <c r="Y173" s="38">
        <v>0</v>
      </c>
      <c r="AA173" s="52">
        <v>430</v>
      </c>
      <c r="AB173" s="116" t="s">
        <v>126</v>
      </c>
    </row>
    <row r="174" spans="2:28" ht="11.25" hidden="1">
      <c r="B174" s="39" t="s">
        <v>204</v>
      </c>
      <c r="C174" s="82" t="s">
        <v>125</v>
      </c>
      <c r="D174" s="83"/>
      <c r="E174" s="50" t="s">
        <v>54</v>
      </c>
      <c r="F174" s="28">
        <v>430</v>
      </c>
      <c r="G174" s="28">
        <v>382.2222222222222</v>
      </c>
      <c r="H174" s="28">
        <v>351.6684398592342</v>
      </c>
      <c r="I174" s="28">
        <v>321.1146574962462</v>
      </c>
      <c r="J174" s="28">
        <v>2241.6719862443692</v>
      </c>
      <c r="K174" s="28">
        <v>2250</v>
      </c>
      <c r="L174" s="28">
        <v>2250</v>
      </c>
      <c r="M174" s="28">
        <v>2250</v>
      </c>
      <c r="N174" s="28">
        <v>2250</v>
      </c>
      <c r="O174" s="28">
        <v>2250</v>
      </c>
      <c r="P174" s="28">
        <v>2250</v>
      </c>
      <c r="Q174" s="28">
        <v>2250</v>
      </c>
      <c r="R174" s="28">
        <v>2250</v>
      </c>
      <c r="S174" s="28">
        <v>2250</v>
      </c>
      <c r="T174" s="28">
        <v>2250</v>
      </c>
      <c r="U174" s="28">
        <v>2250</v>
      </c>
      <c r="V174" s="28">
        <v>2250</v>
      </c>
      <c r="W174" s="28">
        <v>2250</v>
      </c>
      <c r="X174" s="28">
        <v>2250</v>
      </c>
      <c r="Y174" s="40">
        <v>2250</v>
      </c>
      <c r="AA174" s="52">
        <v>2250</v>
      </c>
      <c r="AB174" s="116" t="s">
        <v>127</v>
      </c>
    </row>
    <row r="175" spans="2:29" ht="11.25" hidden="1">
      <c r="B175" s="39" t="s">
        <v>205</v>
      </c>
      <c r="C175" s="82" t="s">
        <v>81</v>
      </c>
      <c r="D175" s="83"/>
      <c r="E175" s="50" t="s">
        <v>54</v>
      </c>
      <c r="F175" s="28">
        <v>0</v>
      </c>
      <c r="G175" s="28">
        <v>0</v>
      </c>
      <c r="H175" s="28">
        <v>17.223995414789727</v>
      </c>
      <c r="I175" s="28">
        <v>34.44799082957945</v>
      </c>
      <c r="J175" s="28">
        <v>2002.7830973554803</v>
      </c>
      <c r="K175" s="28">
        <v>2058.8888888888887</v>
      </c>
      <c r="L175" s="28">
        <v>2106.6666666666665</v>
      </c>
      <c r="M175" s="28">
        <v>2154.4444444444443</v>
      </c>
      <c r="N175" s="28">
        <v>2202.222222222222</v>
      </c>
      <c r="O175" s="28">
        <v>2250</v>
      </c>
      <c r="P175" s="28">
        <v>2250</v>
      </c>
      <c r="Q175" s="28">
        <v>2250</v>
      </c>
      <c r="R175" s="28">
        <v>2250</v>
      </c>
      <c r="S175" s="28">
        <v>2250</v>
      </c>
      <c r="T175" s="28">
        <v>2250</v>
      </c>
      <c r="U175" s="28">
        <v>2250</v>
      </c>
      <c r="V175" s="28">
        <v>2250</v>
      </c>
      <c r="W175" s="28">
        <v>2250</v>
      </c>
      <c r="X175" s="28">
        <v>2250</v>
      </c>
      <c r="Y175" s="40">
        <v>2250</v>
      </c>
      <c r="AA175" s="52">
        <v>1820</v>
      </c>
      <c r="AB175" s="116" t="s">
        <v>127</v>
      </c>
      <c r="AC175" s="52">
        <v>1820</v>
      </c>
    </row>
    <row r="176" spans="2:28" ht="11.25" hidden="1">
      <c r="B176" s="39" t="s">
        <v>206</v>
      </c>
      <c r="C176" s="82" t="s">
        <v>65</v>
      </c>
      <c r="D176" s="83"/>
      <c r="E176" s="50" t="s">
        <v>119</v>
      </c>
      <c r="F176" s="28">
        <v>0</v>
      </c>
      <c r="G176" s="28">
        <v>0</v>
      </c>
      <c r="H176" s="28">
        <v>0</v>
      </c>
      <c r="I176" s="28">
        <v>0</v>
      </c>
      <c r="J176" s="28">
        <v>1333.3333333333333</v>
      </c>
      <c r="K176" s="28">
        <v>1066.6666666666665</v>
      </c>
      <c r="L176" s="28">
        <v>800</v>
      </c>
      <c r="M176" s="28">
        <v>533.333333333333</v>
      </c>
      <c r="N176" s="28">
        <v>266.66666666666634</v>
      </c>
      <c r="O176" s="28">
        <v>0</v>
      </c>
      <c r="P176" s="28">
        <v>0</v>
      </c>
      <c r="Q176" s="28">
        <v>0</v>
      </c>
      <c r="R176" s="28">
        <v>0</v>
      </c>
      <c r="S176" s="28">
        <v>0</v>
      </c>
      <c r="T176" s="28">
        <v>0</v>
      </c>
      <c r="U176" s="28">
        <v>0</v>
      </c>
      <c r="V176" s="28">
        <v>0</v>
      </c>
      <c r="W176" s="28">
        <v>0</v>
      </c>
      <c r="X176" s="28">
        <v>0</v>
      </c>
      <c r="Y176" s="40">
        <v>0</v>
      </c>
      <c r="AA176" s="52">
        <v>2400</v>
      </c>
      <c r="AB176" s="116" t="s">
        <v>127</v>
      </c>
    </row>
    <row r="177" spans="2:27" ht="11.25" hidden="1">
      <c r="B177" s="39" t="s">
        <v>207</v>
      </c>
      <c r="C177" s="82" t="s">
        <v>58</v>
      </c>
      <c r="D177" s="83"/>
      <c r="E177" s="50" t="s">
        <v>123</v>
      </c>
      <c r="F177" s="28">
        <v>0</v>
      </c>
      <c r="G177" s="28">
        <v>38.2608695652174</v>
      </c>
      <c r="H177" s="28">
        <v>1219.1304347826087</v>
      </c>
      <c r="I177" s="28">
        <v>588.4813043478262</v>
      </c>
      <c r="J177" s="28">
        <v>18.49960130434782</v>
      </c>
      <c r="K177" s="28">
        <v>0</v>
      </c>
      <c r="L177" s="31">
        <v>0</v>
      </c>
      <c r="M177" s="31">
        <v>0</v>
      </c>
      <c r="N177" s="31">
        <v>0</v>
      </c>
      <c r="O177" s="31">
        <v>0</v>
      </c>
      <c r="P177" s="31">
        <v>0</v>
      </c>
      <c r="Q177" s="31">
        <v>0</v>
      </c>
      <c r="R177" s="31">
        <v>0</v>
      </c>
      <c r="S177" s="31">
        <v>0</v>
      </c>
      <c r="T177" s="31">
        <v>0</v>
      </c>
      <c r="U177" s="31">
        <v>0</v>
      </c>
      <c r="V177" s="31">
        <v>0</v>
      </c>
      <c r="W177" s="31">
        <v>0</v>
      </c>
      <c r="X177" s="31">
        <v>0</v>
      </c>
      <c r="Y177" s="46">
        <v>0</v>
      </c>
      <c r="AA177" s="52">
        <v>1864.3722100000002</v>
      </c>
    </row>
    <row r="178" spans="2:27" ht="11.25" hidden="1">
      <c r="B178" s="39" t="s">
        <v>208</v>
      </c>
      <c r="C178" s="82" t="s">
        <v>24</v>
      </c>
      <c r="D178" s="83"/>
      <c r="E178" s="50" t="s">
        <v>123</v>
      </c>
      <c r="F178" s="28">
        <v>0</v>
      </c>
      <c r="G178" s="28">
        <v>5.739130434782609</v>
      </c>
      <c r="H178" s="28">
        <v>182.8695652173913</v>
      </c>
      <c r="I178" s="28">
        <v>88.27219565217392</v>
      </c>
      <c r="J178" s="28">
        <v>2.774940195652173</v>
      </c>
      <c r="K178" s="28">
        <v>0</v>
      </c>
      <c r="L178" s="28">
        <v>0</v>
      </c>
      <c r="M178" s="28">
        <v>0</v>
      </c>
      <c r="N178" s="28">
        <v>0</v>
      </c>
      <c r="O178" s="28">
        <v>0</v>
      </c>
      <c r="P178" s="28">
        <v>0</v>
      </c>
      <c r="Q178" s="28">
        <v>0</v>
      </c>
      <c r="R178" s="28">
        <v>0</v>
      </c>
      <c r="S178" s="28">
        <v>0</v>
      </c>
      <c r="T178" s="28">
        <v>0</v>
      </c>
      <c r="U178" s="28">
        <v>0</v>
      </c>
      <c r="V178" s="31">
        <v>0</v>
      </c>
      <c r="W178" s="31">
        <v>0</v>
      </c>
      <c r="X178" s="31">
        <v>0</v>
      </c>
      <c r="Y178" s="46">
        <v>0</v>
      </c>
      <c r="AA178" s="54">
        <f>+AA177*'Assumptions and Basic Info'!$C$4</f>
        <v>1864.3722100000002</v>
      </c>
    </row>
    <row r="179" spans="2:27" ht="11.25" hidden="1">
      <c r="B179" s="39" t="s">
        <v>209</v>
      </c>
      <c r="C179" s="82" t="s">
        <v>83</v>
      </c>
      <c r="D179" s="83"/>
      <c r="E179" s="50" t="s">
        <v>123</v>
      </c>
      <c r="F179" s="28">
        <v>0</v>
      </c>
      <c r="G179" s="28">
        <v>97.610874404</v>
      </c>
      <c r="H179" s="28">
        <v>66.4183184</v>
      </c>
      <c r="I179" s="28">
        <v>35.152556004000004</v>
      </c>
      <c r="J179" s="28">
        <v>1.9147087349999994</v>
      </c>
      <c r="K179" s="28">
        <v>0</v>
      </c>
      <c r="L179" s="28">
        <v>0</v>
      </c>
      <c r="M179" s="28">
        <v>0</v>
      </c>
      <c r="N179" s="28">
        <v>0</v>
      </c>
      <c r="O179" s="28">
        <v>0</v>
      </c>
      <c r="P179" s="28">
        <v>0</v>
      </c>
      <c r="Q179" s="28">
        <v>0</v>
      </c>
      <c r="R179" s="28">
        <v>0</v>
      </c>
      <c r="S179" s="28">
        <v>0</v>
      </c>
      <c r="T179" s="28">
        <v>0</v>
      </c>
      <c r="U179" s="28">
        <v>0</v>
      </c>
      <c r="V179" s="31">
        <v>0</v>
      </c>
      <c r="W179" s="31">
        <v>0</v>
      </c>
      <c r="X179" s="31">
        <v>0</v>
      </c>
      <c r="Y179" s="46">
        <v>0</v>
      </c>
      <c r="AA179" s="54">
        <v>201.096457543</v>
      </c>
    </row>
    <row r="180" spans="2:27" ht="11.25" hidden="1">
      <c r="B180" s="39" t="s">
        <v>210</v>
      </c>
      <c r="C180" s="82" t="s">
        <v>82</v>
      </c>
      <c r="D180" s="83"/>
      <c r="E180" s="50" t="s">
        <v>123</v>
      </c>
      <c r="F180" s="28">
        <v>0</v>
      </c>
      <c r="G180" s="28">
        <v>0</v>
      </c>
      <c r="H180" s="28">
        <v>3.50273706308</v>
      </c>
      <c r="I180" s="28">
        <v>45.50386979908001</v>
      </c>
      <c r="J180" s="28">
        <v>62.85654549416001</v>
      </c>
      <c r="K180" s="28">
        <v>63.32033049886001</v>
      </c>
      <c r="L180" s="28">
        <v>63.32033049886001</v>
      </c>
      <c r="M180" s="28">
        <v>63.32033049886001</v>
      </c>
      <c r="N180" s="28">
        <v>63.32033049886001</v>
      </c>
      <c r="O180" s="28">
        <v>63.32033049886001</v>
      </c>
      <c r="P180" s="28">
        <v>63.32033049886001</v>
      </c>
      <c r="Q180" s="28">
        <v>63.32033049886001</v>
      </c>
      <c r="R180" s="28">
        <v>63.32033049886001</v>
      </c>
      <c r="S180" s="28">
        <v>63.32033049886001</v>
      </c>
      <c r="T180" s="28">
        <v>63.32033049886001</v>
      </c>
      <c r="U180" s="28">
        <v>63.32033049886001</v>
      </c>
      <c r="V180" s="28">
        <v>63.32033049886001</v>
      </c>
      <c r="W180" s="28">
        <v>63.32033049886001</v>
      </c>
      <c r="X180" s="28">
        <v>63.32033049886001</v>
      </c>
      <c r="Y180" s="40">
        <v>63.32033049886001</v>
      </c>
      <c r="AA180" s="52"/>
    </row>
    <row r="181" spans="2:27" ht="11.25" hidden="1">
      <c r="B181" s="39" t="s">
        <v>623</v>
      </c>
      <c r="C181" s="82" t="s">
        <v>578</v>
      </c>
      <c r="D181" s="83"/>
      <c r="E181" s="50" t="s">
        <v>118</v>
      </c>
      <c r="F181" s="28">
        <v>0</v>
      </c>
      <c r="G181" s="28">
        <v>212.905</v>
      </c>
      <c r="H181" s="28">
        <v>212.905</v>
      </c>
      <c r="I181" s="28">
        <v>0</v>
      </c>
      <c r="J181" s="28">
        <v>0</v>
      </c>
      <c r="K181" s="28">
        <v>0</v>
      </c>
      <c r="L181" s="28">
        <v>0</v>
      </c>
      <c r="M181" s="28">
        <v>0</v>
      </c>
      <c r="N181" s="28">
        <v>0</v>
      </c>
      <c r="O181" s="28">
        <v>0</v>
      </c>
      <c r="P181" s="28">
        <v>0</v>
      </c>
      <c r="Q181" s="28">
        <v>0</v>
      </c>
      <c r="R181" s="28">
        <v>0</v>
      </c>
      <c r="S181" s="28">
        <v>0</v>
      </c>
      <c r="T181" s="28">
        <v>0</v>
      </c>
      <c r="U181" s="28">
        <v>0</v>
      </c>
      <c r="V181" s="28">
        <v>0</v>
      </c>
      <c r="W181" s="28">
        <v>0</v>
      </c>
      <c r="X181" s="28">
        <v>0</v>
      </c>
      <c r="Y181" s="40">
        <v>0</v>
      </c>
      <c r="AA181" s="52">
        <v>425.81</v>
      </c>
    </row>
    <row r="182" spans="2:27" ht="11.25" hidden="1">
      <c r="B182" s="39" t="s">
        <v>707</v>
      </c>
      <c r="C182" s="82" t="s">
        <v>691</v>
      </c>
      <c r="D182" s="83"/>
      <c r="E182" s="50"/>
      <c r="F182" s="28">
        <v>0</v>
      </c>
      <c r="G182" s="28">
        <v>0</v>
      </c>
      <c r="H182" s="28">
        <v>0.2928079220514256</v>
      </c>
      <c r="I182" s="28">
        <v>0.2928079220514256</v>
      </c>
      <c r="J182" s="28">
        <v>30.21280792205143</v>
      </c>
      <c r="K182" s="28">
        <v>0.1415762338457231</v>
      </c>
      <c r="L182" s="28">
        <v>0</v>
      </c>
      <c r="M182" s="28">
        <v>0</v>
      </c>
      <c r="N182" s="28">
        <v>0</v>
      </c>
      <c r="O182" s="28">
        <v>0</v>
      </c>
      <c r="P182" s="28">
        <v>0</v>
      </c>
      <c r="Q182" s="28">
        <v>0</v>
      </c>
      <c r="R182" s="28">
        <v>0</v>
      </c>
      <c r="S182" s="28">
        <v>0</v>
      </c>
      <c r="T182" s="28">
        <v>0</v>
      </c>
      <c r="U182" s="28">
        <v>0</v>
      </c>
      <c r="V182" s="28">
        <v>0</v>
      </c>
      <c r="W182" s="28">
        <v>0</v>
      </c>
      <c r="X182" s="28">
        <v>0</v>
      </c>
      <c r="Y182" s="40">
        <v>0</v>
      </c>
      <c r="AA182" s="52"/>
    </row>
    <row r="183" spans="2:27" ht="11.25" hidden="1">
      <c r="B183" s="39" t="s">
        <v>211</v>
      </c>
      <c r="C183" s="82" t="s">
        <v>708</v>
      </c>
      <c r="D183" s="83"/>
      <c r="E183" s="50" t="s">
        <v>123</v>
      </c>
      <c r="F183" s="28">
        <v>0</v>
      </c>
      <c r="G183" s="28">
        <v>354.515874404</v>
      </c>
      <c r="H183" s="28">
        <v>1685.1188633851316</v>
      </c>
      <c r="I183" s="28">
        <v>757.7027337251315</v>
      </c>
      <c r="J183" s="28">
        <v>116.25860365121143</v>
      </c>
      <c r="K183" s="28">
        <v>63.461906732705735</v>
      </c>
      <c r="L183" s="28">
        <v>63.32033049886001</v>
      </c>
      <c r="M183" s="28">
        <v>63.32033049886001</v>
      </c>
      <c r="N183" s="28">
        <v>63.32033049886001</v>
      </c>
      <c r="O183" s="28">
        <v>63.32033049886001</v>
      </c>
      <c r="P183" s="28">
        <v>63.32033049886001</v>
      </c>
      <c r="Q183" s="28">
        <v>63.32033049886001</v>
      </c>
      <c r="R183" s="28">
        <v>63.32033049886001</v>
      </c>
      <c r="S183" s="28">
        <v>63.32033049886001</v>
      </c>
      <c r="T183" s="28">
        <v>63.32033049886001</v>
      </c>
      <c r="U183" s="28">
        <v>63.32033049886001</v>
      </c>
      <c r="V183" s="28">
        <v>63.32033049886001</v>
      </c>
      <c r="W183" s="28">
        <v>63.32033049886001</v>
      </c>
      <c r="X183" s="28">
        <v>63.32033049886001</v>
      </c>
      <c r="Y183" s="40">
        <v>63.32033049886001</v>
      </c>
      <c r="AA183" s="52">
        <f>+AA177+AA178+AA179</f>
        <v>3929.8408775430003</v>
      </c>
    </row>
    <row r="184" spans="2:27" ht="11.25" hidden="1">
      <c r="B184" s="39" t="s">
        <v>212</v>
      </c>
      <c r="C184" s="82" t="s">
        <v>128</v>
      </c>
      <c r="D184" s="83"/>
      <c r="E184" s="50" t="s">
        <v>123</v>
      </c>
      <c r="F184" s="28">
        <v>0</v>
      </c>
      <c r="G184" s="28">
        <v>0</v>
      </c>
      <c r="H184" s="28">
        <v>5.054468986552082</v>
      </c>
      <c r="I184" s="28">
        <v>13.701633786322434</v>
      </c>
      <c r="J184" s="28">
        <v>684.2347392708867</v>
      </c>
      <c r="K184" s="28">
        <v>1096.695076151378</v>
      </c>
      <c r="L184" s="28">
        <v>1513.495228918503</v>
      </c>
      <c r="M184" s="28">
        <v>1571.966164493707</v>
      </c>
      <c r="N184" s="28">
        <v>1630.4468144764585</v>
      </c>
      <c r="O184" s="28">
        <v>1668.6103989855403</v>
      </c>
      <c r="P184" s="28">
        <v>1668.6226934656875</v>
      </c>
      <c r="Q184" s="28">
        <v>1668.6226934656875</v>
      </c>
      <c r="R184" s="28">
        <v>1668.6226934656875</v>
      </c>
      <c r="S184" s="28">
        <v>1668.6226934656875</v>
      </c>
      <c r="T184" s="28">
        <v>1668.6226934656875</v>
      </c>
      <c r="U184" s="28">
        <v>1668.6226934656875</v>
      </c>
      <c r="V184" s="28">
        <v>1668.6226934656875</v>
      </c>
      <c r="W184" s="28">
        <v>1668.6226934656875</v>
      </c>
      <c r="X184" s="28">
        <v>1668.6226934656875</v>
      </c>
      <c r="Y184" s="40">
        <v>1668.6226934656875</v>
      </c>
      <c r="AA184" s="52"/>
    </row>
    <row r="185" spans="2:27" ht="11.25" hidden="1">
      <c r="B185" s="39" t="s">
        <v>213</v>
      </c>
      <c r="C185" s="82" t="s">
        <v>63</v>
      </c>
      <c r="D185" s="83"/>
      <c r="E185" s="50" t="s">
        <v>123</v>
      </c>
      <c r="F185" s="28">
        <v>0</v>
      </c>
      <c r="G185" s="28">
        <v>0</v>
      </c>
      <c r="H185" s="28">
        <v>0</v>
      </c>
      <c r="I185" s="28">
        <v>0</v>
      </c>
      <c r="J185" s="28">
        <v>56.266666666666666</v>
      </c>
      <c r="K185" s="28">
        <v>45.01333333333333</v>
      </c>
      <c r="L185" s="28">
        <v>33.76</v>
      </c>
      <c r="M185" s="28">
        <v>22.506666666666657</v>
      </c>
      <c r="N185" s="28">
        <v>11.253333333333321</v>
      </c>
      <c r="O185" s="28">
        <v>0</v>
      </c>
      <c r="P185" s="28">
        <v>0</v>
      </c>
      <c r="Q185" s="28">
        <v>0</v>
      </c>
      <c r="R185" s="28">
        <v>0</v>
      </c>
      <c r="S185" s="28">
        <v>0</v>
      </c>
      <c r="T185" s="28">
        <v>0</v>
      </c>
      <c r="U185" s="28">
        <v>0</v>
      </c>
      <c r="V185" s="28">
        <v>0</v>
      </c>
      <c r="W185" s="28">
        <v>0</v>
      </c>
      <c r="X185" s="28">
        <v>0</v>
      </c>
      <c r="Y185" s="40">
        <v>0</v>
      </c>
      <c r="AA185" s="52"/>
    </row>
    <row r="186" spans="2:27" ht="11.25" hidden="1">
      <c r="B186" s="39" t="s">
        <v>214</v>
      </c>
      <c r="C186" s="82" t="s">
        <v>215</v>
      </c>
      <c r="D186" s="83"/>
      <c r="E186" s="50" t="s">
        <v>123</v>
      </c>
      <c r="F186" s="28">
        <v>0</v>
      </c>
      <c r="G186" s="28">
        <v>0</v>
      </c>
      <c r="H186" s="28">
        <v>5.054468986552082</v>
      </c>
      <c r="I186" s="28">
        <v>13.701633786322434</v>
      </c>
      <c r="J186" s="28">
        <v>740.5014059375534</v>
      </c>
      <c r="K186" s="28">
        <v>1141.7084094847114</v>
      </c>
      <c r="L186" s="28">
        <v>1547.255228918503</v>
      </c>
      <c r="M186" s="28">
        <v>1594.4728311603737</v>
      </c>
      <c r="N186" s="28">
        <v>1641.7001478097918</v>
      </c>
      <c r="O186" s="28">
        <v>1668.6103989855403</v>
      </c>
      <c r="P186" s="28">
        <v>1668.6226934656875</v>
      </c>
      <c r="Q186" s="28">
        <v>1668.6226934656875</v>
      </c>
      <c r="R186" s="28">
        <v>1668.6226934656875</v>
      </c>
      <c r="S186" s="28">
        <v>1668.6226934656875</v>
      </c>
      <c r="T186" s="28">
        <v>1668.6226934656875</v>
      </c>
      <c r="U186" s="28">
        <v>1668.6226934656875</v>
      </c>
      <c r="V186" s="28">
        <v>1668.6226934656875</v>
      </c>
      <c r="W186" s="28">
        <v>1668.6226934656875</v>
      </c>
      <c r="X186" s="28">
        <v>1668.6226934656875</v>
      </c>
      <c r="Y186" s="40">
        <v>1668.6226934656875</v>
      </c>
      <c r="AA186" s="52"/>
    </row>
    <row r="187" spans="2:27" ht="11.25" hidden="1">
      <c r="B187" s="39" t="s">
        <v>216</v>
      </c>
      <c r="C187" s="82" t="s">
        <v>217</v>
      </c>
      <c r="D187" s="83"/>
      <c r="E187" s="50" t="s">
        <v>123</v>
      </c>
      <c r="F187" s="28">
        <v>0</v>
      </c>
      <c r="G187" s="28">
        <v>-354.515874404</v>
      </c>
      <c r="H187" s="28">
        <v>-1680.0643943985795</v>
      </c>
      <c r="I187" s="28">
        <v>-744.001099938809</v>
      </c>
      <c r="J187" s="28">
        <v>624.242802286342</v>
      </c>
      <c r="K187" s="28">
        <v>1078.2465027520057</v>
      </c>
      <c r="L187" s="28">
        <v>1483.934898419643</v>
      </c>
      <c r="M187" s="28">
        <v>1531.1525006615138</v>
      </c>
      <c r="N187" s="28">
        <v>1578.379817310932</v>
      </c>
      <c r="O187" s="28">
        <v>1605.2900684866804</v>
      </c>
      <c r="P187" s="28">
        <v>1605.3023629668276</v>
      </c>
      <c r="Q187" s="28">
        <v>1605.3023629668276</v>
      </c>
      <c r="R187" s="28">
        <v>1605.3023629668276</v>
      </c>
      <c r="S187" s="28">
        <v>1605.3023629668276</v>
      </c>
      <c r="T187" s="28">
        <v>1605.3023629668276</v>
      </c>
      <c r="U187" s="28">
        <v>1605.3023629668276</v>
      </c>
      <c r="V187" s="28">
        <v>1605.3023629668276</v>
      </c>
      <c r="W187" s="28">
        <v>1605.3023629668276</v>
      </c>
      <c r="X187" s="28">
        <v>1605.3023629668276</v>
      </c>
      <c r="Y187" s="40">
        <v>1605.3023629668276</v>
      </c>
      <c r="AA187" s="52"/>
    </row>
    <row r="188" spans="2:27" ht="11.25" hidden="1">
      <c r="B188" s="114" t="s">
        <v>218</v>
      </c>
      <c r="C188" s="91" t="s">
        <v>121</v>
      </c>
      <c r="D188" s="78">
        <f>+AA183</f>
        <v>3929.8408775430003</v>
      </c>
      <c r="E188" s="94"/>
      <c r="F188" s="73"/>
      <c r="G188" s="73"/>
      <c r="H188" s="73"/>
      <c r="I188" s="73"/>
      <c r="J188" s="73"/>
      <c r="K188" s="73"/>
      <c r="L188" s="73"/>
      <c r="M188" s="73"/>
      <c r="N188" s="73"/>
      <c r="O188" s="73"/>
      <c r="P188" s="73"/>
      <c r="Q188" s="73"/>
      <c r="R188" s="73"/>
      <c r="S188" s="73"/>
      <c r="T188" s="73"/>
      <c r="U188" s="73"/>
      <c r="V188" s="73"/>
      <c r="W188" s="73"/>
      <c r="X188" s="73"/>
      <c r="Y188" s="74"/>
      <c r="AA188" s="52"/>
    </row>
    <row r="189" spans="2:27" ht="11.25" hidden="1">
      <c r="B189" s="90" t="s">
        <v>219</v>
      </c>
      <c r="C189" s="92" t="s">
        <v>596</v>
      </c>
      <c r="D189" s="113">
        <f>+AA181</f>
        <v>425.81</v>
      </c>
      <c r="E189" s="95"/>
      <c r="F189" s="54"/>
      <c r="G189" s="54"/>
      <c r="H189" s="54"/>
      <c r="I189" s="54"/>
      <c r="J189" s="54"/>
      <c r="K189" s="54"/>
      <c r="L189" s="54"/>
      <c r="M189" s="54"/>
      <c r="N189" s="54"/>
      <c r="O189" s="54"/>
      <c r="P189" s="54"/>
      <c r="Q189" s="54"/>
      <c r="R189" s="54"/>
      <c r="S189" s="54"/>
      <c r="T189" s="54"/>
      <c r="U189" s="54"/>
      <c r="V189" s="54"/>
      <c r="W189" s="54"/>
      <c r="X189" s="54"/>
      <c r="Y189" s="75"/>
      <c r="AA189" s="52"/>
    </row>
    <row r="190" spans="2:27" ht="11.25" hidden="1">
      <c r="B190" s="90" t="s">
        <v>220</v>
      </c>
      <c r="C190" s="92" t="s">
        <v>57</v>
      </c>
      <c r="D190" s="79">
        <f>+IRR(F187:Y187)</f>
        <v>0.3359903385369495</v>
      </c>
      <c r="E190" s="95"/>
      <c r="F190" s="88"/>
      <c r="G190" s="54"/>
      <c r="H190" s="54"/>
      <c r="I190" s="54"/>
      <c r="J190" s="54"/>
      <c r="K190" s="54"/>
      <c r="L190" s="54"/>
      <c r="M190" s="54"/>
      <c r="N190" s="54"/>
      <c r="O190" s="54"/>
      <c r="P190" s="54"/>
      <c r="Q190" s="54"/>
      <c r="R190" s="54"/>
      <c r="S190" s="54"/>
      <c r="T190" s="54"/>
      <c r="U190" s="54"/>
      <c r="V190" s="54"/>
      <c r="W190" s="54"/>
      <c r="X190" s="54"/>
      <c r="Y190" s="75"/>
      <c r="AA190" s="52"/>
    </row>
    <row r="191" spans="2:27" ht="12" hidden="1" thickBot="1">
      <c r="B191" s="122" t="s">
        <v>624</v>
      </c>
      <c r="C191" s="102" t="s">
        <v>120</v>
      </c>
      <c r="D191" s="103">
        <f>+NPV('Assumptions and Basic Info'!$C$20,F187:Y187)</f>
        <v>5499.8783528210815</v>
      </c>
      <c r="E191" s="108"/>
      <c r="F191" s="105"/>
      <c r="G191" s="127"/>
      <c r="H191" s="105"/>
      <c r="I191" s="105"/>
      <c r="J191" s="105"/>
      <c r="K191" s="105"/>
      <c r="L191" s="105"/>
      <c r="M191" s="105"/>
      <c r="N191" s="105"/>
      <c r="O191" s="105"/>
      <c r="P191" s="105"/>
      <c r="Q191" s="105"/>
      <c r="R191" s="105"/>
      <c r="S191" s="105"/>
      <c r="T191" s="105"/>
      <c r="U191" s="105"/>
      <c r="V191" s="105"/>
      <c r="W191" s="105"/>
      <c r="X191" s="105"/>
      <c r="Y191" s="106"/>
      <c r="AA191" s="52"/>
    </row>
    <row r="192" spans="2:27" ht="11.25" hidden="1">
      <c r="B192" s="44" t="s">
        <v>222</v>
      </c>
      <c r="C192" s="23" t="s">
        <v>241</v>
      </c>
      <c r="D192" s="23"/>
      <c r="E192" s="51"/>
      <c r="F192" s="24"/>
      <c r="G192" s="24"/>
      <c r="H192" s="24"/>
      <c r="I192" s="24"/>
      <c r="J192" s="24"/>
      <c r="K192" s="24"/>
      <c r="L192" s="24"/>
      <c r="M192" s="24"/>
      <c r="N192" s="24"/>
      <c r="O192" s="24"/>
      <c r="P192" s="24"/>
      <c r="Q192" s="24"/>
      <c r="R192" s="24"/>
      <c r="S192" s="24"/>
      <c r="T192" s="24"/>
      <c r="U192" s="24"/>
      <c r="V192" s="24"/>
      <c r="W192" s="24"/>
      <c r="X192" s="24"/>
      <c r="Y192" s="45"/>
      <c r="AA192" s="52"/>
    </row>
    <row r="193" spans="2:28" ht="11.25" hidden="1">
      <c r="B193" s="37" t="s">
        <v>223</v>
      </c>
      <c r="C193" s="120" t="s">
        <v>124</v>
      </c>
      <c r="D193" s="81"/>
      <c r="E193" s="49" t="s">
        <v>54</v>
      </c>
      <c r="F193" s="27">
        <v>1012</v>
      </c>
      <c r="G193" s="27">
        <v>923.7333333333335</v>
      </c>
      <c r="H193" s="27">
        <v>835.4986666666667</v>
      </c>
      <c r="I193" s="27">
        <v>747.29536</v>
      </c>
      <c r="J193" s="27">
        <v>659.1227861333335</v>
      </c>
      <c r="K193" s="27">
        <v>570.9803304106667</v>
      </c>
      <c r="L193" s="27">
        <v>482.86739046912</v>
      </c>
      <c r="M193" s="27">
        <v>394.7833759930711</v>
      </c>
      <c r="N193" s="27">
        <v>306.7277084732096</v>
      </c>
      <c r="O193" s="27">
        <v>218.69982097041202</v>
      </c>
      <c r="P193" s="27">
        <v>217.36582455100375</v>
      </c>
      <c r="Q193" s="27">
        <v>216.0585080599837</v>
      </c>
      <c r="R193" s="27">
        <v>214.77733789878403</v>
      </c>
      <c r="S193" s="27">
        <v>213.52179114080832</v>
      </c>
      <c r="T193" s="27">
        <v>212.29135531799216</v>
      </c>
      <c r="U193" s="27">
        <v>211.08552821163232</v>
      </c>
      <c r="V193" s="27">
        <v>209.90381764739965</v>
      </c>
      <c r="W193" s="27">
        <v>208.7457412944517</v>
      </c>
      <c r="X193" s="27">
        <v>207.61082646856266</v>
      </c>
      <c r="Y193" s="38">
        <v>206.4986099391914</v>
      </c>
      <c r="AA193" s="52">
        <v>1012</v>
      </c>
      <c r="AB193" s="116" t="s">
        <v>126</v>
      </c>
    </row>
    <row r="194" spans="2:29" ht="11.25" hidden="1">
      <c r="B194" s="39" t="s">
        <v>224</v>
      </c>
      <c r="C194" s="121" t="s">
        <v>125</v>
      </c>
      <c r="D194" s="83"/>
      <c r="E194" s="50" t="s">
        <v>54</v>
      </c>
      <c r="F194" s="28">
        <v>1012</v>
      </c>
      <c r="G194" s="28">
        <v>923.7333333333335</v>
      </c>
      <c r="H194" s="28">
        <v>864.7949587448395</v>
      </c>
      <c r="I194" s="28">
        <v>805.8879441563455</v>
      </c>
      <c r="J194" s="28">
        <v>823.2222095678518</v>
      </c>
      <c r="K194" s="28">
        <v>1322</v>
      </c>
      <c r="L194" s="28">
        <v>1322</v>
      </c>
      <c r="M194" s="28">
        <v>1322</v>
      </c>
      <c r="N194" s="28">
        <v>1322</v>
      </c>
      <c r="O194" s="28">
        <v>1322</v>
      </c>
      <c r="P194" s="28">
        <v>1322</v>
      </c>
      <c r="Q194" s="28">
        <v>1322</v>
      </c>
      <c r="R194" s="28">
        <v>1322</v>
      </c>
      <c r="S194" s="28">
        <v>1322</v>
      </c>
      <c r="T194" s="28">
        <v>1322</v>
      </c>
      <c r="U194" s="28">
        <v>1322</v>
      </c>
      <c r="V194" s="28">
        <v>1322</v>
      </c>
      <c r="W194" s="28">
        <v>1322</v>
      </c>
      <c r="X194" s="28">
        <v>1322</v>
      </c>
      <c r="Y194" s="40">
        <v>1322</v>
      </c>
      <c r="AA194" s="52">
        <v>1322</v>
      </c>
      <c r="AB194" s="116" t="s">
        <v>127</v>
      </c>
      <c r="AC194" s="52">
        <v>310</v>
      </c>
    </row>
    <row r="195" spans="2:28" ht="11.25" hidden="1">
      <c r="B195" s="39" t="s">
        <v>225</v>
      </c>
      <c r="C195" s="82" t="s">
        <v>81</v>
      </c>
      <c r="D195" s="83"/>
      <c r="E195" s="50" t="s">
        <v>54</v>
      </c>
      <c r="F195" s="28">
        <v>0</v>
      </c>
      <c r="G195" s="28">
        <v>0</v>
      </c>
      <c r="H195" s="28">
        <v>29.29629207817277</v>
      </c>
      <c r="I195" s="28">
        <v>58.59258415634554</v>
      </c>
      <c r="J195" s="28">
        <v>164.09942343451826</v>
      </c>
      <c r="K195" s="28">
        <v>751.0196695893333</v>
      </c>
      <c r="L195" s="28">
        <v>839.13260953088</v>
      </c>
      <c r="M195" s="28">
        <v>927.2166240069289</v>
      </c>
      <c r="N195" s="28">
        <v>1015.2722915267905</v>
      </c>
      <c r="O195" s="28">
        <v>1103.300179029588</v>
      </c>
      <c r="P195" s="28">
        <v>1104.6341754489963</v>
      </c>
      <c r="Q195" s="28">
        <v>1105.9414919400162</v>
      </c>
      <c r="R195" s="28">
        <v>1107.222662101216</v>
      </c>
      <c r="S195" s="28">
        <v>1108.4782088591917</v>
      </c>
      <c r="T195" s="28">
        <v>1109.7086446820078</v>
      </c>
      <c r="U195" s="28">
        <v>1110.9144717883678</v>
      </c>
      <c r="V195" s="28">
        <v>1112.0961823526004</v>
      </c>
      <c r="W195" s="28">
        <v>1113.2542587055482</v>
      </c>
      <c r="X195" s="28">
        <v>1114.3891735314373</v>
      </c>
      <c r="Y195" s="40">
        <v>1115.5013900608087</v>
      </c>
      <c r="AA195" s="52">
        <v>310</v>
      </c>
      <c r="AB195" s="116" t="s">
        <v>127</v>
      </c>
    </row>
    <row r="196" spans="2:28" ht="11.25" hidden="1">
      <c r="B196" s="39" t="s">
        <v>226</v>
      </c>
      <c r="C196" s="82" t="s">
        <v>65</v>
      </c>
      <c r="D196" s="83"/>
      <c r="E196" s="50" t="s">
        <v>119</v>
      </c>
      <c r="F196" s="28">
        <v>0</v>
      </c>
      <c r="G196" s="28">
        <v>0</v>
      </c>
      <c r="H196" s="28">
        <v>0</v>
      </c>
      <c r="I196" s="28">
        <v>0</v>
      </c>
      <c r="J196" s="28">
        <v>0</v>
      </c>
      <c r="K196" s="28">
        <v>2577.7777777777783</v>
      </c>
      <c r="L196" s="28">
        <v>1933.333333333334</v>
      </c>
      <c r="M196" s="28">
        <v>1288.8888888888896</v>
      </c>
      <c r="N196" s="28">
        <v>644.4444444444451</v>
      </c>
      <c r="O196" s="28">
        <v>0</v>
      </c>
      <c r="P196" s="28">
        <v>0</v>
      </c>
      <c r="Q196" s="28">
        <v>0</v>
      </c>
      <c r="R196" s="28">
        <v>0</v>
      </c>
      <c r="S196" s="28">
        <v>0</v>
      </c>
      <c r="T196" s="28">
        <v>0</v>
      </c>
      <c r="U196" s="28">
        <v>0</v>
      </c>
      <c r="V196" s="28">
        <v>0</v>
      </c>
      <c r="W196" s="28">
        <v>0</v>
      </c>
      <c r="X196" s="28">
        <v>0</v>
      </c>
      <c r="Y196" s="40">
        <v>0</v>
      </c>
      <c r="AA196" s="52">
        <v>5800</v>
      </c>
      <c r="AB196" s="116"/>
    </row>
    <row r="197" spans="2:27" ht="11.25" hidden="1">
      <c r="B197" s="39" t="s">
        <v>227</v>
      </c>
      <c r="C197" s="82" t="s">
        <v>58</v>
      </c>
      <c r="D197" s="83"/>
      <c r="E197" s="50" t="s">
        <v>123</v>
      </c>
      <c r="F197" s="28">
        <v>0</v>
      </c>
      <c r="G197" s="28">
        <v>34.78260869565218</v>
      </c>
      <c r="H197" s="28">
        <v>823.8628458498022</v>
      </c>
      <c r="I197" s="28">
        <v>1501.9762845849802</v>
      </c>
      <c r="J197" s="28">
        <v>362.2052608695652</v>
      </c>
      <c r="K197" s="28">
        <v>0</v>
      </c>
      <c r="L197" s="31">
        <v>0</v>
      </c>
      <c r="M197" s="31">
        <v>0</v>
      </c>
      <c r="N197" s="31">
        <v>0</v>
      </c>
      <c r="O197" s="31">
        <v>0</v>
      </c>
      <c r="P197" s="31">
        <v>0</v>
      </c>
      <c r="Q197" s="31">
        <v>0</v>
      </c>
      <c r="R197" s="31">
        <v>0</v>
      </c>
      <c r="S197" s="31">
        <v>0</v>
      </c>
      <c r="T197" s="31">
        <v>0</v>
      </c>
      <c r="U197" s="31">
        <v>0</v>
      </c>
      <c r="V197" s="31">
        <v>0</v>
      </c>
      <c r="W197" s="31">
        <v>0</v>
      </c>
      <c r="X197" s="31">
        <v>0</v>
      </c>
      <c r="Y197" s="46">
        <v>0</v>
      </c>
      <c r="AA197" s="52">
        <v>2722.8269999999998</v>
      </c>
    </row>
    <row r="198" spans="2:27" ht="11.25" hidden="1">
      <c r="B198" s="39" t="s">
        <v>228</v>
      </c>
      <c r="C198" s="82" t="s">
        <v>24</v>
      </c>
      <c r="D198" s="83"/>
      <c r="E198" s="50" t="s">
        <v>123</v>
      </c>
      <c r="F198" s="28">
        <v>0</v>
      </c>
      <c r="G198" s="28">
        <v>5.217391304347827</v>
      </c>
      <c r="H198" s="28">
        <v>123.57942687747034</v>
      </c>
      <c r="I198" s="28">
        <v>225.296442687747</v>
      </c>
      <c r="J198" s="28">
        <v>54.33078913043478</v>
      </c>
      <c r="K198" s="28">
        <v>0</v>
      </c>
      <c r="L198" s="28">
        <v>0</v>
      </c>
      <c r="M198" s="28">
        <v>0</v>
      </c>
      <c r="N198" s="28">
        <v>0</v>
      </c>
      <c r="O198" s="28">
        <v>0</v>
      </c>
      <c r="P198" s="28">
        <v>0</v>
      </c>
      <c r="Q198" s="28">
        <v>0</v>
      </c>
      <c r="R198" s="28">
        <v>0</v>
      </c>
      <c r="S198" s="28">
        <v>0</v>
      </c>
      <c r="T198" s="28">
        <v>0</v>
      </c>
      <c r="U198" s="28">
        <v>0</v>
      </c>
      <c r="V198" s="31">
        <v>0</v>
      </c>
      <c r="W198" s="31">
        <v>0</v>
      </c>
      <c r="X198" s="31">
        <v>0</v>
      </c>
      <c r="Y198" s="46">
        <v>0</v>
      </c>
      <c r="AA198" s="54">
        <f>+AA197*'Assumptions and Basic Info'!$C$4</f>
        <v>2722.8269999999998</v>
      </c>
    </row>
    <row r="199" spans="2:27" ht="11.25" hidden="1">
      <c r="B199" s="39" t="s">
        <v>229</v>
      </c>
      <c r="C199" s="82" t="s">
        <v>83</v>
      </c>
      <c r="D199" s="83"/>
      <c r="E199" s="50" t="s">
        <v>123</v>
      </c>
      <c r="F199" s="28">
        <v>0</v>
      </c>
      <c r="G199" s="28">
        <v>53.99622</v>
      </c>
      <c r="H199" s="28">
        <v>71.95010727272725</v>
      </c>
      <c r="I199" s="28">
        <v>127.52727272727273</v>
      </c>
      <c r="J199" s="28">
        <v>30.288244499999998</v>
      </c>
      <c r="K199" s="28">
        <v>0</v>
      </c>
      <c r="L199" s="28">
        <v>0</v>
      </c>
      <c r="M199" s="28">
        <v>0</v>
      </c>
      <c r="N199" s="28">
        <v>0</v>
      </c>
      <c r="O199" s="28">
        <v>0</v>
      </c>
      <c r="P199" s="28">
        <v>0</v>
      </c>
      <c r="Q199" s="28">
        <v>0</v>
      </c>
      <c r="R199" s="28">
        <v>0</v>
      </c>
      <c r="S199" s="28">
        <v>0</v>
      </c>
      <c r="T199" s="28">
        <v>0</v>
      </c>
      <c r="U199" s="28">
        <v>0</v>
      </c>
      <c r="V199" s="31">
        <v>0</v>
      </c>
      <c r="W199" s="31">
        <v>0</v>
      </c>
      <c r="X199" s="31">
        <v>0</v>
      </c>
      <c r="Y199" s="46">
        <v>0</v>
      </c>
      <c r="AA199" s="54">
        <v>283.7618445</v>
      </c>
    </row>
    <row r="200" spans="2:27" ht="11.25" hidden="1">
      <c r="B200" s="39" t="s">
        <v>230</v>
      </c>
      <c r="C200" s="82" t="s">
        <v>82</v>
      </c>
      <c r="D200" s="83"/>
      <c r="E200" s="50" t="s">
        <v>123</v>
      </c>
      <c r="F200" s="28">
        <v>0</v>
      </c>
      <c r="G200" s="28">
        <v>0</v>
      </c>
      <c r="H200" s="28">
        <v>1.8799244000000002</v>
      </c>
      <c r="I200" s="28">
        <v>23.451946999999997</v>
      </c>
      <c r="J200" s="28">
        <v>61.507946999999994</v>
      </c>
      <c r="K200" s="28">
        <v>70.44443289000002</v>
      </c>
      <c r="L200" s="28">
        <v>70.44443289000002</v>
      </c>
      <c r="M200" s="28">
        <v>70.44443289000002</v>
      </c>
      <c r="N200" s="28">
        <v>70.44443289000002</v>
      </c>
      <c r="O200" s="28">
        <v>70.44443289000002</v>
      </c>
      <c r="P200" s="28">
        <v>70.44443289000002</v>
      </c>
      <c r="Q200" s="28">
        <v>70.44443289000002</v>
      </c>
      <c r="R200" s="28">
        <v>70.44443289000002</v>
      </c>
      <c r="S200" s="28">
        <v>70.44443289000002</v>
      </c>
      <c r="T200" s="28">
        <v>70.44443289000002</v>
      </c>
      <c r="U200" s="28">
        <v>70.44443289000002</v>
      </c>
      <c r="V200" s="28">
        <v>70.44443289000002</v>
      </c>
      <c r="W200" s="28">
        <v>70.44443289000002</v>
      </c>
      <c r="X200" s="28">
        <v>70.44443289000002</v>
      </c>
      <c r="Y200" s="40">
        <v>70.44443289000002</v>
      </c>
      <c r="AA200" s="52"/>
    </row>
    <row r="201" spans="2:27" ht="11.25" hidden="1">
      <c r="B201" s="39" t="s">
        <v>602</v>
      </c>
      <c r="C201" s="82" t="s">
        <v>578</v>
      </c>
      <c r="D201" s="83"/>
      <c r="E201" s="50" t="s">
        <v>118</v>
      </c>
      <c r="F201" s="28">
        <v>0</v>
      </c>
      <c r="G201" s="28">
        <v>9.533333333333333</v>
      </c>
      <c r="H201" s="28">
        <v>4.766666666666667</v>
      </c>
      <c r="I201" s="28">
        <v>0</v>
      </c>
      <c r="J201" s="28">
        <v>0</v>
      </c>
      <c r="K201" s="28">
        <v>0</v>
      </c>
      <c r="L201" s="28">
        <v>0</v>
      </c>
      <c r="M201" s="28">
        <v>0</v>
      </c>
      <c r="N201" s="28">
        <v>0</v>
      </c>
      <c r="O201" s="28">
        <v>0</v>
      </c>
      <c r="P201" s="28">
        <v>0</v>
      </c>
      <c r="Q201" s="28">
        <v>0</v>
      </c>
      <c r="R201" s="28">
        <v>0</v>
      </c>
      <c r="S201" s="28">
        <v>0</v>
      </c>
      <c r="T201" s="28">
        <v>0</v>
      </c>
      <c r="U201" s="28">
        <v>0</v>
      </c>
      <c r="V201" s="28">
        <v>0</v>
      </c>
      <c r="W201" s="28">
        <v>0</v>
      </c>
      <c r="X201" s="28">
        <v>0</v>
      </c>
      <c r="Y201" s="40">
        <v>0</v>
      </c>
      <c r="AA201" s="52">
        <v>14.3</v>
      </c>
    </row>
    <row r="202" spans="2:27" ht="11.25" hidden="1">
      <c r="B202" s="39" t="s">
        <v>709</v>
      </c>
      <c r="C202" s="82" t="s">
        <v>691</v>
      </c>
      <c r="D202" s="83"/>
      <c r="E202" s="50" t="s">
        <v>118</v>
      </c>
      <c r="F202" s="28">
        <v>0</v>
      </c>
      <c r="G202" s="28">
        <v>0</v>
      </c>
      <c r="H202" s="28">
        <v>10.077924474891434</v>
      </c>
      <c r="I202" s="28">
        <v>34.15792447489143</v>
      </c>
      <c r="J202" s="28">
        <v>10.077924474891436</v>
      </c>
      <c r="K202" s="28">
        <v>52.326226575325705</v>
      </c>
      <c r="L202" s="28">
        <v>0</v>
      </c>
      <c r="M202" s="28">
        <v>0</v>
      </c>
      <c r="N202" s="28">
        <v>0</v>
      </c>
      <c r="O202" s="28">
        <v>0</v>
      </c>
      <c r="P202" s="28">
        <v>0</v>
      </c>
      <c r="Q202" s="28">
        <v>0</v>
      </c>
      <c r="R202" s="28">
        <v>0</v>
      </c>
      <c r="S202" s="28">
        <v>0</v>
      </c>
      <c r="T202" s="28">
        <v>0</v>
      </c>
      <c r="U202" s="28">
        <v>0</v>
      </c>
      <c r="V202" s="28">
        <v>0</v>
      </c>
      <c r="W202" s="28">
        <v>0</v>
      </c>
      <c r="X202" s="28">
        <v>0</v>
      </c>
      <c r="Y202" s="40">
        <v>0</v>
      </c>
      <c r="AA202" s="52"/>
    </row>
    <row r="203" spans="2:27" ht="11.25" hidden="1">
      <c r="B203" s="39" t="s">
        <v>231</v>
      </c>
      <c r="C203" s="82" t="s">
        <v>710</v>
      </c>
      <c r="D203" s="83"/>
      <c r="E203" s="50" t="s">
        <v>123</v>
      </c>
      <c r="F203" s="28">
        <v>0</v>
      </c>
      <c r="G203" s="28">
        <v>103.52955333333334</v>
      </c>
      <c r="H203" s="28">
        <v>1036.116895541558</v>
      </c>
      <c r="I203" s="28">
        <v>1912.4098714748914</v>
      </c>
      <c r="J203" s="28">
        <v>518.4101659748915</v>
      </c>
      <c r="K203" s="28">
        <v>122.77065946532572</v>
      </c>
      <c r="L203" s="28">
        <v>70.44443289000002</v>
      </c>
      <c r="M203" s="28">
        <v>70.44443289000002</v>
      </c>
      <c r="N203" s="28">
        <v>70.44443289000002</v>
      </c>
      <c r="O203" s="28">
        <v>70.44443289000002</v>
      </c>
      <c r="P203" s="28">
        <v>70.44443289000002</v>
      </c>
      <c r="Q203" s="28">
        <v>70.44443289000002</v>
      </c>
      <c r="R203" s="28">
        <v>70.44443289000002</v>
      </c>
      <c r="S203" s="28">
        <v>70.44443289000002</v>
      </c>
      <c r="T203" s="28">
        <v>70.44443289000002</v>
      </c>
      <c r="U203" s="28">
        <v>70.44443289000002</v>
      </c>
      <c r="V203" s="28">
        <v>70.44443289000002</v>
      </c>
      <c r="W203" s="28">
        <v>70.44443289000002</v>
      </c>
      <c r="X203" s="28">
        <v>70.44443289000002</v>
      </c>
      <c r="Y203" s="40">
        <v>70.44443289000002</v>
      </c>
      <c r="AA203" s="52">
        <f>+AA197+AA198+AA199</f>
        <v>5729.415844499999</v>
      </c>
    </row>
    <row r="204" spans="2:27" ht="11.25" hidden="1">
      <c r="B204" s="39" t="s">
        <v>232</v>
      </c>
      <c r="C204" s="82" t="s">
        <v>128</v>
      </c>
      <c r="D204" s="83"/>
      <c r="E204" s="50" t="s">
        <v>123</v>
      </c>
      <c r="F204" s="28">
        <v>0</v>
      </c>
      <c r="G204" s="28">
        <v>0</v>
      </c>
      <c r="H204" s="28">
        <v>1.8882786973198669</v>
      </c>
      <c r="I204" s="28">
        <v>-1.8426612659264696</v>
      </c>
      <c r="J204" s="28">
        <v>6.075845396479189</v>
      </c>
      <c r="K204" s="28">
        <v>433.45420808775543</v>
      </c>
      <c r="L204" s="28">
        <v>520.8722412084529</v>
      </c>
      <c r="M204" s="28">
        <v>680.7680058668351</v>
      </c>
      <c r="N204" s="28">
        <v>891.5100607142857</v>
      </c>
      <c r="O204" s="28">
        <v>1048.1317792836833</v>
      </c>
      <c r="P204" s="28">
        <v>1065.8051007407562</v>
      </c>
      <c r="Q204" s="28">
        <v>1067.0664636565336</v>
      </c>
      <c r="R204" s="28">
        <v>1068.3025993139954</v>
      </c>
      <c r="S204" s="28">
        <v>1069.514012258308</v>
      </c>
      <c r="T204" s="28">
        <v>1070.7011969437344</v>
      </c>
      <c r="U204" s="28">
        <v>1071.8646379354523</v>
      </c>
      <c r="V204" s="28">
        <v>1073.0048101073357</v>
      </c>
      <c r="W204" s="28">
        <v>1074.1221788357816</v>
      </c>
      <c r="X204" s="28">
        <v>1075.2172001896583</v>
      </c>
      <c r="Y204" s="40">
        <v>1076.2903211164578</v>
      </c>
      <c r="AA204" s="52"/>
    </row>
    <row r="205" spans="2:27" ht="11.25" hidden="1">
      <c r="B205" s="39" t="s">
        <v>233</v>
      </c>
      <c r="C205" s="82" t="s">
        <v>63</v>
      </c>
      <c r="D205" s="83"/>
      <c r="E205" s="50" t="s">
        <v>123</v>
      </c>
      <c r="F205" s="28">
        <v>0</v>
      </c>
      <c r="G205" s="28">
        <v>0</v>
      </c>
      <c r="H205" s="28">
        <v>0</v>
      </c>
      <c r="I205" s="28">
        <v>0</v>
      </c>
      <c r="J205" s="28">
        <v>0</v>
      </c>
      <c r="K205" s="28">
        <v>108.78222222222225</v>
      </c>
      <c r="L205" s="28">
        <v>81.5866666666667</v>
      </c>
      <c r="M205" s="28">
        <v>54.391111111111144</v>
      </c>
      <c r="N205" s="28">
        <v>27.195555555555586</v>
      </c>
      <c r="O205" s="28">
        <v>0</v>
      </c>
      <c r="P205" s="28">
        <v>0</v>
      </c>
      <c r="Q205" s="28">
        <v>0</v>
      </c>
      <c r="R205" s="28">
        <v>0</v>
      </c>
      <c r="S205" s="28">
        <v>0</v>
      </c>
      <c r="T205" s="28">
        <v>0</v>
      </c>
      <c r="U205" s="28">
        <v>0</v>
      </c>
      <c r="V205" s="28">
        <v>0</v>
      </c>
      <c r="W205" s="28">
        <v>0</v>
      </c>
      <c r="X205" s="28">
        <v>0</v>
      </c>
      <c r="Y205" s="40">
        <v>0</v>
      </c>
      <c r="AA205" s="52"/>
    </row>
    <row r="206" spans="2:27" ht="11.25" hidden="1">
      <c r="B206" s="39" t="s">
        <v>234</v>
      </c>
      <c r="C206" s="82" t="s">
        <v>235</v>
      </c>
      <c r="D206" s="83"/>
      <c r="E206" s="50" t="s">
        <v>123</v>
      </c>
      <c r="F206" s="28">
        <v>0</v>
      </c>
      <c r="G206" s="28">
        <v>0</v>
      </c>
      <c r="H206" s="28">
        <v>1.8882786973198669</v>
      </c>
      <c r="I206" s="28">
        <v>-1.8426612659264696</v>
      </c>
      <c r="J206" s="28">
        <v>6.075845396479189</v>
      </c>
      <c r="K206" s="28">
        <v>542.2364303099777</v>
      </c>
      <c r="L206" s="28">
        <v>602.4589078751196</v>
      </c>
      <c r="M206" s="28">
        <v>735.1591169779463</v>
      </c>
      <c r="N206" s="28">
        <v>918.7056162698414</v>
      </c>
      <c r="O206" s="28">
        <v>1048.1317792836833</v>
      </c>
      <c r="P206" s="28">
        <v>1065.8051007407562</v>
      </c>
      <c r="Q206" s="28">
        <v>1067.0664636565336</v>
      </c>
      <c r="R206" s="28">
        <v>1068.3025993139954</v>
      </c>
      <c r="S206" s="28">
        <v>1069.514012258308</v>
      </c>
      <c r="T206" s="28">
        <v>1070.7011969437344</v>
      </c>
      <c r="U206" s="28">
        <v>1071.8646379354523</v>
      </c>
      <c r="V206" s="28">
        <v>1073.0048101073357</v>
      </c>
      <c r="W206" s="28">
        <v>1074.1221788357816</v>
      </c>
      <c r="X206" s="28">
        <v>1075.2172001896583</v>
      </c>
      <c r="Y206" s="40">
        <v>1076.2903211164578</v>
      </c>
      <c r="AA206" s="52"/>
    </row>
    <row r="207" spans="2:27" ht="11.25" hidden="1">
      <c r="B207" s="39" t="s">
        <v>236</v>
      </c>
      <c r="C207" s="84" t="s">
        <v>237</v>
      </c>
      <c r="D207" s="85"/>
      <c r="E207" s="50" t="s">
        <v>123</v>
      </c>
      <c r="F207" s="28">
        <v>0</v>
      </c>
      <c r="G207" s="28">
        <v>-103.52955333333334</v>
      </c>
      <c r="H207" s="28">
        <v>-1034.228616844238</v>
      </c>
      <c r="I207" s="28">
        <v>-1914.2525327408177</v>
      </c>
      <c r="J207" s="28">
        <v>-512.3343205784123</v>
      </c>
      <c r="K207" s="28">
        <v>419.46577084465196</v>
      </c>
      <c r="L207" s="28">
        <v>532.0144749851196</v>
      </c>
      <c r="M207" s="28">
        <v>664.7146840879462</v>
      </c>
      <c r="N207" s="28">
        <v>848.2611833798413</v>
      </c>
      <c r="O207" s="28">
        <v>977.6873463936832</v>
      </c>
      <c r="P207" s="28">
        <v>995.3606678507562</v>
      </c>
      <c r="Q207" s="28">
        <v>996.6220307665336</v>
      </c>
      <c r="R207" s="28">
        <v>997.8581664239954</v>
      </c>
      <c r="S207" s="28">
        <v>999.0695793683079</v>
      </c>
      <c r="T207" s="28">
        <v>1000.2567640537344</v>
      </c>
      <c r="U207" s="28">
        <v>1001.4202050454522</v>
      </c>
      <c r="V207" s="28">
        <v>1002.5603772173357</v>
      </c>
      <c r="W207" s="28">
        <v>1003.6777459457816</v>
      </c>
      <c r="X207" s="28">
        <v>1004.7727672996583</v>
      </c>
      <c r="Y207" s="40">
        <v>1005.8458882264578</v>
      </c>
      <c r="AA207" s="52"/>
    </row>
    <row r="208" spans="2:27" ht="11.25" hidden="1">
      <c r="B208" s="114" t="s">
        <v>238</v>
      </c>
      <c r="C208" s="91" t="s">
        <v>121</v>
      </c>
      <c r="D208" s="78">
        <f>+AA203</f>
        <v>5729.415844499999</v>
      </c>
      <c r="E208" s="94"/>
      <c r="F208" s="73"/>
      <c r="G208" s="73"/>
      <c r="H208" s="73"/>
      <c r="I208" s="73"/>
      <c r="J208" s="73"/>
      <c r="K208" s="73"/>
      <c r="L208" s="73"/>
      <c r="M208" s="73"/>
      <c r="N208" s="73"/>
      <c r="O208" s="73"/>
      <c r="P208" s="73"/>
      <c r="Q208" s="73"/>
      <c r="R208" s="73"/>
      <c r="S208" s="73"/>
      <c r="T208" s="73"/>
      <c r="U208" s="73"/>
      <c r="V208" s="73"/>
      <c r="W208" s="73"/>
      <c r="X208" s="73"/>
      <c r="Y208" s="74"/>
      <c r="AA208" s="52"/>
    </row>
    <row r="209" spans="2:27" ht="11.25" hidden="1">
      <c r="B209" s="90" t="s">
        <v>239</v>
      </c>
      <c r="C209" s="92" t="s">
        <v>596</v>
      </c>
      <c r="D209" s="113">
        <f>+AA201</f>
        <v>14.3</v>
      </c>
      <c r="E209" s="95"/>
      <c r="F209" s="54"/>
      <c r="G209" s="54"/>
      <c r="H209" s="54"/>
      <c r="I209" s="54"/>
      <c r="J209" s="54"/>
      <c r="K209" s="54"/>
      <c r="L209" s="54"/>
      <c r="M209" s="54"/>
      <c r="N209" s="54"/>
      <c r="O209" s="54"/>
      <c r="P209" s="54"/>
      <c r="Q209" s="54"/>
      <c r="R209" s="54"/>
      <c r="S209" s="54"/>
      <c r="T209" s="54"/>
      <c r="U209" s="54"/>
      <c r="V209" s="54"/>
      <c r="W209" s="54"/>
      <c r="X209" s="54"/>
      <c r="Y209" s="75"/>
      <c r="AA209" s="52"/>
    </row>
    <row r="210" spans="2:27" ht="11.25" hidden="1">
      <c r="B210" s="90" t="s">
        <v>240</v>
      </c>
      <c r="C210" s="92" t="s">
        <v>57</v>
      </c>
      <c r="D210" s="79">
        <f>+IRR(F207:Y207)</f>
        <v>0.16457582826394943</v>
      </c>
      <c r="E210" s="95"/>
      <c r="F210" s="88"/>
      <c r="G210" s="54"/>
      <c r="H210" s="54"/>
      <c r="I210" s="54"/>
      <c r="J210" s="54"/>
      <c r="K210" s="54"/>
      <c r="L210" s="54"/>
      <c r="M210" s="54"/>
      <c r="N210" s="54"/>
      <c r="O210" s="54"/>
      <c r="P210" s="54"/>
      <c r="Q210" s="54"/>
      <c r="R210" s="54"/>
      <c r="S210" s="54"/>
      <c r="T210" s="54"/>
      <c r="U210" s="54"/>
      <c r="V210" s="54"/>
      <c r="W210" s="54"/>
      <c r="X210" s="54"/>
      <c r="Y210" s="75"/>
      <c r="AA210" s="52"/>
    </row>
    <row r="211" spans="2:27" ht="12" hidden="1" thickBot="1">
      <c r="B211" s="122" t="s">
        <v>603</v>
      </c>
      <c r="C211" s="102" t="s">
        <v>120</v>
      </c>
      <c r="D211" s="210">
        <f>+NPV('Assumptions and Basic Info'!$C$20,F207:Y207)</f>
        <v>1437.0099918393023</v>
      </c>
      <c r="E211" s="108"/>
      <c r="F211" s="105"/>
      <c r="G211" s="127"/>
      <c r="H211" s="105"/>
      <c r="I211" s="105"/>
      <c r="J211" s="105"/>
      <c r="K211" s="105"/>
      <c r="L211" s="105"/>
      <c r="M211" s="105"/>
      <c r="N211" s="105"/>
      <c r="O211" s="105"/>
      <c r="P211" s="105"/>
      <c r="Q211" s="105"/>
      <c r="R211" s="105"/>
      <c r="S211" s="105"/>
      <c r="T211" s="105"/>
      <c r="U211" s="105"/>
      <c r="V211" s="105"/>
      <c r="W211" s="105"/>
      <c r="X211" s="105"/>
      <c r="Y211" s="106"/>
      <c r="AA211" s="52"/>
    </row>
    <row r="212" spans="2:27" ht="11.25" hidden="1">
      <c r="B212" s="44" t="s">
        <v>242</v>
      </c>
      <c r="C212" s="23" t="s">
        <v>261</v>
      </c>
      <c r="D212" s="23"/>
      <c r="E212" s="51"/>
      <c r="F212" s="24"/>
      <c r="G212" s="24"/>
      <c r="H212" s="24"/>
      <c r="I212" s="24"/>
      <c r="J212" s="24"/>
      <c r="K212" s="24"/>
      <c r="L212" s="24"/>
      <c r="M212" s="24"/>
      <c r="N212" s="24"/>
      <c r="O212" s="24"/>
      <c r="P212" s="24"/>
      <c r="Q212" s="24"/>
      <c r="R212" s="24"/>
      <c r="S212" s="24"/>
      <c r="T212" s="24"/>
      <c r="U212" s="24"/>
      <c r="V212" s="24"/>
      <c r="W212" s="24"/>
      <c r="X212" s="24"/>
      <c r="Y212" s="45"/>
      <c r="AA212" s="52"/>
    </row>
    <row r="213" spans="2:28" ht="11.25" hidden="1">
      <c r="B213" s="37" t="s">
        <v>243</v>
      </c>
      <c r="C213" s="80" t="s">
        <v>124</v>
      </c>
      <c r="D213" s="81"/>
      <c r="E213" s="49" t="s">
        <v>54</v>
      </c>
      <c r="F213" s="27">
        <v>496</v>
      </c>
      <c r="G213" s="27">
        <v>440.8888888888889</v>
      </c>
      <c r="H213" s="27">
        <v>385.7777777777778</v>
      </c>
      <c r="I213" s="27">
        <v>330.66666666666674</v>
      </c>
      <c r="J213" s="27">
        <v>275.55555555555566</v>
      </c>
      <c r="K213" s="27">
        <v>220.44444444444457</v>
      </c>
      <c r="L213" s="27">
        <v>165.33333333333348</v>
      </c>
      <c r="M213" s="27">
        <v>110.22222222222229</v>
      </c>
      <c r="N213" s="27">
        <v>55.1111111111112</v>
      </c>
      <c r="O213" s="27">
        <v>0</v>
      </c>
      <c r="P213" s="27">
        <v>0</v>
      </c>
      <c r="Q213" s="27">
        <v>0</v>
      </c>
      <c r="R213" s="27">
        <v>0</v>
      </c>
      <c r="S213" s="27">
        <v>0</v>
      </c>
      <c r="T213" s="27">
        <v>0</v>
      </c>
      <c r="U213" s="27">
        <v>0</v>
      </c>
      <c r="V213" s="27">
        <v>0</v>
      </c>
      <c r="W213" s="27">
        <v>0</v>
      </c>
      <c r="X213" s="27">
        <v>0</v>
      </c>
      <c r="Y213" s="38">
        <v>0</v>
      </c>
      <c r="AA213" s="52">
        <v>496</v>
      </c>
      <c r="AB213" s="116" t="s">
        <v>126</v>
      </c>
    </row>
    <row r="214" spans="2:28" ht="11.25" hidden="1">
      <c r="B214" s="39" t="s">
        <v>244</v>
      </c>
      <c r="C214" s="82" t="s">
        <v>125</v>
      </c>
      <c r="D214" s="83"/>
      <c r="E214" s="50" t="s">
        <v>54</v>
      </c>
      <c r="F214" s="28">
        <v>496</v>
      </c>
      <c r="G214" s="28">
        <v>440.8888888888889</v>
      </c>
      <c r="H214" s="28">
        <v>394.13061556740814</v>
      </c>
      <c r="I214" s="28">
        <v>347.37234224592737</v>
      </c>
      <c r="J214" s="28">
        <v>300.61406892444654</v>
      </c>
      <c r="K214" s="28">
        <v>1205</v>
      </c>
      <c r="L214" s="28">
        <v>1205</v>
      </c>
      <c r="M214" s="28">
        <v>1205</v>
      </c>
      <c r="N214" s="28">
        <v>1205</v>
      </c>
      <c r="O214" s="28">
        <v>1205</v>
      </c>
      <c r="P214" s="28">
        <v>1205</v>
      </c>
      <c r="Q214" s="28">
        <v>1205</v>
      </c>
      <c r="R214" s="28">
        <v>1205</v>
      </c>
      <c r="S214" s="28">
        <v>1205</v>
      </c>
      <c r="T214" s="28">
        <v>1205</v>
      </c>
      <c r="U214" s="28">
        <v>1205</v>
      </c>
      <c r="V214" s="28">
        <v>1205</v>
      </c>
      <c r="W214" s="28">
        <v>1205</v>
      </c>
      <c r="X214" s="28">
        <v>1205</v>
      </c>
      <c r="Y214" s="40">
        <v>1205</v>
      </c>
      <c r="AA214" s="52">
        <v>1205</v>
      </c>
      <c r="AB214" s="116" t="s">
        <v>127</v>
      </c>
    </row>
    <row r="215" spans="2:28" ht="11.25" hidden="1">
      <c r="B215" s="39" t="s">
        <v>245</v>
      </c>
      <c r="C215" s="82" t="s">
        <v>81</v>
      </c>
      <c r="D215" s="83"/>
      <c r="E215" s="50" t="s">
        <v>54</v>
      </c>
      <c r="F215" s="28">
        <v>0</v>
      </c>
      <c r="G215" s="28">
        <v>0</v>
      </c>
      <c r="H215" s="28">
        <v>8.352837789630314</v>
      </c>
      <c r="I215" s="28">
        <v>16.705675579260628</v>
      </c>
      <c r="J215" s="28">
        <v>25.058513368890885</v>
      </c>
      <c r="K215" s="28">
        <v>984.5555555555554</v>
      </c>
      <c r="L215" s="28">
        <v>1039.6666666666665</v>
      </c>
      <c r="M215" s="28">
        <v>1094.7777777777778</v>
      </c>
      <c r="N215" s="28">
        <v>1149.8888888888887</v>
      </c>
      <c r="O215" s="28">
        <v>1205</v>
      </c>
      <c r="P215" s="28">
        <v>1205</v>
      </c>
      <c r="Q215" s="28">
        <v>1205</v>
      </c>
      <c r="R215" s="28">
        <v>1205</v>
      </c>
      <c r="S215" s="28">
        <v>1205</v>
      </c>
      <c r="T215" s="28">
        <v>1205</v>
      </c>
      <c r="U215" s="28">
        <v>1205</v>
      </c>
      <c r="V215" s="28">
        <v>1205</v>
      </c>
      <c r="W215" s="28">
        <v>1205</v>
      </c>
      <c r="X215" s="28">
        <v>1205</v>
      </c>
      <c r="Y215" s="40">
        <v>1205</v>
      </c>
      <c r="AA215" s="52">
        <v>709</v>
      </c>
      <c r="AB215" s="116" t="s">
        <v>127</v>
      </c>
    </row>
    <row r="216" spans="2:28" ht="11.25" hidden="1">
      <c r="B216" s="39" t="s">
        <v>246</v>
      </c>
      <c r="C216" s="82" t="s">
        <v>65</v>
      </c>
      <c r="D216" s="83"/>
      <c r="E216" s="50" t="s">
        <v>119</v>
      </c>
      <c r="F216" s="28">
        <v>0</v>
      </c>
      <c r="G216" s="28">
        <v>0</v>
      </c>
      <c r="H216" s="28">
        <v>0</v>
      </c>
      <c r="I216" s="28">
        <v>0</v>
      </c>
      <c r="J216" s="28">
        <v>0</v>
      </c>
      <c r="K216" s="28">
        <v>2000</v>
      </c>
      <c r="L216" s="28">
        <v>1500</v>
      </c>
      <c r="M216" s="28">
        <v>1000</v>
      </c>
      <c r="N216" s="28">
        <v>500</v>
      </c>
      <c r="O216" s="28">
        <v>0</v>
      </c>
      <c r="P216" s="28">
        <v>0</v>
      </c>
      <c r="Q216" s="28">
        <v>0</v>
      </c>
      <c r="R216" s="28">
        <v>0</v>
      </c>
      <c r="S216" s="28">
        <v>0</v>
      </c>
      <c r="T216" s="28">
        <v>0</v>
      </c>
      <c r="U216" s="28">
        <v>0</v>
      </c>
      <c r="V216" s="28">
        <v>0</v>
      </c>
      <c r="W216" s="28">
        <v>0</v>
      </c>
      <c r="X216" s="28">
        <v>0</v>
      </c>
      <c r="Y216" s="40">
        <v>0</v>
      </c>
      <c r="AA216" s="54">
        <v>4500</v>
      </c>
      <c r="AB216" s="116" t="s">
        <v>127</v>
      </c>
    </row>
    <row r="217" spans="2:27" ht="11.25" hidden="1">
      <c r="B217" s="39" t="s">
        <v>247</v>
      </c>
      <c r="C217" s="82" t="s">
        <v>58</v>
      </c>
      <c r="D217" s="83"/>
      <c r="E217" s="50" t="s">
        <v>123</v>
      </c>
      <c r="F217" s="28">
        <v>0</v>
      </c>
      <c r="G217" s="28">
        <v>55.652173913043484</v>
      </c>
      <c r="H217" s="28">
        <v>2069.5652173913045</v>
      </c>
      <c r="I217" s="28">
        <v>2740.8695652173915</v>
      </c>
      <c r="J217" s="28">
        <v>704.0930434782607</v>
      </c>
      <c r="K217" s="28">
        <v>0</v>
      </c>
      <c r="L217" s="31">
        <v>0</v>
      </c>
      <c r="M217" s="31">
        <v>0</v>
      </c>
      <c r="N217" s="31">
        <v>0</v>
      </c>
      <c r="O217" s="31">
        <v>0</v>
      </c>
      <c r="P217" s="31">
        <v>0</v>
      </c>
      <c r="Q217" s="31">
        <v>0</v>
      </c>
      <c r="R217" s="31">
        <v>0</v>
      </c>
      <c r="S217" s="31">
        <v>0</v>
      </c>
      <c r="T217" s="31">
        <v>0</v>
      </c>
      <c r="U217" s="31">
        <v>0</v>
      </c>
      <c r="V217" s="31">
        <v>0</v>
      </c>
      <c r="W217" s="31">
        <v>0</v>
      </c>
      <c r="X217" s="31">
        <v>0</v>
      </c>
      <c r="Y217" s="46">
        <v>0</v>
      </c>
      <c r="AA217" s="54">
        <v>5570.18</v>
      </c>
    </row>
    <row r="218" spans="2:27" ht="11.25" hidden="1">
      <c r="B218" s="39" t="s">
        <v>248</v>
      </c>
      <c r="C218" s="82" t="s">
        <v>24</v>
      </c>
      <c r="D218" s="83"/>
      <c r="E218" s="50" t="s">
        <v>123</v>
      </c>
      <c r="F218" s="28">
        <v>0</v>
      </c>
      <c r="G218" s="28">
        <v>8.347826086956522</v>
      </c>
      <c r="H218" s="28">
        <v>310.4347826086956</v>
      </c>
      <c r="I218" s="28">
        <v>411.1304347826087</v>
      </c>
      <c r="J218" s="28">
        <v>105.61395652173911</v>
      </c>
      <c r="K218" s="28">
        <v>0</v>
      </c>
      <c r="L218" s="28">
        <v>0</v>
      </c>
      <c r="M218" s="28">
        <v>0</v>
      </c>
      <c r="N218" s="28">
        <v>0</v>
      </c>
      <c r="O218" s="28">
        <v>0</v>
      </c>
      <c r="P218" s="28">
        <v>0</v>
      </c>
      <c r="Q218" s="28">
        <v>0</v>
      </c>
      <c r="R218" s="28">
        <v>0</v>
      </c>
      <c r="S218" s="28">
        <v>0</v>
      </c>
      <c r="T218" s="28">
        <v>0</v>
      </c>
      <c r="U218" s="28">
        <v>0</v>
      </c>
      <c r="V218" s="31">
        <v>0</v>
      </c>
      <c r="W218" s="31">
        <v>0</v>
      </c>
      <c r="X218" s="31">
        <v>0</v>
      </c>
      <c r="Y218" s="46">
        <v>0</v>
      </c>
      <c r="AA218" s="54">
        <f>+AA217*'Assumptions and Basic Info'!$C$4</f>
        <v>5570.18</v>
      </c>
    </row>
    <row r="219" spans="2:27" ht="11.25" hidden="1">
      <c r="B219" s="39" t="s">
        <v>249</v>
      </c>
      <c r="C219" s="82" t="s">
        <v>83</v>
      </c>
      <c r="D219" s="83"/>
      <c r="E219" s="50" t="s">
        <v>123</v>
      </c>
      <c r="F219" s="28">
        <v>0</v>
      </c>
      <c r="G219" s="28">
        <v>98.89266651</v>
      </c>
      <c r="H219" s="28">
        <v>203.67188335802467</v>
      </c>
      <c r="I219" s="28">
        <v>269.6425111440329</v>
      </c>
      <c r="J219" s="28">
        <v>69.36496238794237</v>
      </c>
      <c r="K219" s="28">
        <v>0</v>
      </c>
      <c r="L219" s="28">
        <v>0</v>
      </c>
      <c r="M219" s="28">
        <v>0</v>
      </c>
      <c r="N219" s="28">
        <v>0</v>
      </c>
      <c r="O219" s="28">
        <v>0</v>
      </c>
      <c r="P219" s="28">
        <v>0</v>
      </c>
      <c r="Q219" s="28">
        <v>0</v>
      </c>
      <c r="R219" s="28">
        <v>0</v>
      </c>
      <c r="S219" s="28">
        <v>0</v>
      </c>
      <c r="T219" s="28">
        <v>0</v>
      </c>
      <c r="U219" s="28">
        <v>0</v>
      </c>
      <c r="V219" s="31">
        <v>0</v>
      </c>
      <c r="W219" s="31">
        <v>0</v>
      </c>
      <c r="X219" s="31">
        <v>0</v>
      </c>
      <c r="Y219" s="46">
        <v>0</v>
      </c>
      <c r="AA219" s="54">
        <v>641.5720234</v>
      </c>
    </row>
    <row r="220" spans="2:27" ht="11.25" hidden="1">
      <c r="B220" s="39" t="s">
        <v>250</v>
      </c>
      <c r="C220" s="82" t="s">
        <v>82</v>
      </c>
      <c r="D220" s="83"/>
      <c r="E220" s="50" t="s">
        <v>123</v>
      </c>
      <c r="F220" s="28">
        <v>0</v>
      </c>
      <c r="G220" s="28">
        <v>0</v>
      </c>
      <c r="H220" s="28">
        <v>3.2578533302</v>
      </c>
      <c r="I220" s="28">
        <v>58.88952866452099</v>
      </c>
      <c r="J220" s="28">
        <v>127.32237888740163</v>
      </c>
      <c r="K220" s="28">
        <v>144.90381813516052</v>
      </c>
      <c r="L220" s="28">
        <v>144.90381813516052</v>
      </c>
      <c r="M220" s="28">
        <v>144.90381813516052</v>
      </c>
      <c r="N220" s="28">
        <v>144.90381813516052</v>
      </c>
      <c r="O220" s="28">
        <v>144.90381813516052</v>
      </c>
      <c r="P220" s="28">
        <v>144.90381813516052</v>
      </c>
      <c r="Q220" s="28">
        <v>144.90381813516052</v>
      </c>
      <c r="R220" s="28">
        <v>144.90381813516052</v>
      </c>
      <c r="S220" s="28">
        <v>144.90381813516052</v>
      </c>
      <c r="T220" s="28">
        <v>144.90381813516052</v>
      </c>
      <c r="U220" s="28">
        <v>144.90381813516052</v>
      </c>
      <c r="V220" s="28">
        <v>144.90381813516052</v>
      </c>
      <c r="W220" s="28">
        <v>144.90381813516052</v>
      </c>
      <c r="X220" s="28">
        <v>144.90381813516052</v>
      </c>
      <c r="Y220" s="40">
        <v>144.90381813516052</v>
      </c>
      <c r="AA220" s="52"/>
    </row>
    <row r="221" spans="2:27" ht="11.25" hidden="1">
      <c r="B221" s="39" t="s">
        <v>631</v>
      </c>
      <c r="C221" s="82" t="s">
        <v>578</v>
      </c>
      <c r="D221" s="83"/>
      <c r="E221" s="50" t="s">
        <v>118</v>
      </c>
      <c r="F221" s="28">
        <v>0</v>
      </c>
      <c r="G221" s="28">
        <v>425.81</v>
      </c>
      <c r="H221" s="28">
        <v>0</v>
      </c>
      <c r="I221" s="28">
        <v>0</v>
      </c>
      <c r="J221" s="28">
        <v>0</v>
      </c>
      <c r="K221" s="28">
        <v>0</v>
      </c>
      <c r="L221" s="28">
        <v>0</v>
      </c>
      <c r="M221" s="28">
        <v>0</v>
      </c>
      <c r="N221" s="28">
        <v>0</v>
      </c>
      <c r="O221" s="28">
        <v>0</v>
      </c>
      <c r="P221" s="28">
        <v>0</v>
      </c>
      <c r="Q221" s="28">
        <v>0</v>
      </c>
      <c r="R221" s="28">
        <v>0</v>
      </c>
      <c r="S221" s="28">
        <v>0</v>
      </c>
      <c r="T221" s="28">
        <v>0</v>
      </c>
      <c r="U221" s="28">
        <v>0</v>
      </c>
      <c r="V221" s="28">
        <v>0</v>
      </c>
      <c r="W221" s="28">
        <v>0</v>
      </c>
      <c r="X221" s="28">
        <v>0</v>
      </c>
      <c r="Y221" s="40">
        <v>0</v>
      </c>
      <c r="AA221" s="52">
        <v>425.81</v>
      </c>
    </row>
    <row r="222" spans="2:27" ht="11.25" hidden="1">
      <c r="B222" s="39" t="s">
        <v>711</v>
      </c>
      <c r="C222" s="82" t="s">
        <v>691</v>
      </c>
      <c r="D222" s="83"/>
      <c r="E222" s="50" t="s">
        <v>118</v>
      </c>
      <c r="F222" s="28">
        <v>0</v>
      </c>
      <c r="G222" s="28">
        <v>0</v>
      </c>
      <c r="H222" s="28">
        <v>6.08208553750218</v>
      </c>
      <c r="I222" s="28">
        <v>6.08208553750218</v>
      </c>
      <c r="J222" s="28">
        <v>6.082085537502181</v>
      </c>
      <c r="K222" s="28">
        <v>498.0092669225559</v>
      </c>
      <c r="L222" s="28">
        <v>0</v>
      </c>
      <c r="M222" s="28">
        <v>0</v>
      </c>
      <c r="N222" s="28">
        <v>0</v>
      </c>
      <c r="O222" s="28">
        <v>0</v>
      </c>
      <c r="P222" s="28">
        <v>0</v>
      </c>
      <c r="Q222" s="28">
        <v>0</v>
      </c>
      <c r="R222" s="28">
        <v>0</v>
      </c>
      <c r="S222" s="28">
        <v>0</v>
      </c>
      <c r="T222" s="28">
        <v>0</v>
      </c>
      <c r="U222" s="28">
        <v>0</v>
      </c>
      <c r="V222" s="28">
        <v>0</v>
      </c>
      <c r="W222" s="28">
        <v>0</v>
      </c>
      <c r="X222" s="28">
        <v>0</v>
      </c>
      <c r="Y222" s="40">
        <v>0</v>
      </c>
      <c r="AA222" s="52"/>
    </row>
    <row r="223" spans="2:27" ht="11.25" hidden="1">
      <c r="B223" s="39" t="s">
        <v>251</v>
      </c>
      <c r="C223" s="82" t="s">
        <v>712</v>
      </c>
      <c r="D223" s="83"/>
      <c r="E223" s="50" t="s">
        <v>123</v>
      </c>
      <c r="F223" s="28">
        <v>0</v>
      </c>
      <c r="G223" s="28">
        <v>588.70266651</v>
      </c>
      <c r="H223" s="28">
        <v>2593.011822225727</v>
      </c>
      <c r="I223" s="28">
        <v>3486.6141253460564</v>
      </c>
      <c r="J223" s="28">
        <v>1012.4764268128461</v>
      </c>
      <c r="K223" s="28">
        <v>642.9130850577164</v>
      </c>
      <c r="L223" s="28">
        <v>144.90381813516052</v>
      </c>
      <c r="M223" s="28">
        <v>144.90381813516052</v>
      </c>
      <c r="N223" s="28">
        <v>144.90381813516052</v>
      </c>
      <c r="O223" s="28">
        <v>144.90381813516052</v>
      </c>
      <c r="P223" s="28">
        <v>144.90381813516052</v>
      </c>
      <c r="Q223" s="28">
        <v>144.90381813516052</v>
      </c>
      <c r="R223" s="28">
        <v>144.90381813516052</v>
      </c>
      <c r="S223" s="28">
        <v>144.90381813516052</v>
      </c>
      <c r="T223" s="28">
        <v>144.90381813516052</v>
      </c>
      <c r="U223" s="28">
        <v>144.90381813516052</v>
      </c>
      <c r="V223" s="28">
        <v>144.90381813516052</v>
      </c>
      <c r="W223" s="28">
        <v>144.90381813516052</v>
      </c>
      <c r="X223" s="28">
        <v>144.90381813516052</v>
      </c>
      <c r="Y223" s="40">
        <v>144.90381813516052</v>
      </c>
      <c r="AA223" s="52">
        <f>+AA217+AA218+AA219</f>
        <v>11781.9320234</v>
      </c>
    </row>
    <row r="224" spans="2:27" ht="11.25" hidden="1">
      <c r="B224" s="39" t="s">
        <v>252</v>
      </c>
      <c r="C224" s="82" t="s">
        <v>128</v>
      </c>
      <c r="D224" s="83"/>
      <c r="E224" s="50" t="s">
        <v>123</v>
      </c>
      <c r="F224" s="28">
        <v>0</v>
      </c>
      <c r="G224" s="28">
        <v>0</v>
      </c>
      <c r="H224" s="28">
        <v>0.43276793330434243</v>
      </c>
      <c r="I224" s="28">
        <v>-3.7413272637575283</v>
      </c>
      <c r="J224" s="28">
        <v>-6.6172111400913645</v>
      </c>
      <c r="K224" s="28">
        <v>853.1617206321883</v>
      </c>
      <c r="L224" s="28">
        <v>665.221761531207</v>
      </c>
      <c r="M224" s="28">
        <v>961.7966984273004</v>
      </c>
      <c r="N224" s="28">
        <v>2323.117783518638</v>
      </c>
      <c r="O224" s="28">
        <v>3377.6644111116566</v>
      </c>
      <c r="P224" s="28">
        <v>3565.8067495185073</v>
      </c>
      <c r="Q224" s="28">
        <v>3565.8067495185073</v>
      </c>
      <c r="R224" s="28">
        <v>3565.8067495185073</v>
      </c>
      <c r="S224" s="28">
        <v>3565.8067495185073</v>
      </c>
      <c r="T224" s="28">
        <v>3565.8067495185073</v>
      </c>
      <c r="U224" s="28">
        <v>3565.8067495185073</v>
      </c>
      <c r="V224" s="28">
        <v>3565.8067495185073</v>
      </c>
      <c r="W224" s="28">
        <v>3565.8067495185073</v>
      </c>
      <c r="X224" s="28">
        <v>3565.8067495185073</v>
      </c>
      <c r="Y224" s="40">
        <v>3565.8067495185073</v>
      </c>
      <c r="AA224" s="52"/>
    </row>
    <row r="225" spans="2:27" ht="11.25" hidden="1">
      <c r="B225" s="39" t="s">
        <v>253</v>
      </c>
      <c r="C225" s="82" t="s">
        <v>63</v>
      </c>
      <c r="D225" s="83"/>
      <c r="E225" s="50" t="s">
        <v>123</v>
      </c>
      <c r="F225" s="28">
        <v>0</v>
      </c>
      <c r="G225" s="28">
        <v>0</v>
      </c>
      <c r="H225" s="28">
        <v>0</v>
      </c>
      <c r="I225" s="28">
        <v>0</v>
      </c>
      <c r="J225" s="28">
        <v>0</v>
      </c>
      <c r="K225" s="28">
        <v>84.4</v>
      </c>
      <c r="L225" s="28">
        <v>63.3</v>
      </c>
      <c r="M225" s="28">
        <v>42.2</v>
      </c>
      <c r="N225" s="28">
        <v>21.1</v>
      </c>
      <c r="O225" s="28">
        <v>0</v>
      </c>
      <c r="P225" s="28">
        <v>0</v>
      </c>
      <c r="Q225" s="28">
        <v>0</v>
      </c>
      <c r="R225" s="28">
        <v>0</v>
      </c>
      <c r="S225" s="28">
        <v>0</v>
      </c>
      <c r="T225" s="28">
        <v>0</v>
      </c>
      <c r="U225" s="28">
        <v>0</v>
      </c>
      <c r="V225" s="28">
        <v>0</v>
      </c>
      <c r="W225" s="28">
        <v>0</v>
      </c>
      <c r="X225" s="28">
        <v>0</v>
      </c>
      <c r="Y225" s="40">
        <v>0</v>
      </c>
      <c r="AA225" s="52"/>
    </row>
    <row r="226" spans="2:27" ht="11.25" hidden="1">
      <c r="B226" s="39" t="s">
        <v>254</v>
      </c>
      <c r="C226" s="82" t="s">
        <v>255</v>
      </c>
      <c r="D226" s="83"/>
      <c r="E226" s="50" t="s">
        <v>123</v>
      </c>
      <c r="F226" s="28">
        <v>0</v>
      </c>
      <c r="G226" s="28">
        <v>0</v>
      </c>
      <c r="H226" s="28">
        <v>0.43276793330434243</v>
      </c>
      <c r="I226" s="28">
        <v>-3.7413272637575283</v>
      </c>
      <c r="J226" s="28">
        <v>-6.6172111400913645</v>
      </c>
      <c r="K226" s="28">
        <v>937.5617206321883</v>
      </c>
      <c r="L226" s="28">
        <v>728.521761531207</v>
      </c>
      <c r="M226" s="28">
        <v>1003.9966984273004</v>
      </c>
      <c r="N226" s="28">
        <v>2344.217783518638</v>
      </c>
      <c r="O226" s="28">
        <v>3377.6644111116566</v>
      </c>
      <c r="P226" s="28">
        <v>3565.8067495185073</v>
      </c>
      <c r="Q226" s="28">
        <v>3565.8067495185073</v>
      </c>
      <c r="R226" s="28">
        <v>3565.8067495185073</v>
      </c>
      <c r="S226" s="28">
        <v>3565.8067495185073</v>
      </c>
      <c r="T226" s="28">
        <v>3565.8067495185073</v>
      </c>
      <c r="U226" s="28">
        <v>3565.8067495185073</v>
      </c>
      <c r="V226" s="28">
        <v>3565.8067495185073</v>
      </c>
      <c r="W226" s="28">
        <v>3565.8067495185073</v>
      </c>
      <c r="X226" s="28">
        <v>3565.8067495185073</v>
      </c>
      <c r="Y226" s="40">
        <v>3565.8067495185073</v>
      </c>
      <c r="AA226" s="52"/>
    </row>
    <row r="227" spans="2:27" ht="11.25" hidden="1">
      <c r="B227" s="39" t="s">
        <v>256</v>
      </c>
      <c r="C227" s="82" t="s">
        <v>257</v>
      </c>
      <c r="D227" s="83"/>
      <c r="E227" s="50" t="s">
        <v>123</v>
      </c>
      <c r="F227" s="28">
        <v>0</v>
      </c>
      <c r="G227" s="28">
        <v>-588.70266651</v>
      </c>
      <c r="H227" s="28">
        <v>-2592.579054292423</v>
      </c>
      <c r="I227" s="28">
        <v>-3490.355452609814</v>
      </c>
      <c r="J227" s="28">
        <v>-1019.0936379529375</v>
      </c>
      <c r="K227" s="28">
        <v>294.6486355744719</v>
      </c>
      <c r="L227" s="28">
        <v>583.6179433960465</v>
      </c>
      <c r="M227" s="28">
        <v>859.0928802921399</v>
      </c>
      <c r="N227" s="28">
        <v>2199.3139653834774</v>
      </c>
      <c r="O227" s="28">
        <v>3232.760592976496</v>
      </c>
      <c r="P227" s="28">
        <v>3420.9029313833466</v>
      </c>
      <c r="Q227" s="28">
        <v>3420.9029313833466</v>
      </c>
      <c r="R227" s="28">
        <v>3420.9029313833466</v>
      </c>
      <c r="S227" s="28">
        <v>3420.9029313833466</v>
      </c>
      <c r="T227" s="28">
        <v>3420.9029313833466</v>
      </c>
      <c r="U227" s="28">
        <v>3420.9029313833466</v>
      </c>
      <c r="V227" s="28">
        <v>3420.9029313833466</v>
      </c>
      <c r="W227" s="28">
        <v>3420.9029313833466</v>
      </c>
      <c r="X227" s="28">
        <v>3420.9029313833466</v>
      </c>
      <c r="Y227" s="40">
        <v>3420.9029313833466</v>
      </c>
      <c r="AA227" s="52"/>
    </row>
    <row r="228" spans="2:27" ht="11.25" hidden="1">
      <c r="B228" s="114" t="s">
        <v>258</v>
      </c>
      <c r="C228" s="91" t="s">
        <v>121</v>
      </c>
      <c r="D228" s="78">
        <f>+AA223</f>
        <v>11781.9320234</v>
      </c>
      <c r="E228" s="94"/>
      <c r="F228" s="73"/>
      <c r="G228" s="73"/>
      <c r="H228" s="73"/>
      <c r="I228" s="73"/>
      <c r="J228" s="73"/>
      <c r="K228" s="73"/>
      <c r="L228" s="73"/>
      <c r="M228" s="73"/>
      <c r="N228" s="73"/>
      <c r="O228" s="73"/>
      <c r="P228" s="73"/>
      <c r="Q228" s="73"/>
      <c r="R228" s="73"/>
      <c r="S228" s="73"/>
      <c r="T228" s="73"/>
      <c r="U228" s="73"/>
      <c r="V228" s="73"/>
      <c r="W228" s="73"/>
      <c r="X228" s="73"/>
      <c r="Y228" s="74"/>
      <c r="AA228" s="52"/>
    </row>
    <row r="229" spans="2:27" ht="11.25" hidden="1">
      <c r="B229" s="90" t="s">
        <v>259</v>
      </c>
      <c r="C229" s="92" t="s">
        <v>596</v>
      </c>
      <c r="D229" s="113">
        <f>+AA221</f>
        <v>425.81</v>
      </c>
      <c r="E229" s="95"/>
      <c r="F229" s="54"/>
      <c r="G229" s="54"/>
      <c r="H229" s="54"/>
      <c r="I229" s="54"/>
      <c r="J229" s="54"/>
      <c r="K229" s="54"/>
      <c r="L229" s="54"/>
      <c r="M229" s="54"/>
      <c r="N229" s="54"/>
      <c r="O229" s="54"/>
      <c r="P229" s="54"/>
      <c r="Q229" s="54"/>
      <c r="R229" s="54"/>
      <c r="S229" s="54"/>
      <c r="T229" s="54"/>
      <c r="U229" s="54"/>
      <c r="V229" s="54"/>
      <c r="W229" s="54"/>
      <c r="X229" s="54"/>
      <c r="Y229" s="75"/>
      <c r="AA229" s="52"/>
    </row>
    <row r="230" spans="2:27" ht="11.25" hidden="1">
      <c r="B230" s="90" t="s">
        <v>260</v>
      </c>
      <c r="C230" s="92" t="s">
        <v>57</v>
      </c>
      <c r="D230" s="79">
        <f>+IRR(F227:Y227)</f>
        <v>0.19006865102621928</v>
      </c>
      <c r="E230" s="95"/>
      <c r="F230" s="88"/>
      <c r="G230" s="54"/>
      <c r="H230" s="54"/>
      <c r="I230" s="54"/>
      <c r="J230" s="54"/>
      <c r="K230" s="54"/>
      <c r="L230" s="54"/>
      <c r="M230" s="54"/>
      <c r="N230" s="54"/>
      <c r="O230" s="54"/>
      <c r="P230" s="54"/>
      <c r="Q230" s="54"/>
      <c r="R230" s="54"/>
      <c r="S230" s="54"/>
      <c r="T230" s="54"/>
      <c r="U230" s="54"/>
      <c r="V230" s="54"/>
      <c r="W230" s="54"/>
      <c r="X230" s="54"/>
      <c r="Y230" s="75"/>
      <c r="AA230" s="52"/>
    </row>
    <row r="231" spans="2:27" ht="12" hidden="1" thickBot="1">
      <c r="B231" s="122" t="s">
        <v>632</v>
      </c>
      <c r="C231" s="102" t="s">
        <v>120</v>
      </c>
      <c r="D231" s="103">
        <f>+NPV('Assumptions and Basic Info'!$C$20,F227:Y227)</f>
        <v>5698.672503546678</v>
      </c>
      <c r="E231" s="108"/>
      <c r="F231" s="105"/>
      <c r="G231" s="127"/>
      <c r="H231" s="105"/>
      <c r="I231" s="105"/>
      <c r="J231" s="105"/>
      <c r="K231" s="105"/>
      <c r="L231" s="105"/>
      <c r="M231" s="105"/>
      <c r="N231" s="105"/>
      <c r="O231" s="105"/>
      <c r="P231" s="105"/>
      <c r="Q231" s="105"/>
      <c r="R231" s="105"/>
      <c r="S231" s="105"/>
      <c r="T231" s="105"/>
      <c r="U231" s="105"/>
      <c r="V231" s="105"/>
      <c r="W231" s="105"/>
      <c r="X231" s="105"/>
      <c r="Y231" s="106"/>
      <c r="AA231" s="52"/>
    </row>
    <row r="232" spans="2:27" ht="11.25" hidden="1">
      <c r="B232" s="44" t="s">
        <v>262</v>
      </c>
      <c r="C232" s="23" t="s">
        <v>281</v>
      </c>
      <c r="D232" s="23"/>
      <c r="E232" s="51"/>
      <c r="F232" s="24"/>
      <c r="G232" s="24"/>
      <c r="H232" s="24"/>
      <c r="I232" s="24"/>
      <c r="J232" s="24"/>
      <c r="K232" s="24"/>
      <c r="L232" s="24"/>
      <c r="M232" s="24"/>
      <c r="N232" s="24"/>
      <c r="O232" s="24"/>
      <c r="P232" s="24"/>
      <c r="Q232" s="24"/>
      <c r="R232" s="24"/>
      <c r="S232" s="24"/>
      <c r="T232" s="24"/>
      <c r="U232" s="24"/>
      <c r="V232" s="24"/>
      <c r="W232" s="24"/>
      <c r="X232" s="24"/>
      <c r="Y232" s="45"/>
      <c r="AA232" s="52"/>
    </row>
    <row r="233" spans="2:28" ht="11.25" hidden="1">
      <c r="B233" s="37" t="s">
        <v>263</v>
      </c>
      <c r="C233" s="80" t="s">
        <v>124</v>
      </c>
      <c r="D233" s="81"/>
      <c r="E233" s="49" t="s">
        <v>54</v>
      </c>
      <c r="F233" s="27">
        <v>1357</v>
      </c>
      <c r="G233" s="27">
        <v>1206.2222222222222</v>
      </c>
      <c r="H233" s="27">
        <v>1055.4444444444443</v>
      </c>
      <c r="I233" s="27">
        <v>904.6666666666665</v>
      </c>
      <c r="J233" s="27">
        <v>753.8888888888887</v>
      </c>
      <c r="K233" s="27">
        <v>603.1111111111109</v>
      </c>
      <c r="L233" s="27">
        <v>452.33333333333303</v>
      </c>
      <c r="M233" s="27">
        <v>301.5555555555552</v>
      </c>
      <c r="N233" s="27">
        <v>150.7777777777776</v>
      </c>
      <c r="O233" s="27">
        <v>0</v>
      </c>
      <c r="P233" s="27">
        <v>0</v>
      </c>
      <c r="Q233" s="27">
        <v>0</v>
      </c>
      <c r="R233" s="27">
        <v>0</v>
      </c>
      <c r="S233" s="27">
        <v>0</v>
      </c>
      <c r="T233" s="27">
        <v>0</v>
      </c>
      <c r="U233" s="27">
        <v>0</v>
      </c>
      <c r="V233" s="27">
        <v>0</v>
      </c>
      <c r="W233" s="27">
        <v>0</v>
      </c>
      <c r="X233" s="27">
        <v>0</v>
      </c>
      <c r="Y233" s="38">
        <v>0</v>
      </c>
      <c r="AA233" s="52">
        <v>1357</v>
      </c>
      <c r="AB233" s="116" t="s">
        <v>126</v>
      </c>
    </row>
    <row r="234" spans="2:28" ht="11.25" hidden="1">
      <c r="B234" s="39" t="s">
        <v>264</v>
      </c>
      <c r="C234" s="82" t="s">
        <v>125</v>
      </c>
      <c r="D234" s="83"/>
      <c r="E234" s="50" t="s">
        <v>54</v>
      </c>
      <c r="F234" s="28">
        <v>1357</v>
      </c>
      <c r="G234" s="28">
        <v>1206.2222222222222</v>
      </c>
      <c r="H234" s="28">
        <v>1067.8372978989523</v>
      </c>
      <c r="I234" s="28">
        <v>929.4523735756824</v>
      </c>
      <c r="J234" s="28">
        <v>2204.1785603635235</v>
      </c>
      <c r="K234" s="28">
        <v>2812</v>
      </c>
      <c r="L234" s="28">
        <v>2812</v>
      </c>
      <c r="M234" s="28">
        <v>2812</v>
      </c>
      <c r="N234" s="28">
        <v>2812</v>
      </c>
      <c r="O234" s="28">
        <v>2812</v>
      </c>
      <c r="P234" s="28">
        <v>2812</v>
      </c>
      <c r="Q234" s="28">
        <v>2812</v>
      </c>
      <c r="R234" s="28">
        <v>2812</v>
      </c>
      <c r="S234" s="28">
        <v>2812</v>
      </c>
      <c r="T234" s="28">
        <v>2812</v>
      </c>
      <c r="U234" s="28">
        <v>2812</v>
      </c>
      <c r="V234" s="28">
        <v>2812</v>
      </c>
      <c r="W234" s="28">
        <v>2812</v>
      </c>
      <c r="X234" s="28">
        <v>2812</v>
      </c>
      <c r="Y234" s="40">
        <v>2812</v>
      </c>
      <c r="AA234" s="52">
        <v>2812</v>
      </c>
      <c r="AB234" s="116" t="s">
        <v>127</v>
      </c>
    </row>
    <row r="235" spans="2:29" ht="11.25" hidden="1">
      <c r="B235" s="39" t="s">
        <v>265</v>
      </c>
      <c r="C235" s="82" t="s">
        <v>81</v>
      </c>
      <c r="D235" s="83"/>
      <c r="E235" s="50" t="s">
        <v>54</v>
      </c>
      <c r="F235" s="28">
        <v>0</v>
      </c>
      <c r="G235" s="28">
        <v>0</v>
      </c>
      <c r="H235" s="28">
        <v>12.392853454507986</v>
      </c>
      <c r="I235" s="28">
        <v>24.785706909015857</v>
      </c>
      <c r="J235" s="28">
        <v>1450.2896714746348</v>
      </c>
      <c r="K235" s="28">
        <v>2208.888888888889</v>
      </c>
      <c r="L235" s="28">
        <v>2359.666666666667</v>
      </c>
      <c r="M235" s="28">
        <v>2510.444444444445</v>
      </c>
      <c r="N235" s="28">
        <v>2661.2222222222226</v>
      </c>
      <c r="O235" s="28">
        <v>2812</v>
      </c>
      <c r="P235" s="28">
        <v>2812</v>
      </c>
      <c r="Q235" s="28">
        <v>2812</v>
      </c>
      <c r="R235" s="28">
        <v>2812</v>
      </c>
      <c r="S235" s="28">
        <v>2812</v>
      </c>
      <c r="T235" s="28">
        <v>2812</v>
      </c>
      <c r="U235" s="28">
        <v>2812</v>
      </c>
      <c r="V235" s="28">
        <v>2812</v>
      </c>
      <c r="W235" s="28">
        <v>2812</v>
      </c>
      <c r="X235" s="28">
        <v>2812</v>
      </c>
      <c r="Y235" s="40">
        <v>2812</v>
      </c>
      <c r="AA235" s="52">
        <v>1455</v>
      </c>
      <c r="AB235" s="116" t="s">
        <v>127</v>
      </c>
      <c r="AC235" s="52">
        <v>1455</v>
      </c>
    </row>
    <row r="236" spans="2:28" ht="11.25" hidden="1">
      <c r="B236" s="39" t="s">
        <v>266</v>
      </c>
      <c r="C236" s="82" t="s">
        <v>65</v>
      </c>
      <c r="D236" s="83"/>
      <c r="E236" s="50" t="s">
        <v>119</v>
      </c>
      <c r="F236" s="28">
        <v>0</v>
      </c>
      <c r="G236" s="28">
        <v>0</v>
      </c>
      <c r="H236" s="28">
        <v>0</v>
      </c>
      <c r="I236" s="28">
        <v>0</v>
      </c>
      <c r="J236" s="28">
        <v>444.44444444444434</v>
      </c>
      <c r="K236" s="28">
        <v>355.55555555555543</v>
      </c>
      <c r="L236" s="28">
        <v>266.6666666666665</v>
      </c>
      <c r="M236" s="28">
        <v>177.77777777777763</v>
      </c>
      <c r="N236" s="28">
        <v>88.88888888888874</v>
      </c>
      <c r="O236" s="28">
        <v>0</v>
      </c>
      <c r="P236" s="28">
        <v>0</v>
      </c>
      <c r="Q236" s="28">
        <v>0</v>
      </c>
      <c r="R236" s="28">
        <v>0</v>
      </c>
      <c r="S236" s="28">
        <v>0</v>
      </c>
      <c r="T236" s="28">
        <v>0</v>
      </c>
      <c r="U236" s="28">
        <v>0</v>
      </c>
      <c r="V236" s="28">
        <v>0</v>
      </c>
      <c r="W236" s="28">
        <v>0</v>
      </c>
      <c r="X236" s="28">
        <v>0</v>
      </c>
      <c r="Y236" s="40">
        <v>0</v>
      </c>
      <c r="AA236" s="52">
        <v>800</v>
      </c>
      <c r="AB236" s="116" t="s">
        <v>127</v>
      </c>
    </row>
    <row r="237" spans="2:27" ht="11.25" hidden="1">
      <c r="B237" s="39" t="s">
        <v>267</v>
      </c>
      <c r="C237" s="82" t="s">
        <v>58</v>
      </c>
      <c r="D237" s="83"/>
      <c r="E237" s="50" t="s">
        <v>123</v>
      </c>
      <c r="F237" s="28">
        <v>0</v>
      </c>
      <c r="G237" s="28">
        <v>105.21739130434784</v>
      </c>
      <c r="H237" s="28">
        <v>1237.3913043478262</v>
      </c>
      <c r="I237" s="28">
        <v>806.1921739130433</v>
      </c>
      <c r="J237" s="28">
        <v>158.1991304347825</v>
      </c>
      <c r="K237" s="28">
        <v>0</v>
      </c>
      <c r="L237" s="31">
        <v>0</v>
      </c>
      <c r="M237" s="31">
        <v>0</v>
      </c>
      <c r="N237" s="31">
        <v>0</v>
      </c>
      <c r="O237" s="31">
        <v>0</v>
      </c>
      <c r="P237" s="31">
        <v>0</v>
      </c>
      <c r="Q237" s="31">
        <v>0</v>
      </c>
      <c r="R237" s="31">
        <v>0</v>
      </c>
      <c r="S237" s="31">
        <v>0</v>
      </c>
      <c r="T237" s="31">
        <v>0</v>
      </c>
      <c r="U237" s="31">
        <v>0</v>
      </c>
      <c r="V237" s="31">
        <v>0</v>
      </c>
      <c r="W237" s="31">
        <v>0</v>
      </c>
      <c r="X237" s="31">
        <v>0</v>
      </c>
      <c r="Y237" s="46">
        <v>0</v>
      </c>
      <c r="AA237" s="52">
        <v>2307</v>
      </c>
    </row>
    <row r="238" spans="2:27" ht="11.25" hidden="1">
      <c r="B238" s="39" t="s">
        <v>268</v>
      </c>
      <c r="C238" s="82" t="s">
        <v>24</v>
      </c>
      <c r="D238" s="83"/>
      <c r="E238" s="50" t="s">
        <v>123</v>
      </c>
      <c r="F238" s="28">
        <v>0</v>
      </c>
      <c r="G238" s="28">
        <v>15.782608695652176</v>
      </c>
      <c r="H238" s="28">
        <v>185.6086956521739</v>
      </c>
      <c r="I238" s="28">
        <v>120.9288260869565</v>
      </c>
      <c r="J238" s="28">
        <v>23.729869565217374</v>
      </c>
      <c r="K238" s="28">
        <v>0</v>
      </c>
      <c r="L238" s="28">
        <v>0</v>
      </c>
      <c r="M238" s="28">
        <v>0</v>
      </c>
      <c r="N238" s="28">
        <v>0</v>
      </c>
      <c r="O238" s="28">
        <v>0</v>
      </c>
      <c r="P238" s="28">
        <v>0</v>
      </c>
      <c r="Q238" s="28">
        <v>0</v>
      </c>
      <c r="R238" s="28">
        <v>0</v>
      </c>
      <c r="S238" s="28">
        <v>0</v>
      </c>
      <c r="T238" s="28">
        <v>0</v>
      </c>
      <c r="U238" s="28">
        <v>0</v>
      </c>
      <c r="V238" s="31">
        <v>0</v>
      </c>
      <c r="W238" s="31">
        <v>0</v>
      </c>
      <c r="X238" s="31">
        <v>0</v>
      </c>
      <c r="Y238" s="46">
        <v>0</v>
      </c>
      <c r="AA238" s="54">
        <f>+AA237*'Assumptions and Basic Info'!$C$4</f>
        <v>2307</v>
      </c>
    </row>
    <row r="239" spans="2:27" ht="11.25" hidden="1">
      <c r="B239" s="39" t="s">
        <v>269</v>
      </c>
      <c r="C239" s="82" t="s">
        <v>83</v>
      </c>
      <c r="D239" s="83"/>
      <c r="E239" s="50" t="s">
        <v>123</v>
      </c>
      <c r="F239" s="28">
        <v>0</v>
      </c>
      <c r="G239" s="28">
        <v>118.28528322599999</v>
      </c>
      <c r="H239" s="28">
        <v>69.06175366890997</v>
      </c>
      <c r="I239" s="28">
        <v>45.48194733109002</v>
      </c>
      <c r="J239" s="28">
        <v>9.613632225999993</v>
      </c>
      <c r="K239" s="28">
        <v>0</v>
      </c>
      <c r="L239" s="28">
        <v>0</v>
      </c>
      <c r="M239" s="28">
        <v>0</v>
      </c>
      <c r="N239" s="28">
        <v>0</v>
      </c>
      <c r="O239" s="28">
        <v>0</v>
      </c>
      <c r="P239" s="28">
        <v>0</v>
      </c>
      <c r="Q239" s="28">
        <v>0</v>
      </c>
      <c r="R239" s="28">
        <v>0</v>
      </c>
      <c r="S239" s="28">
        <v>0</v>
      </c>
      <c r="T239" s="28">
        <v>0</v>
      </c>
      <c r="U239" s="28">
        <v>0</v>
      </c>
      <c r="V239" s="31">
        <v>0</v>
      </c>
      <c r="W239" s="31">
        <v>0</v>
      </c>
      <c r="X239" s="31">
        <v>0</v>
      </c>
      <c r="Y239" s="46">
        <v>0</v>
      </c>
      <c r="AA239" s="54">
        <v>242.44261645199998</v>
      </c>
    </row>
    <row r="240" spans="2:27" ht="11.25" hidden="1">
      <c r="B240" s="39" t="s">
        <v>270</v>
      </c>
      <c r="C240" s="82" t="s">
        <v>82</v>
      </c>
      <c r="D240" s="83"/>
      <c r="E240" s="50" t="s">
        <v>123</v>
      </c>
      <c r="F240" s="28">
        <v>0</v>
      </c>
      <c r="G240" s="28">
        <v>0</v>
      </c>
      <c r="H240" s="28">
        <v>4.785705664520001</v>
      </c>
      <c r="I240" s="28">
        <v>35.9361758112764</v>
      </c>
      <c r="J240" s="28">
        <v>55.3882347578982</v>
      </c>
      <c r="K240" s="28">
        <v>59.2190874024182</v>
      </c>
      <c r="L240" s="28">
        <v>59.2190874024182</v>
      </c>
      <c r="M240" s="28">
        <v>59.2190874024182</v>
      </c>
      <c r="N240" s="28">
        <v>59.2190874024182</v>
      </c>
      <c r="O240" s="28">
        <v>59.2190874024182</v>
      </c>
      <c r="P240" s="28">
        <v>59.2190874024182</v>
      </c>
      <c r="Q240" s="28">
        <v>59.2190874024182</v>
      </c>
      <c r="R240" s="28">
        <v>59.2190874024182</v>
      </c>
      <c r="S240" s="28">
        <v>59.2190874024182</v>
      </c>
      <c r="T240" s="28">
        <v>59.2190874024182</v>
      </c>
      <c r="U240" s="28">
        <v>59.2190874024182</v>
      </c>
      <c r="V240" s="28">
        <v>59.2190874024182</v>
      </c>
      <c r="W240" s="28">
        <v>59.2190874024182</v>
      </c>
      <c r="X240" s="28">
        <v>59.2190874024182</v>
      </c>
      <c r="Y240" s="40">
        <v>59.2190874024182</v>
      </c>
      <c r="AA240" s="52"/>
    </row>
    <row r="241" spans="2:27" ht="11.25" hidden="1">
      <c r="B241" s="39" t="s">
        <v>625</v>
      </c>
      <c r="C241" s="82" t="s">
        <v>578</v>
      </c>
      <c r="D241" s="83"/>
      <c r="E241" s="50" t="s">
        <v>118</v>
      </c>
      <c r="F241" s="28">
        <v>0</v>
      </c>
      <c r="G241" s="28">
        <v>109.78</v>
      </c>
      <c r="H241" s="28">
        <v>0</v>
      </c>
      <c r="I241" s="28">
        <v>0</v>
      </c>
      <c r="J241" s="28">
        <v>0</v>
      </c>
      <c r="K241" s="28">
        <v>0</v>
      </c>
      <c r="L241" s="28">
        <v>0</v>
      </c>
      <c r="M241" s="28">
        <v>0</v>
      </c>
      <c r="N241" s="28">
        <v>0</v>
      </c>
      <c r="O241" s="28">
        <v>0</v>
      </c>
      <c r="P241" s="28">
        <v>0</v>
      </c>
      <c r="Q241" s="28">
        <v>0</v>
      </c>
      <c r="R241" s="28">
        <v>0</v>
      </c>
      <c r="S241" s="28">
        <v>0</v>
      </c>
      <c r="T241" s="28">
        <v>0</v>
      </c>
      <c r="U241" s="28">
        <v>0</v>
      </c>
      <c r="V241" s="28">
        <v>0</v>
      </c>
      <c r="W241" s="28">
        <v>0</v>
      </c>
      <c r="X241" s="28">
        <v>0</v>
      </c>
      <c r="Y241" s="40">
        <v>0</v>
      </c>
      <c r="AA241" s="52">
        <v>109.78</v>
      </c>
    </row>
    <row r="242" spans="2:27" ht="11.25" hidden="1">
      <c r="B242" s="39" t="s">
        <v>713</v>
      </c>
      <c r="C242" s="82" t="s">
        <v>691</v>
      </c>
      <c r="D242" s="83"/>
      <c r="E242" s="50" t="s">
        <v>118</v>
      </c>
      <c r="F242" s="28">
        <v>0</v>
      </c>
      <c r="G242" s="28">
        <v>0</v>
      </c>
      <c r="H242" s="28">
        <v>0.21067850872663435</v>
      </c>
      <c r="I242" s="28">
        <v>0.21067850872663435</v>
      </c>
      <c r="J242" s="28">
        <v>13.980678508726633</v>
      </c>
      <c r="K242" s="28">
        <v>10.332964473820097</v>
      </c>
      <c r="L242" s="28">
        <v>0</v>
      </c>
      <c r="M242" s="28">
        <v>0</v>
      </c>
      <c r="N242" s="28">
        <v>0</v>
      </c>
      <c r="O242" s="28">
        <v>0</v>
      </c>
      <c r="P242" s="28">
        <v>0</v>
      </c>
      <c r="Q242" s="28">
        <v>0</v>
      </c>
      <c r="R242" s="28">
        <v>0</v>
      </c>
      <c r="S242" s="28">
        <v>0</v>
      </c>
      <c r="T242" s="28">
        <v>0</v>
      </c>
      <c r="U242" s="28">
        <v>0</v>
      </c>
      <c r="V242" s="28">
        <v>0</v>
      </c>
      <c r="W242" s="28">
        <v>0</v>
      </c>
      <c r="X242" s="28">
        <v>0</v>
      </c>
      <c r="Y242" s="40">
        <v>0</v>
      </c>
      <c r="AA242" s="52"/>
    </row>
    <row r="243" spans="2:27" ht="11.25" hidden="1">
      <c r="B243" s="39" t="s">
        <v>271</v>
      </c>
      <c r="C243" s="82" t="s">
        <v>714</v>
      </c>
      <c r="D243" s="83"/>
      <c r="E243" s="50" t="s">
        <v>123</v>
      </c>
      <c r="F243" s="28">
        <v>0</v>
      </c>
      <c r="G243" s="28">
        <v>349.065283226</v>
      </c>
      <c r="H243" s="28">
        <v>1497.0581378421568</v>
      </c>
      <c r="I243" s="28">
        <v>1008.749801651093</v>
      </c>
      <c r="J243" s="28">
        <v>260.91154549262467</v>
      </c>
      <c r="K243" s="28">
        <v>69.5520518762383</v>
      </c>
      <c r="L243" s="28">
        <v>59.2190874024182</v>
      </c>
      <c r="M243" s="28">
        <v>59.2190874024182</v>
      </c>
      <c r="N243" s="28">
        <v>59.2190874024182</v>
      </c>
      <c r="O243" s="28">
        <v>59.2190874024182</v>
      </c>
      <c r="P243" s="28">
        <v>59.2190874024182</v>
      </c>
      <c r="Q243" s="28">
        <v>59.2190874024182</v>
      </c>
      <c r="R243" s="28">
        <v>59.2190874024182</v>
      </c>
      <c r="S243" s="28">
        <v>59.2190874024182</v>
      </c>
      <c r="T243" s="28">
        <v>59.2190874024182</v>
      </c>
      <c r="U243" s="28">
        <v>59.2190874024182</v>
      </c>
      <c r="V243" s="28">
        <v>59.2190874024182</v>
      </c>
      <c r="W243" s="28">
        <v>59.2190874024182</v>
      </c>
      <c r="X243" s="28">
        <v>59.2190874024182</v>
      </c>
      <c r="Y243" s="40">
        <v>59.2190874024182</v>
      </c>
      <c r="AA243" s="52">
        <f>+AA237+AA238+AA239</f>
        <v>4856.442616452</v>
      </c>
    </row>
    <row r="244" spans="2:27" ht="11.25" hidden="1">
      <c r="B244" s="39" t="s">
        <v>272</v>
      </c>
      <c r="C244" s="82" t="s">
        <v>128</v>
      </c>
      <c r="D244" s="83"/>
      <c r="E244" s="50" t="s">
        <v>123</v>
      </c>
      <c r="F244" s="28">
        <v>0</v>
      </c>
      <c r="G244" s="28">
        <v>0</v>
      </c>
      <c r="H244" s="28">
        <v>3.6367458265176094</v>
      </c>
      <c r="I244" s="28">
        <v>9.858475662123313</v>
      </c>
      <c r="J244" s="28">
        <v>703.6963571850804</v>
      </c>
      <c r="K244" s="28">
        <v>1168.213938950556</v>
      </c>
      <c r="L244" s="28">
        <v>1582.5953405443497</v>
      </c>
      <c r="M244" s="28">
        <v>1834.0061216961672</v>
      </c>
      <c r="N244" s="28">
        <v>1963.6376041659898</v>
      </c>
      <c r="O244" s="28">
        <v>2084.5102471542104</v>
      </c>
      <c r="P244" s="28">
        <v>2085.407561789117</v>
      </c>
      <c r="Q244" s="28">
        <v>2085.407561789117</v>
      </c>
      <c r="R244" s="28">
        <v>2085.407561789117</v>
      </c>
      <c r="S244" s="28">
        <v>2085.407561789117</v>
      </c>
      <c r="T244" s="28">
        <v>2085.407561789117</v>
      </c>
      <c r="U244" s="28">
        <v>2085.407561789117</v>
      </c>
      <c r="V244" s="28">
        <v>2085.407561789117</v>
      </c>
      <c r="W244" s="28">
        <v>2085.407561789117</v>
      </c>
      <c r="X244" s="28">
        <v>2085.407561789117</v>
      </c>
      <c r="Y244" s="40">
        <v>2085.407561789117</v>
      </c>
      <c r="AA244" s="52"/>
    </row>
    <row r="245" spans="2:27" ht="11.25" hidden="1">
      <c r="B245" s="39" t="s">
        <v>273</v>
      </c>
      <c r="C245" s="82" t="s">
        <v>63</v>
      </c>
      <c r="D245" s="83"/>
      <c r="E245" s="50" t="s">
        <v>123</v>
      </c>
      <c r="F245" s="28">
        <v>0</v>
      </c>
      <c r="G245" s="28">
        <v>0</v>
      </c>
      <c r="H245" s="28">
        <v>0</v>
      </c>
      <c r="I245" s="28">
        <v>0</v>
      </c>
      <c r="J245" s="28">
        <v>18.755555555555553</v>
      </c>
      <c r="K245" s="28">
        <v>15.00444444444444</v>
      </c>
      <c r="L245" s="28">
        <v>11.253333333333329</v>
      </c>
      <c r="M245" s="28">
        <v>7.502222222222216</v>
      </c>
      <c r="N245" s="28">
        <v>3.7511111111111055</v>
      </c>
      <c r="O245" s="28">
        <v>0</v>
      </c>
      <c r="P245" s="28">
        <v>0</v>
      </c>
      <c r="Q245" s="28">
        <v>0</v>
      </c>
      <c r="R245" s="28">
        <v>0</v>
      </c>
      <c r="S245" s="28">
        <v>0</v>
      </c>
      <c r="T245" s="28">
        <v>0</v>
      </c>
      <c r="U245" s="28">
        <v>0</v>
      </c>
      <c r="V245" s="28">
        <v>0</v>
      </c>
      <c r="W245" s="28">
        <v>0</v>
      </c>
      <c r="X245" s="28">
        <v>0</v>
      </c>
      <c r="Y245" s="40">
        <v>0</v>
      </c>
      <c r="AA245" s="52"/>
    </row>
    <row r="246" spans="2:27" ht="11.25" hidden="1">
      <c r="B246" s="39" t="s">
        <v>274</v>
      </c>
      <c r="C246" s="82" t="s">
        <v>275</v>
      </c>
      <c r="D246" s="83"/>
      <c r="E246" s="50" t="s">
        <v>123</v>
      </c>
      <c r="F246" s="28">
        <v>0</v>
      </c>
      <c r="G246" s="28">
        <v>0</v>
      </c>
      <c r="H246" s="28">
        <v>3.6367458265176094</v>
      </c>
      <c r="I246" s="28">
        <v>9.858475662123313</v>
      </c>
      <c r="J246" s="28">
        <v>722.451912740636</v>
      </c>
      <c r="K246" s="28">
        <v>1183.2183833950005</v>
      </c>
      <c r="L246" s="28">
        <v>1593.848673877683</v>
      </c>
      <c r="M246" s="28">
        <v>1841.5083439183893</v>
      </c>
      <c r="N246" s="28">
        <v>1967.388715277101</v>
      </c>
      <c r="O246" s="28">
        <v>2084.5102471542104</v>
      </c>
      <c r="P246" s="28">
        <v>2085.407561789117</v>
      </c>
      <c r="Q246" s="28">
        <v>2085.407561789117</v>
      </c>
      <c r="R246" s="28">
        <v>2085.407561789117</v>
      </c>
      <c r="S246" s="28">
        <v>2085.407561789117</v>
      </c>
      <c r="T246" s="28">
        <v>2085.407561789117</v>
      </c>
      <c r="U246" s="28">
        <v>2085.407561789117</v>
      </c>
      <c r="V246" s="28">
        <v>2085.407561789117</v>
      </c>
      <c r="W246" s="28">
        <v>2085.407561789117</v>
      </c>
      <c r="X246" s="28">
        <v>2085.407561789117</v>
      </c>
      <c r="Y246" s="40">
        <v>2085.407561789117</v>
      </c>
      <c r="AA246" s="52"/>
    </row>
    <row r="247" spans="2:27" ht="11.25" hidden="1">
      <c r="B247" s="39" t="s">
        <v>276</v>
      </c>
      <c r="C247" s="82" t="s">
        <v>277</v>
      </c>
      <c r="D247" s="83"/>
      <c r="E247" s="50" t="s">
        <v>123</v>
      </c>
      <c r="F247" s="28">
        <v>0</v>
      </c>
      <c r="G247" s="28">
        <v>-349.065283226</v>
      </c>
      <c r="H247" s="28">
        <v>-1493.4213920156392</v>
      </c>
      <c r="I247" s="28">
        <v>-998.8913259889697</v>
      </c>
      <c r="J247" s="28">
        <v>461.5403672480113</v>
      </c>
      <c r="K247" s="28">
        <v>1113.6663315187623</v>
      </c>
      <c r="L247" s="28">
        <v>1534.629586475265</v>
      </c>
      <c r="M247" s="28">
        <v>1782.2892565159711</v>
      </c>
      <c r="N247" s="28">
        <v>1908.1696278746829</v>
      </c>
      <c r="O247" s="28">
        <v>2025.2911597517923</v>
      </c>
      <c r="P247" s="28">
        <v>2026.188474386699</v>
      </c>
      <c r="Q247" s="28">
        <v>2026.188474386699</v>
      </c>
      <c r="R247" s="28">
        <v>2026.188474386699</v>
      </c>
      <c r="S247" s="28">
        <v>2026.188474386699</v>
      </c>
      <c r="T247" s="28">
        <v>2026.188474386699</v>
      </c>
      <c r="U247" s="28">
        <v>2026.188474386699</v>
      </c>
      <c r="V247" s="28">
        <v>2026.188474386699</v>
      </c>
      <c r="W247" s="28">
        <v>2026.188474386699</v>
      </c>
      <c r="X247" s="28">
        <v>2026.188474386699</v>
      </c>
      <c r="Y247" s="40">
        <v>2026.188474386699</v>
      </c>
      <c r="AA247" s="52"/>
    </row>
    <row r="248" spans="2:27" ht="11.25" hidden="1">
      <c r="B248" s="114" t="s">
        <v>278</v>
      </c>
      <c r="C248" s="91" t="s">
        <v>121</v>
      </c>
      <c r="D248" s="78">
        <f>+AA243</f>
        <v>4856.442616452</v>
      </c>
      <c r="E248" s="94"/>
      <c r="F248" s="73"/>
      <c r="G248" s="73"/>
      <c r="H248" s="73"/>
      <c r="I248" s="73"/>
      <c r="J248" s="73"/>
      <c r="K248" s="73"/>
      <c r="L248" s="73"/>
      <c r="M248" s="73"/>
      <c r="N248" s="73"/>
      <c r="O248" s="73"/>
      <c r="P248" s="73"/>
      <c r="Q248" s="73"/>
      <c r="R248" s="73"/>
      <c r="S248" s="73"/>
      <c r="T248" s="73"/>
      <c r="U248" s="73"/>
      <c r="V248" s="73"/>
      <c r="W248" s="73"/>
      <c r="X248" s="73"/>
      <c r="Y248" s="74"/>
      <c r="AA248" s="52"/>
    </row>
    <row r="249" spans="2:27" ht="11.25" hidden="1">
      <c r="B249" s="90" t="s">
        <v>279</v>
      </c>
      <c r="C249" s="92" t="s">
        <v>596</v>
      </c>
      <c r="D249" s="113">
        <f>+AA241</f>
        <v>109.78</v>
      </c>
      <c r="E249" s="95"/>
      <c r="F249" s="54"/>
      <c r="G249" s="54"/>
      <c r="H249" s="54"/>
      <c r="I249" s="54"/>
      <c r="J249" s="54"/>
      <c r="K249" s="54"/>
      <c r="L249" s="54"/>
      <c r="M249" s="54"/>
      <c r="N249" s="54"/>
      <c r="O249" s="54"/>
      <c r="P249" s="54"/>
      <c r="Q249" s="54"/>
      <c r="R249" s="54"/>
      <c r="S249" s="54"/>
      <c r="T249" s="54"/>
      <c r="U249" s="54"/>
      <c r="V249" s="54"/>
      <c r="W249" s="54"/>
      <c r="X249" s="54"/>
      <c r="Y249" s="75"/>
      <c r="AA249" s="52"/>
    </row>
    <row r="250" spans="2:27" ht="11.25" hidden="1">
      <c r="B250" s="90" t="s">
        <v>280</v>
      </c>
      <c r="C250" s="92" t="s">
        <v>57</v>
      </c>
      <c r="D250" s="79">
        <f>+IRR(F247:Y247)</f>
        <v>0.3583965347256483</v>
      </c>
      <c r="E250" s="95"/>
      <c r="F250" s="88"/>
      <c r="G250" s="54"/>
      <c r="H250" s="54"/>
      <c r="I250" s="54"/>
      <c r="J250" s="54"/>
      <c r="K250" s="54"/>
      <c r="L250" s="54"/>
      <c r="M250" s="54"/>
      <c r="N250" s="54"/>
      <c r="O250" s="54"/>
      <c r="P250" s="54"/>
      <c r="Q250" s="54"/>
      <c r="R250" s="54"/>
      <c r="S250" s="54"/>
      <c r="T250" s="54"/>
      <c r="U250" s="54"/>
      <c r="V250" s="54"/>
      <c r="W250" s="54"/>
      <c r="X250" s="54"/>
      <c r="Y250" s="75"/>
      <c r="AA250" s="52"/>
    </row>
    <row r="251" spans="2:27" ht="12" hidden="1" thickBot="1">
      <c r="B251" s="122" t="s">
        <v>626</v>
      </c>
      <c r="C251" s="102" t="s">
        <v>120</v>
      </c>
      <c r="D251" s="103">
        <f>+NPV('Assumptions and Basic Info'!$C$20,F247:Y247)</f>
        <v>6831.5263176327835</v>
      </c>
      <c r="E251" s="108"/>
      <c r="F251" s="105"/>
      <c r="G251" s="128"/>
      <c r="H251" s="105"/>
      <c r="I251" s="105"/>
      <c r="J251" s="105"/>
      <c r="K251" s="105"/>
      <c r="L251" s="105"/>
      <c r="M251" s="105"/>
      <c r="N251" s="105"/>
      <c r="O251" s="105"/>
      <c r="P251" s="105"/>
      <c r="Q251" s="105"/>
      <c r="R251" s="105"/>
      <c r="S251" s="105"/>
      <c r="T251" s="105"/>
      <c r="U251" s="105"/>
      <c r="V251" s="105"/>
      <c r="W251" s="105"/>
      <c r="X251" s="105"/>
      <c r="Y251" s="106"/>
      <c r="AA251" s="52"/>
    </row>
    <row r="252" spans="2:27" ht="11.25" hidden="1">
      <c r="B252" s="44" t="s">
        <v>282</v>
      </c>
      <c r="C252" s="23" t="s">
        <v>298</v>
      </c>
      <c r="D252" s="23"/>
      <c r="E252" s="51"/>
      <c r="F252" s="24"/>
      <c r="G252" s="24"/>
      <c r="H252" s="24"/>
      <c r="I252" s="24"/>
      <c r="J252" s="24"/>
      <c r="K252" s="24"/>
      <c r="L252" s="24"/>
      <c r="M252" s="24"/>
      <c r="N252" s="24"/>
      <c r="O252" s="24"/>
      <c r="P252" s="24"/>
      <c r="Q252" s="24"/>
      <c r="R252" s="24"/>
      <c r="S252" s="24"/>
      <c r="T252" s="24"/>
      <c r="U252" s="24"/>
      <c r="V252" s="24"/>
      <c r="W252" s="24"/>
      <c r="X252" s="24"/>
      <c r="Y252" s="45"/>
      <c r="AA252" s="52"/>
    </row>
    <row r="253" spans="2:27" ht="11.25" hidden="1">
      <c r="B253" s="37" t="s">
        <v>283</v>
      </c>
      <c r="C253" s="80" t="s">
        <v>124</v>
      </c>
      <c r="D253" s="81"/>
      <c r="E253" s="49" t="s">
        <v>54</v>
      </c>
      <c r="F253" s="27">
        <v>302</v>
      </c>
      <c r="G253" s="27">
        <v>302</v>
      </c>
      <c r="H253" s="27">
        <v>302</v>
      </c>
      <c r="I253" s="27">
        <v>302</v>
      </c>
      <c r="J253" s="27">
        <v>302</v>
      </c>
      <c r="K253" s="27">
        <v>302</v>
      </c>
      <c r="L253" s="27">
        <v>302</v>
      </c>
      <c r="M253" s="27">
        <v>302</v>
      </c>
      <c r="N253" s="27">
        <v>302</v>
      </c>
      <c r="O253" s="27">
        <v>302</v>
      </c>
      <c r="P253" s="27">
        <v>302</v>
      </c>
      <c r="Q253" s="27">
        <v>302</v>
      </c>
      <c r="R253" s="27">
        <v>302</v>
      </c>
      <c r="S253" s="27">
        <v>302</v>
      </c>
      <c r="T253" s="27">
        <v>302</v>
      </c>
      <c r="U253" s="27">
        <v>302</v>
      </c>
      <c r="V253" s="27">
        <v>302</v>
      </c>
      <c r="W253" s="27">
        <v>302</v>
      </c>
      <c r="X253" s="27">
        <v>302</v>
      </c>
      <c r="Y253" s="38">
        <v>302</v>
      </c>
      <c r="AA253" s="52">
        <v>302</v>
      </c>
    </row>
    <row r="254" spans="2:27" ht="11.25" hidden="1">
      <c r="B254" s="39" t="s">
        <v>284</v>
      </c>
      <c r="C254" s="82" t="s">
        <v>125</v>
      </c>
      <c r="D254" s="83"/>
      <c r="E254" s="50" t="s">
        <v>54</v>
      </c>
      <c r="F254" s="28">
        <v>302</v>
      </c>
      <c r="G254" s="28">
        <v>302</v>
      </c>
      <c r="H254" s="28">
        <v>310.24476650563605</v>
      </c>
      <c r="I254" s="28">
        <v>318.48953301127216</v>
      </c>
      <c r="J254" s="28">
        <v>326.7342995169082</v>
      </c>
      <c r="K254" s="28">
        <v>1400</v>
      </c>
      <c r="L254" s="28">
        <v>1400</v>
      </c>
      <c r="M254" s="28">
        <v>1400</v>
      </c>
      <c r="N254" s="28">
        <v>1400</v>
      </c>
      <c r="O254" s="28">
        <v>1400</v>
      </c>
      <c r="P254" s="28">
        <v>1400</v>
      </c>
      <c r="Q254" s="28">
        <v>1400</v>
      </c>
      <c r="R254" s="28">
        <v>1400</v>
      </c>
      <c r="S254" s="28">
        <v>1400</v>
      </c>
      <c r="T254" s="28">
        <v>1400</v>
      </c>
      <c r="U254" s="28">
        <v>1400</v>
      </c>
      <c r="V254" s="28">
        <v>1400</v>
      </c>
      <c r="W254" s="28">
        <v>1400</v>
      </c>
      <c r="X254" s="28">
        <v>1400</v>
      </c>
      <c r="Y254" s="40">
        <v>1400</v>
      </c>
      <c r="AA254" s="52">
        <v>1400</v>
      </c>
    </row>
    <row r="255" spans="2:28" ht="11.25" hidden="1">
      <c r="B255" s="39" t="s">
        <v>285</v>
      </c>
      <c r="C255" s="82" t="s">
        <v>81</v>
      </c>
      <c r="D255" s="83"/>
      <c r="E255" s="50" t="s">
        <v>54</v>
      </c>
      <c r="F255" s="28">
        <v>0</v>
      </c>
      <c r="G255" s="28">
        <v>0</v>
      </c>
      <c r="H255" s="28">
        <v>8.24476650563605</v>
      </c>
      <c r="I255" s="28">
        <v>16.489533011272158</v>
      </c>
      <c r="J255" s="28">
        <v>24.73429951690821</v>
      </c>
      <c r="K255" s="28">
        <v>1098</v>
      </c>
      <c r="L255" s="28">
        <v>1098</v>
      </c>
      <c r="M255" s="28">
        <v>1098</v>
      </c>
      <c r="N255" s="28">
        <v>1098</v>
      </c>
      <c r="O255" s="28">
        <v>1098</v>
      </c>
      <c r="P255" s="28">
        <v>1098</v>
      </c>
      <c r="Q255" s="28">
        <v>1098</v>
      </c>
      <c r="R255" s="28">
        <v>1098</v>
      </c>
      <c r="S255" s="28">
        <v>1098</v>
      </c>
      <c r="T255" s="28">
        <v>1098</v>
      </c>
      <c r="U255" s="28">
        <v>1098</v>
      </c>
      <c r="V255" s="28">
        <v>1098</v>
      </c>
      <c r="W255" s="28">
        <v>1098</v>
      </c>
      <c r="X255" s="28">
        <v>1098</v>
      </c>
      <c r="Y255" s="40">
        <v>1098</v>
      </c>
      <c r="AA255" s="52">
        <v>1098</v>
      </c>
      <c r="AB255" s="52">
        <v>1098</v>
      </c>
    </row>
    <row r="256" spans="2:27" ht="11.25" hidden="1">
      <c r="B256" s="39" t="s">
        <v>286</v>
      </c>
      <c r="C256" s="82" t="s">
        <v>58</v>
      </c>
      <c r="D256" s="83"/>
      <c r="E256" s="50" t="s">
        <v>123</v>
      </c>
      <c r="F256" s="28">
        <v>0</v>
      </c>
      <c r="G256" s="28">
        <v>13.913043478260871</v>
      </c>
      <c r="H256" s="28">
        <v>437.80614280015925</v>
      </c>
      <c r="I256" s="28">
        <v>859.1304347826087</v>
      </c>
      <c r="J256" s="28">
        <v>223.56521739130434</v>
      </c>
      <c r="K256" s="28">
        <v>0</v>
      </c>
      <c r="L256" s="31">
        <v>0</v>
      </c>
      <c r="M256" s="31">
        <v>0</v>
      </c>
      <c r="N256" s="31">
        <v>0</v>
      </c>
      <c r="O256" s="31">
        <v>0</v>
      </c>
      <c r="P256" s="31">
        <v>0</v>
      </c>
      <c r="Q256" s="31">
        <v>0</v>
      </c>
      <c r="R256" s="31">
        <v>0</v>
      </c>
      <c r="S256" s="31">
        <v>0</v>
      </c>
      <c r="T256" s="31">
        <v>0</v>
      </c>
      <c r="U256" s="31">
        <v>0</v>
      </c>
      <c r="V256" s="31">
        <v>0</v>
      </c>
      <c r="W256" s="31">
        <v>0</v>
      </c>
      <c r="X256" s="31">
        <v>0</v>
      </c>
      <c r="Y256" s="46">
        <v>0</v>
      </c>
      <c r="AA256" s="52">
        <v>1534.4148384523332</v>
      </c>
    </row>
    <row r="257" spans="2:27" ht="11.25" hidden="1">
      <c r="B257" s="39" t="s">
        <v>287</v>
      </c>
      <c r="C257" s="82" t="s">
        <v>24</v>
      </c>
      <c r="D257" s="83"/>
      <c r="E257" s="50" t="s">
        <v>123</v>
      </c>
      <c r="F257" s="28">
        <v>0</v>
      </c>
      <c r="G257" s="28">
        <v>2.0869565217391304</v>
      </c>
      <c r="H257" s="28">
        <v>65.67092142002389</v>
      </c>
      <c r="I257" s="28">
        <v>128.8695652173913</v>
      </c>
      <c r="J257" s="28">
        <v>33.53478260869565</v>
      </c>
      <c r="K257" s="28">
        <v>0</v>
      </c>
      <c r="L257" s="28">
        <v>0</v>
      </c>
      <c r="M257" s="28">
        <v>0</v>
      </c>
      <c r="N257" s="28">
        <v>0</v>
      </c>
      <c r="O257" s="28">
        <v>0</v>
      </c>
      <c r="P257" s="28">
        <v>0</v>
      </c>
      <c r="Q257" s="28">
        <v>0</v>
      </c>
      <c r="R257" s="28">
        <v>0</v>
      </c>
      <c r="S257" s="28">
        <v>0</v>
      </c>
      <c r="T257" s="28">
        <v>0</v>
      </c>
      <c r="U257" s="28">
        <v>0</v>
      </c>
      <c r="V257" s="31">
        <v>0</v>
      </c>
      <c r="W257" s="31">
        <v>0</v>
      </c>
      <c r="X257" s="31">
        <v>0</v>
      </c>
      <c r="Y257" s="46">
        <v>0</v>
      </c>
      <c r="AA257" s="54">
        <f>+AA256*'Assumptions and Basic Info'!$C$4</f>
        <v>1534.4148384523332</v>
      </c>
    </row>
    <row r="258" spans="2:27" ht="11.25" hidden="1">
      <c r="B258" s="39" t="s">
        <v>288</v>
      </c>
      <c r="C258" s="82" t="s">
        <v>83</v>
      </c>
      <c r="D258" s="83"/>
      <c r="E258" s="50" t="s">
        <v>123</v>
      </c>
      <c r="F258" s="28">
        <v>0</v>
      </c>
      <c r="G258" s="28">
        <v>1.44</v>
      </c>
      <c r="H258" s="28">
        <v>45.312935779816485</v>
      </c>
      <c r="I258" s="28">
        <v>88.92</v>
      </c>
      <c r="J258" s="28">
        <v>23.138999999999996</v>
      </c>
      <c r="K258" s="28">
        <v>0</v>
      </c>
      <c r="L258" s="28">
        <v>0</v>
      </c>
      <c r="M258" s="28">
        <v>0</v>
      </c>
      <c r="N258" s="28">
        <v>0</v>
      </c>
      <c r="O258" s="28">
        <v>0</v>
      </c>
      <c r="P258" s="28">
        <v>0</v>
      </c>
      <c r="Q258" s="28">
        <v>0</v>
      </c>
      <c r="R258" s="28">
        <v>0</v>
      </c>
      <c r="S258" s="28">
        <v>0</v>
      </c>
      <c r="T258" s="28">
        <v>0</v>
      </c>
      <c r="U258" s="28">
        <v>0</v>
      </c>
      <c r="V258" s="31">
        <v>0</v>
      </c>
      <c r="W258" s="31">
        <v>0</v>
      </c>
      <c r="X258" s="31">
        <v>0</v>
      </c>
      <c r="Y258" s="46">
        <v>0</v>
      </c>
      <c r="AA258" s="54">
        <v>158.81193577981648</v>
      </c>
    </row>
    <row r="259" spans="2:27" ht="11.25" hidden="1">
      <c r="B259" s="39" t="s">
        <v>289</v>
      </c>
      <c r="C259" s="82" t="s">
        <v>82</v>
      </c>
      <c r="D259" s="83"/>
      <c r="E259" s="50" t="s">
        <v>123</v>
      </c>
      <c r="F259" s="28">
        <v>0</v>
      </c>
      <c r="G259" s="28">
        <v>0</v>
      </c>
      <c r="H259" s="28">
        <v>0.34880000000000005</v>
      </c>
      <c r="I259" s="28">
        <v>11.324599999999993</v>
      </c>
      <c r="J259" s="28">
        <v>32.86299999999999</v>
      </c>
      <c r="K259" s="28">
        <v>38.46777999999999</v>
      </c>
      <c r="L259" s="28">
        <v>38.46777999999999</v>
      </c>
      <c r="M259" s="28">
        <v>38.46777999999999</v>
      </c>
      <c r="N259" s="28">
        <v>38.46777999999999</v>
      </c>
      <c r="O259" s="28">
        <v>38.46777999999999</v>
      </c>
      <c r="P259" s="28">
        <v>38.46777999999999</v>
      </c>
      <c r="Q259" s="28">
        <v>38.46777999999999</v>
      </c>
      <c r="R259" s="28">
        <v>38.46777999999999</v>
      </c>
      <c r="S259" s="28">
        <v>38.46777999999999</v>
      </c>
      <c r="T259" s="28">
        <v>38.46777999999999</v>
      </c>
      <c r="U259" s="28">
        <v>38.46777999999999</v>
      </c>
      <c r="V259" s="28">
        <v>38.46777999999999</v>
      </c>
      <c r="W259" s="28">
        <v>38.46777999999999</v>
      </c>
      <c r="X259" s="28">
        <v>38.46777999999999</v>
      </c>
      <c r="Y259" s="40">
        <v>38.46777999999999</v>
      </c>
      <c r="AA259" s="52"/>
    </row>
    <row r="260" spans="2:27" ht="11.25" hidden="1">
      <c r="B260" s="39" t="s">
        <v>604</v>
      </c>
      <c r="C260" s="82" t="s">
        <v>578</v>
      </c>
      <c r="D260" s="83"/>
      <c r="E260" s="50" t="s">
        <v>118</v>
      </c>
      <c r="F260" s="28">
        <v>0</v>
      </c>
      <c r="G260" s="28">
        <v>0</v>
      </c>
      <c r="H260" s="28">
        <v>109.78</v>
      </c>
      <c r="I260" s="28">
        <v>0</v>
      </c>
      <c r="J260" s="28">
        <v>0</v>
      </c>
      <c r="K260" s="28">
        <v>0</v>
      </c>
      <c r="L260" s="28">
        <v>0</v>
      </c>
      <c r="M260" s="28">
        <v>0</v>
      </c>
      <c r="N260" s="28">
        <v>0</v>
      </c>
      <c r="O260" s="28">
        <v>0</v>
      </c>
      <c r="P260" s="28">
        <v>0</v>
      </c>
      <c r="Q260" s="28">
        <v>0</v>
      </c>
      <c r="R260" s="28">
        <v>0</v>
      </c>
      <c r="S260" s="28">
        <v>0</v>
      </c>
      <c r="T260" s="28">
        <v>0</v>
      </c>
      <c r="U260" s="28">
        <v>0</v>
      </c>
      <c r="V260" s="28">
        <v>0</v>
      </c>
      <c r="W260" s="28">
        <v>0</v>
      </c>
      <c r="X260" s="28">
        <v>0</v>
      </c>
      <c r="Y260" s="40">
        <v>0</v>
      </c>
      <c r="AA260" s="52">
        <v>109.78</v>
      </c>
    </row>
    <row r="261" spans="2:27" ht="11.25" hidden="1">
      <c r="B261" s="39" t="s">
        <v>715</v>
      </c>
      <c r="C261" s="82" t="s">
        <v>691</v>
      </c>
      <c r="D261" s="83"/>
      <c r="E261" s="50" t="s">
        <v>118</v>
      </c>
      <c r="F261" s="28">
        <v>0</v>
      </c>
      <c r="G261" s="28">
        <v>0</v>
      </c>
      <c r="H261" s="28">
        <v>2.8361996779388083</v>
      </c>
      <c r="I261" s="28">
        <v>2.8361996779388083</v>
      </c>
      <c r="J261" s="28">
        <v>2.8361996779388075</v>
      </c>
      <c r="K261" s="28">
        <v>369.2034009661836</v>
      </c>
      <c r="L261" s="28">
        <v>0</v>
      </c>
      <c r="M261" s="28">
        <v>0</v>
      </c>
      <c r="N261" s="28">
        <v>0</v>
      </c>
      <c r="O261" s="28">
        <v>0</v>
      </c>
      <c r="P261" s="28">
        <v>0</v>
      </c>
      <c r="Q261" s="28">
        <v>0</v>
      </c>
      <c r="R261" s="28">
        <v>0</v>
      </c>
      <c r="S261" s="28">
        <v>0</v>
      </c>
      <c r="T261" s="28">
        <v>0</v>
      </c>
      <c r="U261" s="28">
        <v>0</v>
      </c>
      <c r="V261" s="28">
        <v>0</v>
      </c>
      <c r="W261" s="28">
        <v>0</v>
      </c>
      <c r="X261" s="28">
        <v>0</v>
      </c>
      <c r="Y261" s="40">
        <v>0</v>
      </c>
      <c r="AA261" s="52"/>
    </row>
    <row r="262" spans="2:27" ht="11.25" hidden="1">
      <c r="B262" s="39" t="s">
        <v>290</v>
      </c>
      <c r="C262" s="82" t="s">
        <v>716</v>
      </c>
      <c r="D262" s="83"/>
      <c r="E262" s="50" t="s">
        <v>123</v>
      </c>
      <c r="F262" s="28">
        <v>0</v>
      </c>
      <c r="G262" s="28">
        <v>17.44</v>
      </c>
      <c r="H262" s="28">
        <v>661.7549996779384</v>
      </c>
      <c r="I262" s="28">
        <v>1091.0807996779388</v>
      </c>
      <c r="J262" s="28">
        <v>315.9381996779388</v>
      </c>
      <c r="K262" s="28">
        <v>407.6711809661836</v>
      </c>
      <c r="L262" s="28">
        <v>38.46777999999999</v>
      </c>
      <c r="M262" s="28">
        <v>38.46777999999999</v>
      </c>
      <c r="N262" s="28">
        <v>38.46777999999999</v>
      </c>
      <c r="O262" s="28">
        <v>38.46777999999999</v>
      </c>
      <c r="P262" s="28">
        <v>38.46777999999999</v>
      </c>
      <c r="Q262" s="28">
        <v>38.46777999999999</v>
      </c>
      <c r="R262" s="28">
        <v>38.46777999999999</v>
      </c>
      <c r="S262" s="28">
        <v>38.46777999999999</v>
      </c>
      <c r="T262" s="28">
        <v>38.46777999999999</v>
      </c>
      <c r="U262" s="28">
        <v>38.46777999999999</v>
      </c>
      <c r="V262" s="28">
        <v>38.46777999999999</v>
      </c>
      <c r="W262" s="28">
        <v>38.46777999999999</v>
      </c>
      <c r="X262" s="28">
        <v>38.46777999999999</v>
      </c>
      <c r="Y262" s="40">
        <v>38.46777999999999</v>
      </c>
      <c r="AA262" s="52">
        <f>+AA256+AA257+AA258</f>
        <v>3227.641612684483</v>
      </c>
    </row>
    <row r="263" spans="2:27" ht="11.25" hidden="1">
      <c r="B263" s="39" t="s">
        <v>291</v>
      </c>
      <c r="C263" s="82" t="s">
        <v>128</v>
      </c>
      <c r="D263" s="83"/>
      <c r="E263" s="50" t="s">
        <v>123</v>
      </c>
      <c r="F263" s="28">
        <v>0</v>
      </c>
      <c r="G263" s="28">
        <v>0</v>
      </c>
      <c r="H263" s="28">
        <v>0.5314125390143898</v>
      </c>
      <c r="I263" s="28">
        <v>-0.5185745638391749</v>
      </c>
      <c r="J263" s="28">
        <v>-1.2462180918135126</v>
      </c>
      <c r="K263" s="28">
        <v>71.16011768623225</v>
      </c>
      <c r="L263" s="28">
        <v>-126.58242714056321</v>
      </c>
      <c r="M263" s="28">
        <v>-75.93862870722992</v>
      </c>
      <c r="N263" s="28">
        <v>512.5550722274884</v>
      </c>
      <c r="O263" s="28">
        <v>943.7862541020133</v>
      </c>
      <c r="P263" s="28">
        <v>1059.4041236662645</v>
      </c>
      <c r="Q263" s="28">
        <v>1059.4041236662645</v>
      </c>
      <c r="R263" s="28">
        <v>1059.4041236662645</v>
      </c>
      <c r="S263" s="28">
        <v>1059.4041236662645</v>
      </c>
      <c r="T263" s="28">
        <v>1059.4041236662645</v>
      </c>
      <c r="U263" s="28">
        <v>1059.4041236662645</v>
      </c>
      <c r="V263" s="28">
        <v>1059.4041236662645</v>
      </c>
      <c r="W263" s="28">
        <v>1059.4041236662645</v>
      </c>
      <c r="X263" s="28">
        <v>1059.4041236662645</v>
      </c>
      <c r="Y263" s="40">
        <v>1059.4041236662645</v>
      </c>
      <c r="AA263" s="52"/>
    </row>
    <row r="264" spans="2:27" ht="11.25" hidden="1">
      <c r="B264" s="39" t="s">
        <v>292</v>
      </c>
      <c r="C264" s="82" t="s">
        <v>293</v>
      </c>
      <c r="D264" s="83"/>
      <c r="E264" s="50" t="s">
        <v>123</v>
      </c>
      <c r="F264" s="28">
        <v>0</v>
      </c>
      <c r="G264" s="28">
        <v>0</v>
      </c>
      <c r="H264" s="28">
        <v>0.5314125390143898</v>
      </c>
      <c r="I264" s="28">
        <v>-0.5185745638391749</v>
      </c>
      <c r="J264" s="28">
        <v>-1.2462180918135126</v>
      </c>
      <c r="K264" s="28">
        <v>71.16011768623225</v>
      </c>
      <c r="L264" s="28">
        <v>-126.58242714056321</v>
      </c>
      <c r="M264" s="28">
        <v>-75.93862870722992</v>
      </c>
      <c r="N264" s="28">
        <v>512.5550722274884</v>
      </c>
      <c r="O264" s="28">
        <v>943.7862541020133</v>
      </c>
      <c r="P264" s="28">
        <v>1059.4041236662645</v>
      </c>
      <c r="Q264" s="28">
        <v>1059.4041236662645</v>
      </c>
      <c r="R264" s="28">
        <v>1059.4041236662645</v>
      </c>
      <c r="S264" s="28">
        <v>1059.4041236662645</v>
      </c>
      <c r="T264" s="28">
        <v>1059.4041236662645</v>
      </c>
      <c r="U264" s="28">
        <v>1059.4041236662645</v>
      </c>
      <c r="V264" s="28">
        <v>1059.4041236662645</v>
      </c>
      <c r="W264" s="28">
        <v>1059.4041236662645</v>
      </c>
      <c r="X264" s="28">
        <v>1059.4041236662645</v>
      </c>
      <c r="Y264" s="40">
        <v>1059.4041236662645</v>
      </c>
      <c r="AA264" s="52"/>
    </row>
    <row r="265" spans="2:27" ht="11.25" hidden="1">
      <c r="B265" s="39" t="s">
        <v>294</v>
      </c>
      <c r="C265" s="84" t="s">
        <v>484</v>
      </c>
      <c r="D265" s="85"/>
      <c r="E265" s="50" t="s">
        <v>123</v>
      </c>
      <c r="F265" s="28">
        <v>0</v>
      </c>
      <c r="G265" s="28">
        <v>-17.44</v>
      </c>
      <c r="H265" s="28">
        <v>-661.223587138924</v>
      </c>
      <c r="I265" s="28">
        <v>-1091.599374241778</v>
      </c>
      <c r="J265" s="28">
        <v>-317.1844177697523</v>
      </c>
      <c r="K265" s="28">
        <v>-336.5110632799514</v>
      </c>
      <c r="L265" s="28">
        <v>-165.0502071405632</v>
      </c>
      <c r="M265" s="28">
        <v>-114.40640870722991</v>
      </c>
      <c r="N265" s="28">
        <v>474.0872922274884</v>
      </c>
      <c r="O265" s="28">
        <v>905.3184741020134</v>
      </c>
      <c r="P265" s="28">
        <v>1020.9363436662645</v>
      </c>
      <c r="Q265" s="28">
        <v>1020.9363436662645</v>
      </c>
      <c r="R265" s="28">
        <v>1020.9363436662645</v>
      </c>
      <c r="S265" s="28">
        <v>1020.9363436662645</v>
      </c>
      <c r="T265" s="28">
        <v>1020.9363436662645</v>
      </c>
      <c r="U265" s="28">
        <v>1020.9363436662645</v>
      </c>
      <c r="V265" s="28">
        <v>1020.9363436662645</v>
      </c>
      <c r="W265" s="28">
        <v>1020.9363436662645</v>
      </c>
      <c r="X265" s="28">
        <v>1020.9363436662645</v>
      </c>
      <c r="Y265" s="40">
        <v>1020.9363436662645</v>
      </c>
      <c r="AA265" s="52"/>
    </row>
    <row r="266" spans="2:27" ht="11.25" hidden="1">
      <c r="B266" s="114" t="s">
        <v>295</v>
      </c>
      <c r="C266" s="91" t="s">
        <v>121</v>
      </c>
      <c r="D266" s="78">
        <f>+AA262</f>
        <v>3227.641612684483</v>
      </c>
      <c r="E266" s="94"/>
      <c r="F266" s="73"/>
      <c r="G266" s="73"/>
      <c r="H266" s="73"/>
      <c r="I266" s="73"/>
      <c r="J266" s="73"/>
      <c r="K266" s="73"/>
      <c r="L266" s="73"/>
      <c r="M266" s="73"/>
      <c r="N266" s="73"/>
      <c r="O266" s="73"/>
      <c r="P266" s="73"/>
      <c r="Q266" s="73"/>
      <c r="R266" s="73"/>
      <c r="S266" s="73"/>
      <c r="T266" s="73"/>
      <c r="U266" s="73"/>
      <c r="V266" s="73"/>
      <c r="W266" s="73"/>
      <c r="X266" s="73"/>
      <c r="Y266" s="74"/>
      <c r="AA266" s="52"/>
    </row>
    <row r="267" spans="2:27" ht="11.25" hidden="1">
      <c r="B267" s="90" t="s">
        <v>296</v>
      </c>
      <c r="C267" s="92" t="s">
        <v>596</v>
      </c>
      <c r="D267" s="113">
        <f>+AA260</f>
        <v>109.78</v>
      </c>
      <c r="E267" s="95"/>
      <c r="F267" s="54"/>
      <c r="G267" s="54"/>
      <c r="H267" s="54"/>
      <c r="I267" s="54"/>
      <c r="J267" s="54"/>
      <c r="K267" s="54"/>
      <c r="L267" s="54"/>
      <c r="M267" s="54"/>
      <c r="N267" s="54"/>
      <c r="O267" s="54"/>
      <c r="P267" s="54"/>
      <c r="Q267" s="54"/>
      <c r="R267" s="54"/>
      <c r="S267" s="54"/>
      <c r="T267" s="54"/>
      <c r="U267" s="54"/>
      <c r="V267" s="54"/>
      <c r="W267" s="54"/>
      <c r="X267" s="54"/>
      <c r="Y267" s="75"/>
      <c r="AA267" s="52"/>
    </row>
    <row r="268" spans="2:27" ht="11.25" hidden="1">
      <c r="B268" s="90" t="s">
        <v>297</v>
      </c>
      <c r="C268" s="92" t="s">
        <v>57</v>
      </c>
      <c r="D268" s="79">
        <f>+IRR(F265:Y265)</f>
        <v>0.1623772290005184</v>
      </c>
      <c r="E268" s="95"/>
      <c r="F268" s="88"/>
      <c r="G268" s="54"/>
      <c r="H268" s="54"/>
      <c r="I268" s="54"/>
      <c r="J268" s="54"/>
      <c r="K268" s="54"/>
      <c r="L268" s="54"/>
      <c r="M268" s="54"/>
      <c r="N268" s="54"/>
      <c r="O268" s="54"/>
      <c r="P268" s="54"/>
      <c r="Q268" s="54"/>
      <c r="R268" s="54"/>
      <c r="S268" s="54"/>
      <c r="T268" s="54"/>
      <c r="U268" s="54"/>
      <c r="V268" s="54"/>
      <c r="W268" s="54"/>
      <c r="X268" s="54"/>
      <c r="Y268" s="75"/>
      <c r="AA268" s="52"/>
    </row>
    <row r="269" spans="2:27" ht="12" hidden="1" thickBot="1">
      <c r="B269" s="122" t="s">
        <v>605</v>
      </c>
      <c r="C269" s="102" t="s">
        <v>120</v>
      </c>
      <c r="D269" s="103">
        <f>+NPV('Assumptions and Basic Info'!$C$20,F265:Y265)</f>
        <v>1186.9495655458445</v>
      </c>
      <c r="E269" s="108"/>
      <c r="F269" s="105"/>
      <c r="G269" s="127"/>
      <c r="H269" s="105"/>
      <c r="I269" s="105"/>
      <c r="J269" s="105"/>
      <c r="K269" s="105"/>
      <c r="L269" s="105"/>
      <c r="M269" s="105"/>
      <c r="N269" s="105"/>
      <c r="O269" s="105"/>
      <c r="P269" s="105"/>
      <c r="Q269" s="105"/>
      <c r="R269" s="105"/>
      <c r="S269" s="105"/>
      <c r="T269" s="105"/>
      <c r="U269" s="105"/>
      <c r="V269" s="105"/>
      <c r="W269" s="105"/>
      <c r="X269" s="105"/>
      <c r="Y269" s="106"/>
      <c r="AA269" s="52"/>
    </row>
    <row r="270" spans="2:27" ht="11.25" hidden="1">
      <c r="B270" s="44" t="s">
        <v>299</v>
      </c>
      <c r="C270" s="23" t="s">
        <v>318</v>
      </c>
      <c r="D270" s="23"/>
      <c r="E270" s="51"/>
      <c r="F270" s="24"/>
      <c r="G270" s="24"/>
      <c r="H270" s="24"/>
      <c r="I270" s="24"/>
      <c r="J270" s="24"/>
      <c r="K270" s="24"/>
      <c r="L270" s="24"/>
      <c r="M270" s="24"/>
      <c r="N270" s="24"/>
      <c r="O270" s="24"/>
      <c r="P270" s="24"/>
      <c r="Q270" s="24"/>
      <c r="R270" s="24"/>
      <c r="S270" s="24"/>
      <c r="T270" s="24"/>
      <c r="U270" s="24"/>
      <c r="V270" s="24"/>
      <c r="W270" s="24"/>
      <c r="X270" s="24"/>
      <c r="Y270" s="45"/>
      <c r="AA270" s="52"/>
    </row>
    <row r="271" spans="2:28" ht="11.25" hidden="1">
      <c r="B271" s="37" t="s">
        <v>300</v>
      </c>
      <c r="C271" s="80" t="s">
        <v>124</v>
      </c>
      <c r="D271" s="81"/>
      <c r="E271" s="49" t="s">
        <v>54</v>
      </c>
      <c r="F271" s="27">
        <v>76</v>
      </c>
      <c r="G271" s="27">
        <v>67.55555555555557</v>
      </c>
      <c r="H271" s="27">
        <v>59.111111111111114</v>
      </c>
      <c r="I271" s="27">
        <v>50.66666666666666</v>
      </c>
      <c r="J271" s="27">
        <v>42.22222222222223</v>
      </c>
      <c r="K271" s="27">
        <v>33.77777777777777</v>
      </c>
      <c r="L271" s="27">
        <v>25.33333333333333</v>
      </c>
      <c r="M271" s="27">
        <v>16.88888888888888</v>
      </c>
      <c r="N271" s="27">
        <v>8.444444444444443</v>
      </c>
      <c r="O271" s="27">
        <v>0</v>
      </c>
      <c r="P271" s="27">
        <v>0</v>
      </c>
      <c r="Q271" s="27">
        <v>0</v>
      </c>
      <c r="R271" s="27">
        <v>0</v>
      </c>
      <c r="S271" s="27">
        <v>0</v>
      </c>
      <c r="T271" s="27">
        <v>0</v>
      </c>
      <c r="U271" s="27">
        <v>0</v>
      </c>
      <c r="V271" s="27">
        <v>0</v>
      </c>
      <c r="W271" s="27">
        <v>0</v>
      </c>
      <c r="X271" s="27">
        <v>0</v>
      </c>
      <c r="Y271" s="38">
        <v>0</v>
      </c>
      <c r="AA271" s="52">
        <v>76</v>
      </c>
      <c r="AB271" s="116" t="s">
        <v>126</v>
      </c>
    </row>
    <row r="272" spans="2:28" ht="11.25" hidden="1">
      <c r="B272" s="39" t="s">
        <v>301</v>
      </c>
      <c r="C272" s="82" t="s">
        <v>125</v>
      </c>
      <c r="D272" s="83"/>
      <c r="E272" s="50" t="s">
        <v>54</v>
      </c>
      <c r="F272" s="28">
        <v>76</v>
      </c>
      <c r="G272" s="28">
        <v>67.55555555555557</v>
      </c>
      <c r="H272" s="28">
        <v>66.30511977142801</v>
      </c>
      <c r="I272" s="28">
        <v>65.05468398730045</v>
      </c>
      <c r="J272" s="28">
        <v>359.5820259809507</v>
      </c>
      <c r="K272" s="28">
        <v>363</v>
      </c>
      <c r="L272" s="28">
        <v>363</v>
      </c>
      <c r="M272" s="28">
        <v>363</v>
      </c>
      <c r="N272" s="28">
        <v>363</v>
      </c>
      <c r="O272" s="28">
        <v>363</v>
      </c>
      <c r="P272" s="28">
        <v>363</v>
      </c>
      <c r="Q272" s="28">
        <v>363</v>
      </c>
      <c r="R272" s="28">
        <v>363</v>
      </c>
      <c r="S272" s="28">
        <v>363</v>
      </c>
      <c r="T272" s="28">
        <v>363</v>
      </c>
      <c r="U272" s="28">
        <v>363</v>
      </c>
      <c r="V272" s="28">
        <v>363</v>
      </c>
      <c r="W272" s="28">
        <v>363</v>
      </c>
      <c r="X272" s="28">
        <v>363</v>
      </c>
      <c r="Y272" s="40">
        <v>363</v>
      </c>
      <c r="AA272" s="52">
        <v>363</v>
      </c>
      <c r="AB272" s="116" t="s">
        <v>127</v>
      </c>
    </row>
    <row r="273" spans="2:29" ht="11.25" hidden="1">
      <c r="B273" s="39" t="s">
        <v>302</v>
      </c>
      <c r="C273" s="82" t="s">
        <v>81</v>
      </c>
      <c r="D273" s="83"/>
      <c r="E273" s="50" t="s">
        <v>54</v>
      </c>
      <c r="F273" s="28">
        <v>0</v>
      </c>
      <c r="G273" s="28">
        <v>0</v>
      </c>
      <c r="H273" s="28">
        <v>7.1940086603168965</v>
      </c>
      <c r="I273" s="28">
        <v>14.388017320633793</v>
      </c>
      <c r="J273" s="28">
        <v>317.35980375872845</v>
      </c>
      <c r="K273" s="28">
        <v>329.22222222222223</v>
      </c>
      <c r="L273" s="28">
        <v>337.6666666666667</v>
      </c>
      <c r="M273" s="28">
        <v>346.11111111111114</v>
      </c>
      <c r="N273" s="28">
        <v>354.55555555555554</v>
      </c>
      <c r="O273" s="28">
        <v>363</v>
      </c>
      <c r="P273" s="28">
        <v>363</v>
      </c>
      <c r="Q273" s="28">
        <v>363</v>
      </c>
      <c r="R273" s="28">
        <v>363</v>
      </c>
      <c r="S273" s="28">
        <v>363</v>
      </c>
      <c r="T273" s="28">
        <v>363</v>
      </c>
      <c r="U273" s="28">
        <v>363</v>
      </c>
      <c r="V273" s="28">
        <v>363</v>
      </c>
      <c r="W273" s="28">
        <v>363</v>
      </c>
      <c r="X273" s="28">
        <v>363</v>
      </c>
      <c r="Y273" s="40">
        <v>363</v>
      </c>
      <c r="AA273" s="52">
        <v>287</v>
      </c>
      <c r="AB273" s="116" t="s">
        <v>127</v>
      </c>
      <c r="AC273" s="52">
        <v>287</v>
      </c>
    </row>
    <row r="274" spans="2:28" ht="11.25" hidden="1">
      <c r="B274" s="39" t="s">
        <v>303</v>
      </c>
      <c r="C274" s="82" t="s">
        <v>65</v>
      </c>
      <c r="D274" s="83"/>
      <c r="E274" s="50" t="s">
        <v>119</v>
      </c>
      <c r="F274" s="28">
        <v>0</v>
      </c>
      <c r="G274" s="28">
        <v>0</v>
      </c>
      <c r="H274" s="28">
        <v>0</v>
      </c>
      <c r="I274" s="28">
        <v>0</v>
      </c>
      <c r="J274" s="28">
        <v>1333.3333333333333</v>
      </c>
      <c r="K274" s="28">
        <v>1066.6666666666665</v>
      </c>
      <c r="L274" s="28">
        <v>800</v>
      </c>
      <c r="M274" s="28">
        <v>533.3333333333334</v>
      </c>
      <c r="N274" s="28">
        <v>266.6666666666667</v>
      </c>
      <c r="O274" s="28">
        <v>0</v>
      </c>
      <c r="P274" s="28">
        <v>0</v>
      </c>
      <c r="Q274" s="28">
        <v>0</v>
      </c>
      <c r="R274" s="28">
        <v>0</v>
      </c>
      <c r="S274" s="28">
        <v>0</v>
      </c>
      <c r="T274" s="28">
        <v>0</v>
      </c>
      <c r="U274" s="28">
        <v>0</v>
      </c>
      <c r="V274" s="28">
        <v>0</v>
      </c>
      <c r="W274" s="28">
        <v>0</v>
      </c>
      <c r="X274" s="28">
        <v>0</v>
      </c>
      <c r="Y274" s="40">
        <v>0</v>
      </c>
      <c r="AA274" s="52">
        <v>1400</v>
      </c>
      <c r="AB274" s="116" t="s">
        <v>127</v>
      </c>
    </row>
    <row r="275" spans="2:27" ht="11.25" hidden="1">
      <c r="B275" s="39" t="s">
        <v>304</v>
      </c>
      <c r="C275" s="82" t="s">
        <v>58</v>
      </c>
      <c r="D275" s="83"/>
      <c r="E275" s="50" t="s">
        <v>123</v>
      </c>
      <c r="F275" s="28">
        <v>0</v>
      </c>
      <c r="G275" s="28">
        <v>11.82608695652174</v>
      </c>
      <c r="H275" s="28">
        <v>11.82608695652174</v>
      </c>
      <c r="I275" s="28">
        <v>692.9760869565217</v>
      </c>
      <c r="J275" s="28">
        <v>5.618739130434777</v>
      </c>
      <c r="K275" s="28">
        <v>0</v>
      </c>
      <c r="L275" s="31">
        <v>0</v>
      </c>
      <c r="M275" s="31">
        <v>0</v>
      </c>
      <c r="N275" s="31">
        <v>0</v>
      </c>
      <c r="O275" s="31">
        <v>0</v>
      </c>
      <c r="P275" s="31">
        <v>0</v>
      </c>
      <c r="Q275" s="31">
        <v>0</v>
      </c>
      <c r="R275" s="31">
        <v>0</v>
      </c>
      <c r="S275" s="31">
        <v>0</v>
      </c>
      <c r="T275" s="31">
        <v>0</v>
      </c>
      <c r="U275" s="31">
        <v>0</v>
      </c>
      <c r="V275" s="31">
        <v>0</v>
      </c>
      <c r="W275" s="31">
        <v>0</v>
      </c>
      <c r="X275" s="31">
        <v>0</v>
      </c>
      <c r="Y275" s="46">
        <v>0</v>
      </c>
      <c r="AA275" s="52">
        <v>722.247</v>
      </c>
    </row>
    <row r="276" spans="2:27" ht="11.25" hidden="1">
      <c r="B276" s="39" t="s">
        <v>305</v>
      </c>
      <c r="C276" s="82" t="s">
        <v>24</v>
      </c>
      <c r="D276" s="83"/>
      <c r="E276" s="50" t="s">
        <v>123</v>
      </c>
      <c r="F276" s="28">
        <v>0</v>
      </c>
      <c r="G276" s="28">
        <v>1.773913043478261</v>
      </c>
      <c r="H276" s="28">
        <v>1.773913043478261</v>
      </c>
      <c r="I276" s="28">
        <v>103.94641304347824</v>
      </c>
      <c r="J276" s="28">
        <v>0.8428108695652166</v>
      </c>
      <c r="K276" s="28">
        <v>0</v>
      </c>
      <c r="L276" s="28">
        <v>0</v>
      </c>
      <c r="M276" s="28">
        <v>0</v>
      </c>
      <c r="N276" s="28">
        <v>0</v>
      </c>
      <c r="O276" s="28">
        <v>0</v>
      </c>
      <c r="P276" s="28">
        <v>0</v>
      </c>
      <c r="Q276" s="28">
        <v>0</v>
      </c>
      <c r="R276" s="28">
        <v>0</v>
      </c>
      <c r="S276" s="28">
        <v>0</v>
      </c>
      <c r="T276" s="28">
        <v>0</v>
      </c>
      <c r="U276" s="28">
        <v>0</v>
      </c>
      <c r="V276" s="31">
        <v>0</v>
      </c>
      <c r="W276" s="31">
        <v>0</v>
      </c>
      <c r="X276" s="31">
        <v>0</v>
      </c>
      <c r="Y276" s="46">
        <v>0</v>
      </c>
      <c r="AA276" s="54">
        <f>+AA275*'Assumptions and Basic Info'!$C$4</f>
        <v>722.247</v>
      </c>
    </row>
    <row r="277" spans="2:27" ht="11.25" hidden="1">
      <c r="B277" s="39" t="s">
        <v>306</v>
      </c>
      <c r="C277" s="82" t="s">
        <v>83</v>
      </c>
      <c r="D277" s="83"/>
      <c r="E277" s="50" t="s">
        <v>123</v>
      </c>
      <c r="F277" s="28">
        <v>0</v>
      </c>
      <c r="G277" s="28">
        <v>1.224</v>
      </c>
      <c r="H277" s="28">
        <v>1.224</v>
      </c>
      <c r="I277" s="28">
        <v>71.72302499999999</v>
      </c>
      <c r="J277" s="28">
        <v>0.5815394999999994</v>
      </c>
      <c r="K277" s="28">
        <v>0</v>
      </c>
      <c r="L277" s="28">
        <v>0</v>
      </c>
      <c r="M277" s="28">
        <v>0</v>
      </c>
      <c r="N277" s="28">
        <v>0</v>
      </c>
      <c r="O277" s="28">
        <v>0</v>
      </c>
      <c r="P277" s="28">
        <v>0</v>
      </c>
      <c r="Q277" s="28">
        <v>0</v>
      </c>
      <c r="R277" s="28">
        <v>0</v>
      </c>
      <c r="S277" s="28">
        <v>0</v>
      </c>
      <c r="T277" s="28">
        <v>0</v>
      </c>
      <c r="U277" s="28">
        <v>0</v>
      </c>
      <c r="V277" s="31">
        <v>0</v>
      </c>
      <c r="W277" s="31">
        <v>0</v>
      </c>
      <c r="X277" s="31">
        <v>0</v>
      </c>
      <c r="Y277" s="46">
        <v>0</v>
      </c>
      <c r="AA277" s="54">
        <v>74.75256449999999</v>
      </c>
    </row>
    <row r="278" spans="2:27" ht="11.25" hidden="1">
      <c r="B278" s="39" t="s">
        <v>307</v>
      </c>
      <c r="C278" s="82" t="s">
        <v>82</v>
      </c>
      <c r="D278" s="83"/>
      <c r="E278" s="50" t="s">
        <v>123</v>
      </c>
      <c r="F278" s="28">
        <v>0</v>
      </c>
      <c r="G278" s="28">
        <v>0</v>
      </c>
      <c r="H278" s="28">
        <v>0.29648</v>
      </c>
      <c r="I278" s="28">
        <v>0.59296</v>
      </c>
      <c r="J278" s="28">
        <v>17.9658705</v>
      </c>
      <c r="K278" s="28">
        <v>18.10673229</v>
      </c>
      <c r="L278" s="28">
        <v>18.10673229</v>
      </c>
      <c r="M278" s="28">
        <v>18.10673229</v>
      </c>
      <c r="N278" s="28">
        <v>18.10673229</v>
      </c>
      <c r="O278" s="28">
        <v>18.10673229</v>
      </c>
      <c r="P278" s="28">
        <v>18.10673229</v>
      </c>
      <c r="Q278" s="28">
        <v>18.10673229</v>
      </c>
      <c r="R278" s="28">
        <v>18.10673229</v>
      </c>
      <c r="S278" s="28">
        <v>18.10673229</v>
      </c>
      <c r="T278" s="28">
        <v>18.10673229</v>
      </c>
      <c r="U278" s="28">
        <v>18.10673229</v>
      </c>
      <c r="V278" s="28">
        <v>18.10673229</v>
      </c>
      <c r="W278" s="28">
        <v>18.10673229</v>
      </c>
      <c r="X278" s="28">
        <v>18.10673229</v>
      </c>
      <c r="Y278" s="40">
        <v>18.10673229</v>
      </c>
      <c r="AA278" s="52"/>
    </row>
    <row r="279" spans="2:27" ht="11.25" hidden="1">
      <c r="B279" s="39" t="s">
        <v>606</v>
      </c>
      <c r="C279" s="82" t="s">
        <v>578</v>
      </c>
      <c r="D279" s="83"/>
      <c r="E279" s="50" t="s">
        <v>118</v>
      </c>
      <c r="F279" s="28">
        <v>0</v>
      </c>
      <c r="G279" s="28">
        <v>0</v>
      </c>
      <c r="H279" s="28">
        <v>0</v>
      </c>
      <c r="I279" s="28">
        <v>109.78</v>
      </c>
      <c r="J279" s="28">
        <v>0</v>
      </c>
      <c r="K279" s="28">
        <v>0</v>
      </c>
      <c r="L279" s="28">
        <v>0</v>
      </c>
      <c r="M279" s="28">
        <v>0</v>
      </c>
      <c r="N279" s="28">
        <v>0</v>
      </c>
      <c r="O279" s="28">
        <v>0</v>
      </c>
      <c r="P279" s="28">
        <v>0</v>
      </c>
      <c r="Q279" s="28">
        <v>0</v>
      </c>
      <c r="R279" s="28">
        <v>0</v>
      </c>
      <c r="S279" s="28">
        <v>0</v>
      </c>
      <c r="T279" s="28">
        <v>0</v>
      </c>
      <c r="U279" s="28">
        <v>0</v>
      </c>
      <c r="V279" s="28">
        <v>0</v>
      </c>
      <c r="W279" s="28">
        <v>0</v>
      </c>
      <c r="X279" s="28">
        <v>0</v>
      </c>
      <c r="Y279" s="40">
        <v>0</v>
      </c>
      <c r="AA279" s="52">
        <v>109.78</v>
      </c>
    </row>
    <row r="280" spans="2:27" ht="11.25" hidden="1">
      <c r="B280" s="39" t="s">
        <v>717</v>
      </c>
      <c r="C280" s="82" t="s">
        <v>691</v>
      </c>
      <c r="D280" s="83"/>
      <c r="E280" s="50" t="s">
        <v>118</v>
      </c>
      <c r="F280" s="28">
        <v>0</v>
      </c>
      <c r="G280" s="28">
        <v>0</v>
      </c>
      <c r="H280" s="28">
        <v>2.4747389791490124</v>
      </c>
      <c r="I280" s="28">
        <v>2.4747389791490124</v>
      </c>
      <c r="J280" s="28">
        <v>92.60273897914901</v>
      </c>
      <c r="K280" s="28">
        <v>1.1757830625529628</v>
      </c>
      <c r="L280" s="28">
        <v>0</v>
      </c>
      <c r="M280" s="28">
        <v>0</v>
      </c>
      <c r="N280" s="28">
        <v>0</v>
      </c>
      <c r="O280" s="28">
        <v>0</v>
      </c>
      <c r="P280" s="28">
        <v>0</v>
      </c>
      <c r="Q280" s="28">
        <v>0</v>
      </c>
      <c r="R280" s="28">
        <v>0</v>
      </c>
      <c r="S280" s="28">
        <v>0</v>
      </c>
      <c r="T280" s="28">
        <v>0</v>
      </c>
      <c r="U280" s="28">
        <v>0</v>
      </c>
      <c r="V280" s="28">
        <v>0</v>
      </c>
      <c r="W280" s="28">
        <v>0</v>
      </c>
      <c r="X280" s="28">
        <v>0</v>
      </c>
      <c r="Y280" s="40">
        <v>0</v>
      </c>
      <c r="AA280" s="52"/>
    </row>
    <row r="281" spans="2:27" ht="11.25" hidden="1">
      <c r="B281" s="39" t="s">
        <v>308</v>
      </c>
      <c r="C281" s="82" t="s">
        <v>718</v>
      </c>
      <c r="D281" s="83"/>
      <c r="E281" s="50" t="s">
        <v>123</v>
      </c>
      <c r="F281" s="28">
        <v>0</v>
      </c>
      <c r="G281" s="28">
        <v>14.824000000000002</v>
      </c>
      <c r="H281" s="28">
        <v>17.595218979149013</v>
      </c>
      <c r="I281" s="28">
        <v>981.493223979149</v>
      </c>
      <c r="J281" s="28">
        <v>117.611698979149</v>
      </c>
      <c r="K281" s="28">
        <v>19.282515352552963</v>
      </c>
      <c r="L281" s="28">
        <v>18.10673229</v>
      </c>
      <c r="M281" s="28">
        <v>18.10673229</v>
      </c>
      <c r="N281" s="28">
        <v>18.10673229</v>
      </c>
      <c r="O281" s="28">
        <v>18.10673229</v>
      </c>
      <c r="P281" s="28">
        <v>18.10673229</v>
      </c>
      <c r="Q281" s="28">
        <v>18.10673229</v>
      </c>
      <c r="R281" s="28">
        <v>18.10673229</v>
      </c>
      <c r="S281" s="28">
        <v>18.10673229</v>
      </c>
      <c r="T281" s="28">
        <v>18.10673229</v>
      </c>
      <c r="U281" s="28">
        <v>18.10673229</v>
      </c>
      <c r="V281" s="28">
        <v>18.10673229</v>
      </c>
      <c r="W281" s="28">
        <v>18.10673229</v>
      </c>
      <c r="X281" s="28">
        <v>18.10673229</v>
      </c>
      <c r="Y281" s="40">
        <v>18.10673229</v>
      </c>
      <c r="AA281" s="52">
        <f>+AA275+AA276+AA277</f>
        <v>1519.2465645</v>
      </c>
    </row>
    <row r="282" spans="2:27" ht="11.25" hidden="1">
      <c r="B282" s="39" t="s">
        <v>309</v>
      </c>
      <c r="C282" s="82" t="s">
        <v>128</v>
      </c>
      <c r="D282" s="83"/>
      <c r="E282" s="50" t="s">
        <v>123</v>
      </c>
      <c r="F282" s="28">
        <v>0</v>
      </c>
      <c r="G282" s="28">
        <v>0</v>
      </c>
      <c r="H282" s="28">
        <v>0.46368643736085696</v>
      </c>
      <c r="I282" s="28">
        <v>-0.4524846035031853</v>
      </c>
      <c r="J282" s="28">
        <v>48.390145923396766</v>
      </c>
      <c r="K282" s="28">
        <v>9.322681024525057</v>
      </c>
      <c r="L282" s="28">
        <v>34.14037898292278</v>
      </c>
      <c r="M282" s="28">
        <v>192.6338360054201</v>
      </c>
      <c r="N282" s="28">
        <v>311.35484907591626</v>
      </c>
      <c r="O282" s="28">
        <v>349.87195882618715</v>
      </c>
      <c r="P282" s="28">
        <v>350.2401611027814</v>
      </c>
      <c r="Q282" s="28">
        <v>350.2401611027814</v>
      </c>
      <c r="R282" s="28">
        <v>350.2401611027814</v>
      </c>
      <c r="S282" s="28">
        <v>350.2401611027814</v>
      </c>
      <c r="T282" s="28">
        <v>350.2401611027814</v>
      </c>
      <c r="U282" s="28">
        <v>350.2401611027814</v>
      </c>
      <c r="V282" s="28">
        <v>350.2401611027814</v>
      </c>
      <c r="W282" s="28">
        <v>350.2401611027814</v>
      </c>
      <c r="X282" s="28">
        <v>350.2401611027814</v>
      </c>
      <c r="Y282" s="40">
        <v>350.2401611027814</v>
      </c>
      <c r="AA282" s="52"/>
    </row>
    <row r="283" spans="2:27" ht="11.25" hidden="1">
      <c r="B283" s="39" t="s">
        <v>310</v>
      </c>
      <c r="C283" s="82" t="s">
        <v>63</v>
      </c>
      <c r="D283" s="83"/>
      <c r="E283" s="50" t="s">
        <v>123</v>
      </c>
      <c r="F283" s="28">
        <v>0</v>
      </c>
      <c r="G283" s="28">
        <v>0</v>
      </c>
      <c r="H283" s="28">
        <v>0</v>
      </c>
      <c r="I283" s="28">
        <v>0</v>
      </c>
      <c r="J283" s="28">
        <v>56.266666666666666</v>
      </c>
      <c r="K283" s="28">
        <v>45.013333333333335</v>
      </c>
      <c r="L283" s="28">
        <v>33.76</v>
      </c>
      <c r="M283" s="28">
        <v>22.506666666666668</v>
      </c>
      <c r="N283" s="28">
        <v>11.253333333333334</v>
      </c>
      <c r="O283" s="28">
        <v>0</v>
      </c>
      <c r="P283" s="28">
        <v>0</v>
      </c>
      <c r="Q283" s="28">
        <v>0</v>
      </c>
      <c r="R283" s="28">
        <v>0</v>
      </c>
      <c r="S283" s="28">
        <v>0</v>
      </c>
      <c r="T283" s="28">
        <v>0</v>
      </c>
      <c r="U283" s="28">
        <v>0</v>
      </c>
      <c r="V283" s="28">
        <v>0</v>
      </c>
      <c r="W283" s="28">
        <v>0</v>
      </c>
      <c r="X283" s="28">
        <v>0</v>
      </c>
      <c r="Y283" s="40">
        <v>0</v>
      </c>
      <c r="AA283" s="52"/>
    </row>
    <row r="284" spans="2:27" ht="11.25" hidden="1">
      <c r="B284" s="39" t="s">
        <v>311</v>
      </c>
      <c r="C284" s="82" t="s">
        <v>312</v>
      </c>
      <c r="D284" s="83"/>
      <c r="E284" s="50" t="s">
        <v>123</v>
      </c>
      <c r="F284" s="28">
        <v>0</v>
      </c>
      <c r="G284" s="28">
        <v>0</v>
      </c>
      <c r="H284" s="28">
        <v>0.46368643736085696</v>
      </c>
      <c r="I284" s="28">
        <v>-0.4524846035031853</v>
      </c>
      <c r="J284" s="28">
        <v>104.65681259006342</v>
      </c>
      <c r="K284" s="28">
        <v>54.33601435785839</v>
      </c>
      <c r="L284" s="28">
        <v>67.90037898292279</v>
      </c>
      <c r="M284" s="28">
        <v>215.14050267208677</v>
      </c>
      <c r="N284" s="28">
        <v>322.6081824092496</v>
      </c>
      <c r="O284" s="28">
        <v>349.87195882618715</v>
      </c>
      <c r="P284" s="28">
        <v>350.2401611027814</v>
      </c>
      <c r="Q284" s="28">
        <v>350.2401611027814</v>
      </c>
      <c r="R284" s="28">
        <v>350.2401611027814</v>
      </c>
      <c r="S284" s="28">
        <v>350.2401611027814</v>
      </c>
      <c r="T284" s="28">
        <v>350.2401611027814</v>
      </c>
      <c r="U284" s="28">
        <v>350.2401611027814</v>
      </c>
      <c r="V284" s="28">
        <v>350.2401611027814</v>
      </c>
      <c r="W284" s="28">
        <v>350.2401611027814</v>
      </c>
      <c r="X284" s="28">
        <v>350.2401611027814</v>
      </c>
      <c r="Y284" s="40">
        <v>350.2401611027814</v>
      </c>
      <c r="AA284" s="52"/>
    </row>
    <row r="285" spans="2:27" ht="11.25" hidden="1">
      <c r="B285" s="39" t="s">
        <v>313</v>
      </c>
      <c r="C285" s="84" t="s">
        <v>314</v>
      </c>
      <c r="D285" s="85"/>
      <c r="E285" s="50" t="s">
        <v>123</v>
      </c>
      <c r="F285" s="28">
        <v>0</v>
      </c>
      <c r="G285" s="28">
        <v>-14.824000000000002</v>
      </c>
      <c r="H285" s="28">
        <v>-17.131532541788157</v>
      </c>
      <c r="I285" s="28">
        <v>-981.9457085826522</v>
      </c>
      <c r="J285" s="28">
        <v>-12.954886389085573</v>
      </c>
      <c r="K285" s="28">
        <v>35.053499005305426</v>
      </c>
      <c r="L285" s="28">
        <v>49.79364669292279</v>
      </c>
      <c r="M285" s="28">
        <v>197.03377038208677</v>
      </c>
      <c r="N285" s="28">
        <v>304.50145011924957</v>
      </c>
      <c r="O285" s="28">
        <v>331.76522653618713</v>
      </c>
      <c r="P285" s="28">
        <v>332.1334288127814</v>
      </c>
      <c r="Q285" s="28">
        <v>332.1334288127814</v>
      </c>
      <c r="R285" s="28">
        <v>332.1334288127814</v>
      </c>
      <c r="S285" s="28">
        <v>332.1334288127814</v>
      </c>
      <c r="T285" s="28">
        <v>332.1334288127814</v>
      </c>
      <c r="U285" s="28">
        <v>332.1334288127814</v>
      </c>
      <c r="V285" s="28">
        <v>332.1334288127814</v>
      </c>
      <c r="W285" s="28">
        <v>332.1334288127814</v>
      </c>
      <c r="X285" s="28">
        <v>332.1334288127814</v>
      </c>
      <c r="Y285" s="40">
        <v>332.1334288127814</v>
      </c>
      <c r="AA285" s="52"/>
    </row>
    <row r="286" spans="2:27" ht="11.25" hidden="1">
      <c r="B286" s="114" t="s">
        <v>315</v>
      </c>
      <c r="C286" s="91" t="s">
        <v>121</v>
      </c>
      <c r="D286" s="78">
        <f>+AA281</f>
        <v>1519.2465645</v>
      </c>
      <c r="E286" s="94"/>
      <c r="F286" s="73"/>
      <c r="G286" s="73"/>
      <c r="H286" s="73"/>
      <c r="I286" s="73"/>
      <c r="J286" s="73"/>
      <c r="K286" s="73"/>
      <c r="L286" s="73"/>
      <c r="M286" s="73"/>
      <c r="N286" s="73"/>
      <c r="O286" s="73"/>
      <c r="P286" s="73"/>
      <c r="Q286" s="73"/>
      <c r="R286" s="73"/>
      <c r="S286" s="73"/>
      <c r="T286" s="73"/>
      <c r="U286" s="73"/>
      <c r="V286" s="73"/>
      <c r="W286" s="73"/>
      <c r="X286" s="73"/>
      <c r="Y286" s="74"/>
      <c r="AA286" s="52"/>
    </row>
    <row r="287" spans="2:27" ht="11.25" hidden="1">
      <c r="B287" s="90" t="s">
        <v>316</v>
      </c>
      <c r="C287" s="92" t="s">
        <v>596</v>
      </c>
      <c r="D287" s="113">
        <f>+AA279</f>
        <v>109.78</v>
      </c>
      <c r="E287" s="95"/>
      <c r="F287" s="54"/>
      <c r="G287" s="54"/>
      <c r="H287" s="54"/>
      <c r="I287" s="54"/>
      <c r="J287" s="54"/>
      <c r="K287" s="54"/>
      <c r="L287" s="54"/>
      <c r="M287" s="54"/>
      <c r="N287" s="54"/>
      <c r="O287" s="54"/>
      <c r="P287" s="54"/>
      <c r="Q287" s="54"/>
      <c r="R287" s="54"/>
      <c r="S287" s="54"/>
      <c r="T287" s="54"/>
      <c r="U287" s="54"/>
      <c r="V287" s="54"/>
      <c r="W287" s="54"/>
      <c r="X287" s="54"/>
      <c r="Y287" s="75"/>
      <c r="AA287" s="52"/>
    </row>
    <row r="288" spans="2:27" ht="11.25" hidden="1">
      <c r="B288" s="90" t="s">
        <v>317</v>
      </c>
      <c r="C288" s="92" t="s">
        <v>57</v>
      </c>
      <c r="D288" s="79">
        <f>+IRR(F285:Y285)</f>
        <v>0.16998573743489703</v>
      </c>
      <c r="E288" s="95"/>
      <c r="F288" s="88"/>
      <c r="G288" s="54"/>
      <c r="H288" s="54"/>
      <c r="I288" s="54"/>
      <c r="J288" s="54"/>
      <c r="K288" s="54"/>
      <c r="L288" s="54"/>
      <c r="M288" s="54"/>
      <c r="N288" s="54"/>
      <c r="O288" s="54"/>
      <c r="P288" s="54"/>
      <c r="Q288" s="54"/>
      <c r="R288" s="54"/>
      <c r="S288" s="54"/>
      <c r="T288" s="54"/>
      <c r="U288" s="54"/>
      <c r="V288" s="54"/>
      <c r="W288" s="54"/>
      <c r="X288" s="54"/>
      <c r="Y288" s="75"/>
      <c r="AA288" s="52"/>
    </row>
    <row r="289" spans="2:27" ht="12" hidden="1" thickBot="1">
      <c r="B289" s="122" t="s">
        <v>607</v>
      </c>
      <c r="C289" s="102" t="s">
        <v>120</v>
      </c>
      <c r="D289" s="103">
        <f>+NPV('Assumptions and Basic Info'!$C$20,F285:Y285)</f>
        <v>477.2791630045342</v>
      </c>
      <c r="E289" s="108"/>
      <c r="F289" s="105"/>
      <c r="G289" s="127"/>
      <c r="H289" s="105"/>
      <c r="I289" s="105"/>
      <c r="J289" s="105"/>
      <c r="K289" s="105"/>
      <c r="L289" s="105"/>
      <c r="M289" s="105"/>
      <c r="N289" s="105"/>
      <c r="O289" s="105"/>
      <c r="P289" s="105"/>
      <c r="Q289" s="105"/>
      <c r="R289" s="105"/>
      <c r="S289" s="105"/>
      <c r="T289" s="105"/>
      <c r="U289" s="105"/>
      <c r="V289" s="105"/>
      <c r="W289" s="105"/>
      <c r="X289" s="105"/>
      <c r="Y289" s="106"/>
      <c r="AA289" s="52"/>
    </row>
    <row r="290" spans="2:27" ht="11.25" hidden="1">
      <c r="B290" s="44" t="s">
        <v>319</v>
      </c>
      <c r="C290" s="23" t="s">
        <v>335</v>
      </c>
      <c r="D290" s="23"/>
      <c r="E290" s="51"/>
      <c r="F290" s="24"/>
      <c r="G290" s="24"/>
      <c r="H290" s="24"/>
      <c r="I290" s="24"/>
      <c r="J290" s="24"/>
      <c r="K290" s="24"/>
      <c r="L290" s="24"/>
      <c r="M290" s="24"/>
      <c r="N290" s="24"/>
      <c r="O290" s="24"/>
      <c r="P290" s="24"/>
      <c r="Q290" s="24"/>
      <c r="R290" s="24"/>
      <c r="S290" s="24"/>
      <c r="T290" s="24"/>
      <c r="U290" s="24"/>
      <c r="V290" s="24"/>
      <c r="W290" s="24"/>
      <c r="X290" s="24"/>
      <c r="Y290" s="45"/>
      <c r="AA290" s="52"/>
    </row>
    <row r="291" spans="2:27" ht="11.25" hidden="1">
      <c r="B291" s="37" t="s">
        <v>320</v>
      </c>
      <c r="C291" s="120" t="s">
        <v>124</v>
      </c>
      <c r="D291" s="81"/>
      <c r="E291" s="49" t="s">
        <v>54</v>
      </c>
      <c r="F291" s="27">
        <v>897</v>
      </c>
      <c r="G291" s="27">
        <v>879.06</v>
      </c>
      <c r="H291" s="27">
        <v>861.4787999999999</v>
      </c>
      <c r="I291" s="27">
        <v>844.2492239999999</v>
      </c>
      <c r="J291" s="27">
        <v>827.36423952</v>
      </c>
      <c r="K291" s="27">
        <v>810.8169547296</v>
      </c>
      <c r="L291" s="27">
        <v>794.6006156350079</v>
      </c>
      <c r="M291" s="27">
        <v>778.7086033223077</v>
      </c>
      <c r="N291" s="27">
        <v>763.1344312558615</v>
      </c>
      <c r="O291" s="27">
        <v>747.8717426307444</v>
      </c>
      <c r="P291" s="27">
        <v>732.9143077781293</v>
      </c>
      <c r="Q291" s="27">
        <v>718.2560216225668</v>
      </c>
      <c r="R291" s="27">
        <v>703.8909011901155</v>
      </c>
      <c r="S291" s="27">
        <v>689.8130831663129</v>
      </c>
      <c r="T291" s="27">
        <v>676.0168215029867</v>
      </c>
      <c r="U291" s="27">
        <v>662.496485072927</v>
      </c>
      <c r="V291" s="27">
        <v>649.2465553714685</v>
      </c>
      <c r="W291" s="27">
        <v>636.2616242640393</v>
      </c>
      <c r="X291" s="27">
        <v>623.5363917787583</v>
      </c>
      <c r="Y291" s="38">
        <v>611.0656639431832</v>
      </c>
      <c r="AA291" s="52">
        <v>897</v>
      </c>
    </row>
    <row r="292" spans="2:28" ht="11.25" hidden="1">
      <c r="B292" s="39" t="s">
        <v>321</v>
      </c>
      <c r="C292" s="121" t="s">
        <v>125</v>
      </c>
      <c r="D292" s="83"/>
      <c r="E292" s="50" t="s">
        <v>54</v>
      </c>
      <c r="F292" s="28">
        <v>897</v>
      </c>
      <c r="G292" s="28">
        <v>879.06</v>
      </c>
      <c r="H292" s="28">
        <v>879.7987662304769</v>
      </c>
      <c r="I292" s="28">
        <v>1512.639932460954</v>
      </c>
      <c r="J292" s="28">
        <v>1530.959898691431</v>
      </c>
      <c r="K292" s="28">
        <v>1538</v>
      </c>
      <c r="L292" s="28">
        <v>1538</v>
      </c>
      <c r="M292" s="28">
        <v>1538</v>
      </c>
      <c r="N292" s="28">
        <v>1538</v>
      </c>
      <c r="O292" s="28">
        <v>1538</v>
      </c>
      <c r="P292" s="28">
        <v>1538</v>
      </c>
      <c r="Q292" s="28">
        <v>1538</v>
      </c>
      <c r="R292" s="28">
        <v>1538</v>
      </c>
      <c r="S292" s="28">
        <v>1538</v>
      </c>
      <c r="T292" s="28">
        <v>1538</v>
      </c>
      <c r="U292" s="28">
        <v>1538</v>
      </c>
      <c r="V292" s="28">
        <v>1538</v>
      </c>
      <c r="W292" s="28">
        <v>1538</v>
      </c>
      <c r="X292" s="28">
        <v>1538</v>
      </c>
      <c r="Y292" s="40">
        <v>1538</v>
      </c>
      <c r="AA292" s="52">
        <v>1538</v>
      </c>
      <c r="AB292" s="52">
        <v>641</v>
      </c>
    </row>
    <row r="293" spans="2:27" ht="11.25" hidden="1">
      <c r="B293" s="39" t="s">
        <v>322</v>
      </c>
      <c r="C293" s="82" t="s">
        <v>81</v>
      </c>
      <c r="D293" s="83"/>
      <c r="E293" s="50" t="s">
        <v>54</v>
      </c>
      <c r="F293" s="28">
        <v>0</v>
      </c>
      <c r="G293" s="28">
        <v>0</v>
      </c>
      <c r="H293" s="28">
        <v>18.319966230477007</v>
      </c>
      <c r="I293" s="28">
        <v>668.3907084609541</v>
      </c>
      <c r="J293" s="28">
        <v>703.595659171431</v>
      </c>
      <c r="K293" s="28">
        <v>727.1830452704</v>
      </c>
      <c r="L293" s="28">
        <v>743.3993843649921</v>
      </c>
      <c r="M293" s="28">
        <v>759.2913966776923</v>
      </c>
      <c r="N293" s="28">
        <v>774.8655687441385</v>
      </c>
      <c r="O293" s="28">
        <v>790.1282573692556</v>
      </c>
      <c r="P293" s="28">
        <v>805.0856922218707</v>
      </c>
      <c r="Q293" s="28">
        <v>819.7439783774332</v>
      </c>
      <c r="R293" s="28">
        <v>834.1090988098845</v>
      </c>
      <c r="S293" s="28">
        <v>848.1869168336871</v>
      </c>
      <c r="T293" s="28">
        <v>861.9831784970133</v>
      </c>
      <c r="U293" s="28">
        <v>875.503514927073</v>
      </c>
      <c r="V293" s="28">
        <v>888.7534446285315</v>
      </c>
      <c r="W293" s="28">
        <v>901.7383757359607</v>
      </c>
      <c r="X293" s="28">
        <v>914.4636082212417</v>
      </c>
      <c r="Y293" s="40">
        <v>926.9343360568168</v>
      </c>
      <c r="AA293" s="52">
        <v>641</v>
      </c>
    </row>
    <row r="294" spans="2:27" ht="11.25" hidden="1">
      <c r="B294" s="39" t="s">
        <v>323</v>
      </c>
      <c r="C294" s="82" t="s">
        <v>58</v>
      </c>
      <c r="D294" s="83"/>
      <c r="E294" s="50" t="s">
        <v>123</v>
      </c>
      <c r="F294" s="28">
        <v>0</v>
      </c>
      <c r="G294" s="28">
        <v>406.3359683794466</v>
      </c>
      <c r="H294" s="28">
        <v>73.3596837944664</v>
      </c>
      <c r="I294" s="28">
        <v>24.347826086956523</v>
      </c>
      <c r="J294" s="28">
        <v>9.356521739130436</v>
      </c>
      <c r="K294" s="28">
        <v>0</v>
      </c>
      <c r="L294" s="31">
        <v>0</v>
      </c>
      <c r="M294" s="31">
        <v>0</v>
      </c>
      <c r="N294" s="31">
        <v>0</v>
      </c>
      <c r="O294" s="31">
        <v>0</v>
      </c>
      <c r="P294" s="31">
        <v>0</v>
      </c>
      <c r="Q294" s="31">
        <v>0</v>
      </c>
      <c r="R294" s="31">
        <v>0</v>
      </c>
      <c r="S294" s="31">
        <v>0</v>
      </c>
      <c r="T294" s="31">
        <v>0</v>
      </c>
      <c r="U294" s="31">
        <v>0</v>
      </c>
      <c r="V294" s="31">
        <v>0</v>
      </c>
      <c r="W294" s="31">
        <v>0</v>
      </c>
      <c r="X294" s="31">
        <v>0</v>
      </c>
      <c r="Y294" s="46">
        <v>0</v>
      </c>
      <c r="AA294" s="52">
        <v>513.4</v>
      </c>
    </row>
    <row r="295" spans="2:27" ht="11.25" hidden="1">
      <c r="B295" s="39" t="s">
        <v>324</v>
      </c>
      <c r="C295" s="82" t="s">
        <v>24</v>
      </c>
      <c r="D295" s="83"/>
      <c r="E295" s="50" t="s">
        <v>123</v>
      </c>
      <c r="F295" s="28">
        <v>0</v>
      </c>
      <c r="G295" s="28">
        <v>60.95039525691699</v>
      </c>
      <c r="H295" s="28">
        <v>11.003952569169961</v>
      </c>
      <c r="I295" s="28">
        <v>3.6521739130434785</v>
      </c>
      <c r="J295" s="28">
        <v>1.4034782608695653</v>
      </c>
      <c r="K295" s="28">
        <v>0</v>
      </c>
      <c r="L295" s="28">
        <v>0</v>
      </c>
      <c r="M295" s="28">
        <v>0</v>
      </c>
      <c r="N295" s="28">
        <v>0</v>
      </c>
      <c r="O295" s="28">
        <v>0</v>
      </c>
      <c r="P295" s="28">
        <v>0</v>
      </c>
      <c r="Q295" s="28">
        <v>0</v>
      </c>
      <c r="R295" s="28">
        <v>0</v>
      </c>
      <c r="S295" s="28">
        <v>0</v>
      </c>
      <c r="T295" s="28">
        <v>0</v>
      </c>
      <c r="U295" s="28">
        <v>0</v>
      </c>
      <c r="V295" s="31">
        <v>0</v>
      </c>
      <c r="W295" s="31">
        <v>0</v>
      </c>
      <c r="X295" s="31">
        <v>0</v>
      </c>
      <c r="Y295" s="46">
        <v>0</v>
      </c>
      <c r="AA295" s="54">
        <f>+AA294*'Assumptions and Basic Info'!$C$4</f>
        <v>513.4</v>
      </c>
    </row>
    <row r="296" spans="2:27" ht="11.25" hidden="1">
      <c r="B296" s="39" t="s">
        <v>325</v>
      </c>
      <c r="C296" s="82" t="s">
        <v>83</v>
      </c>
      <c r="D296" s="83"/>
      <c r="E296" s="50" t="s">
        <v>123</v>
      </c>
      <c r="F296" s="28">
        <v>0</v>
      </c>
      <c r="G296" s="28">
        <v>46.448636363636375</v>
      </c>
      <c r="H296" s="28">
        <v>8.156363636363636</v>
      </c>
      <c r="I296" s="28">
        <v>2.52</v>
      </c>
      <c r="J296" s="28">
        <v>0.9684000000000001</v>
      </c>
      <c r="K296" s="28">
        <v>0</v>
      </c>
      <c r="L296" s="28">
        <v>0</v>
      </c>
      <c r="M296" s="28">
        <v>0</v>
      </c>
      <c r="N296" s="28">
        <v>0</v>
      </c>
      <c r="O296" s="28">
        <v>0</v>
      </c>
      <c r="P296" s="28">
        <v>0</v>
      </c>
      <c r="Q296" s="28">
        <v>0</v>
      </c>
      <c r="R296" s="28">
        <v>0</v>
      </c>
      <c r="S296" s="28">
        <v>0</v>
      </c>
      <c r="T296" s="28">
        <v>0</v>
      </c>
      <c r="U296" s="28">
        <v>0</v>
      </c>
      <c r="V296" s="31">
        <v>0</v>
      </c>
      <c r="W296" s="31">
        <v>0</v>
      </c>
      <c r="X296" s="31">
        <v>0</v>
      </c>
      <c r="Y296" s="46">
        <v>0</v>
      </c>
      <c r="AA296" s="54">
        <v>58.093399999999995</v>
      </c>
    </row>
    <row r="297" spans="2:27" ht="11.25" hidden="1">
      <c r="B297" s="39" t="s">
        <v>326</v>
      </c>
      <c r="C297" s="82" t="s">
        <v>82</v>
      </c>
      <c r="D297" s="83"/>
      <c r="E297" s="50" t="s">
        <v>123</v>
      </c>
      <c r="F297" s="28">
        <v>0</v>
      </c>
      <c r="G297" s="28">
        <v>0</v>
      </c>
      <c r="H297" s="28">
        <v>15.106850000000001</v>
      </c>
      <c r="I297" s="28">
        <v>17.57725</v>
      </c>
      <c r="J297" s="28">
        <v>18.187649999999998</v>
      </c>
      <c r="K297" s="28">
        <v>18.422218</v>
      </c>
      <c r="L297" s="28">
        <v>18.422218</v>
      </c>
      <c r="M297" s="28">
        <v>18.422218</v>
      </c>
      <c r="N297" s="28">
        <v>18.422218</v>
      </c>
      <c r="O297" s="28">
        <v>18.422218</v>
      </c>
      <c r="P297" s="28">
        <v>18.422218</v>
      </c>
      <c r="Q297" s="28">
        <v>18.422218</v>
      </c>
      <c r="R297" s="28">
        <v>18.422218</v>
      </c>
      <c r="S297" s="28">
        <v>18.422218</v>
      </c>
      <c r="T297" s="28">
        <v>18.422218</v>
      </c>
      <c r="U297" s="28">
        <v>18.422218</v>
      </c>
      <c r="V297" s="28">
        <v>18.422218</v>
      </c>
      <c r="W297" s="28">
        <v>18.422218</v>
      </c>
      <c r="X297" s="28">
        <v>18.422218</v>
      </c>
      <c r="Y297" s="40">
        <v>18.422218</v>
      </c>
      <c r="AA297" s="52"/>
    </row>
    <row r="298" spans="2:27" ht="11.25" hidden="1">
      <c r="B298" s="39" t="s">
        <v>608</v>
      </c>
      <c r="C298" s="82" t="s">
        <v>578</v>
      </c>
      <c r="D298" s="83"/>
      <c r="E298" s="50" t="s">
        <v>118</v>
      </c>
      <c r="F298" s="28">
        <v>0</v>
      </c>
      <c r="G298" s="28">
        <v>14.3</v>
      </c>
      <c r="H298" s="28">
        <v>0</v>
      </c>
      <c r="I298" s="28">
        <v>0</v>
      </c>
      <c r="J298" s="28">
        <v>0</v>
      </c>
      <c r="K298" s="28">
        <v>0</v>
      </c>
      <c r="L298" s="28">
        <v>0</v>
      </c>
      <c r="M298" s="28">
        <v>0</v>
      </c>
      <c r="N298" s="28">
        <v>0</v>
      </c>
      <c r="O298" s="28">
        <v>0</v>
      </c>
      <c r="P298" s="28">
        <v>0</v>
      </c>
      <c r="Q298" s="28">
        <v>0</v>
      </c>
      <c r="R298" s="28">
        <v>0</v>
      </c>
      <c r="S298" s="28">
        <v>0</v>
      </c>
      <c r="T298" s="28">
        <v>0</v>
      </c>
      <c r="U298" s="28">
        <v>0</v>
      </c>
      <c r="V298" s="28">
        <v>0</v>
      </c>
      <c r="W298" s="28">
        <v>0</v>
      </c>
      <c r="X298" s="28">
        <v>0</v>
      </c>
      <c r="Y298" s="40">
        <v>0</v>
      </c>
      <c r="AA298" s="52">
        <v>14.3</v>
      </c>
    </row>
    <row r="299" spans="2:27" ht="11.25" hidden="1">
      <c r="B299" s="39" t="s">
        <v>719</v>
      </c>
      <c r="C299" s="82" t="s">
        <v>691</v>
      </c>
      <c r="D299" s="83"/>
      <c r="E299" s="50" t="s">
        <v>118</v>
      </c>
      <c r="F299" s="28">
        <v>0</v>
      </c>
      <c r="G299" s="28">
        <v>0</v>
      </c>
      <c r="H299" s="28">
        <v>6.302068383284086</v>
      </c>
      <c r="I299" s="28">
        <v>205.47806838328407</v>
      </c>
      <c r="J299" s="28">
        <v>6.302068383284086</v>
      </c>
      <c r="K299" s="28">
        <v>2.421794850147741</v>
      </c>
      <c r="L299" s="28">
        <v>0</v>
      </c>
      <c r="M299" s="28">
        <v>0</v>
      </c>
      <c r="N299" s="28">
        <v>0</v>
      </c>
      <c r="O299" s="28">
        <v>0</v>
      </c>
      <c r="P299" s="28">
        <v>0</v>
      </c>
      <c r="Q299" s="28">
        <v>0</v>
      </c>
      <c r="R299" s="28">
        <v>0</v>
      </c>
      <c r="S299" s="28">
        <v>0</v>
      </c>
      <c r="T299" s="28">
        <v>0</v>
      </c>
      <c r="U299" s="28">
        <v>0</v>
      </c>
      <c r="V299" s="28">
        <v>0</v>
      </c>
      <c r="W299" s="28">
        <v>0</v>
      </c>
      <c r="X299" s="28">
        <v>0</v>
      </c>
      <c r="Y299" s="40">
        <v>0</v>
      </c>
      <c r="AA299" s="52"/>
    </row>
    <row r="300" spans="2:27" ht="11.25" hidden="1">
      <c r="B300" s="39" t="s">
        <v>327</v>
      </c>
      <c r="C300" s="82" t="s">
        <v>720</v>
      </c>
      <c r="D300" s="83"/>
      <c r="E300" s="50" t="s">
        <v>123</v>
      </c>
      <c r="F300" s="28">
        <v>0</v>
      </c>
      <c r="G300" s="28">
        <v>528.035</v>
      </c>
      <c r="H300" s="28">
        <v>113.9289183832841</v>
      </c>
      <c r="I300" s="28">
        <v>253.57531838328407</v>
      </c>
      <c r="J300" s="28">
        <v>36.218118383284086</v>
      </c>
      <c r="K300" s="28">
        <v>20.84401285014774</v>
      </c>
      <c r="L300" s="28">
        <v>18.422218</v>
      </c>
      <c r="M300" s="28">
        <v>18.422218</v>
      </c>
      <c r="N300" s="28">
        <v>18.422218</v>
      </c>
      <c r="O300" s="28">
        <v>18.422218</v>
      </c>
      <c r="P300" s="28">
        <v>18.422218</v>
      </c>
      <c r="Q300" s="28">
        <v>18.422218</v>
      </c>
      <c r="R300" s="28">
        <v>18.422218</v>
      </c>
      <c r="S300" s="28">
        <v>18.422218</v>
      </c>
      <c r="T300" s="28">
        <v>18.422218</v>
      </c>
      <c r="U300" s="28">
        <v>18.422218</v>
      </c>
      <c r="V300" s="28">
        <v>18.422218</v>
      </c>
      <c r="W300" s="28">
        <v>18.422218</v>
      </c>
      <c r="X300" s="28">
        <v>18.422218</v>
      </c>
      <c r="Y300" s="40">
        <v>18.422218</v>
      </c>
      <c r="AA300" s="52">
        <f>+AA294+AA295+AA296</f>
        <v>1084.8934</v>
      </c>
    </row>
    <row r="301" spans="2:27" ht="11.25" hidden="1">
      <c r="B301" s="39" t="s">
        <v>328</v>
      </c>
      <c r="C301" s="82" t="s">
        <v>128</v>
      </c>
      <c r="D301" s="83"/>
      <c r="E301" s="50" t="s">
        <v>123</v>
      </c>
      <c r="F301" s="28">
        <v>0</v>
      </c>
      <c r="G301" s="28">
        <v>0</v>
      </c>
      <c r="H301" s="28">
        <v>1.1808047884122082</v>
      </c>
      <c r="I301" s="28">
        <v>87.06342314277167</v>
      </c>
      <c r="J301" s="28">
        <v>-9.317901899550039</v>
      </c>
      <c r="K301" s="28">
        <v>36.914501061381785</v>
      </c>
      <c r="L301" s="28">
        <v>384.46109252303967</v>
      </c>
      <c r="M301" s="28">
        <v>651.5218515967766</v>
      </c>
      <c r="N301" s="28">
        <v>742.0734519932469</v>
      </c>
      <c r="O301" s="28">
        <v>761.5960055994846</v>
      </c>
      <c r="P301" s="28">
        <v>776.786067617995</v>
      </c>
      <c r="Q301" s="28">
        <v>790.929099311149</v>
      </c>
      <c r="R301" s="28">
        <v>804.7892703704399</v>
      </c>
      <c r="S301" s="28">
        <v>818.3722380085451</v>
      </c>
      <c r="T301" s="28">
        <v>831.6835462938881</v>
      </c>
      <c r="U301" s="28">
        <v>844.7286284135242</v>
      </c>
      <c r="V301" s="28">
        <v>857.5128088907677</v>
      </c>
      <c r="W301" s="28">
        <v>870.0413057584663</v>
      </c>
      <c r="X301" s="28">
        <v>882.3192326888109</v>
      </c>
      <c r="Y301" s="40">
        <v>894.3516010805487</v>
      </c>
      <c r="AA301" s="52"/>
    </row>
    <row r="302" spans="2:27" ht="11.25" hidden="1">
      <c r="B302" s="39" t="s">
        <v>329</v>
      </c>
      <c r="C302" s="82" t="s">
        <v>330</v>
      </c>
      <c r="D302" s="83"/>
      <c r="E302" s="50" t="s">
        <v>123</v>
      </c>
      <c r="F302" s="28">
        <v>0</v>
      </c>
      <c r="G302" s="28">
        <v>0</v>
      </c>
      <c r="H302" s="28">
        <v>1.1808047884122082</v>
      </c>
      <c r="I302" s="28">
        <v>87.06342314277167</v>
      </c>
      <c r="J302" s="28">
        <v>-9.317901899550039</v>
      </c>
      <c r="K302" s="28">
        <v>36.914501061381785</v>
      </c>
      <c r="L302" s="28">
        <v>384.46109252303967</v>
      </c>
      <c r="M302" s="28">
        <v>651.5218515967766</v>
      </c>
      <c r="N302" s="28">
        <v>742.0734519932469</v>
      </c>
      <c r="O302" s="28">
        <v>761.5960055994846</v>
      </c>
      <c r="P302" s="28">
        <v>776.786067617995</v>
      </c>
      <c r="Q302" s="28">
        <v>790.929099311149</v>
      </c>
      <c r="R302" s="28">
        <v>804.7892703704399</v>
      </c>
      <c r="S302" s="28">
        <v>818.3722380085451</v>
      </c>
      <c r="T302" s="28">
        <v>831.6835462938881</v>
      </c>
      <c r="U302" s="28">
        <v>844.7286284135242</v>
      </c>
      <c r="V302" s="28">
        <v>857.5128088907677</v>
      </c>
      <c r="W302" s="28">
        <v>870.0413057584663</v>
      </c>
      <c r="X302" s="28">
        <v>882.3192326888109</v>
      </c>
      <c r="Y302" s="40">
        <v>894.3516010805487</v>
      </c>
      <c r="AA302" s="52"/>
    </row>
    <row r="303" spans="2:27" ht="11.25" hidden="1">
      <c r="B303" s="39" t="s">
        <v>331</v>
      </c>
      <c r="C303" s="84" t="s">
        <v>485</v>
      </c>
      <c r="D303" s="85"/>
      <c r="E303" s="50" t="s">
        <v>123</v>
      </c>
      <c r="F303" s="28">
        <v>0</v>
      </c>
      <c r="G303" s="28">
        <v>-528.035</v>
      </c>
      <c r="H303" s="28">
        <v>-112.7481135948719</v>
      </c>
      <c r="I303" s="28">
        <v>-166.5118952405124</v>
      </c>
      <c r="J303" s="28">
        <v>-45.53602028283412</v>
      </c>
      <c r="K303" s="28">
        <v>16.070488211234043</v>
      </c>
      <c r="L303" s="28">
        <v>366.0388745230397</v>
      </c>
      <c r="M303" s="28">
        <v>633.0996335967766</v>
      </c>
      <c r="N303" s="28">
        <v>723.6512339932468</v>
      </c>
      <c r="O303" s="28">
        <v>743.1737875994845</v>
      </c>
      <c r="P303" s="28">
        <v>758.3638496179949</v>
      </c>
      <c r="Q303" s="28">
        <v>772.506881311149</v>
      </c>
      <c r="R303" s="28">
        <v>786.3670523704399</v>
      </c>
      <c r="S303" s="28">
        <v>799.950020008545</v>
      </c>
      <c r="T303" s="28">
        <v>813.261328293888</v>
      </c>
      <c r="U303" s="28">
        <v>826.3064104135242</v>
      </c>
      <c r="V303" s="28">
        <v>839.0905908907677</v>
      </c>
      <c r="W303" s="28">
        <v>851.6190877584662</v>
      </c>
      <c r="X303" s="28">
        <v>863.8970146888108</v>
      </c>
      <c r="Y303" s="40">
        <v>875.9293830805486</v>
      </c>
      <c r="AA303" s="52"/>
    </row>
    <row r="304" spans="2:27" ht="11.25" hidden="1">
      <c r="B304" s="114" t="s">
        <v>332</v>
      </c>
      <c r="C304" s="91" t="s">
        <v>121</v>
      </c>
      <c r="D304" s="78">
        <f>+AA300</f>
        <v>1084.8934</v>
      </c>
      <c r="E304" s="94"/>
      <c r="F304" s="73"/>
      <c r="G304" s="73"/>
      <c r="H304" s="73"/>
      <c r="I304" s="73"/>
      <c r="J304" s="73"/>
      <c r="K304" s="73"/>
      <c r="L304" s="73"/>
      <c r="M304" s="73"/>
      <c r="N304" s="73"/>
      <c r="O304" s="73"/>
      <c r="P304" s="73"/>
      <c r="Q304" s="73"/>
      <c r="R304" s="73"/>
      <c r="S304" s="73"/>
      <c r="T304" s="73"/>
      <c r="U304" s="73"/>
      <c r="V304" s="73"/>
      <c r="W304" s="73"/>
      <c r="X304" s="73"/>
      <c r="Y304" s="74"/>
      <c r="AA304" s="52"/>
    </row>
    <row r="305" spans="2:27" ht="11.25" hidden="1">
      <c r="B305" s="90" t="s">
        <v>609</v>
      </c>
      <c r="C305" s="92" t="s">
        <v>596</v>
      </c>
      <c r="D305" s="113">
        <f>+AA298</f>
        <v>14.3</v>
      </c>
      <c r="E305" s="95"/>
      <c r="F305" s="54"/>
      <c r="G305" s="54"/>
      <c r="H305" s="54"/>
      <c r="I305" s="54"/>
      <c r="J305" s="54"/>
      <c r="K305" s="54"/>
      <c r="L305" s="54"/>
      <c r="M305" s="54"/>
      <c r="N305" s="54"/>
      <c r="O305" s="54"/>
      <c r="P305" s="54"/>
      <c r="Q305" s="54"/>
      <c r="R305" s="54"/>
      <c r="S305" s="54"/>
      <c r="T305" s="54"/>
      <c r="U305" s="54"/>
      <c r="V305" s="54"/>
      <c r="W305" s="54"/>
      <c r="X305" s="54"/>
      <c r="Y305" s="75"/>
      <c r="AA305" s="52"/>
    </row>
    <row r="306" spans="2:27" ht="11.25" hidden="1">
      <c r="B306" s="90" t="s">
        <v>334</v>
      </c>
      <c r="C306" s="92" t="s">
        <v>57</v>
      </c>
      <c r="D306" s="79">
        <f>+IRR(F303:Y303)</f>
        <v>0.30182607720944454</v>
      </c>
      <c r="E306" s="95"/>
      <c r="F306" s="88"/>
      <c r="G306" s="54"/>
      <c r="H306" s="54"/>
      <c r="I306" s="54"/>
      <c r="J306" s="54"/>
      <c r="K306" s="54"/>
      <c r="L306" s="54"/>
      <c r="M306" s="54"/>
      <c r="N306" s="54"/>
      <c r="O306" s="54"/>
      <c r="P306" s="54"/>
      <c r="Q306" s="54"/>
      <c r="R306" s="54"/>
      <c r="S306" s="54"/>
      <c r="T306" s="54"/>
      <c r="U306" s="54"/>
      <c r="V306" s="54"/>
      <c r="W306" s="54"/>
      <c r="X306" s="54"/>
      <c r="Y306" s="75"/>
      <c r="AA306" s="52"/>
    </row>
    <row r="307" spans="2:27" ht="12" hidden="1" thickBot="1">
      <c r="B307" s="122" t="s">
        <v>333</v>
      </c>
      <c r="C307" s="102" t="s">
        <v>120</v>
      </c>
      <c r="D307" s="103">
        <f>+NPV('Assumptions and Basic Info'!$C$20,F303:Y303)</f>
        <v>2338.1048154317014</v>
      </c>
      <c r="E307" s="108"/>
      <c r="F307" s="105"/>
      <c r="G307" s="127"/>
      <c r="H307" s="105"/>
      <c r="I307" s="105"/>
      <c r="J307" s="105"/>
      <c r="K307" s="105"/>
      <c r="L307" s="105"/>
      <c r="M307" s="105"/>
      <c r="N307" s="105"/>
      <c r="O307" s="105"/>
      <c r="P307" s="105"/>
      <c r="Q307" s="105"/>
      <c r="R307" s="105"/>
      <c r="S307" s="105"/>
      <c r="T307" s="105"/>
      <c r="U307" s="105"/>
      <c r="V307" s="105"/>
      <c r="W307" s="105"/>
      <c r="X307" s="105"/>
      <c r="Y307" s="106"/>
      <c r="AA307" s="52"/>
    </row>
    <row r="308" spans="2:27" ht="11.25" hidden="1">
      <c r="B308" s="44" t="s">
        <v>336</v>
      </c>
      <c r="C308" s="23" t="s">
        <v>355</v>
      </c>
      <c r="D308" s="23"/>
      <c r="E308" s="51"/>
      <c r="F308" s="24"/>
      <c r="G308" s="24"/>
      <c r="H308" s="24"/>
      <c r="I308" s="24"/>
      <c r="J308" s="24"/>
      <c r="K308" s="24"/>
      <c r="L308" s="24"/>
      <c r="M308" s="24"/>
      <c r="N308" s="24"/>
      <c r="O308" s="24"/>
      <c r="P308" s="24"/>
      <c r="Q308" s="24"/>
      <c r="R308" s="24"/>
      <c r="S308" s="24"/>
      <c r="T308" s="24"/>
      <c r="U308" s="24"/>
      <c r="V308" s="24"/>
      <c r="W308" s="24"/>
      <c r="X308" s="24"/>
      <c r="Y308" s="45"/>
      <c r="AA308" s="52"/>
    </row>
    <row r="309" spans="2:28" ht="11.25" hidden="1">
      <c r="B309" s="37" t="s">
        <v>337</v>
      </c>
      <c r="C309" s="80" t="s">
        <v>124</v>
      </c>
      <c r="D309" s="81"/>
      <c r="E309" s="49" t="s">
        <v>54</v>
      </c>
      <c r="F309" s="27">
        <v>724</v>
      </c>
      <c r="G309" s="27">
        <v>667.3333333333333</v>
      </c>
      <c r="H309" s="27">
        <v>610.6666666666665</v>
      </c>
      <c r="I309" s="27">
        <v>554</v>
      </c>
      <c r="J309" s="27">
        <v>497.33333333333326</v>
      </c>
      <c r="K309" s="27">
        <v>440.66666666666663</v>
      </c>
      <c r="L309" s="27">
        <v>384</v>
      </c>
      <c r="M309" s="27">
        <v>327.33333333333326</v>
      </c>
      <c r="N309" s="27">
        <v>270.66666666666663</v>
      </c>
      <c r="O309" s="27">
        <v>214</v>
      </c>
      <c r="P309" s="27">
        <v>214</v>
      </c>
      <c r="Q309" s="27">
        <v>214</v>
      </c>
      <c r="R309" s="27">
        <v>214</v>
      </c>
      <c r="S309" s="27">
        <v>214</v>
      </c>
      <c r="T309" s="27">
        <v>214</v>
      </c>
      <c r="U309" s="27">
        <v>214</v>
      </c>
      <c r="V309" s="27">
        <v>214</v>
      </c>
      <c r="W309" s="27">
        <v>214</v>
      </c>
      <c r="X309" s="27">
        <v>214</v>
      </c>
      <c r="Y309" s="38">
        <v>214</v>
      </c>
      <c r="AA309" s="52">
        <v>724</v>
      </c>
      <c r="AB309" s="116" t="s">
        <v>126</v>
      </c>
    </row>
    <row r="310" spans="2:28" ht="11.25" hidden="1">
      <c r="B310" s="39" t="s">
        <v>338</v>
      </c>
      <c r="C310" s="82" t="s">
        <v>125</v>
      </c>
      <c r="D310" s="83"/>
      <c r="E310" s="50" t="s">
        <v>54</v>
      </c>
      <c r="F310" s="28">
        <v>724</v>
      </c>
      <c r="G310" s="28">
        <v>667.3333333333333</v>
      </c>
      <c r="H310" s="28">
        <v>630.2112544400821</v>
      </c>
      <c r="I310" s="28">
        <v>593.0891755468311</v>
      </c>
      <c r="J310" s="28">
        <v>1540.6337633202468</v>
      </c>
      <c r="K310" s="28">
        <v>1548</v>
      </c>
      <c r="L310" s="28">
        <v>1548</v>
      </c>
      <c r="M310" s="28">
        <v>1548</v>
      </c>
      <c r="N310" s="28">
        <v>1548</v>
      </c>
      <c r="O310" s="28">
        <v>1548</v>
      </c>
      <c r="P310" s="28">
        <v>1548</v>
      </c>
      <c r="Q310" s="28">
        <v>1548</v>
      </c>
      <c r="R310" s="28">
        <v>1548</v>
      </c>
      <c r="S310" s="28">
        <v>1548</v>
      </c>
      <c r="T310" s="28">
        <v>1548</v>
      </c>
      <c r="U310" s="28">
        <v>1548</v>
      </c>
      <c r="V310" s="28">
        <v>1548</v>
      </c>
      <c r="W310" s="28">
        <v>1548</v>
      </c>
      <c r="X310" s="28">
        <v>1548</v>
      </c>
      <c r="Y310" s="40">
        <v>1548</v>
      </c>
      <c r="AA310" s="52">
        <v>1548</v>
      </c>
      <c r="AB310" s="116" t="s">
        <v>127</v>
      </c>
    </row>
    <row r="311" spans="2:29" ht="11.25" hidden="1">
      <c r="B311" s="39" t="s">
        <v>339</v>
      </c>
      <c r="C311" s="82" t="s">
        <v>81</v>
      </c>
      <c r="D311" s="83"/>
      <c r="E311" s="50" t="s">
        <v>54</v>
      </c>
      <c r="F311" s="28">
        <v>0</v>
      </c>
      <c r="G311" s="28">
        <v>0</v>
      </c>
      <c r="H311" s="28">
        <v>19.54458777341563</v>
      </c>
      <c r="I311" s="28">
        <v>39.08917554683114</v>
      </c>
      <c r="J311" s="28">
        <v>1043.3004299869135</v>
      </c>
      <c r="K311" s="28">
        <v>1107.3333333333335</v>
      </c>
      <c r="L311" s="28">
        <v>1164</v>
      </c>
      <c r="M311" s="28">
        <v>1220.6666666666667</v>
      </c>
      <c r="N311" s="28">
        <v>1277.3333333333335</v>
      </c>
      <c r="O311" s="28">
        <v>1334</v>
      </c>
      <c r="P311" s="28">
        <v>1334</v>
      </c>
      <c r="Q311" s="28">
        <v>1334</v>
      </c>
      <c r="R311" s="28">
        <v>1334</v>
      </c>
      <c r="S311" s="28">
        <v>1334</v>
      </c>
      <c r="T311" s="28">
        <v>1334</v>
      </c>
      <c r="U311" s="28">
        <v>1334</v>
      </c>
      <c r="V311" s="28">
        <v>1334</v>
      </c>
      <c r="W311" s="28">
        <v>1334</v>
      </c>
      <c r="X311" s="28">
        <v>1334</v>
      </c>
      <c r="Y311" s="40">
        <v>1334</v>
      </c>
      <c r="AA311" s="52">
        <v>824</v>
      </c>
      <c r="AB311" s="116" t="s">
        <v>127</v>
      </c>
      <c r="AC311" s="52">
        <v>824</v>
      </c>
    </row>
    <row r="312" spans="2:28" ht="11.25" hidden="1">
      <c r="B312" s="39" t="s">
        <v>340</v>
      </c>
      <c r="C312" s="82" t="s">
        <v>65</v>
      </c>
      <c r="D312" s="83"/>
      <c r="E312" s="50" t="s">
        <v>119</v>
      </c>
      <c r="F312" s="28">
        <v>0</v>
      </c>
      <c r="G312" s="28">
        <v>0</v>
      </c>
      <c r="H312" s="28">
        <v>0</v>
      </c>
      <c r="I312" s="28">
        <v>0</v>
      </c>
      <c r="J312" s="28">
        <v>1666.6666666666665</v>
      </c>
      <c r="K312" s="28">
        <v>1333.3333333333333</v>
      </c>
      <c r="L312" s="28">
        <v>1000</v>
      </c>
      <c r="M312" s="28">
        <v>666.6666666666667</v>
      </c>
      <c r="N312" s="28">
        <v>333.3333333333334</v>
      </c>
      <c r="O312" s="28">
        <v>0</v>
      </c>
      <c r="P312" s="28">
        <v>0</v>
      </c>
      <c r="Q312" s="28">
        <v>0</v>
      </c>
      <c r="R312" s="28">
        <v>0</v>
      </c>
      <c r="S312" s="28">
        <v>0</v>
      </c>
      <c r="T312" s="28">
        <v>0</v>
      </c>
      <c r="U312" s="28">
        <v>0</v>
      </c>
      <c r="V312" s="28">
        <v>0</v>
      </c>
      <c r="W312" s="28">
        <v>0</v>
      </c>
      <c r="X312" s="28">
        <v>0</v>
      </c>
      <c r="Y312" s="40">
        <v>0</v>
      </c>
      <c r="AA312" s="52">
        <v>3000</v>
      </c>
      <c r="AB312" s="116" t="s">
        <v>127</v>
      </c>
    </row>
    <row r="313" spans="2:27" ht="11.25" hidden="1">
      <c r="B313" s="39" t="s">
        <v>341</v>
      </c>
      <c r="C313" s="82" t="s">
        <v>58</v>
      </c>
      <c r="D313" s="83"/>
      <c r="E313" s="50" t="s">
        <v>123</v>
      </c>
      <c r="F313" s="28">
        <v>0</v>
      </c>
      <c r="G313" s="28">
        <v>245.21739130434787</v>
      </c>
      <c r="H313" s="28">
        <v>855.6521739130436</v>
      </c>
      <c r="I313" s="28">
        <v>450.4478260869563</v>
      </c>
      <c r="J313" s="28">
        <v>15.731225296442673</v>
      </c>
      <c r="K313" s="28">
        <v>0</v>
      </c>
      <c r="L313" s="28">
        <v>0</v>
      </c>
      <c r="M313" s="28">
        <v>0</v>
      </c>
      <c r="N313" s="28">
        <v>0</v>
      </c>
      <c r="O313" s="28">
        <v>0</v>
      </c>
      <c r="P313" s="28">
        <v>0</v>
      </c>
      <c r="Q313" s="28">
        <v>0</v>
      </c>
      <c r="R313" s="28">
        <v>0</v>
      </c>
      <c r="S313" s="31">
        <v>0</v>
      </c>
      <c r="T313" s="31">
        <v>0</v>
      </c>
      <c r="U313" s="31">
        <v>0</v>
      </c>
      <c r="V313" s="31">
        <v>0</v>
      </c>
      <c r="W313" s="31">
        <v>0</v>
      </c>
      <c r="X313" s="31">
        <v>0</v>
      </c>
      <c r="Y313" s="46">
        <v>0</v>
      </c>
      <c r="AA313" s="52">
        <v>1567.0486166007904</v>
      </c>
    </row>
    <row r="314" spans="2:27" ht="11.25" hidden="1">
      <c r="B314" s="39" t="s">
        <v>342</v>
      </c>
      <c r="C314" s="82" t="s">
        <v>24</v>
      </c>
      <c r="D314" s="83"/>
      <c r="E314" s="50" t="s">
        <v>123</v>
      </c>
      <c r="F314" s="28">
        <v>0</v>
      </c>
      <c r="G314" s="28">
        <v>36.78260869565218</v>
      </c>
      <c r="H314" s="28">
        <v>128.34782608695653</v>
      </c>
      <c r="I314" s="28">
        <v>67.56717391304345</v>
      </c>
      <c r="J314" s="28">
        <v>2.359683794466401</v>
      </c>
      <c r="K314" s="28">
        <v>0</v>
      </c>
      <c r="L314" s="28">
        <v>0</v>
      </c>
      <c r="M314" s="28">
        <v>0</v>
      </c>
      <c r="N314" s="28">
        <v>0</v>
      </c>
      <c r="O314" s="28">
        <v>0</v>
      </c>
      <c r="P314" s="28">
        <v>0</v>
      </c>
      <c r="Q314" s="28">
        <v>0</v>
      </c>
      <c r="R314" s="28">
        <v>0</v>
      </c>
      <c r="S314" s="28">
        <v>0</v>
      </c>
      <c r="T314" s="28">
        <v>0</v>
      </c>
      <c r="U314" s="28">
        <v>0</v>
      </c>
      <c r="V314" s="31">
        <v>0</v>
      </c>
      <c r="W314" s="31">
        <v>0</v>
      </c>
      <c r="X314" s="31">
        <v>0</v>
      </c>
      <c r="Y314" s="46">
        <v>0</v>
      </c>
      <c r="AA314" s="54">
        <f>+AA313*'Assumptions and Basic Info'!$C$4</f>
        <v>1567.0486166007904</v>
      </c>
    </row>
    <row r="315" spans="2:27" ht="11.25" hidden="1">
      <c r="B315" s="39" t="s">
        <v>343</v>
      </c>
      <c r="C315" s="82" t="s">
        <v>83</v>
      </c>
      <c r="D315" s="83"/>
      <c r="E315" s="50" t="s">
        <v>123</v>
      </c>
      <c r="F315" s="28">
        <v>73.800675</v>
      </c>
      <c r="G315" s="28">
        <v>14.85</v>
      </c>
      <c r="H315" s="28">
        <v>46.44</v>
      </c>
      <c r="I315" s="28">
        <v>25.47067499999999</v>
      </c>
      <c r="J315" s="28">
        <v>1.6281818181818168</v>
      </c>
      <c r="K315" s="28">
        <v>0</v>
      </c>
      <c r="L315" s="28">
        <v>0</v>
      </c>
      <c r="M315" s="28">
        <v>0</v>
      </c>
      <c r="N315" s="28">
        <v>0</v>
      </c>
      <c r="O315" s="28">
        <v>0</v>
      </c>
      <c r="P315" s="28">
        <v>0</v>
      </c>
      <c r="Q315" s="28">
        <v>0</v>
      </c>
      <c r="R315" s="28">
        <v>0</v>
      </c>
      <c r="S315" s="28">
        <v>0</v>
      </c>
      <c r="T315" s="28">
        <v>0</v>
      </c>
      <c r="U315" s="28">
        <v>0</v>
      </c>
      <c r="V315" s="31">
        <v>0</v>
      </c>
      <c r="W315" s="31">
        <v>0</v>
      </c>
      <c r="X315" s="31">
        <v>0</v>
      </c>
      <c r="Y315" s="46">
        <v>0</v>
      </c>
      <c r="AA315" s="54">
        <v>162.18953181818182</v>
      </c>
    </row>
    <row r="316" spans="2:27" ht="11.25" hidden="1">
      <c r="B316" s="39" t="s">
        <v>344</v>
      </c>
      <c r="C316" s="82" t="s">
        <v>82</v>
      </c>
      <c r="D316" s="83"/>
      <c r="E316" s="50" t="s">
        <v>123</v>
      </c>
      <c r="F316" s="28">
        <v>0</v>
      </c>
      <c r="G316" s="28">
        <v>1.4760135</v>
      </c>
      <c r="H316" s="28">
        <v>7.413013500000001</v>
      </c>
      <c r="I316" s="28">
        <v>28.02181350000001</v>
      </c>
      <c r="J316" s="28">
        <v>38.89152700000001</v>
      </c>
      <c r="K316" s="28">
        <v>39.285908818181824</v>
      </c>
      <c r="L316" s="28">
        <v>39.285908818181824</v>
      </c>
      <c r="M316" s="28">
        <v>39.285908818181824</v>
      </c>
      <c r="N316" s="28">
        <v>39.285908818181824</v>
      </c>
      <c r="O316" s="28">
        <v>39.285908818181824</v>
      </c>
      <c r="P316" s="28">
        <v>39.285908818181824</v>
      </c>
      <c r="Q316" s="28">
        <v>39.285908818181824</v>
      </c>
      <c r="R316" s="28">
        <v>39.285908818181824</v>
      </c>
      <c r="S316" s="28">
        <v>39.285908818181824</v>
      </c>
      <c r="T316" s="28">
        <v>39.285908818181824</v>
      </c>
      <c r="U316" s="28">
        <v>39.285908818181824</v>
      </c>
      <c r="V316" s="28">
        <v>39.285908818181824</v>
      </c>
      <c r="W316" s="28">
        <v>39.285908818181824</v>
      </c>
      <c r="X316" s="28">
        <v>39.285908818181824</v>
      </c>
      <c r="Y316" s="40">
        <v>39.285908818181824</v>
      </c>
      <c r="AA316" s="52"/>
    </row>
    <row r="317" spans="2:27" ht="11.25" hidden="1">
      <c r="B317" s="39" t="s">
        <v>627</v>
      </c>
      <c r="C317" s="82" t="s">
        <v>578</v>
      </c>
      <c r="D317" s="83"/>
      <c r="E317" s="50" t="s">
        <v>118</v>
      </c>
      <c r="F317" s="28">
        <v>109.78</v>
      </c>
      <c r="G317" s="28">
        <v>0</v>
      </c>
      <c r="H317" s="28">
        <v>0</v>
      </c>
      <c r="I317" s="28">
        <v>0</v>
      </c>
      <c r="J317" s="28">
        <v>0</v>
      </c>
      <c r="K317" s="28">
        <v>0</v>
      </c>
      <c r="L317" s="28">
        <v>0</v>
      </c>
      <c r="M317" s="28">
        <v>0</v>
      </c>
      <c r="N317" s="28">
        <v>0</v>
      </c>
      <c r="O317" s="28">
        <v>0</v>
      </c>
      <c r="P317" s="28">
        <v>0</v>
      </c>
      <c r="Q317" s="28">
        <v>0</v>
      </c>
      <c r="R317" s="28">
        <v>0</v>
      </c>
      <c r="S317" s="28">
        <v>0</v>
      </c>
      <c r="T317" s="28">
        <v>0</v>
      </c>
      <c r="U317" s="28">
        <v>0</v>
      </c>
      <c r="V317" s="28">
        <v>0</v>
      </c>
      <c r="W317" s="28">
        <v>0</v>
      </c>
      <c r="X317" s="28">
        <v>0</v>
      </c>
      <c r="Y317" s="40">
        <v>0</v>
      </c>
      <c r="AA317" s="52">
        <v>109.78</v>
      </c>
    </row>
    <row r="318" spans="2:27" ht="11.25" hidden="1">
      <c r="B318" s="39" t="s">
        <v>721</v>
      </c>
      <c r="C318" s="82" t="s">
        <v>691</v>
      </c>
      <c r="D318" s="83"/>
      <c r="E318" s="50" t="s">
        <v>118</v>
      </c>
      <c r="F318" s="28">
        <v>0</v>
      </c>
      <c r="G318" s="28">
        <v>0</v>
      </c>
      <c r="H318" s="28">
        <v>0.33225799214806506</v>
      </c>
      <c r="I318" s="28">
        <v>0.33225799214806506</v>
      </c>
      <c r="J318" s="28">
        <v>13.218257992148065</v>
      </c>
      <c r="K318" s="28">
        <v>0.12522602355580478</v>
      </c>
      <c r="L318" s="28">
        <v>0</v>
      </c>
      <c r="M318" s="28">
        <v>0</v>
      </c>
      <c r="N318" s="28">
        <v>0</v>
      </c>
      <c r="O318" s="28">
        <v>0</v>
      </c>
      <c r="P318" s="28">
        <v>0</v>
      </c>
      <c r="Q318" s="28">
        <v>0</v>
      </c>
      <c r="R318" s="28">
        <v>0</v>
      </c>
      <c r="S318" s="28">
        <v>0</v>
      </c>
      <c r="T318" s="28">
        <v>0</v>
      </c>
      <c r="U318" s="28">
        <v>0</v>
      </c>
      <c r="V318" s="28">
        <v>0</v>
      </c>
      <c r="W318" s="28">
        <v>0</v>
      </c>
      <c r="X318" s="28">
        <v>0</v>
      </c>
      <c r="Y318" s="40">
        <v>0</v>
      </c>
      <c r="AA318" s="52"/>
    </row>
    <row r="319" spans="2:27" ht="11.25" hidden="1">
      <c r="B319" s="39" t="s">
        <v>345</v>
      </c>
      <c r="C319" s="82" t="s">
        <v>722</v>
      </c>
      <c r="D319" s="83"/>
      <c r="E319" s="50" t="s">
        <v>123</v>
      </c>
      <c r="F319" s="28">
        <v>183.58067499999999</v>
      </c>
      <c r="G319" s="28">
        <v>298.3260135000001</v>
      </c>
      <c r="H319" s="28">
        <v>1038.185271492148</v>
      </c>
      <c r="I319" s="28">
        <v>571.8397464921478</v>
      </c>
      <c r="J319" s="28">
        <v>71.82887590123897</v>
      </c>
      <c r="K319" s="28">
        <v>39.41113484173763</v>
      </c>
      <c r="L319" s="28">
        <v>39.285908818181824</v>
      </c>
      <c r="M319" s="28">
        <v>39.285908818181824</v>
      </c>
      <c r="N319" s="28">
        <v>39.285908818181824</v>
      </c>
      <c r="O319" s="28">
        <v>39.285908818181824</v>
      </c>
      <c r="P319" s="28">
        <v>39.285908818181824</v>
      </c>
      <c r="Q319" s="28">
        <v>39.285908818181824</v>
      </c>
      <c r="R319" s="28">
        <v>39.285908818181824</v>
      </c>
      <c r="S319" s="28">
        <v>39.285908818181824</v>
      </c>
      <c r="T319" s="28">
        <v>39.285908818181824</v>
      </c>
      <c r="U319" s="28">
        <v>39.285908818181824</v>
      </c>
      <c r="V319" s="28">
        <v>39.285908818181824</v>
      </c>
      <c r="W319" s="28">
        <v>39.285908818181824</v>
      </c>
      <c r="X319" s="28">
        <v>39.285908818181824</v>
      </c>
      <c r="Y319" s="40">
        <v>39.285908818181824</v>
      </c>
      <c r="AA319" s="52">
        <f>+AA313+AA314+AA315</f>
        <v>3296.2867650197627</v>
      </c>
    </row>
    <row r="320" spans="2:27" ht="11.25" hidden="1">
      <c r="B320" s="39" t="s">
        <v>346</v>
      </c>
      <c r="C320" s="82" t="s">
        <v>128</v>
      </c>
      <c r="D320" s="83"/>
      <c r="E320" s="50" t="s">
        <v>123</v>
      </c>
      <c r="F320" s="28">
        <v>0</v>
      </c>
      <c r="G320" s="28">
        <v>0</v>
      </c>
      <c r="H320" s="28">
        <v>5.735458607405815</v>
      </c>
      <c r="I320" s="28">
        <v>15.547657655901931</v>
      </c>
      <c r="J320" s="28">
        <v>420.06730661662584</v>
      </c>
      <c r="K320" s="28">
        <v>630.8402795421509</v>
      </c>
      <c r="L320" s="28">
        <v>840.7885584406607</v>
      </c>
      <c r="M320" s="28">
        <v>893.8595098015037</v>
      </c>
      <c r="N320" s="28">
        <v>946.0295185149639</v>
      </c>
      <c r="O320" s="28">
        <v>989.2969800757709</v>
      </c>
      <c r="P320" s="28">
        <v>989.3078547036564</v>
      </c>
      <c r="Q320" s="28">
        <v>989.3078547036564</v>
      </c>
      <c r="R320" s="28">
        <v>989.3078547036564</v>
      </c>
      <c r="S320" s="28">
        <v>989.3078547036564</v>
      </c>
      <c r="T320" s="28">
        <v>989.3078547036564</v>
      </c>
      <c r="U320" s="28">
        <v>989.3078547036564</v>
      </c>
      <c r="V320" s="28">
        <v>989.3078547036564</v>
      </c>
      <c r="W320" s="28">
        <v>989.3078547036564</v>
      </c>
      <c r="X320" s="28">
        <v>989.3078547036564</v>
      </c>
      <c r="Y320" s="40">
        <v>989.3078547036564</v>
      </c>
      <c r="AA320" s="52"/>
    </row>
    <row r="321" spans="2:27" ht="11.25" hidden="1">
      <c r="B321" s="39" t="s">
        <v>347</v>
      </c>
      <c r="C321" s="82" t="s">
        <v>63</v>
      </c>
      <c r="D321" s="83"/>
      <c r="E321" s="50" t="s">
        <v>123</v>
      </c>
      <c r="F321" s="28">
        <v>0</v>
      </c>
      <c r="G321" s="28">
        <v>0</v>
      </c>
      <c r="H321" s="28">
        <v>0</v>
      </c>
      <c r="I321" s="28">
        <v>0</v>
      </c>
      <c r="J321" s="28">
        <v>70.33333333333333</v>
      </c>
      <c r="K321" s="28">
        <v>56.266666666666666</v>
      </c>
      <c r="L321" s="28">
        <v>42.2</v>
      </c>
      <c r="M321" s="28">
        <v>28.13333333333334</v>
      </c>
      <c r="N321" s="28">
        <v>14.066666666666672</v>
      </c>
      <c r="O321" s="28">
        <v>0</v>
      </c>
      <c r="P321" s="28">
        <v>0</v>
      </c>
      <c r="Q321" s="28">
        <v>0</v>
      </c>
      <c r="R321" s="28">
        <v>0</v>
      </c>
      <c r="S321" s="28">
        <v>0</v>
      </c>
      <c r="T321" s="28">
        <v>0</v>
      </c>
      <c r="U321" s="28">
        <v>0</v>
      </c>
      <c r="V321" s="28">
        <v>0</v>
      </c>
      <c r="W321" s="28">
        <v>0</v>
      </c>
      <c r="X321" s="28">
        <v>0</v>
      </c>
      <c r="Y321" s="40">
        <v>0</v>
      </c>
      <c r="AA321" s="52"/>
    </row>
    <row r="322" spans="2:27" ht="11.25" hidden="1">
      <c r="B322" s="39" t="s">
        <v>348</v>
      </c>
      <c r="C322" s="82" t="s">
        <v>349</v>
      </c>
      <c r="D322" s="83"/>
      <c r="E322" s="50" t="s">
        <v>123</v>
      </c>
      <c r="F322" s="28">
        <v>0</v>
      </c>
      <c r="G322" s="28">
        <v>0</v>
      </c>
      <c r="H322" s="28">
        <v>5.735458607405815</v>
      </c>
      <c r="I322" s="28">
        <v>15.547657655901931</v>
      </c>
      <c r="J322" s="28">
        <v>490.40063994995916</v>
      </c>
      <c r="K322" s="28">
        <v>687.1069462088176</v>
      </c>
      <c r="L322" s="28">
        <v>882.9885584406608</v>
      </c>
      <c r="M322" s="28">
        <v>921.992843134837</v>
      </c>
      <c r="N322" s="28">
        <v>960.0961851816306</v>
      </c>
      <c r="O322" s="28">
        <v>989.2969800757709</v>
      </c>
      <c r="P322" s="28">
        <v>989.3078547036564</v>
      </c>
      <c r="Q322" s="28">
        <v>989.3078547036564</v>
      </c>
      <c r="R322" s="28">
        <v>989.3078547036564</v>
      </c>
      <c r="S322" s="28">
        <v>989.3078547036564</v>
      </c>
      <c r="T322" s="28">
        <v>989.3078547036564</v>
      </c>
      <c r="U322" s="28">
        <v>989.3078547036564</v>
      </c>
      <c r="V322" s="28">
        <v>989.3078547036564</v>
      </c>
      <c r="W322" s="28">
        <v>989.3078547036564</v>
      </c>
      <c r="X322" s="28">
        <v>989.3078547036564</v>
      </c>
      <c r="Y322" s="40">
        <v>989.3078547036564</v>
      </c>
      <c r="AA322" s="52"/>
    </row>
    <row r="323" spans="2:27" ht="11.25" hidden="1">
      <c r="B323" s="39" t="s">
        <v>350</v>
      </c>
      <c r="C323" s="82" t="s">
        <v>351</v>
      </c>
      <c r="D323" s="83"/>
      <c r="E323" s="50" t="s">
        <v>123</v>
      </c>
      <c r="F323" s="28">
        <v>-183.58067499999999</v>
      </c>
      <c r="G323" s="28">
        <v>-298.3260135000001</v>
      </c>
      <c r="H323" s="28">
        <v>-1032.4498128847422</v>
      </c>
      <c r="I323" s="28">
        <v>-556.2920888362459</v>
      </c>
      <c r="J323" s="28">
        <v>418.5717640487202</v>
      </c>
      <c r="K323" s="28">
        <v>647.69581136708</v>
      </c>
      <c r="L323" s="28">
        <v>843.7026496224789</v>
      </c>
      <c r="M323" s="28">
        <v>882.7069343166552</v>
      </c>
      <c r="N323" s="28">
        <v>920.8102763634488</v>
      </c>
      <c r="O323" s="28">
        <v>950.011071257589</v>
      </c>
      <c r="P323" s="28">
        <v>950.0219458854746</v>
      </c>
      <c r="Q323" s="28">
        <v>950.0219458854746</v>
      </c>
      <c r="R323" s="28">
        <v>950.0219458854746</v>
      </c>
      <c r="S323" s="28">
        <v>950.0219458854746</v>
      </c>
      <c r="T323" s="28">
        <v>950.0219458854746</v>
      </c>
      <c r="U323" s="28">
        <v>950.0219458854746</v>
      </c>
      <c r="V323" s="28">
        <v>950.0219458854746</v>
      </c>
      <c r="W323" s="28">
        <v>950.0219458854746</v>
      </c>
      <c r="X323" s="28">
        <v>950.0219458854746</v>
      </c>
      <c r="Y323" s="40">
        <v>950.0219458854746</v>
      </c>
      <c r="AA323" s="52"/>
    </row>
    <row r="324" spans="2:27" ht="11.25" hidden="1">
      <c r="B324" s="114" t="s">
        <v>352</v>
      </c>
      <c r="C324" s="91" t="s">
        <v>121</v>
      </c>
      <c r="D324" s="78">
        <f>+AA319</f>
        <v>3296.2867650197627</v>
      </c>
      <c r="E324" s="94"/>
      <c r="F324" s="73"/>
      <c r="G324" s="73"/>
      <c r="H324" s="73"/>
      <c r="I324" s="73"/>
      <c r="J324" s="73"/>
      <c r="K324" s="73"/>
      <c r="L324" s="73"/>
      <c r="M324" s="73"/>
      <c r="N324" s="73"/>
      <c r="O324" s="73"/>
      <c r="P324" s="73"/>
      <c r="Q324" s="73"/>
      <c r="R324" s="73"/>
      <c r="S324" s="73"/>
      <c r="T324" s="73"/>
      <c r="U324" s="73"/>
      <c r="V324" s="73"/>
      <c r="W324" s="73"/>
      <c r="X324" s="73"/>
      <c r="Y324" s="74"/>
      <c r="AA324" s="52"/>
    </row>
    <row r="325" spans="2:27" ht="11.25" hidden="1">
      <c r="B325" s="90" t="s">
        <v>353</v>
      </c>
      <c r="C325" s="92" t="s">
        <v>596</v>
      </c>
      <c r="D325" s="113">
        <f>+AA317</f>
        <v>109.78</v>
      </c>
      <c r="E325" s="95"/>
      <c r="F325" s="54"/>
      <c r="G325" s="54"/>
      <c r="H325" s="54"/>
      <c r="I325" s="54"/>
      <c r="J325" s="54"/>
      <c r="K325" s="54"/>
      <c r="L325" s="54"/>
      <c r="M325" s="54"/>
      <c r="N325" s="54"/>
      <c r="O325" s="54"/>
      <c r="P325" s="54"/>
      <c r="Q325" s="54"/>
      <c r="R325" s="54"/>
      <c r="S325" s="54"/>
      <c r="T325" s="54"/>
      <c r="U325" s="54"/>
      <c r="V325" s="54"/>
      <c r="W325" s="54"/>
      <c r="X325" s="54"/>
      <c r="Y325" s="75"/>
      <c r="AA325" s="52"/>
    </row>
    <row r="326" spans="2:27" ht="11.25" hidden="1">
      <c r="B326" s="90" t="s">
        <v>354</v>
      </c>
      <c r="C326" s="92" t="s">
        <v>57</v>
      </c>
      <c r="D326" s="79">
        <f>+IRR(F323:Y323)</f>
        <v>0.2718124952951786</v>
      </c>
      <c r="E326" s="95"/>
      <c r="F326" s="88"/>
      <c r="G326" s="54"/>
      <c r="H326" s="54"/>
      <c r="I326" s="54"/>
      <c r="J326" s="54"/>
      <c r="K326" s="54"/>
      <c r="L326" s="54"/>
      <c r="M326" s="54"/>
      <c r="N326" s="54"/>
      <c r="O326" s="54"/>
      <c r="P326" s="54"/>
      <c r="Q326" s="54"/>
      <c r="R326" s="54"/>
      <c r="S326" s="54"/>
      <c r="T326" s="54"/>
      <c r="U326" s="54"/>
      <c r="V326" s="54"/>
      <c r="W326" s="54"/>
      <c r="X326" s="54"/>
      <c r="Y326" s="75"/>
      <c r="AA326" s="52"/>
    </row>
    <row r="327" spans="2:27" ht="12" hidden="1" thickBot="1">
      <c r="B327" s="122" t="s">
        <v>628</v>
      </c>
      <c r="C327" s="102" t="s">
        <v>120</v>
      </c>
      <c r="D327" s="103">
        <f>+NPV('Assumptions and Basic Info'!$C$20,F323:Y323)</f>
        <v>2908.5405542588715</v>
      </c>
      <c r="E327" s="108"/>
      <c r="F327" s="105"/>
      <c r="G327" s="127"/>
      <c r="H327" s="105"/>
      <c r="I327" s="105"/>
      <c r="J327" s="105"/>
      <c r="K327" s="105"/>
      <c r="L327" s="105"/>
      <c r="M327" s="105"/>
      <c r="N327" s="105"/>
      <c r="O327" s="105"/>
      <c r="P327" s="105"/>
      <c r="Q327" s="105"/>
      <c r="R327" s="105"/>
      <c r="S327" s="105"/>
      <c r="T327" s="105"/>
      <c r="U327" s="105"/>
      <c r="V327" s="105"/>
      <c r="W327" s="105"/>
      <c r="X327" s="105"/>
      <c r="Y327" s="106"/>
      <c r="AA327" s="52"/>
    </row>
    <row r="328" spans="2:27" ht="11.25" hidden="1">
      <c r="B328" s="44" t="s">
        <v>356</v>
      </c>
      <c r="C328" s="23" t="s">
        <v>375</v>
      </c>
      <c r="D328" s="23"/>
      <c r="E328" s="51"/>
      <c r="F328" s="24"/>
      <c r="G328" s="24"/>
      <c r="H328" s="24"/>
      <c r="I328" s="24"/>
      <c r="J328" s="24"/>
      <c r="K328" s="24"/>
      <c r="L328" s="24"/>
      <c r="M328" s="24"/>
      <c r="N328" s="24"/>
      <c r="O328" s="24"/>
      <c r="P328" s="24"/>
      <c r="Q328" s="24"/>
      <c r="R328" s="24"/>
      <c r="S328" s="24"/>
      <c r="T328" s="24"/>
      <c r="U328" s="24"/>
      <c r="V328" s="24"/>
      <c r="W328" s="24"/>
      <c r="X328" s="24"/>
      <c r="Y328" s="45"/>
      <c r="AA328" s="52"/>
    </row>
    <row r="329" spans="2:28" ht="11.25" hidden="1">
      <c r="B329" s="37" t="s">
        <v>357</v>
      </c>
      <c r="C329" s="80" t="s">
        <v>124</v>
      </c>
      <c r="D329" s="81"/>
      <c r="E329" s="49" t="s">
        <v>54</v>
      </c>
      <c r="F329" s="27">
        <v>530</v>
      </c>
      <c r="G329" s="27">
        <v>471.1111111111111</v>
      </c>
      <c r="H329" s="27">
        <v>412.2222222222222</v>
      </c>
      <c r="I329" s="27">
        <v>353.33333333333326</v>
      </c>
      <c r="J329" s="27">
        <v>294.44444444444434</v>
      </c>
      <c r="K329" s="27">
        <v>235.55555555555543</v>
      </c>
      <c r="L329" s="27">
        <v>176.66666666666652</v>
      </c>
      <c r="M329" s="27">
        <v>117.77777777777771</v>
      </c>
      <c r="N329" s="27">
        <v>58.8888888888888</v>
      </c>
      <c r="O329" s="27">
        <v>0</v>
      </c>
      <c r="P329" s="27">
        <v>0</v>
      </c>
      <c r="Q329" s="27">
        <v>0</v>
      </c>
      <c r="R329" s="27">
        <v>0</v>
      </c>
      <c r="S329" s="27">
        <v>0</v>
      </c>
      <c r="T329" s="27">
        <v>0</v>
      </c>
      <c r="U329" s="27">
        <v>0</v>
      </c>
      <c r="V329" s="27">
        <v>0</v>
      </c>
      <c r="W329" s="27">
        <v>0</v>
      </c>
      <c r="X329" s="27">
        <v>0</v>
      </c>
      <c r="Y329" s="38">
        <v>0</v>
      </c>
      <c r="AA329" s="52">
        <v>530</v>
      </c>
      <c r="AB329" s="116" t="s">
        <v>126</v>
      </c>
    </row>
    <row r="330" spans="2:28" ht="11.25" hidden="1">
      <c r="B330" s="39" t="s">
        <v>358</v>
      </c>
      <c r="C330" s="82" t="s">
        <v>125</v>
      </c>
      <c r="D330" s="83"/>
      <c r="E330" s="50" t="s">
        <v>54</v>
      </c>
      <c r="F330" s="28">
        <v>530</v>
      </c>
      <c r="G330" s="28">
        <v>471.1111111111111</v>
      </c>
      <c r="H330" s="28">
        <v>456.81531029357114</v>
      </c>
      <c r="I330" s="28">
        <v>442.51950947603115</v>
      </c>
      <c r="J330" s="28">
        <v>1673.7792642140469</v>
      </c>
      <c r="K330" s="28">
        <v>1690</v>
      </c>
      <c r="L330" s="28">
        <v>1690</v>
      </c>
      <c r="M330" s="28">
        <v>1690</v>
      </c>
      <c r="N330" s="28">
        <v>1690</v>
      </c>
      <c r="O330" s="28">
        <v>1690</v>
      </c>
      <c r="P330" s="28">
        <v>1690</v>
      </c>
      <c r="Q330" s="28">
        <v>1690</v>
      </c>
      <c r="R330" s="28">
        <v>1690</v>
      </c>
      <c r="S330" s="28">
        <v>1690</v>
      </c>
      <c r="T330" s="28">
        <v>1690</v>
      </c>
      <c r="U330" s="28">
        <v>1690</v>
      </c>
      <c r="V330" s="28">
        <v>1690</v>
      </c>
      <c r="W330" s="28">
        <v>1690</v>
      </c>
      <c r="X330" s="28">
        <v>1690</v>
      </c>
      <c r="Y330" s="40">
        <v>1690</v>
      </c>
      <c r="AA330" s="52">
        <v>1690</v>
      </c>
      <c r="AB330" s="116" t="s">
        <v>127</v>
      </c>
    </row>
    <row r="331" spans="2:29" ht="11.25" hidden="1">
      <c r="B331" s="39" t="s">
        <v>359</v>
      </c>
      <c r="C331" s="82" t="s">
        <v>81</v>
      </c>
      <c r="D331" s="83"/>
      <c r="E331" s="50" t="s">
        <v>54</v>
      </c>
      <c r="F331" s="28">
        <v>0</v>
      </c>
      <c r="G331" s="28">
        <v>0</v>
      </c>
      <c r="H331" s="28">
        <v>44.59308807134897</v>
      </c>
      <c r="I331" s="28">
        <v>89.18617614269789</v>
      </c>
      <c r="J331" s="28">
        <v>1379.3348197696025</v>
      </c>
      <c r="K331" s="28">
        <v>1454.4444444444446</v>
      </c>
      <c r="L331" s="28">
        <v>1513.3333333333335</v>
      </c>
      <c r="M331" s="28">
        <v>1572.2222222222222</v>
      </c>
      <c r="N331" s="28">
        <v>1631.1111111111113</v>
      </c>
      <c r="O331" s="28">
        <v>1690</v>
      </c>
      <c r="P331" s="28">
        <v>1690</v>
      </c>
      <c r="Q331" s="28">
        <v>1690</v>
      </c>
      <c r="R331" s="28">
        <v>1690</v>
      </c>
      <c r="S331" s="28">
        <v>1690</v>
      </c>
      <c r="T331" s="28">
        <v>1690</v>
      </c>
      <c r="U331" s="28">
        <v>1690</v>
      </c>
      <c r="V331" s="28">
        <v>1690</v>
      </c>
      <c r="W331" s="28">
        <v>1690</v>
      </c>
      <c r="X331" s="28">
        <v>1690</v>
      </c>
      <c r="Y331" s="40">
        <v>1690</v>
      </c>
      <c r="AA331" s="52">
        <v>1160</v>
      </c>
      <c r="AB331" s="116" t="s">
        <v>127</v>
      </c>
      <c r="AC331" s="52">
        <v>1160</v>
      </c>
    </row>
    <row r="332" spans="2:28" ht="11.25" hidden="1">
      <c r="B332" s="39" t="s">
        <v>360</v>
      </c>
      <c r="C332" s="82" t="s">
        <v>65</v>
      </c>
      <c r="D332" s="83"/>
      <c r="E332" s="50" t="s">
        <v>119</v>
      </c>
      <c r="F332" s="28">
        <v>0</v>
      </c>
      <c r="G332" s="28">
        <v>0</v>
      </c>
      <c r="H332" s="28">
        <v>0</v>
      </c>
      <c r="I332" s="28">
        <v>0</v>
      </c>
      <c r="J332" s="28">
        <v>500</v>
      </c>
      <c r="K332" s="28">
        <v>400</v>
      </c>
      <c r="L332" s="28">
        <v>300</v>
      </c>
      <c r="M332" s="28">
        <v>200</v>
      </c>
      <c r="N332" s="28">
        <v>100</v>
      </c>
      <c r="O332" s="28">
        <v>0</v>
      </c>
      <c r="P332" s="28">
        <v>0</v>
      </c>
      <c r="Q332" s="28">
        <v>0</v>
      </c>
      <c r="R332" s="28">
        <v>0</v>
      </c>
      <c r="S332" s="28">
        <v>0</v>
      </c>
      <c r="T332" s="28">
        <v>0</v>
      </c>
      <c r="U332" s="28">
        <v>0</v>
      </c>
      <c r="V332" s="28">
        <v>0</v>
      </c>
      <c r="W332" s="28">
        <v>0</v>
      </c>
      <c r="X332" s="28">
        <v>0</v>
      </c>
      <c r="Y332" s="40">
        <v>0</v>
      </c>
      <c r="AA332" s="52">
        <v>3000</v>
      </c>
      <c r="AB332" s="116" t="s">
        <v>127</v>
      </c>
    </row>
    <row r="333" spans="2:27" ht="11.25" hidden="1">
      <c r="B333" s="39" t="s">
        <v>361</v>
      </c>
      <c r="C333" s="82" t="s">
        <v>58</v>
      </c>
      <c r="D333" s="83"/>
      <c r="E333" s="50" t="s">
        <v>123</v>
      </c>
      <c r="F333" s="28">
        <v>0</v>
      </c>
      <c r="G333" s="28">
        <v>226.08695652173915</v>
      </c>
      <c r="H333" s="28">
        <v>789.5652173913044</v>
      </c>
      <c r="I333" s="28">
        <v>415.81027667984165</v>
      </c>
      <c r="J333" s="28">
        <v>13.917391304347788</v>
      </c>
      <c r="K333" s="28">
        <v>0</v>
      </c>
      <c r="L333" s="28">
        <v>0</v>
      </c>
      <c r="M333" s="28">
        <v>0</v>
      </c>
      <c r="N333" s="28">
        <v>0</v>
      </c>
      <c r="O333" s="28">
        <v>0</v>
      </c>
      <c r="P333" s="28">
        <v>0</v>
      </c>
      <c r="Q333" s="28">
        <v>0</v>
      </c>
      <c r="R333" s="28">
        <v>0</v>
      </c>
      <c r="S333" s="31">
        <v>0</v>
      </c>
      <c r="T333" s="31">
        <v>0</v>
      </c>
      <c r="U333" s="31">
        <v>0</v>
      </c>
      <c r="V333" s="31">
        <v>0</v>
      </c>
      <c r="W333" s="31">
        <v>0</v>
      </c>
      <c r="X333" s="31">
        <v>0</v>
      </c>
      <c r="Y333" s="46">
        <v>0</v>
      </c>
      <c r="AA333" s="52">
        <v>1445.379841897233</v>
      </c>
    </row>
    <row r="334" spans="2:27" ht="11.25" hidden="1">
      <c r="B334" s="39" t="s">
        <v>362</v>
      </c>
      <c r="C334" s="82" t="s">
        <v>24</v>
      </c>
      <c r="D334" s="83"/>
      <c r="E334" s="50" t="s">
        <v>123</v>
      </c>
      <c r="F334" s="28">
        <v>0</v>
      </c>
      <c r="G334" s="28">
        <v>33.913043478260875</v>
      </c>
      <c r="H334" s="28">
        <v>118.43478260869566</v>
      </c>
      <c r="I334" s="28">
        <v>62.371541501976246</v>
      </c>
      <c r="J334" s="28">
        <v>2.0876086956521682</v>
      </c>
      <c r="K334" s="28">
        <v>0</v>
      </c>
      <c r="L334" s="28">
        <v>0</v>
      </c>
      <c r="M334" s="28">
        <v>0</v>
      </c>
      <c r="N334" s="28">
        <v>0</v>
      </c>
      <c r="O334" s="28">
        <v>0</v>
      </c>
      <c r="P334" s="28">
        <v>0</v>
      </c>
      <c r="Q334" s="28">
        <v>0</v>
      </c>
      <c r="R334" s="28">
        <v>0</v>
      </c>
      <c r="S334" s="28">
        <v>0</v>
      </c>
      <c r="T334" s="28">
        <v>0</v>
      </c>
      <c r="U334" s="28">
        <v>0</v>
      </c>
      <c r="V334" s="31">
        <v>0</v>
      </c>
      <c r="W334" s="31">
        <v>0</v>
      </c>
      <c r="X334" s="31">
        <v>0</v>
      </c>
      <c r="Y334" s="46">
        <v>0</v>
      </c>
      <c r="AA334" s="54">
        <f>+AA333*'Assumptions and Basic Info'!$C$4</f>
        <v>1445.379841897233</v>
      </c>
    </row>
    <row r="335" spans="2:27" ht="11.25" hidden="1">
      <c r="B335" s="39" t="s">
        <v>363</v>
      </c>
      <c r="C335" s="82" t="s">
        <v>83</v>
      </c>
      <c r="D335" s="83"/>
      <c r="E335" s="50" t="s">
        <v>123</v>
      </c>
      <c r="F335" s="28">
        <v>68.1381818181818</v>
      </c>
      <c r="G335" s="28">
        <v>13.68</v>
      </c>
      <c r="H335" s="28">
        <v>42.84</v>
      </c>
      <c r="I335" s="28">
        <v>23.498181818181806</v>
      </c>
      <c r="J335" s="28">
        <v>1.440449999999996</v>
      </c>
      <c r="K335" s="28">
        <v>0</v>
      </c>
      <c r="L335" s="28">
        <v>0</v>
      </c>
      <c r="M335" s="28">
        <v>0</v>
      </c>
      <c r="N335" s="28">
        <v>0</v>
      </c>
      <c r="O335" s="28">
        <v>0</v>
      </c>
      <c r="P335" s="28">
        <v>0</v>
      </c>
      <c r="Q335" s="28">
        <v>0</v>
      </c>
      <c r="R335" s="28">
        <v>0</v>
      </c>
      <c r="S335" s="28">
        <v>0</v>
      </c>
      <c r="T335" s="28">
        <v>0</v>
      </c>
      <c r="U335" s="28">
        <v>0</v>
      </c>
      <c r="V335" s="31">
        <v>0</v>
      </c>
      <c r="W335" s="31">
        <v>0</v>
      </c>
      <c r="X335" s="31">
        <v>0</v>
      </c>
      <c r="Y335" s="46">
        <v>0</v>
      </c>
      <c r="AA335" s="54">
        <v>149.5968136363636</v>
      </c>
    </row>
    <row r="336" spans="2:27" ht="11.25" hidden="1">
      <c r="B336" s="39" t="s">
        <v>364</v>
      </c>
      <c r="C336" s="82" t="s">
        <v>82</v>
      </c>
      <c r="D336" s="83"/>
      <c r="E336" s="50" t="s">
        <v>123</v>
      </c>
      <c r="F336" s="28">
        <v>0</v>
      </c>
      <c r="G336" s="28">
        <v>1.3627636363636362</v>
      </c>
      <c r="H336" s="28">
        <v>6.836363636363637</v>
      </c>
      <c r="I336" s="28">
        <v>25.853163636363643</v>
      </c>
      <c r="J336" s="28">
        <v>35.88676363636364</v>
      </c>
      <c r="K336" s="28">
        <v>36.23567263636364</v>
      </c>
      <c r="L336" s="28">
        <v>36.23567263636364</v>
      </c>
      <c r="M336" s="28">
        <v>36.23567263636364</v>
      </c>
      <c r="N336" s="28">
        <v>36.23567263636364</v>
      </c>
      <c r="O336" s="28">
        <v>36.23567263636364</v>
      </c>
      <c r="P336" s="28">
        <v>36.23567263636364</v>
      </c>
      <c r="Q336" s="28">
        <v>36.23567263636364</v>
      </c>
      <c r="R336" s="28">
        <v>36.23567263636364</v>
      </c>
      <c r="S336" s="28">
        <v>36.23567263636364</v>
      </c>
      <c r="T336" s="28">
        <v>36.23567263636364</v>
      </c>
      <c r="U336" s="28">
        <v>36.23567263636364</v>
      </c>
      <c r="V336" s="28">
        <v>36.23567263636364</v>
      </c>
      <c r="W336" s="28">
        <v>36.23567263636364</v>
      </c>
      <c r="X336" s="28">
        <v>36.23567263636364</v>
      </c>
      <c r="Y336" s="40">
        <v>36.23567263636364</v>
      </c>
      <c r="AA336" s="52"/>
    </row>
    <row r="337" spans="2:27" ht="11.25" hidden="1">
      <c r="B337" s="39" t="s">
        <v>629</v>
      </c>
      <c r="C337" s="82" t="s">
        <v>578</v>
      </c>
      <c r="D337" s="83"/>
      <c r="E337" s="50" t="s">
        <v>118</v>
      </c>
      <c r="F337" s="28">
        <v>109.78</v>
      </c>
      <c r="G337" s="28">
        <v>0</v>
      </c>
      <c r="H337" s="28">
        <v>0</v>
      </c>
      <c r="I337" s="28">
        <v>0</v>
      </c>
      <c r="J337" s="28">
        <v>0</v>
      </c>
      <c r="K337" s="28">
        <v>0</v>
      </c>
      <c r="L337" s="28">
        <v>0</v>
      </c>
      <c r="M337" s="28">
        <v>0</v>
      </c>
      <c r="N337" s="28">
        <v>0</v>
      </c>
      <c r="O337" s="28">
        <v>0</v>
      </c>
      <c r="P337" s="28">
        <v>0</v>
      </c>
      <c r="Q337" s="28">
        <v>0</v>
      </c>
      <c r="R337" s="28">
        <v>0</v>
      </c>
      <c r="S337" s="28">
        <v>0</v>
      </c>
      <c r="T337" s="28">
        <v>0</v>
      </c>
      <c r="U337" s="28">
        <v>0</v>
      </c>
      <c r="V337" s="28">
        <v>0</v>
      </c>
      <c r="W337" s="28">
        <v>0</v>
      </c>
      <c r="X337" s="28">
        <v>0</v>
      </c>
      <c r="Y337" s="40">
        <v>0</v>
      </c>
      <c r="AA337" s="52">
        <v>109.78</v>
      </c>
    </row>
    <row r="338" spans="2:27" ht="11.25" hidden="1">
      <c r="B338" s="39" t="s">
        <v>723</v>
      </c>
      <c r="C338" s="82" t="s">
        <v>691</v>
      </c>
      <c r="D338" s="83"/>
      <c r="E338" s="50" t="s">
        <v>123</v>
      </c>
      <c r="F338" s="28">
        <v>0</v>
      </c>
      <c r="G338" s="28">
        <v>0</v>
      </c>
      <c r="H338" s="28">
        <v>0.7580824972129322</v>
      </c>
      <c r="I338" s="28">
        <v>0.7580824972129322</v>
      </c>
      <c r="J338" s="28">
        <v>17.928082497212934</v>
      </c>
      <c r="K338" s="28">
        <v>0.27575250836120335</v>
      </c>
      <c r="L338" s="28">
        <v>0</v>
      </c>
      <c r="M338" s="28">
        <v>0</v>
      </c>
      <c r="N338" s="28">
        <v>0</v>
      </c>
      <c r="O338" s="28">
        <v>0</v>
      </c>
      <c r="P338" s="28">
        <v>0</v>
      </c>
      <c r="Q338" s="28">
        <v>0</v>
      </c>
      <c r="R338" s="28">
        <v>0</v>
      </c>
      <c r="S338" s="28">
        <v>0</v>
      </c>
      <c r="T338" s="28">
        <v>0</v>
      </c>
      <c r="U338" s="28">
        <v>0</v>
      </c>
      <c r="V338" s="28">
        <v>0</v>
      </c>
      <c r="W338" s="28">
        <v>0</v>
      </c>
      <c r="X338" s="28">
        <v>0</v>
      </c>
      <c r="Y338" s="40">
        <v>0</v>
      </c>
      <c r="AA338" s="52"/>
    </row>
    <row r="339" spans="2:27" ht="11.25" hidden="1">
      <c r="B339" s="39" t="s">
        <v>365</v>
      </c>
      <c r="C339" s="82" t="s">
        <v>724</v>
      </c>
      <c r="D339" s="83"/>
      <c r="E339" s="50" t="s">
        <v>123</v>
      </c>
      <c r="F339" s="28">
        <v>177.9181818181818</v>
      </c>
      <c r="G339" s="28">
        <v>275.04276363636365</v>
      </c>
      <c r="H339" s="28">
        <v>958.4344461335767</v>
      </c>
      <c r="I339" s="28">
        <v>528.2912461335764</v>
      </c>
      <c r="J339" s="28">
        <v>71.26029613357653</v>
      </c>
      <c r="K339" s="28">
        <v>36.51142514472484</v>
      </c>
      <c r="L339" s="28">
        <v>36.23567263636364</v>
      </c>
      <c r="M339" s="28">
        <v>36.23567263636364</v>
      </c>
      <c r="N339" s="28">
        <v>36.23567263636364</v>
      </c>
      <c r="O339" s="28">
        <v>36.23567263636364</v>
      </c>
      <c r="P339" s="28">
        <v>36.23567263636364</v>
      </c>
      <c r="Q339" s="28">
        <v>36.23567263636364</v>
      </c>
      <c r="R339" s="28">
        <v>36.23567263636364</v>
      </c>
      <c r="S339" s="28">
        <v>36.23567263636364</v>
      </c>
      <c r="T339" s="28">
        <v>36.23567263636364</v>
      </c>
      <c r="U339" s="28">
        <v>36.23567263636364</v>
      </c>
      <c r="V339" s="28">
        <v>36.23567263636364</v>
      </c>
      <c r="W339" s="28">
        <v>36.23567263636364</v>
      </c>
      <c r="X339" s="28">
        <v>36.23567263636364</v>
      </c>
      <c r="Y339" s="40">
        <v>36.23567263636364</v>
      </c>
      <c r="AA339" s="52">
        <f>+AA333+AA334+AA335</f>
        <v>3040.3564974308297</v>
      </c>
    </row>
    <row r="340" spans="2:27" ht="11.25" hidden="1">
      <c r="B340" s="39" t="s">
        <v>366</v>
      </c>
      <c r="C340" s="82" t="s">
        <v>128</v>
      </c>
      <c r="D340" s="83"/>
      <c r="E340" s="50" t="s">
        <v>123</v>
      </c>
      <c r="F340" s="28">
        <v>0</v>
      </c>
      <c r="G340" s="28">
        <v>0</v>
      </c>
      <c r="H340" s="28">
        <v>13.086068315930882</v>
      </c>
      <c r="I340" s="28">
        <v>35.473660288495</v>
      </c>
      <c r="J340" s="28">
        <v>538.4560491028226</v>
      </c>
      <c r="K340" s="28">
        <v>816.9048160885224</v>
      </c>
      <c r="L340" s="28">
        <v>1090.0809165533544</v>
      </c>
      <c r="M340" s="28">
        <v>1150.325068502445</v>
      </c>
      <c r="N340" s="28">
        <v>1207.8584003566646</v>
      </c>
      <c r="O340" s="28">
        <v>1253.2970989664016</v>
      </c>
      <c r="P340" s="28">
        <v>1253.3210453142276</v>
      </c>
      <c r="Q340" s="28">
        <v>1253.3210453142276</v>
      </c>
      <c r="R340" s="28">
        <v>1253.3210453142276</v>
      </c>
      <c r="S340" s="28">
        <v>1253.3210453142276</v>
      </c>
      <c r="T340" s="28">
        <v>1253.3210453142276</v>
      </c>
      <c r="U340" s="28">
        <v>1253.3210453142276</v>
      </c>
      <c r="V340" s="28">
        <v>1253.3210453142276</v>
      </c>
      <c r="W340" s="28">
        <v>1253.3210453142276</v>
      </c>
      <c r="X340" s="28">
        <v>1253.3210453142276</v>
      </c>
      <c r="Y340" s="40">
        <v>1253.3210453142276</v>
      </c>
      <c r="AA340" s="52"/>
    </row>
    <row r="341" spans="2:27" ht="11.25" hidden="1">
      <c r="B341" s="39" t="s">
        <v>367</v>
      </c>
      <c r="C341" s="82" t="s">
        <v>63</v>
      </c>
      <c r="D341" s="83"/>
      <c r="E341" s="50" t="s">
        <v>123</v>
      </c>
      <c r="F341" s="28">
        <v>0</v>
      </c>
      <c r="G341" s="28">
        <v>0</v>
      </c>
      <c r="H341" s="28">
        <v>0</v>
      </c>
      <c r="I341" s="28">
        <v>0</v>
      </c>
      <c r="J341" s="28">
        <v>21.1</v>
      </c>
      <c r="K341" s="28">
        <v>16.88</v>
      </c>
      <c r="L341" s="28">
        <v>12.66</v>
      </c>
      <c r="M341" s="28">
        <v>8.44</v>
      </c>
      <c r="N341" s="28">
        <v>4.22</v>
      </c>
      <c r="O341" s="28">
        <v>0</v>
      </c>
      <c r="P341" s="28">
        <v>0</v>
      </c>
      <c r="Q341" s="28">
        <v>0</v>
      </c>
      <c r="R341" s="28">
        <v>0</v>
      </c>
      <c r="S341" s="28">
        <v>0</v>
      </c>
      <c r="T341" s="28">
        <v>0</v>
      </c>
      <c r="U341" s="28">
        <v>0</v>
      </c>
      <c r="V341" s="28">
        <v>0</v>
      </c>
      <c r="W341" s="28">
        <v>0</v>
      </c>
      <c r="X341" s="28">
        <v>0</v>
      </c>
      <c r="Y341" s="40">
        <v>0</v>
      </c>
      <c r="AA341" s="52"/>
    </row>
    <row r="342" spans="2:27" ht="11.25" hidden="1">
      <c r="B342" s="39" t="s">
        <v>368</v>
      </c>
      <c r="C342" s="82" t="s">
        <v>369</v>
      </c>
      <c r="D342" s="83"/>
      <c r="E342" s="50" t="s">
        <v>123</v>
      </c>
      <c r="F342" s="28">
        <v>0</v>
      </c>
      <c r="G342" s="28">
        <v>0</v>
      </c>
      <c r="H342" s="28">
        <v>13.086068315930882</v>
      </c>
      <c r="I342" s="28">
        <v>35.473660288495</v>
      </c>
      <c r="J342" s="28">
        <v>559.5560491028226</v>
      </c>
      <c r="K342" s="28">
        <v>833.7848160885223</v>
      </c>
      <c r="L342" s="28">
        <v>1102.7409165533545</v>
      </c>
      <c r="M342" s="28">
        <v>1158.765068502445</v>
      </c>
      <c r="N342" s="28">
        <v>1212.0784003566646</v>
      </c>
      <c r="O342" s="28">
        <v>1253.2970989664016</v>
      </c>
      <c r="P342" s="28">
        <v>1253.3210453142276</v>
      </c>
      <c r="Q342" s="28">
        <v>1253.3210453142276</v>
      </c>
      <c r="R342" s="28">
        <v>1253.3210453142276</v>
      </c>
      <c r="S342" s="28">
        <v>1253.3210453142276</v>
      </c>
      <c r="T342" s="28">
        <v>1253.3210453142276</v>
      </c>
      <c r="U342" s="28">
        <v>1253.3210453142276</v>
      </c>
      <c r="V342" s="28">
        <v>1253.3210453142276</v>
      </c>
      <c r="W342" s="28">
        <v>1253.3210453142276</v>
      </c>
      <c r="X342" s="28">
        <v>1253.3210453142276</v>
      </c>
      <c r="Y342" s="40">
        <v>1253.3210453142276</v>
      </c>
      <c r="AA342" s="52"/>
    </row>
    <row r="343" spans="2:27" ht="11.25" hidden="1">
      <c r="B343" s="39" t="s">
        <v>370</v>
      </c>
      <c r="C343" s="82" t="s">
        <v>371</v>
      </c>
      <c r="D343" s="83"/>
      <c r="E343" s="50" t="s">
        <v>123</v>
      </c>
      <c r="F343" s="28">
        <v>-177.9181818181818</v>
      </c>
      <c r="G343" s="28">
        <v>-275.04276363636365</v>
      </c>
      <c r="H343" s="28">
        <v>-945.3483778176458</v>
      </c>
      <c r="I343" s="28">
        <v>-492.81758584508134</v>
      </c>
      <c r="J343" s="28">
        <v>488.2957529692461</v>
      </c>
      <c r="K343" s="28">
        <v>797.2733909437975</v>
      </c>
      <c r="L343" s="28">
        <v>1066.5052439169908</v>
      </c>
      <c r="M343" s="28">
        <v>1122.5293958660814</v>
      </c>
      <c r="N343" s="28">
        <v>1175.842727720301</v>
      </c>
      <c r="O343" s="28">
        <v>1217.0614263300379</v>
      </c>
      <c r="P343" s="28">
        <v>1217.085372677864</v>
      </c>
      <c r="Q343" s="28">
        <v>1217.085372677864</v>
      </c>
      <c r="R343" s="28">
        <v>1217.085372677864</v>
      </c>
      <c r="S343" s="28">
        <v>1217.085372677864</v>
      </c>
      <c r="T343" s="28">
        <v>1217.085372677864</v>
      </c>
      <c r="U343" s="28">
        <v>1217.085372677864</v>
      </c>
      <c r="V343" s="28">
        <v>1217.085372677864</v>
      </c>
      <c r="W343" s="28">
        <v>1217.085372677864</v>
      </c>
      <c r="X343" s="28">
        <v>1217.085372677864</v>
      </c>
      <c r="Y343" s="40">
        <v>1217.085372677864</v>
      </c>
      <c r="AA343" s="52"/>
    </row>
    <row r="344" spans="2:27" ht="11.25" hidden="1">
      <c r="B344" s="114" t="s">
        <v>372</v>
      </c>
      <c r="C344" s="91" t="s">
        <v>121</v>
      </c>
      <c r="D344" s="78">
        <f>+AA339</f>
        <v>3040.3564974308297</v>
      </c>
      <c r="E344" s="94"/>
      <c r="F344" s="73"/>
      <c r="G344" s="73"/>
      <c r="H344" s="73"/>
      <c r="I344" s="73"/>
      <c r="J344" s="73"/>
      <c r="K344" s="73"/>
      <c r="L344" s="73"/>
      <c r="M344" s="73"/>
      <c r="N344" s="73"/>
      <c r="O344" s="73"/>
      <c r="P344" s="73"/>
      <c r="Q344" s="73"/>
      <c r="R344" s="73"/>
      <c r="S344" s="73"/>
      <c r="T344" s="73"/>
      <c r="U344" s="73"/>
      <c r="V344" s="73"/>
      <c r="W344" s="73"/>
      <c r="X344" s="73"/>
      <c r="Y344" s="74"/>
      <c r="AA344" s="52"/>
    </row>
    <row r="345" spans="2:27" ht="11.25" hidden="1">
      <c r="B345" s="90" t="s">
        <v>373</v>
      </c>
      <c r="C345" s="92" t="s">
        <v>596</v>
      </c>
      <c r="D345" s="113">
        <f>+AA337</f>
        <v>109.78</v>
      </c>
      <c r="E345" s="95"/>
      <c r="F345" s="54"/>
      <c r="G345" s="54"/>
      <c r="H345" s="54"/>
      <c r="I345" s="54"/>
      <c r="J345" s="54"/>
      <c r="K345" s="54"/>
      <c r="L345" s="54"/>
      <c r="M345" s="54"/>
      <c r="N345" s="54"/>
      <c r="O345" s="54"/>
      <c r="P345" s="54"/>
      <c r="Q345" s="54"/>
      <c r="R345" s="54"/>
      <c r="S345" s="54"/>
      <c r="T345" s="54"/>
      <c r="U345" s="54"/>
      <c r="V345" s="54"/>
      <c r="W345" s="54"/>
      <c r="X345" s="54"/>
      <c r="Y345" s="75"/>
      <c r="AA345" s="52"/>
    </row>
    <row r="346" spans="2:27" ht="11.25" hidden="1">
      <c r="B346" s="90" t="s">
        <v>374</v>
      </c>
      <c r="C346" s="92" t="s">
        <v>57</v>
      </c>
      <c r="D346" s="79">
        <f>+IRR(F343:Y343)</f>
        <v>0.3387905256428077</v>
      </c>
      <c r="E346" s="95"/>
      <c r="F346" s="88"/>
      <c r="G346" s="54"/>
      <c r="H346" s="54"/>
      <c r="I346" s="54"/>
      <c r="J346" s="54"/>
      <c r="K346" s="54"/>
      <c r="L346" s="54"/>
      <c r="M346" s="54"/>
      <c r="N346" s="54"/>
      <c r="O346" s="54"/>
      <c r="P346" s="54"/>
      <c r="Q346" s="54"/>
      <c r="R346" s="54"/>
      <c r="S346" s="54"/>
      <c r="T346" s="54"/>
      <c r="U346" s="54"/>
      <c r="V346" s="54"/>
      <c r="W346" s="54"/>
      <c r="X346" s="54"/>
      <c r="Y346" s="75"/>
      <c r="AA346" s="52"/>
    </row>
    <row r="347" spans="2:27" ht="12" hidden="1" thickBot="1">
      <c r="B347" s="122" t="s">
        <v>630</v>
      </c>
      <c r="C347" s="102" t="s">
        <v>120</v>
      </c>
      <c r="D347" s="103">
        <f>+NPV('Assumptions and Basic Info'!$C$20,F343:Y343)</f>
        <v>4239.453312847659</v>
      </c>
      <c r="E347" s="108"/>
      <c r="F347" s="105"/>
      <c r="G347" s="127"/>
      <c r="H347" s="105"/>
      <c r="I347" s="105"/>
      <c r="J347" s="105"/>
      <c r="K347" s="105"/>
      <c r="L347" s="105"/>
      <c r="M347" s="105"/>
      <c r="N347" s="105"/>
      <c r="O347" s="105"/>
      <c r="P347" s="105"/>
      <c r="Q347" s="105"/>
      <c r="R347" s="105"/>
      <c r="S347" s="105"/>
      <c r="T347" s="105"/>
      <c r="U347" s="105"/>
      <c r="V347" s="105"/>
      <c r="W347" s="105"/>
      <c r="X347" s="105"/>
      <c r="Y347" s="106"/>
      <c r="AA347" s="52"/>
    </row>
    <row r="348" spans="2:27" ht="11.25" hidden="1">
      <c r="B348" s="44" t="s">
        <v>376</v>
      </c>
      <c r="C348" s="23" t="s">
        <v>411</v>
      </c>
      <c r="D348" s="23"/>
      <c r="E348" s="51"/>
      <c r="F348" s="24"/>
      <c r="G348" s="24"/>
      <c r="H348" s="24"/>
      <c r="I348" s="24"/>
      <c r="J348" s="24"/>
      <c r="K348" s="24"/>
      <c r="L348" s="24"/>
      <c r="M348" s="24"/>
      <c r="N348" s="24"/>
      <c r="O348" s="24"/>
      <c r="P348" s="24"/>
      <c r="Q348" s="24"/>
      <c r="R348" s="24"/>
      <c r="S348" s="24"/>
      <c r="T348" s="24"/>
      <c r="U348" s="24"/>
      <c r="V348" s="24"/>
      <c r="W348" s="24"/>
      <c r="X348" s="24"/>
      <c r="Y348" s="45"/>
      <c r="AA348" s="52"/>
    </row>
    <row r="349" spans="2:27" ht="11.25" hidden="1">
      <c r="B349" s="37" t="s">
        <v>377</v>
      </c>
      <c r="C349" s="80" t="s">
        <v>124</v>
      </c>
      <c r="D349" s="81"/>
      <c r="E349" s="49" t="s">
        <v>54</v>
      </c>
      <c r="F349" s="27">
        <v>1163</v>
      </c>
      <c r="G349" s="27">
        <v>1139.74</v>
      </c>
      <c r="H349" s="27">
        <v>1116.9452</v>
      </c>
      <c r="I349" s="27">
        <v>1094.606296</v>
      </c>
      <c r="J349" s="27">
        <v>1072.7141700799998</v>
      </c>
      <c r="K349" s="27">
        <v>1051.2598866784</v>
      </c>
      <c r="L349" s="27">
        <v>1030.2346889448318</v>
      </c>
      <c r="M349" s="27">
        <v>1009.6299951659353</v>
      </c>
      <c r="N349" s="27">
        <v>989.4373952626165</v>
      </c>
      <c r="O349" s="27">
        <v>969.6486473573641</v>
      </c>
      <c r="P349" s="27">
        <v>950.2556744102167</v>
      </c>
      <c r="Q349" s="27">
        <v>931.2505609220125</v>
      </c>
      <c r="R349" s="27">
        <v>912.6255497035722</v>
      </c>
      <c r="S349" s="27">
        <v>894.3730387095006</v>
      </c>
      <c r="T349" s="27">
        <v>876.4855779353106</v>
      </c>
      <c r="U349" s="27">
        <v>858.9558663766045</v>
      </c>
      <c r="V349" s="27">
        <v>841.7767490490724</v>
      </c>
      <c r="W349" s="27">
        <v>824.9412140680909</v>
      </c>
      <c r="X349" s="27">
        <v>808.4423897867291</v>
      </c>
      <c r="Y349" s="38">
        <v>792.2735419909945</v>
      </c>
      <c r="AA349" s="52">
        <v>1163</v>
      </c>
    </row>
    <row r="350" spans="2:28" ht="11.25" hidden="1">
      <c r="B350" s="39" t="s">
        <v>378</v>
      </c>
      <c r="C350" s="82" t="s">
        <v>125</v>
      </c>
      <c r="D350" s="83"/>
      <c r="E350" s="50" t="s">
        <v>54</v>
      </c>
      <c r="F350" s="28">
        <v>1163</v>
      </c>
      <c r="G350" s="28">
        <v>1139.74</v>
      </c>
      <c r="H350" s="28">
        <v>1130.1622720514</v>
      </c>
      <c r="I350" s="28">
        <v>1121.0404401027995</v>
      </c>
      <c r="J350" s="28">
        <v>2220.651216154199</v>
      </c>
      <c r="K350" s="28">
        <v>2227</v>
      </c>
      <c r="L350" s="28">
        <v>2227</v>
      </c>
      <c r="M350" s="28">
        <v>2227</v>
      </c>
      <c r="N350" s="28">
        <v>2227</v>
      </c>
      <c r="O350" s="28">
        <v>2227</v>
      </c>
      <c r="P350" s="28">
        <v>2227</v>
      </c>
      <c r="Q350" s="28">
        <v>2227</v>
      </c>
      <c r="R350" s="28">
        <v>2227</v>
      </c>
      <c r="S350" s="28">
        <v>2227</v>
      </c>
      <c r="T350" s="28">
        <v>2227</v>
      </c>
      <c r="U350" s="28">
        <v>2227</v>
      </c>
      <c r="V350" s="28">
        <v>2227</v>
      </c>
      <c r="W350" s="28">
        <v>2227</v>
      </c>
      <c r="X350" s="28">
        <v>2227</v>
      </c>
      <c r="Y350" s="40">
        <v>2227</v>
      </c>
      <c r="AA350" s="52">
        <v>2227</v>
      </c>
      <c r="AB350" s="52">
        <v>1064</v>
      </c>
    </row>
    <row r="351" spans="2:27" ht="11.25" hidden="1">
      <c r="B351" s="39" t="s">
        <v>379</v>
      </c>
      <c r="C351" s="82" t="s">
        <v>81</v>
      </c>
      <c r="D351" s="83"/>
      <c r="E351" s="50" t="s">
        <v>54</v>
      </c>
      <c r="F351" s="28">
        <v>0</v>
      </c>
      <c r="G351" s="28">
        <v>0</v>
      </c>
      <c r="H351" s="28">
        <v>13.217072051399782</v>
      </c>
      <c r="I351" s="28">
        <v>26.434144102799564</v>
      </c>
      <c r="J351" s="28">
        <v>1147.9370460741993</v>
      </c>
      <c r="K351" s="28">
        <v>1175.7401133216</v>
      </c>
      <c r="L351" s="28">
        <v>1196.7653110551682</v>
      </c>
      <c r="M351" s="28">
        <v>1217.3700048340647</v>
      </c>
      <c r="N351" s="28">
        <v>1237.5626047373835</v>
      </c>
      <c r="O351" s="28">
        <v>1257.351352642636</v>
      </c>
      <c r="P351" s="28">
        <v>1276.7443255897833</v>
      </c>
      <c r="Q351" s="28">
        <v>1295.7494390779875</v>
      </c>
      <c r="R351" s="28">
        <v>1314.3744502964278</v>
      </c>
      <c r="S351" s="28">
        <v>1332.6269612904994</v>
      </c>
      <c r="T351" s="28">
        <v>1350.5144220646894</v>
      </c>
      <c r="U351" s="28">
        <v>1368.0441336233955</v>
      </c>
      <c r="V351" s="28">
        <v>1385.2232509509276</v>
      </c>
      <c r="W351" s="28">
        <v>1402.0587859319091</v>
      </c>
      <c r="X351" s="28">
        <v>1418.557610213271</v>
      </c>
      <c r="Y351" s="40">
        <v>1434.7264580090055</v>
      </c>
      <c r="AA351" s="52">
        <v>1064</v>
      </c>
    </row>
    <row r="352" spans="2:27" ht="11.25" hidden="1">
      <c r="B352" s="39" t="s">
        <v>380</v>
      </c>
      <c r="C352" s="82" t="s">
        <v>58</v>
      </c>
      <c r="D352" s="83"/>
      <c r="E352" s="50" t="s">
        <v>123</v>
      </c>
      <c r="F352" s="28">
        <v>0</v>
      </c>
      <c r="G352" s="28">
        <v>31.30434782608696</v>
      </c>
      <c r="H352" s="28">
        <v>597.8964426877471</v>
      </c>
      <c r="I352" s="28">
        <v>197.3122529644269</v>
      </c>
      <c r="J352" s="28">
        <v>15.036956521739128</v>
      </c>
      <c r="K352" s="28">
        <v>0</v>
      </c>
      <c r="L352" s="31">
        <v>0</v>
      </c>
      <c r="M352" s="31">
        <v>0</v>
      </c>
      <c r="N352" s="31">
        <v>0</v>
      </c>
      <c r="O352" s="31">
        <v>0</v>
      </c>
      <c r="P352" s="31">
        <v>0</v>
      </c>
      <c r="Q352" s="31">
        <v>0</v>
      </c>
      <c r="R352" s="31">
        <v>0</v>
      </c>
      <c r="S352" s="31">
        <v>0</v>
      </c>
      <c r="T352" s="31">
        <v>0</v>
      </c>
      <c r="U352" s="31">
        <v>0</v>
      </c>
      <c r="V352" s="31">
        <v>0</v>
      </c>
      <c r="W352" s="31">
        <v>0</v>
      </c>
      <c r="X352" s="31">
        <v>0</v>
      </c>
      <c r="Y352" s="46">
        <v>0</v>
      </c>
      <c r="AA352" s="54">
        <v>841.55</v>
      </c>
    </row>
    <row r="353" spans="2:27" ht="11.25" hidden="1">
      <c r="B353" s="39" t="s">
        <v>381</v>
      </c>
      <c r="C353" s="82" t="s">
        <v>24</v>
      </c>
      <c r="D353" s="83"/>
      <c r="E353" s="50" t="s">
        <v>123</v>
      </c>
      <c r="F353" s="28">
        <v>0</v>
      </c>
      <c r="G353" s="28">
        <v>4.695652173913044</v>
      </c>
      <c r="H353" s="28">
        <v>89.68446640316206</v>
      </c>
      <c r="I353" s="28">
        <v>29.59683794466403</v>
      </c>
      <c r="J353" s="28">
        <v>2.255543478260869</v>
      </c>
      <c r="K353" s="28">
        <v>0</v>
      </c>
      <c r="L353" s="28">
        <v>0</v>
      </c>
      <c r="M353" s="28">
        <v>0</v>
      </c>
      <c r="N353" s="28">
        <v>0</v>
      </c>
      <c r="O353" s="28">
        <v>0</v>
      </c>
      <c r="P353" s="28">
        <v>0</v>
      </c>
      <c r="Q353" s="28">
        <v>0</v>
      </c>
      <c r="R353" s="28">
        <v>0</v>
      </c>
      <c r="S353" s="28">
        <v>0</v>
      </c>
      <c r="T353" s="28">
        <v>0</v>
      </c>
      <c r="U353" s="28">
        <v>0</v>
      </c>
      <c r="V353" s="31">
        <v>0</v>
      </c>
      <c r="W353" s="31">
        <v>0</v>
      </c>
      <c r="X353" s="31">
        <v>0</v>
      </c>
      <c r="Y353" s="46">
        <v>0</v>
      </c>
      <c r="AA353" s="54">
        <f>+AA352*'Assumptions and Basic Info'!$C$4</f>
        <v>841.55</v>
      </c>
    </row>
    <row r="354" spans="2:27" ht="11.25" hidden="1">
      <c r="B354" s="39" t="s">
        <v>382</v>
      </c>
      <c r="C354" s="82" t="s">
        <v>83</v>
      </c>
      <c r="D354" s="83"/>
      <c r="E354" s="50" t="s">
        <v>123</v>
      </c>
      <c r="F354" s="28">
        <v>0</v>
      </c>
      <c r="G354" s="28">
        <v>45.36450000000001</v>
      </c>
      <c r="H354" s="28">
        <v>35.81904545454546</v>
      </c>
      <c r="I354" s="28">
        <v>12.785454545454547</v>
      </c>
      <c r="J354" s="28">
        <v>1.5563249999999997</v>
      </c>
      <c r="K354" s="28">
        <v>0</v>
      </c>
      <c r="L354" s="28">
        <v>0</v>
      </c>
      <c r="M354" s="28">
        <v>0</v>
      </c>
      <c r="N354" s="28">
        <v>0</v>
      </c>
      <c r="O354" s="28">
        <v>0</v>
      </c>
      <c r="P354" s="28">
        <v>0</v>
      </c>
      <c r="Q354" s="28">
        <v>0</v>
      </c>
      <c r="R354" s="28">
        <v>0</v>
      </c>
      <c r="S354" s="28">
        <v>0</v>
      </c>
      <c r="T354" s="28">
        <v>0</v>
      </c>
      <c r="U354" s="28">
        <v>0</v>
      </c>
      <c r="V354" s="31">
        <v>0</v>
      </c>
      <c r="W354" s="31">
        <v>0</v>
      </c>
      <c r="X354" s="31">
        <v>0</v>
      </c>
      <c r="Y354" s="46">
        <v>0</v>
      </c>
      <c r="AA354" s="54">
        <v>95.52532500000001</v>
      </c>
    </row>
    <row r="355" spans="2:27" ht="11.25" hidden="1">
      <c r="B355" s="39" t="s">
        <v>383</v>
      </c>
      <c r="C355" s="82" t="s">
        <v>82</v>
      </c>
      <c r="D355" s="83"/>
      <c r="E355" s="50" t="s">
        <v>123</v>
      </c>
      <c r="F355" s="28">
        <v>0</v>
      </c>
      <c r="G355" s="28">
        <v>0</v>
      </c>
      <c r="H355" s="28">
        <v>2.048535</v>
      </c>
      <c r="I355" s="28">
        <v>24.335505000000005</v>
      </c>
      <c r="J355" s="28">
        <v>31.13394136363637</v>
      </c>
      <c r="K355" s="28">
        <v>31.51091786363637</v>
      </c>
      <c r="L355" s="28">
        <v>31.51091786363637</v>
      </c>
      <c r="M355" s="28">
        <v>31.51091786363637</v>
      </c>
      <c r="N355" s="28">
        <v>31.51091786363637</v>
      </c>
      <c r="O355" s="28">
        <v>31.51091786363637</v>
      </c>
      <c r="P355" s="28">
        <v>31.51091786363637</v>
      </c>
      <c r="Q355" s="28">
        <v>31.51091786363637</v>
      </c>
      <c r="R355" s="28">
        <v>31.51091786363637</v>
      </c>
      <c r="S355" s="28">
        <v>31.51091786363637</v>
      </c>
      <c r="T355" s="28">
        <v>31.51091786363637</v>
      </c>
      <c r="U355" s="28">
        <v>31.51091786363637</v>
      </c>
      <c r="V355" s="28">
        <v>31.51091786363637</v>
      </c>
      <c r="W355" s="28">
        <v>31.51091786363637</v>
      </c>
      <c r="X355" s="28">
        <v>31.51091786363637</v>
      </c>
      <c r="Y355" s="40">
        <v>31.51091786363637</v>
      </c>
      <c r="AA355" s="52"/>
    </row>
    <row r="356" spans="2:27" ht="11.25" hidden="1">
      <c r="B356" s="39" t="s">
        <v>633</v>
      </c>
      <c r="C356" s="82" t="s">
        <v>578</v>
      </c>
      <c r="D356" s="83"/>
      <c r="E356" s="50" t="s">
        <v>118</v>
      </c>
      <c r="F356" s="28">
        <v>0</v>
      </c>
      <c r="G356" s="28">
        <v>14.3</v>
      </c>
      <c r="H356" s="28">
        <v>0</v>
      </c>
      <c r="I356" s="28">
        <v>0</v>
      </c>
      <c r="J356" s="28">
        <v>0</v>
      </c>
      <c r="K356" s="28">
        <v>0</v>
      </c>
      <c r="L356" s="28">
        <v>0</v>
      </c>
      <c r="M356" s="28">
        <v>0</v>
      </c>
      <c r="N356" s="28">
        <v>0</v>
      </c>
      <c r="O356" s="28">
        <v>0</v>
      </c>
      <c r="P356" s="28">
        <v>0</v>
      </c>
      <c r="Q356" s="28">
        <v>0</v>
      </c>
      <c r="R356" s="28">
        <v>0</v>
      </c>
      <c r="S356" s="28">
        <v>0</v>
      </c>
      <c r="T356" s="28">
        <v>0</v>
      </c>
      <c r="U356" s="28">
        <v>0</v>
      </c>
      <c r="V356" s="28">
        <v>0</v>
      </c>
      <c r="W356" s="28">
        <v>0</v>
      </c>
      <c r="X356" s="28">
        <v>0</v>
      </c>
      <c r="Y356" s="40">
        <v>0</v>
      </c>
      <c r="AA356" s="52">
        <v>14.3</v>
      </c>
    </row>
    <row r="357" spans="2:27" ht="11.25" hidden="1">
      <c r="B357" s="39" t="s">
        <v>725</v>
      </c>
      <c r="C357" s="82" t="s">
        <v>691</v>
      </c>
      <c r="D357" s="83"/>
      <c r="E357" s="50" t="s">
        <v>118</v>
      </c>
      <c r="F357" s="28">
        <v>0</v>
      </c>
      <c r="G357" s="28">
        <v>0</v>
      </c>
      <c r="H357" s="28">
        <v>9.623958323689717</v>
      </c>
      <c r="I357" s="28">
        <v>9.623958323689717</v>
      </c>
      <c r="J357" s="28">
        <v>750.8766000143718</v>
      </c>
      <c r="K357" s="28">
        <v>4.622841647566786</v>
      </c>
      <c r="L357" s="28">
        <v>0</v>
      </c>
      <c r="M357" s="28">
        <v>0</v>
      </c>
      <c r="N357" s="28">
        <v>0</v>
      </c>
      <c r="O357" s="28">
        <v>0</v>
      </c>
      <c r="P357" s="28">
        <v>0</v>
      </c>
      <c r="Q357" s="28">
        <v>0</v>
      </c>
      <c r="R357" s="28">
        <v>0</v>
      </c>
      <c r="S357" s="28">
        <v>0</v>
      </c>
      <c r="T357" s="28">
        <v>0</v>
      </c>
      <c r="U357" s="28">
        <v>0</v>
      </c>
      <c r="V357" s="28">
        <v>0</v>
      </c>
      <c r="W357" s="28">
        <v>0</v>
      </c>
      <c r="X357" s="28">
        <v>0</v>
      </c>
      <c r="Y357" s="40">
        <v>0</v>
      </c>
      <c r="AA357" s="52"/>
    </row>
    <row r="358" spans="2:27" ht="11.25" hidden="1">
      <c r="B358" s="39" t="s">
        <v>384</v>
      </c>
      <c r="C358" s="82" t="s">
        <v>726</v>
      </c>
      <c r="D358" s="83"/>
      <c r="E358" s="50" t="s">
        <v>123</v>
      </c>
      <c r="F358" s="28">
        <v>0</v>
      </c>
      <c r="G358" s="28">
        <v>95.66450000000002</v>
      </c>
      <c r="H358" s="28">
        <v>735.0724478691444</v>
      </c>
      <c r="I358" s="28">
        <v>273.65400877823515</v>
      </c>
      <c r="J358" s="28">
        <v>800.8593663780082</v>
      </c>
      <c r="K358" s="28">
        <v>36.13375951120315</v>
      </c>
      <c r="L358" s="28">
        <v>31.51091786363637</v>
      </c>
      <c r="M358" s="28">
        <v>31.51091786363637</v>
      </c>
      <c r="N358" s="28">
        <v>31.51091786363637</v>
      </c>
      <c r="O358" s="28">
        <v>31.51091786363637</v>
      </c>
      <c r="P358" s="28">
        <v>31.51091786363637</v>
      </c>
      <c r="Q358" s="28">
        <v>31.51091786363637</v>
      </c>
      <c r="R358" s="28">
        <v>31.51091786363637</v>
      </c>
      <c r="S358" s="28">
        <v>31.51091786363637</v>
      </c>
      <c r="T358" s="28">
        <v>31.51091786363637</v>
      </c>
      <c r="U358" s="28">
        <v>31.51091786363637</v>
      </c>
      <c r="V358" s="28">
        <v>31.51091786363637</v>
      </c>
      <c r="W358" s="28">
        <v>31.51091786363637</v>
      </c>
      <c r="X358" s="28">
        <v>31.51091786363637</v>
      </c>
      <c r="Y358" s="40">
        <v>31.51091786363637</v>
      </c>
      <c r="AA358" s="52">
        <f>+AA352+AA353+AA354</f>
        <v>1778.625325</v>
      </c>
    </row>
    <row r="359" spans="2:27" ht="11.25" hidden="1">
      <c r="B359" s="39" t="s">
        <v>385</v>
      </c>
      <c r="C359" s="82" t="s">
        <v>128</v>
      </c>
      <c r="D359" s="83"/>
      <c r="E359" s="50" t="s">
        <v>123</v>
      </c>
      <c r="F359" s="28">
        <v>0</v>
      </c>
      <c r="G359" s="28">
        <v>0</v>
      </c>
      <c r="H359" s="28">
        <v>0.6847882240835435</v>
      </c>
      <c r="I359" s="28">
        <v>-5.920070909833637</v>
      </c>
      <c r="J359" s="28">
        <v>308.7091914801788</v>
      </c>
      <c r="K359" s="28">
        <v>-171.43521352490444</v>
      </c>
      <c r="L359" s="28">
        <v>87.4844133025585</v>
      </c>
      <c r="M359" s="28">
        <v>1957.5849963319015</v>
      </c>
      <c r="N359" s="28">
        <v>3373.1360347914047</v>
      </c>
      <c r="O359" s="28">
        <v>3723.464035821221</v>
      </c>
      <c r="P359" s="28">
        <v>3782.439787633191</v>
      </c>
      <c r="Q359" s="28">
        <v>3838.524495629203</v>
      </c>
      <c r="R359" s="28">
        <v>3893.487509465295</v>
      </c>
      <c r="S359" s="28">
        <v>3947.3512630246646</v>
      </c>
      <c r="T359" s="28">
        <v>4000.1377415128472</v>
      </c>
      <c r="U359" s="28">
        <v>4051.8684904312663</v>
      </c>
      <c r="V359" s="28">
        <v>4102.564624371317</v>
      </c>
      <c r="W359" s="28">
        <v>4152.246835632566</v>
      </c>
      <c r="X359" s="28">
        <v>4200.935402668591</v>
      </c>
      <c r="Y359" s="40">
        <v>4248.650198363895</v>
      </c>
      <c r="AA359" s="52"/>
    </row>
    <row r="360" spans="2:27" ht="11.25" hidden="1">
      <c r="B360" s="39" t="s">
        <v>386</v>
      </c>
      <c r="C360" s="82" t="s">
        <v>387</v>
      </c>
      <c r="D360" s="83"/>
      <c r="E360" s="50" t="s">
        <v>123</v>
      </c>
      <c r="F360" s="28">
        <v>0</v>
      </c>
      <c r="G360" s="28">
        <v>0</v>
      </c>
      <c r="H360" s="28">
        <v>0.6847882240835435</v>
      </c>
      <c r="I360" s="28">
        <v>-5.920070909833637</v>
      </c>
      <c r="J360" s="28">
        <v>308.7091914801788</v>
      </c>
      <c r="K360" s="28">
        <v>-171.43521352490444</v>
      </c>
      <c r="L360" s="28">
        <v>87.4844133025585</v>
      </c>
      <c r="M360" s="28">
        <v>1957.5849963319015</v>
      </c>
      <c r="N360" s="28">
        <v>3373.1360347914047</v>
      </c>
      <c r="O360" s="28">
        <v>3723.464035821221</v>
      </c>
      <c r="P360" s="28">
        <v>3782.439787633191</v>
      </c>
      <c r="Q360" s="28">
        <v>3838.524495629203</v>
      </c>
      <c r="R360" s="28">
        <v>3893.487509465295</v>
      </c>
      <c r="S360" s="28">
        <v>3947.3512630246646</v>
      </c>
      <c r="T360" s="28">
        <v>4000.1377415128472</v>
      </c>
      <c r="U360" s="28">
        <v>4051.8684904312663</v>
      </c>
      <c r="V360" s="28">
        <v>4102.564624371317</v>
      </c>
      <c r="W360" s="28">
        <v>4152.246835632566</v>
      </c>
      <c r="X360" s="28">
        <v>4200.935402668591</v>
      </c>
      <c r="Y360" s="40">
        <v>4248.650198363895</v>
      </c>
      <c r="AA360" s="52"/>
    </row>
    <row r="361" spans="2:27" ht="11.25" hidden="1">
      <c r="B361" s="39" t="s">
        <v>388</v>
      </c>
      <c r="C361" s="82" t="s">
        <v>389</v>
      </c>
      <c r="D361" s="83"/>
      <c r="E361" s="50" t="s">
        <v>123</v>
      </c>
      <c r="F361" s="28">
        <v>0</v>
      </c>
      <c r="G361" s="28">
        <v>-95.66450000000002</v>
      </c>
      <c r="H361" s="28">
        <v>-734.3876596450609</v>
      </c>
      <c r="I361" s="28">
        <v>-279.57407968806876</v>
      </c>
      <c r="J361" s="28">
        <v>-492.1501748978294</v>
      </c>
      <c r="K361" s="28">
        <v>-207.5689730361076</v>
      </c>
      <c r="L361" s="28">
        <v>55.97349543892213</v>
      </c>
      <c r="M361" s="28">
        <v>1926.074078468265</v>
      </c>
      <c r="N361" s="28">
        <v>3341.6251169277684</v>
      </c>
      <c r="O361" s="28">
        <v>3691.9531179575847</v>
      </c>
      <c r="P361" s="28">
        <v>3750.9288697695547</v>
      </c>
      <c r="Q361" s="28">
        <v>3807.013577765567</v>
      </c>
      <c r="R361" s="28">
        <v>3861.9765916016586</v>
      </c>
      <c r="S361" s="28">
        <v>3915.8403451610284</v>
      </c>
      <c r="T361" s="28">
        <v>3968.626823649211</v>
      </c>
      <c r="U361" s="28">
        <v>4020.35757256763</v>
      </c>
      <c r="V361" s="28">
        <v>4071.053706507681</v>
      </c>
      <c r="W361" s="28">
        <v>4120.7359177689295</v>
      </c>
      <c r="X361" s="28">
        <v>4169.424484804955</v>
      </c>
      <c r="Y361" s="40">
        <v>4217.139280500258</v>
      </c>
      <c r="AA361" s="52"/>
    </row>
    <row r="362" spans="2:27" ht="11.25" hidden="1">
      <c r="B362" s="114" t="s">
        <v>390</v>
      </c>
      <c r="C362" s="91" t="s">
        <v>121</v>
      </c>
      <c r="D362" s="78">
        <f>+AA358</f>
        <v>1778.625325</v>
      </c>
      <c r="E362" s="94"/>
      <c r="F362" s="73"/>
      <c r="G362" s="73"/>
      <c r="H362" s="73"/>
      <c r="I362" s="73"/>
      <c r="J362" s="73"/>
      <c r="K362" s="73"/>
      <c r="L362" s="73"/>
      <c r="M362" s="73"/>
      <c r="N362" s="73"/>
      <c r="O362" s="73"/>
      <c r="P362" s="73"/>
      <c r="Q362" s="73"/>
      <c r="R362" s="73"/>
      <c r="S362" s="73"/>
      <c r="T362" s="73"/>
      <c r="U362" s="73"/>
      <c r="V362" s="73"/>
      <c r="W362" s="73"/>
      <c r="X362" s="73"/>
      <c r="Y362" s="74"/>
      <c r="AA362" s="52"/>
    </row>
    <row r="363" spans="2:27" ht="11.25" hidden="1">
      <c r="B363" s="90" t="s">
        <v>391</v>
      </c>
      <c r="C363" s="92" t="s">
        <v>596</v>
      </c>
      <c r="D363" s="113">
        <f>+AA356</f>
        <v>14.3</v>
      </c>
      <c r="E363" s="95"/>
      <c r="F363" s="54"/>
      <c r="G363" s="54"/>
      <c r="H363" s="54"/>
      <c r="I363" s="54"/>
      <c r="J363" s="54"/>
      <c r="K363" s="54"/>
      <c r="L363" s="54"/>
      <c r="M363" s="54"/>
      <c r="N363" s="54"/>
      <c r="O363" s="54"/>
      <c r="P363" s="54"/>
      <c r="Q363" s="54"/>
      <c r="R363" s="54"/>
      <c r="S363" s="54"/>
      <c r="T363" s="54"/>
      <c r="U363" s="54"/>
      <c r="V363" s="54"/>
      <c r="W363" s="54"/>
      <c r="X363" s="54"/>
      <c r="Y363" s="75"/>
      <c r="AA363" s="52"/>
    </row>
    <row r="364" spans="2:27" ht="11.25" hidden="1">
      <c r="B364" s="90" t="s">
        <v>392</v>
      </c>
      <c r="C364" s="92" t="s">
        <v>57</v>
      </c>
      <c r="D364" s="79">
        <f>+IRR(F361:Y361)</f>
        <v>0.4785036966151313</v>
      </c>
      <c r="E364" s="95"/>
      <c r="F364" s="88"/>
      <c r="G364" s="54"/>
      <c r="H364" s="54"/>
      <c r="I364" s="54"/>
      <c r="J364" s="54"/>
      <c r="K364" s="54"/>
      <c r="L364" s="54"/>
      <c r="M364" s="54"/>
      <c r="N364" s="54"/>
      <c r="O364" s="54"/>
      <c r="P364" s="54"/>
      <c r="Q364" s="54"/>
      <c r="R364" s="54"/>
      <c r="S364" s="54"/>
      <c r="T364" s="54"/>
      <c r="U364" s="54"/>
      <c r="V364" s="54"/>
      <c r="W364" s="54"/>
      <c r="X364" s="54"/>
      <c r="Y364" s="75"/>
      <c r="AA364" s="52"/>
    </row>
    <row r="365" spans="2:27" ht="12" hidden="1" thickBot="1">
      <c r="B365" s="122" t="s">
        <v>634</v>
      </c>
      <c r="C365" s="102" t="s">
        <v>120</v>
      </c>
      <c r="D365" s="103">
        <f>+NPV('Assumptions and Basic Info'!$C$20,F361:Y361)</f>
        <v>11881.035813833356</v>
      </c>
      <c r="E365" s="108"/>
      <c r="F365" s="105"/>
      <c r="G365" s="127"/>
      <c r="H365" s="105"/>
      <c r="I365" s="105"/>
      <c r="J365" s="105"/>
      <c r="K365" s="105"/>
      <c r="L365" s="105"/>
      <c r="M365" s="105"/>
      <c r="N365" s="105"/>
      <c r="O365" s="105"/>
      <c r="P365" s="105"/>
      <c r="Q365" s="105"/>
      <c r="R365" s="105"/>
      <c r="S365" s="105"/>
      <c r="T365" s="105"/>
      <c r="U365" s="105"/>
      <c r="V365" s="105"/>
      <c r="W365" s="105"/>
      <c r="X365" s="105"/>
      <c r="Y365" s="106"/>
      <c r="AA365" s="52"/>
    </row>
    <row r="366" spans="2:27" ht="11.25" hidden="1">
      <c r="B366" s="44" t="s">
        <v>393</v>
      </c>
      <c r="C366" s="23" t="s">
        <v>412</v>
      </c>
      <c r="D366" s="23"/>
      <c r="E366" s="51"/>
      <c r="F366" s="24"/>
      <c r="G366" s="24"/>
      <c r="H366" s="24"/>
      <c r="I366" s="24"/>
      <c r="J366" s="24"/>
      <c r="K366" s="24"/>
      <c r="L366" s="24"/>
      <c r="M366" s="24"/>
      <c r="N366" s="24"/>
      <c r="O366" s="24"/>
      <c r="P366" s="24"/>
      <c r="Q366" s="24"/>
      <c r="R366" s="24"/>
      <c r="S366" s="24"/>
      <c r="T366" s="24"/>
      <c r="U366" s="24"/>
      <c r="V366" s="24"/>
      <c r="W366" s="24"/>
      <c r="X366" s="24"/>
      <c r="Y366" s="45"/>
      <c r="AA366" s="52"/>
    </row>
    <row r="367" spans="2:28" ht="11.25" hidden="1">
      <c r="B367" s="37" t="s">
        <v>394</v>
      </c>
      <c r="C367" s="80" t="s">
        <v>124</v>
      </c>
      <c r="D367" s="81"/>
      <c r="E367" s="49" t="s">
        <v>54</v>
      </c>
      <c r="F367" s="27">
        <v>230</v>
      </c>
      <c r="G367" s="27">
        <v>221.1111111111111</v>
      </c>
      <c r="H367" s="27">
        <v>212.22222222222223</v>
      </c>
      <c r="I367" s="27">
        <v>203.33333333333337</v>
      </c>
      <c r="J367" s="27">
        <v>194.44444444444446</v>
      </c>
      <c r="K367" s="27">
        <v>185.55555555555554</v>
      </c>
      <c r="L367" s="27">
        <v>176.66666666666669</v>
      </c>
      <c r="M367" s="27">
        <v>167.7777777777778</v>
      </c>
      <c r="N367" s="27">
        <v>158.8888888888889</v>
      </c>
      <c r="O367" s="27">
        <v>150</v>
      </c>
      <c r="P367" s="27">
        <v>150</v>
      </c>
      <c r="Q367" s="27">
        <v>150</v>
      </c>
      <c r="R367" s="27">
        <v>150</v>
      </c>
      <c r="S367" s="27">
        <v>150</v>
      </c>
      <c r="T367" s="27">
        <v>150</v>
      </c>
      <c r="U367" s="27">
        <v>150</v>
      </c>
      <c r="V367" s="27">
        <v>150</v>
      </c>
      <c r="W367" s="27">
        <v>150</v>
      </c>
      <c r="X367" s="27">
        <v>150</v>
      </c>
      <c r="Y367" s="38">
        <v>150</v>
      </c>
      <c r="AA367" s="52">
        <v>230</v>
      </c>
      <c r="AB367" s="116" t="s">
        <v>126</v>
      </c>
    </row>
    <row r="368" spans="2:28" ht="11.25" hidden="1">
      <c r="B368" s="39" t="s">
        <v>395</v>
      </c>
      <c r="C368" s="82" t="s">
        <v>125</v>
      </c>
      <c r="D368" s="83"/>
      <c r="E368" s="50" t="s">
        <v>54</v>
      </c>
      <c r="F368" s="28">
        <v>230</v>
      </c>
      <c r="G368" s="28">
        <v>221.1111111111111</v>
      </c>
      <c r="H368" s="28">
        <v>218.44173204710415</v>
      </c>
      <c r="I368" s="28">
        <v>215.77235298309722</v>
      </c>
      <c r="J368" s="28">
        <v>298.6585294746458</v>
      </c>
      <c r="K368" s="28">
        <v>300</v>
      </c>
      <c r="L368" s="28">
        <v>300</v>
      </c>
      <c r="M368" s="28">
        <v>300</v>
      </c>
      <c r="N368" s="28">
        <v>300</v>
      </c>
      <c r="O368" s="28">
        <v>300</v>
      </c>
      <c r="P368" s="28">
        <v>300</v>
      </c>
      <c r="Q368" s="28">
        <v>300</v>
      </c>
      <c r="R368" s="28">
        <v>300</v>
      </c>
      <c r="S368" s="28">
        <v>300</v>
      </c>
      <c r="T368" s="28">
        <v>300</v>
      </c>
      <c r="U368" s="28">
        <v>300</v>
      </c>
      <c r="V368" s="28">
        <v>300</v>
      </c>
      <c r="W368" s="28">
        <v>300</v>
      </c>
      <c r="X368" s="28">
        <v>300</v>
      </c>
      <c r="Y368" s="40">
        <v>300</v>
      </c>
      <c r="AA368" s="52">
        <v>300</v>
      </c>
      <c r="AB368" s="116" t="s">
        <v>127</v>
      </c>
    </row>
    <row r="369" spans="2:29" ht="11.25" hidden="1">
      <c r="B369" s="39" t="s">
        <v>396</v>
      </c>
      <c r="C369" s="82" t="s">
        <v>81</v>
      </c>
      <c r="D369" s="83"/>
      <c r="E369" s="50" t="s">
        <v>54</v>
      </c>
      <c r="F369" s="28">
        <v>0</v>
      </c>
      <c r="G369" s="28">
        <v>0</v>
      </c>
      <c r="H369" s="28">
        <v>6.219509824881925</v>
      </c>
      <c r="I369" s="28">
        <v>12.43901964976385</v>
      </c>
      <c r="J369" s="28">
        <v>104.21408503020132</v>
      </c>
      <c r="K369" s="28">
        <v>114.44444444444446</v>
      </c>
      <c r="L369" s="28">
        <v>123.33333333333331</v>
      </c>
      <c r="M369" s="28">
        <v>132.2222222222222</v>
      </c>
      <c r="N369" s="28">
        <v>141.1111111111111</v>
      </c>
      <c r="O369" s="28">
        <v>150</v>
      </c>
      <c r="P369" s="28">
        <v>150</v>
      </c>
      <c r="Q369" s="28">
        <v>150</v>
      </c>
      <c r="R369" s="28">
        <v>150</v>
      </c>
      <c r="S369" s="28">
        <v>150</v>
      </c>
      <c r="T369" s="28">
        <v>150</v>
      </c>
      <c r="U369" s="28">
        <v>150</v>
      </c>
      <c r="V369" s="28">
        <v>150</v>
      </c>
      <c r="W369" s="28">
        <v>150</v>
      </c>
      <c r="X369" s="28">
        <v>150</v>
      </c>
      <c r="Y369" s="40">
        <v>150</v>
      </c>
      <c r="AA369" s="52">
        <v>70</v>
      </c>
      <c r="AB369" s="116" t="s">
        <v>127</v>
      </c>
      <c r="AC369" s="52">
        <v>70</v>
      </c>
    </row>
    <row r="370" spans="2:28" ht="11.25" hidden="1">
      <c r="B370" s="39" t="s">
        <v>397</v>
      </c>
      <c r="C370" s="82" t="s">
        <v>65</v>
      </c>
      <c r="D370" s="83"/>
      <c r="E370" s="50" t="s">
        <v>138</v>
      </c>
      <c r="F370" s="28">
        <v>0</v>
      </c>
      <c r="G370" s="28">
        <v>0</v>
      </c>
      <c r="H370" s="28">
        <v>0</v>
      </c>
      <c r="I370" s="28">
        <v>0</v>
      </c>
      <c r="J370" s="28">
        <v>266.66666666666674</v>
      </c>
      <c r="K370" s="28">
        <v>213.3333333333334</v>
      </c>
      <c r="L370" s="28">
        <v>160</v>
      </c>
      <c r="M370" s="28">
        <v>106.66666666666671</v>
      </c>
      <c r="N370" s="28">
        <v>53.33333333333338</v>
      </c>
      <c r="O370" s="28">
        <v>0</v>
      </c>
      <c r="P370" s="28">
        <v>0</v>
      </c>
      <c r="Q370" s="28">
        <v>0</v>
      </c>
      <c r="R370" s="28">
        <v>0</v>
      </c>
      <c r="S370" s="28">
        <v>0</v>
      </c>
      <c r="T370" s="28">
        <v>0</v>
      </c>
      <c r="U370" s="28">
        <v>0</v>
      </c>
      <c r="V370" s="28">
        <v>0</v>
      </c>
      <c r="W370" s="28">
        <v>0</v>
      </c>
      <c r="X370" s="28">
        <v>0</v>
      </c>
      <c r="Y370" s="40">
        <v>0</v>
      </c>
      <c r="AA370" s="52">
        <v>480</v>
      </c>
      <c r="AB370" s="116" t="s">
        <v>127</v>
      </c>
    </row>
    <row r="371" spans="2:27" ht="11.25" hidden="1">
      <c r="B371" s="39" t="s">
        <v>398</v>
      </c>
      <c r="C371" s="82" t="s">
        <v>58</v>
      </c>
      <c r="D371" s="83"/>
      <c r="E371" s="50" t="s">
        <v>123</v>
      </c>
      <c r="F371" s="28">
        <v>0</v>
      </c>
      <c r="G371" s="28">
        <v>13.913043478260871</v>
      </c>
      <c r="H371" s="28">
        <v>63.913043478260875</v>
      </c>
      <c r="I371" s="28">
        <v>137.80304347826086</v>
      </c>
      <c r="J371" s="28">
        <v>3.000869565217389</v>
      </c>
      <c r="K371" s="28">
        <v>0</v>
      </c>
      <c r="L371" s="31">
        <v>0</v>
      </c>
      <c r="M371" s="31">
        <v>0</v>
      </c>
      <c r="N371" s="31">
        <v>0</v>
      </c>
      <c r="O371" s="31">
        <v>0</v>
      </c>
      <c r="P371" s="31">
        <v>0</v>
      </c>
      <c r="Q371" s="31">
        <v>0</v>
      </c>
      <c r="R371" s="31">
        <v>0</v>
      </c>
      <c r="S371" s="31">
        <v>0</v>
      </c>
      <c r="T371" s="31">
        <v>0</v>
      </c>
      <c r="U371" s="31">
        <v>0</v>
      </c>
      <c r="V371" s="31">
        <v>0</v>
      </c>
      <c r="W371" s="31">
        <v>0</v>
      </c>
      <c r="X371" s="31">
        <v>0</v>
      </c>
      <c r="Y371" s="46">
        <v>0</v>
      </c>
      <c r="AA371" s="52">
        <v>218.63</v>
      </c>
    </row>
    <row r="372" spans="2:27" ht="11.25" hidden="1">
      <c r="B372" s="39" t="s">
        <v>399</v>
      </c>
      <c r="C372" s="82" t="s">
        <v>24</v>
      </c>
      <c r="D372" s="83"/>
      <c r="E372" s="50" t="s">
        <v>123</v>
      </c>
      <c r="F372" s="28">
        <v>0</v>
      </c>
      <c r="G372" s="28">
        <v>2.0869565217391304</v>
      </c>
      <c r="H372" s="28">
        <v>9.58695652173913</v>
      </c>
      <c r="I372" s="28">
        <v>20.670456521739126</v>
      </c>
      <c r="J372" s="28">
        <v>0.45013043478260834</v>
      </c>
      <c r="K372" s="28">
        <v>0</v>
      </c>
      <c r="L372" s="28">
        <v>0</v>
      </c>
      <c r="M372" s="28">
        <v>0</v>
      </c>
      <c r="N372" s="28">
        <v>0</v>
      </c>
      <c r="O372" s="28">
        <v>0</v>
      </c>
      <c r="P372" s="28">
        <v>0</v>
      </c>
      <c r="Q372" s="28">
        <v>0</v>
      </c>
      <c r="R372" s="28">
        <v>0</v>
      </c>
      <c r="S372" s="28">
        <v>0</v>
      </c>
      <c r="T372" s="28">
        <v>0</v>
      </c>
      <c r="U372" s="28">
        <v>0</v>
      </c>
      <c r="V372" s="31">
        <v>0</v>
      </c>
      <c r="W372" s="31">
        <v>0</v>
      </c>
      <c r="X372" s="31">
        <v>0</v>
      </c>
      <c r="Y372" s="46">
        <v>0</v>
      </c>
      <c r="AA372" s="54">
        <f>+AA371*'Assumptions and Basic Info'!$C$4</f>
        <v>218.63</v>
      </c>
    </row>
    <row r="373" spans="2:27" ht="11.25" hidden="1">
      <c r="B373" s="39" t="s">
        <v>400</v>
      </c>
      <c r="C373" s="82" t="s">
        <v>83</v>
      </c>
      <c r="D373" s="83"/>
      <c r="E373" s="50" t="s">
        <v>123</v>
      </c>
      <c r="F373" s="28">
        <v>0</v>
      </c>
      <c r="G373" s="28">
        <v>1.44</v>
      </c>
      <c r="H373" s="28">
        <v>6.615</v>
      </c>
      <c r="I373" s="28">
        <v>14.262614999999997</v>
      </c>
      <c r="J373" s="28">
        <v>0.31058999999999976</v>
      </c>
      <c r="K373" s="28">
        <v>0</v>
      </c>
      <c r="L373" s="28">
        <v>0</v>
      </c>
      <c r="M373" s="28">
        <v>0</v>
      </c>
      <c r="N373" s="28">
        <v>0</v>
      </c>
      <c r="O373" s="28">
        <v>0</v>
      </c>
      <c r="P373" s="28">
        <v>0</v>
      </c>
      <c r="Q373" s="28">
        <v>0</v>
      </c>
      <c r="R373" s="28">
        <v>0</v>
      </c>
      <c r="S373" s="28">
        <v>0</v>
      </c>
      <c r="T373" s="28">
        <v>0</v>
      </c>
      <c r="U373" s="28">
        <v>0</v>
      </c>
      <c r="V373" s="31">
        <v>0</v>
      </c>
      <c r="W373" s="31">
        <v>0</v>
      </c>
      <c r="X373" s="31">
        <v>0</v>
      </c>
      <c r="Y373" s="46">
        <v>0</v>
      </c>
      <c r="AA373" s="54">
        <v>22.628204999999994</v>
      </c>
    </row>
    <row r="374" spans="2:27" ht="11.25" hidden="1">
      <c r="B374" s="39" t="s">
        <v>401</v>
      </c>
      <c r="C374" s="82" t="s">
        <v>82</v>
      </c>
      <c r="D374" s="83"/>
      <c r="E374" s="50" t="s">
        <v>123</v>
      </c>
      <c r="F374" s="28">
        <v>0</v>
      </c>
      <c r="G374" s="28">
        <v>0</v>
      </c>
      <c r="H374" s="28">
        <v>0.34880000000000005</v>
      </c>
      <c r="I374" s="28">
        <v>1.9511000000000003</v>
      </c>
      <c r="J374" s="28">
        <v>5.4058223</v>
      </c>
      <c r="K374" s="28">
        <v>5.4810541</v>
      </c>
      <c r="L374" s="28">
        <v>5.4810541</v>
      </c>
      <c r="M374" s="28">
        <v>5.4810541</v>
      </c>
      <c r="N374" s="28">
        <v>5.4810541</v>
      </c>
      <c r="O374" s="28">
        <v>5.4810541</v>
      </c>
      <c r="P374" s="28">
        <v>5.4810541</v>
      </c>
      <c r="Q374" s="28">
        <v>5.4810541</v>
      </c>
      <c r="R374" s="28">
        <v>5.4810541</v>
      </c>
      <c r="S374" s="28">
        <v>5.4810541</v>
      </c>
      <c r="T374" s="28">
        <v>5.4810541</v>
      </c>
      <c r="U374" s="28">
        <v>5.4810541</v>
      </c>
      <c r="V374" s="28">
        <v>5.4810541</v>
      </c>
      <c r="W374" s="28">
        <v>5.4810541</v>
      </c>
      <c r="X374" s="28">
        <v>5.4810541</v>
      </c>
      <c r="Y374" s="40">
        <v>5.4810541</v>
      </c>
      <c r="AA374" s="52"/>
    </row>
    <row r="375" spans="2:27" ht="11.25" hidden="1">
      <c r="B375" s="39" t="s">
        <v>610</v>
      </c>
      <c r="C375" s="82" t="s">
        <v>578</v>
      </c>
      <c r="D375" s="83"/>
      <c r="E375" s="50" t="s">
        <v>118</v>
      </c>
      <c r="F375" s="28">
        <v>0</v>
      </c>
      <c r="G375" s="28">
        <v>7.15</v>
      </c>
      <c r="H375" s="28">
        <v>7.15</v>
      </c>
      <c r="I375" s="28">
        <v>0</v>
      </c>
      <c r="J375" s="28">
        <v>0</v>
      </c>
      <c r="K375" s="28">
        <v>0</v>
      </c>
      <c r="L375" s="28">
        <v>0</v>
      </c>
      <c r="M375" s="28">
        <v>0</v>
      </c>
      <c r="N375" s="28">
        <v>0</v>
      </c>
      <c r="O375" s="28">
        <v>0</v>
      </c>
      <c r="P375" s="28">
        <v>0</v>
      </c>
      <c r="Q375" s="28">
        <v>0</v>
      </c>
      <c r="R375" s="28">
        <v>0</v>
      </c>
      <c r="S375" s="28">
        <v>0</v>
      </c>
      <c r="T375" s="28">
        <v>0</v>
      </c>
      <c r="U375" s="28">
        <v>0</v>
      </c>
      <c r="V375" s="28">
        <v>0</v>
      </c>
      <c r="W375" s="28">
        <v>0</v>
      </c>
      <c r="X375" s="28">
        <v>0</v>
      </c>
      <c r="Y375" s="40">
        <v>0</v>
      </c>
      <c r="AA375" s="52">
        <v>14.3</v>
      </c>
    </row>
    <row r="376" spans="2:27" ht="11.25" hidden="1">
      <c r="B376" s="39" t="s">
        <v>727</v>
      </c>
      <c r="C376" s="82" t="s">
        <v>691</v>
      </c>
      <c r="D376" s="83"/>
      <c r="E376" s="50" t="s">
        <v>118</v>
      </c>
      <c r="F376" s="28">
        <v>0</v>
      </c>
      <c r="G376" s="28">
        <v>0</v>
      </c>
      <c r="H376" s="28">
        <v>2.1395113797593828</v>
      </c>
      <c r="I376" s="28">
        <v>2.1395113797593828</v>
      </c>
      <c r="J376" s="28">
        <v>19.339511379759383</v>
      </c>
      <c r="K376" s="28">
        <v>0.46146586072185103</v>
      </c>
      <c r="L376" s="28">
        <v>0</v>
      </c>
      <c r="M376" s="28">
        <v>0</v>
      </c>
      <c r="N376" s="28">
        <v>0</v>
      </c>
      <c r="O376" s="28">
        <v>0</v>
      </c>
      <c r="P376" s="28">
        <v>0</v>
      </c>
      <c r="Q376" s="28">
        <v>0</v>
      </c>
      <c r="R376" s="28">
        <v>0</v>
      </c>
      <c r="S376" s="28">
        <v>0</v>
      </c>
      <c r="T376" s="28">
        <v>0</v>
      </c>
      <c r="U376" s="28">
        <v>0</v>
      </c>
      <c r="V376" s="28">
        <v>0</v>
      </c>
      <c r="W376" s="28">
        <v>0</v>
      </c>
      <c r="X376" s="28">
        <v>0</v>
      </c>
      <c r="Y376" s="40">
        <v>0</v>
      </c>
      <c r="AA376" s="52"/>
    </row>
    <row r="377" spans="2:27" ht="11.25" hidden="1">
      <c r="B377" s="39" t="s">
        <v>402</v>
      </c>
      <c r="C377" s="82" t="s">
        <v>728</v>
      </c>
      <c r="D377" s="83"/>
      <c r="E377" s="50" t="s">
        <v>123</v>
      </c>
      <c r="F377" s="28">
        <v>0</v>
      </c>
      <c r="G377" s="28">
        <v>24.59</v>
      </c>
      <c r="H377" s="28">
        <v>89.75331137975938</v>
      </c>
      <c r="I377" s="28">
        <v>176.82672637975935</v>
      </c>
      <c r="J377" s="28">
        <v>28.50692367975938</v>
      </c>
      <c r="K377" s="28">
        <v>5.94251996072185</v>
      </c>
      <c r="L377" s="28">
        <v>5.4810541</v>
      </c>
      <c r="M377" s="28">
        <v>5.4810541</v>
      </c>
      <c r="N377" s="28">
        <v>5.4810541</v>
      </c>
      <c r="O377" s="28">
        <v>5.4810541</v>
      </c>
      <c r="P377" s="28">
        <v>5.4810541</v>
      </c>
      <c r="Q377" s="28">
        <v>5.4810541</v>
      </c>
      <c r="R377" s="28">
        <v>5.4810541</v>
      </c>
      <c r="S377" s="28">
        <v>5.4810541</v>
      </c>
      <c r="T377" s="28">
        <v>5.4810541</v>
      </c>
      <c r="U377" s="28">
        <v>5.4810541</v>
      </c>
      <c r="V377" s="28">
        <v>5.4810541</v>
      </c>
      <c r="W377" s="28">
        <v>5.4810541</v>
      </c>
      <c r="X377" s="28">
        <v>5.4810541</v>
      </c>
      <c r="Y377" s="40">
        <v>5.4810541</v>
      </c>
      <c r="AA377" s="52">
        <f>+AA371+AA372+AA373</f>
        <v>459.88820499999997</v>
      </c>
    </row>
    <row r="378" spans="2:27" ht="11.25" hidden="1">
      <c r="B378" s="39" t="s">
        <v>403</v>
      </c>
      <c r="C378" s="82" t="s">
        <v>128</v>
      </c>
      <c r="D378" s="83"/>
      <c r="E378" s="50" t="s">
        <v>123</v>
      </c>
      <c r="F378" s="28">
        <v>0</v>
      </c>
      <c r="G378" s="28">
        <v>0</v>
      </c>
      <c r="H378" s="28">
        <v>0.400875574245321</v>
      </c>
      <c r="I378" s="28">
        <v>-0.39119113834537667</v>
      </c>
      <c r="J378" s="28">
        <v>36.588370888310536</v>
      </c>
      <c r="K378" s="28">
        <v>38.097147187800324</v>
      </c>
      <c r="L378" s="28">
        <v>54.4940724118774</v>
      </c>
      <c r="M378" s="28">
        <v>96.89338945420093</v>
      </c>
      <c r="N378" s="28">
        <v>129.41224648373367</v>
      </c>
      <c r="O378" s="28">
        <v>144.58282898388504</v>
      </c>
      <c r="P378" s="28">
        <v>144.72733929866996</v>
      </c>
      <c r="Q378" s="28">
        <v>144.72733929866996</v>
      </c>
      <c r="R378" s="28">
        <v>144.72733929866996</v>
      </c>
      <c r="S378" s="28">
        <v>144.72733929866996</v>
      </c>
      <c r="T378" s="28">
        <v>144.72733929866996</v>
      </c>
      <c r="U378" s="28">
        <v>144.72733929866996</v>
      </c>
      <c r="V378" s="28">
        <v>144.72733929866996</v>
      </c>
      <c r="W378" s="28">
        <v>144.72733929866996</v>
      </c>
      <c r="X378" s="28">
        <v>144.72733929866996</v>
      </c>
      <c r="Y378" s="40">
        <v>144.72733929866996</v>
      </c>
      <c r="AA378" s="52"/>
    </row>
    <row r="379" spans="2:27" ht="11.25" hidden="1">
      <c r="B379" s="39" t="s">
        <v>404</v>
      </c>
      <c r="C379" s="82" t="s">
        <v>63</v>
      </c>
      <c r="D379" s="83"/>
      <c r="E379" s="50" t="s">
        <v>123</v>
      </c>
      <c r="F379" s="28">
        <v>0</v>
      </c>
      <c r="G379" s="28">
        <v>0</v>
      </c>
      <c r="H379" s="28">
        <v>0</v>
      </c>
      <c r="I379" s="28">
        <v>0</v>
      </c>
      <c r="J379" s="28">
        <v>11.253333333333337</v>
      </c>
      <c r="K379" s="28">
        <v>9.00266666666667</v>
      </c>
      <c r="L379" s="28">
        <v>6.7520000000000024</v>
      </c>
      <c r="M379" s="28">
        <v>4.501333333333336</v>
      </c>
      <c r="N379" s="28">
        <v>2.250666666666669</v>
      </c>
      <c r="O379" s="28">
        <v>0</v>
      </c>
      <c r="P379" s="28">
        <v>0</v>
      </c>
      <c r="Q379" s="28">
        <v>0</v>
      </c>
      <c r="R379" s="28">
        <v>0</v>
      </c>
      <c r="S379" s="28">
        <v>0</v>
      </c>
      <c r="T379" s="28">
        <v>0</v>
      </c>
      <c r="U379" s="28">
        <v>0</v>
      </c>
      <c r="V379" s="28">
        <v>0</v>
      </c>
      <c r="W379" s="28">
        <v>0</v>
      </c>
      <c r="X379" s="28">
        <v>0</v>
      </c>
      <c r="Y379" s="40">
        <v>0</v>
      </c>
      <c r="AA379" s="52"/>
    </row>
    <row r="380" spans="2:27" ht="11.25" hidden="1">
      <c r="B380" s="39" t="s">
        <v>405</v>
      </c>
      <c r="C380" s="82" t="s">
        <v>406</v>
      </c>
      <c r="D380" s="83"/>
      <c r="E380" s="50" t="s">
        <v>123</v>
      </c>
      <c r="F380" s="28">
        <v>0</v>
      </c>
      <c r="G380" s="28">
        <v>0</v>
      </c>
      <c r="H380" s="28">
        <v>0.400875574245321</v>
      </c>
      <c r="I380" s="28">
        <v>-0.39119113834537667</v>
      </c>
      <c r="J380" s="28">
        <v>47.84170422164387</v>
      </c>
      <c r="K380" s="28">
        <v>47.099813854466994</v>
      </c>
      <c r="L380" s="28">
        <v>61.2460724118774</v>
      </c>
      <c r="M380" s="28">
        <v>101.39472278753426</v>
      </c>
      <c r="N380" s="28">
        <v>131.66291315040033</v>
      </c>
      <c r="O380" s="28">
        <v>144.58282898388504</v>
      </c>
      <c r="P380" s="28">
        <v>144.72733929866996</v>
      </c>
      <c r="Q380" s="28">
        <v>144.72733929866996</v>
      </c>
      <c r="R380" s="28">
        <v>144.72733929866996</v>
      </c>
      <c r="S380" s="28">
        <v>144.72733929866996</v>
      </c>
      <c r="T380" s="28">
        <v>144.72733929866996</v>
      </c>
      <c r="U380" s="28">
        <v>144.72733929866996</v>
      </c>
      <c r="V380" s="28">
        <v>144.72733929866996</v>
      </c>
      <c r="W380" s="28">
        <v>144.72733929866996</v>
      </c>
      <c r="X380" s="28">
        <v>144.72733929866996</v>
      </c>
      <c r="Y380" s="40">
        <v>144.72733929866996</v>
      </c>
      <c r="AA380" s="52"/>
    </row>
    <row r="381" spans="2:27" ht="11.25" hidden="1">
      <c r="B381" s="39" t="s">
        <v>407</v>
      </c>
      <c r="C381" s="84" t="s">
        <v>611</v>
      </c>
      <c r="D381" s="85"/>
      <c r="E381" s="50" t="s">
        <v>123</v>
      </c>
      <c r="F381" s="28">
        <v>0</v>
      </c>
      <c r="G381" s="28">
        <v>-24.59</v>
      </c>
      <c r="H381" s="28">
        <v>-89.35243580551406</v>
      </c>
      <c r="I381" s="28">
        <v>-177.2179175181047</v>
      </c>
      <c r="J381" s="28">
        <v>19.33478054188449</v>
      </c>
      <c r="K381" s="28">
        <v>41.15729389374514</v>
      </c>
      <c r="L381" s="28">
        <v>55.7650183118774</v>
      </c>
      <c r="M381" s="28">
        <v>95.91366868753427</v>
      </c>
      <c r="N381" s="28">
        <v>126.18185905040033</v>
      </c>
      <c r="O381" s="28">
        <v>139.10177488388504</v>
      </c>
      <c r="P381" s="28">
        <v>139.24628519866997</v>
      </c>
      <c r="Q381" s="28">
        <v>139.24628519866997</v>
      </c>
      <c r="R381" s="28">
        <v>139.24628519866997</v>
      </c>
      <c r="S381" s="28">
        <v>139.24628519866997</v>
      </c>
      <c r="T381" s="28">
        <v>139.24628519866997</v>
      </c>
      <c r="U381" s="28">
        <v>139.24628519866997</v>
      </c>
      <c r="V381" s="28">
        <v>139.24628519866997</v>
      </c>
      <c r="W381" s="28">
        <v>139.24628519866997</v>
      </c>
      <c r="X381" s="28">
        <v>139.24628519866997</v>
      </c>
      <c r="Y381" s="40">
        <v>139.24628519866997</v>
      </c>
      <c r="AA381" s="52"/>
    </row>
    <row r="382" spans="2:27" ht="11.25" hidden="1">
      <c r="B382" s="114" t="s">
        <v>408</v>
      </c>
      <c r="C382" s="91" t="s">
        <v>121</v>
      </c>
      <c r="D382" s="78">
        <f>+AA377</f>
        <v>459.88820499999997</v>
      </c>
      <c r="E382" s="94"/>
      <c r="F382" s="73"/>
      <c r="G382" s="73"/>
      <c r="H382" s="73"/>
      <c r="I382" s="73"/>
      <c r="J382" s="73"/>
      <c r="K382" s="73"/>
      <c r="L382" s="73"/>
      <c r="M382" s="73"/>
      <c r="N382" s="73"/>
      <c r="O382" s="73"/>
      <c r="P382" s="73"/>
      <c r="Q382" s="73"/>
      <c r="R382" s="73"/>
      <c r="S382" s="73"/>
      <c r="T382" s="73"/>
      <c r="U382" s="73"/>
      <c r="V382" s="73"/>
      <c r="W382" s="73"/>
      <c r="X382" s="73"/>
      <c r="Y382" s="74"/>
      <c r="AA382" s="52"/>
    </row>
    <row r="383" spans="2:27" ht="11.25" hidden="1">
      <c r="B383" s="90" t="s">
        <v>409</v>
      </c>
      <c r="C383" s="92" t="s">
        <v>596</v>
      </c>
      <c r="D383" s="113">
        <f>+AA375</f>
        <v>14.3</v>
      </c>
      <c r="E383" s="95"/>
      <c r="F383" s="54"/>
      <c r="G383" s="54"/>
      <c r="H383" s="54"/>
      <c r="I383" s="54"/>
      <c r="J383" s="54"/>
      <c r="K383" s="54"/>
      <c r="L383" s="54"/>
      <c r="M383" s="54"/>
      <c r="N383" s="54"/>
      <c r="O383" s="54"/>
      <c r="P383" s="54"/>
      <c r="Q383" s="54"/>
      <c r="R383" s="54"/>
      <c r="S383" s="54"/>
      <c r="T383" s="54"/>
      <c r="U383" s="54"/>
      <c r="V383" s="54"/>
      <c r="W383" s="54"/>
      <c r="X383" s="54"/>
      <c r="Y383" s="75"/>
      <c r="AA383" s="52"/>
    </row>
    <row r="384" spans="2:27" ht="11.25" hidden="1">
      <c r="B384" s="90" t="s">
        <v>410</v>
      </c>
      <c r="C384" s="92" t="s">
        <v>57</v>
      </c>
      <c r="D384" s="79">
        <f>+IRR(F381:Y381)</f>
        <v>0.24468199023812412</v>
      </c>
      <c r="E384" s="95"/>
      <c r="F384" s="88"/>
      <c r="G384" s="54"/>
      <c r="H384" s="54"/>
      <c r="I384" s="54"/>
      <c r="J384" s="54"/>
      <c r="K384" s="54"/>
      <c r="L384" s="54"/>
      <c r="M384" s="54"/>
      <c r="N384" s="54"/>
      <c r="O384" s="54"/>
      <c r="P384" s="54"/>
      <c r="Q384" s="54"/>
      <c r="R384" s="54"/>
      <c r="S384" s="54"/>
      <c r="T384" s="54"/>
      <c r="U384" s="54"/>
      <c r="V384" s="54"/>
      <c r="W384" s="54"/>
      <c r="X384" s="54"/>
      <c r="Y384" s="75"/>
      <c r="AA384" s="52"/>
    </row>
    <row r="385" spans="2:27" ht="12" hidden="1" thickBot="1">
      <c r="B385" s="122" t="s">
        <v>612</v>
      </c>
      <c r="C385" s="102" t="s">
        <v>120</v>
      </c>
      <c r="D385" s="103">
        <f>+NPV('Assumptions and Basic Info'!$C$20,F381:Y381)</f>
        <v>337.1191192664717</v>
      </c>
      <c r="E385" s="108"/>
      <c r="F385" s="105"/>
      <c r="G385" s="127"/>
      <c r="H385" s="105"/>
      <c r="I385" s="105"/>
      <c r="J385" s="105"/>
      <c r="K385" s="105"/>
      <c r="L385" s="105"/>
      <c r="M385" s="105"/>
      <c r="N385" s="105"/>
      <c r="O385" s="105"/>
      <c r="P385" s="105"/>
      <c r="Q385" s="105"/>
      <c r="R385" s="105"/>
      <c r="S385" s="105"/>
      <c r="T385" s="105"/>
      <c r="U385" s="105"/>
      <c r="V385" s="105"/>
      <c r="W385" s="105"/>
      <c r="X385" s="105"/>
      <c r="Y385" s="106"/>
      <c r="AA385" s="52"/>
    </row>
    <row r="386" spans="2:27" ht="11.25" hidden="1">
      <c r="B386" s="44" t="s">
        <v>413</v>
      </c>
      <c r="C386" s="23" t="s">
        <v>432</v>
      </c>
      <c r="D386" s="23"/>
      <c r="E386" s="51"/>
      <c r="F386" s="24"/>
      <c r="G386" s="24"/>
      <c r="H386" s="24"/>
      <c r="I386" s="24"/>
      <c r="J386" s="24"/>
      <c r="K386" s="24"/>
      <c r="L386" s="24"/>
      <c r="M386" s="24"/>
      <c r="N386" s="24"/>
      <c r="O386" s="24"/>
      <c r="P386" s="24"/>
      <c r="Q386" s="24"/>
      <c r="R386" s="24"/>
      <c r="S386" s="24"/>
      <c r="T386" s="24"/>
      <c r="U386" s="24"/>
      <c r="V386" s="24"/>
      <c r="W386" s="24"/>
      <c r="X386" s="24"/>
      <c r="Y386" s="45"/>
      <c r="AA386" s="52"/>
    </row>
    <row r="387" spans="2:27" ht="11.25" hidden="1">
      <c r="B387" s="37" t="s">
        <v>414</v>
      </c>
      <c r="C387" s="80" t="s">
        <v>124</v>
      </c>
      <c r="D387" s="81"/>
      <c r="E387" s="49" t="s">
        <v>54</v>
      </c>
      <c r="F387" s="27">
        <v>355</v>
      </c>
      <c r="G387" s="27">
        <v>340.6111111111111</v>
      </c>
      <c r="H387" s="27">
        <v>326.3322222222223</v>
      </c>
      <c r="I387" s="27">
        <v>312.1611333333334</v>
      </c>
      <c r="J387" s="27">
        <v>298.0956884444445</v>
      </c>
      <c r="K387" s="27">
        <v>284.1337746755555</v>
      </c>
      <c r="L387" s="27">
        <v>270.27332140426665</v>
      </c>
      <c r="M387" s="27">
        <v>256.5122994206258</v>
      </c>
      <c r="N387" s="27">
        <v>242.84872009888</v>
      </c>
      <c r="O387" s="27">
        <v>229.28063458579123</v>
      </c>
      <c r="P387" s="27">
        <v>224.6950218940754</v>
      </c>
      <c r="Q387" s="27">
        <v>220.2011214561939</v>
      </c>
      <c r="R387" s="27">
        <v>215.79709902707003</v>
      </c>
      <c r="S387" s="27">
        <v>211.48115704652866</v>
      </c>
      <c r="T387" s="27">
        <v>207.25153390559808</v>
      </c>
      <c r="U387" s="27">
        <v>203.1065032274861</v>
      </c>
      <c r="V387" s="27">
        <v>199.04437316293638</v>
      </c>
      <c r="W387" s="27">
        <v>195.06348569967759</v>
      </c>
      <c r="X387" s="27">
        <v>191.16221598568404</v>
      </c>
      <c r="Y387" s="38">
        <v>187.33897166597035</v>
      </c>
      <c r="AA387" s="52">
        <v>355</v>
      </c>
    </row>
    <row r="388" spans="2:28" ht="11.25" hidden="1">
      <c r="B388" s="39" t="s">
        <v>415</v>
      </c>
      <c r="C388" s="82" t="s">
        <v>125</v>
      </c>
      <c r="D388" s="83"/>
      <c r="E388" s="50" t="s">
        <v>54</v>
      </c>
      <c r="F388" s="28">
        <v>355</v>
      </c>
      <c r="G388" s="28">
        <v>340.6111111111111</v>
      </c>
      <c r="H388" s="28">
        <v>335.95022332658453</v>
      </c>
      <c r="I388" s="28">
        <v>331.39713554205787</v>
      </c>
      <c r="J388" s="28">
        <v>1113.8540033130867</v>
      </c>
      <c r="K388" s="28">
        <v>1119</v>
      </c>
      <c r="L388" s="28">
        <v>1119</v>
      </c>
      <c r="M388" s="28">
        <v>1119</v>
      </c>
      <c r="N388" s="28">
        <v>1119</v>
      </c>
      <c r="O388" s="28">
        <v>1119</v>
      </c>
      <c r="P388" s="28">
        <v>1119</v>
      </c>
      <c r="Q388" s="28">
        <v>1119</v>
      </c>
      <c r="R388" s="28">
        <v>1119</v>
      </c>
      <c r="S388" s="28">
        <v>1119</v>
      </c>
      <c r="T388" s="28">
        <v>1119</v>
      </c>
      <c r="U388" s="28">
        <v>1119</v>
      </c>
      <c r="V388" s="28">
        <v>1119</v>
      </c>
      <c r="W388" s="28">
        <v>1119</v>
      </c>
      <c r="X388" s="28">
        <v>1119</v>
      </c>
      <c r="Y388" s="40">
        <v>1119</v>
      </c>
      <c r="AA388" s="52">
        <v>1119</v>
      </c>
      <c r="AB388" s="52">
        <v>764</v>
      </c>
    </row>
    <row r="389" spans="2:27" ht="11.25" hidden="1">
      <c r="B389" s="39" t="s">
        <v>416</v>
      </c>
      <c r="C389" s="82" t="s">
        <v>81</v>
      </c>
      <c r="D389" s="83"/>
      <c r="E389" s="50" t="s">
        <v>54</v>
      </c>
      <c r="F389" s="28">
        <v>0</v>
      </c>
      <c r="G389" s="28">
        <v>0</v>
      </c>
      <c r="H389" s="28">
        <v>9.618001104362236</v>
      </c>
      <c r="I389" s="28">
        <v>19.23600220872447</v>
      </c>
      <c r="J389" s="28">
        <v>815.7583148686422</v>
      </c>
      <c r="K389" s="28">
        <v>834.8662253244445</v>
      </c>
      <c r="L389" s="28">
        <v>848.7266785957333</v>
      </c>
      <c r="M389" s="28">
        <v>862.4877005793742</v>
      </c>
      <c r="N389" s="28">
        <v>876.15127990112</v>
      </c>
      <c r="O389" s="28">
        <v>889.7193654142088</v>
      </c>
      <c r="P389" s="28">
        <v>894.3049781059246</v>
      </c>
      <c r="Q389" s="28">
        <v>898.798878543806</v>
      </c>
      <c r="R389" s="28">
        <v>903.2029009729299</v>
      </c>
      <c r="S389" s="28">
        <v>907.5188429534713</v>
      </c>
      <c r="T389" s="28">
        <v>911.7484660944019</v>
      </c>
      <c r="U389" s="28">
        <v>915.8934967725139</v>
      </c>
      <c r="V389" s="28">
        <v>919.9556268370636</v>
      </c>
      <c r="W389" s="28">
        <v>923.9365143003224</v>
      </c>
      <c r="X389" s="28">
        <v>927.837784014316</v>
      </c>
      <c r="Y389" s="40">
        <v>931.6610283340297</v>
      </c>
      <c r="AA389" s="52">
        <v>764</v>
      </c>
    </row>
    <row r="390" spans="2:27" ht="11.25" hidden="1">
      <c r="B390" s="39" t="s">
        <v>417</v>
      </c>
      <c r="C390" s="82" t="s">
        <v>65</v>
      </c>
      <c r="D390" s="83"/>
      <c r="E390" s="50" t="s">
        <v>138</v>
      </c>
      <c r="F390" s="28">
        <v>0</v>
      </c>
      <c r="G390" s="28">
        <v>0</v>
      </c>
      <c r="H390" s="28">
        <v>0</v>
      </c>
      <c r="I390" s="28">
        <v>0</v>
      </c>
      <c r="J390" s="28">
        <v>322.2222222222222</v>
      </c>
      <c r="K390" s="28">
        <v>257.7777777777777</v>
      </c>
      <c r="L390" s="28">
        <v>193.33333333333326</v>
      </c>
      <c r="M390" s="28">
        <v>128.8888888888888</v>
      </c>
      <c r="N390" s="28">
        <v>64.44444444444436</v>
      </c>
      <c r="O390" s="28">
        <v>0</v>
      </c>
      <c r="P390" s="28">
        <v>0</v>
      </c>
      <c r="Q390" s="28">
        <v>0</v>
      </c>
      <c r="R390" s="28">
        <v>0</v>
      </c>
      <c r="S390" s="28">
        <v>0</v>
      </c>
      <c r="T390" s="28">
        <v>0</v>
      </c>
      <c r="U390" s="28">
        <v>0</v>
      </c>
      <c r="V390" s="28">
        <v>0</v>
      </c>
      <c r="W390" s="28">
        <v>0</v>
      </c>
      <c r="X390" s="28">
        <v>0</v>
      </c>
      <c r="Y390" s="40">
        <v>0</v>
      </c>
      <c r="AA390" s="52">
        <v>580</v>
      </c>
    </row>
    <row r="391" spans="2:27" ht="11.25" hidden="1">
      <c r="B391" s="39" t="s">
        <v>418</v>
      </c>
      <c r="C391" s="82" t="s">
        <v>58</v>
      </c>
      <c r="D391" s="83"/>
      <c r="E391" s="50" t="s">
        <v>123</v>
      </c>
      <c r="F391" s="28">
        <v>0</v>
      </c>
      <c r="G391" s="28">
        <v>16.347826086956523</v>
      </c>
      <c r="H391" s="28">
        <v>307.19367588932806</v>
      </c>
      <c r="I391" s="28">
        <v>451.55584980237154</v>
      </c>
      <c r="J391" s="28">
        <v>8.74670921420023</v>
      </c>
      <c r="K391" s="28">
        <v>0</v>
      </c>
      <c r="L391" s="31">
        <v>0</v>
      </c>
      <c r="M391" s="31">
        <v>0</v>
      </c>
      <c r="N391" s="31">
        <v>0</v>
      </c>
      <c r="O391" s="31">
        <v>0</v>
      </c>
      <c r="P391" s="31">
        <v>0</v>
      </c>
      <c r="Q391" s="31">
        <v>0</v>
      </c>
      <c r="R391" s="31">
        <v>0</v>
      </c>
      <c r="S391" s="31">
        <v>0</v>
      </c>
      <c r="T391" s="31">
        <v>0</v>
      </c>
      <c r="U391" s="31">
        <v>0</v>
      </c>
      <c r="V391" s="31">
        <v>0</v>
      </c>
      <c r="W391" s="31">
        <v>0</v>
      </c>
      <c r="X391" s="31">
        <v>0</v>
      </c>
      <c r="Y391" s="46">
        <v>0</v>
      </c>
      <c r="AA391" s="52">
        <v>783.8440609928564</v>
      </c>
    </row>
    <row r="392" spans="2:27" ht="11.25" hidden="1">
      <c r="B392" s="39" t="s">
        <v>419</v>
      </c>
      <c r="C392" s="82" t="s">
        <v>24</v>
      </c>
      <c r="D392" s="83"/>
      <c r="E392" s="50" t="s">
        <v>123</v>
      </c>
      <c r="F392" s="28">
        <v>0</v>
      </c>
      <c r="G392" s="28">
        <v>2.4521739130434783</v>
      </c>
      <c r="H392" s="28">
        <v>46.07905138339921</v>
      </c>
      <c r="I392" s="28">
        <v>67.73337747035572</v>
      </c>
      <c r="J392" s="28">
        <v>1.3120063821300345</v>
      </c>
      <c r="K392" s="28">
        <v>0</v>
      </c>
      <c r="L392" s="28">
        <v>0</v>
      </c>
      <c r="M392" s="28">
        <v>0</v>
      </c>
      <c r="N392" s="28">
        <v>0</v>
      </c>
      <c r="O392" s="28">
        <v>0</v>
      </c>
      <c r="P392" s="28">
        <v>0</v>
      </c>
      <c r="Q392" s="28">
        <v>0</v>
      </c>
      <c r="R392" s="28">
        <v>0</v>
      </c>
      <c r="S392" s="28">
        <v>0</v>
      </c>
      <c r="T392" s="28">
        <v>0</v>
      </c>
      <c r="U392" s="28">
        <v>0</v>
      </c>
      <c r="V392" s="31">
        <v>0</v>
      </c>
      <c r="W392" s="31">
        <v>0</v>
      </c>
      <c r="X392" s="31">
        <v>0</v>
      </c>
      <c r="Y392" s="46">
        <v>0</v>
      </c>
      <c r="AA392" s="54">
        <f>+AA391*'Assumptions and Basic Info'!$C$4</f>
        <v>783.8440609928564</v>
      </c>
    </row>
    <row r="393" spans="2:27" ht="11.25" hidden="1">
      <c r="B393" s="39" t="s">
        <v>420</v>
      </c>
      <c r="C393" s="82" t="s">
        <v>83</v>
      </c>
      <c r="D393" s="83"/>
      <c r="E393" s="50" t="s">
        <v>123</v>
      </c>
      <c r="F393" s="28">
        <v>0</v>
      </c>
      <c r="G393" s="28">
        <v>1.692</v>
      </c>
      <c r="H393" s="28">
        <v>41.78001522727273</v>
      </c>
      <c r="I393" s="28">
        <v>41.78001522727273</v>
      </c>
      <c r="J393" s="28">
        <v>0.9052844036697237</v>
      </c>
      <c r="K393" s="28">
        <v>0</v>
      </c>
      <c r="L393" s="28">
        <v>0</v>
      </c>
      <c r="M393" s="28">
        <v>0</v>
      </c>
      <c r="N393" s="28">
        <v>0</v>
      </c>
      <c r="O393" s="28">
        <v>0</v>
      </c>
      <c r="P393" s="28">
        <v>0</v>
      </c>
      <c r="Q393" s="28">
        <v>0</v>
      </c>
      <c r="R393" s="28">
        <v>0</v>
      </c>
      <c r="S393" s="28">
        <v>0</v>
      </c>
      <c r="T393" s="28">
        <v>0</v>
      </c>
      <c r="U393" s="28">
        <v>0</v>
      </c>
      <c r="V393" s="31">
        <v>0</v>
      </c>
      <c r="W393" s="31">
        <v>0</v>
      </c>
      <c r="X393" s="31">
        <v>0</v>
      </c>
      <c r="Y393" s="46">
        <v>0</v>
      </c>
      <c r="AA393" s="54">
        <v>86.15731485821517</v>
      </c>
    </row>
    <row r="394" spans="2:27" ht="11.25" hidden="1">
      <c r="B394" s="39" t="s">
        <v>421</v>
      </c>
      <c r="C394" s="82" t="s">
        <v>82</v>
      </c>
      <c r="D394" s="83"/>
      <c r="E394" s="50" t="s">
        <v>123</v>
      </c>
      <c r="F394" s="28">
        <v>0</v>
      </c>
      <c r="G394" s="28">
        <v>0</v>
      </c>
      <c r="H394" s="28">
        <v>0.40984000000000004</v>
      </c>
      <c r="I394" s="28">
        <v>11.07709485</v>
      </c>
      <c r="J394" s="28">
        <v>25.0646797</v>
      </c>
      <c r="K394" s="28">
        <v>25.283959699999997</v>
      </c>
      <c r="L394" s="28">
        <v>25.283959699999997</v>
      </c>
      <c r="M394" s="28">
        <v>25.283959699999997</v>
      </c>
      <c r="N394" s="28">
        <v>25.283959699999997</v>
      </c>
      <c r="O394" s="28">
        <v>25.283959699999997</v>
      </c>
      <c r="P394" s="28">
        <v>25.283959699999997</v>
      </c>
      <c r="Q394" s="28">
        <v>25.283959699999997</v>
      </c>
      <c r="R394" s="28">
        <v>25.283959699999997</v>
      </c>
      <c r="S394" s="28">
        <v>25.283959699999997</v>
      </c>
      <c r="T394" s="28">
        <v>25.283959699999997</v>
      </c>
      <c r="U394" s="28">
        <v>25.283959699999997</v>
      </c>
      <c r="V394" s="28">
        <v>25.283959699999997</v>
      </c>
      <c r="W394" s="28">
        <v>25.283959699999997</v>
      </c>
      <c r="X394" s="28">
        <v>25.283959699999997</v>
      </c>
      <c r="Y394" s="40">
        <v>25.283959699999997</v>
      </c>
      <c r="AA394" s="52"/>
    </row>
    <row r="395" spans="2:27" ht="11.25" hidden="1">
      <c r="B395" s="39" t="s">
        <v>613</v>
      </c>
      <c r="C395" s="82" t="s">
        <v>578</v>
      </c>
      <c r="D395" s="83"/>
      <c r="E395" s="50" t="s">
        <v>118</v>
      </c>
      <c r="F395" s="28">
        <v>0</v>
      </c>
      <c r="G395" s="28">
        <v>0</v>
      </c>
      <c r="H395" s="28">
        <v>109.78</v>
      </c>
      <c r="I395" s="28">
        <v>0</v>
      </c>
      <c r="J395" s="28">
        <v>0</v>
      </c>
      <c r="K395" s="28">
        <v>0</v>
      </c>
      <c r="L395" s="28">
        <v>0</v>
      </c>
      <c r="M395" s="28">
        <v>0</v>
      </c>
      <c r="N395" s="28">
        <v>0</v>
      </c>
      <c r="O395" s="28">
        <v>0</v>
      </c>
      <c r="P395" s="28">
        <v>0</v>
      </c>
      <c r="Q395" s="28">
        <v>0</v>
      </c>
      <c r="R395" s="28">
        <v>0</v>
      </c>
      <c r="S395" s="28">
        <v>0</v>
      </c>
      <c r="T395" s="28">
        <v>0</v>
      </c>
      <c r="U395" s="28">
        <v>0</v>
      </c>
      <c r="V395" s="28">
        <v>0</v>
      </c>
      <c r="W395" s="28">
        <v>0</v>
      </c>
      <c r="X395" s="28">
        <v>0</v>
      </c>
      <c r="Y395" s="40">
        <v>0</v>
      </c>
      <c r="AA395" s="52">
        <v>109.78</v>
      </c>
    </row>
    <row r="396" spans="2:27" ht="11.25" hidden="1">
      <c r="B396" s="39" t="s">
        <v>729</v>
      </c>
      <c r="C396" s="82" t="s">
        <v>691</v>
      </c>
      <c r="D396" s="83"/>
      <c r="E396" s="50" t="s">
        <v>123</v>
      </c>
      <c r="F396" s="28">
        <v>0</v>
      </c>
      <c r="G396" s="28">
        <v>0</v>
      </c>
      <c r="H396" s="28">
        <v>3.3085923799006087</v>
      </c>
      <c r="I396" s="28">
        <v>3.3085923799006087</v>
      </c>
      <c r="J396" s="28">
        <v>254.4285923799006</v>
      </c>
      <c r="K396" s="28">
        <v>1.770222860298175</v>
      </c>
      <c r="L396" s="28">
        <v>0</v>
      </c>
      <c r="M396" s="28">
        <v>0</v>
      </c>
      <c r="N396" s="28">
        <v>0</v>
      </c>
      <c r="O396" s="28">
        <v>0</v>
      </c>
      <c r="P396" s="28">
        <v>0</v>
      </c>
      <c r="Q396" s="28">
        <v>0</v>
      </c>
      <c r="R396" s="28">
        <v>0</v>
      </c>
      <c r="S396" s="28">
        <v>0</v>
      </c>
      <c r="T396" s="28">
        <v>0</v>
      </c>
      <c r="U396" s="28">
        <v>0</v>
      </c>
      <c r="V396" s="28">
        <v>0</v>
      </c>
      <c r="W396" s="28">
        <v>0</v>
      </c>
      <c r="X396" s="28">
        <v>0</v>
      </c>
      <c r="Y396" s="40">
        <v>0</v>
      </c>
      <c r="AA396" s="52"/>
    </row>
    <row r="397" spans="2:27" ht="11.25" hidden="1">
      <c r="B397" s="39" t="s">
        <v>422</v>
      </c>
      <c r="C397" s="82" t="s">
        <v>730</v>
      </c>
      <c r="D397" s="83"/>
      <c r="E397" s="50" t="s">
        <v>123</v>
      </c>
      <c r="F397" s="28">
        <v>0</v>
      </c>
      <c r="G397" s="28">
        <v>20.492</v>
      </c>
      <c r="H397" s="28">
        <v>508.55117487990054</v>
      </c>
      <c r="I397" s="28">
        <v>575.4549297299005</v>
      </c>
      <c r="J397" s="28">
        <v>290.4572720799006</v>
      </c>
      <c r="K397" s="28">
        <v>27.054182560298173</v>
      </c>
      <c r="L397" s="28">
        <v>25.283959699999997</v>
      </c>
      <c r="M397" s="28">
        <v>25.283959699999997</v>
      </c>
      <c r="N397" s="28">
        <v>25.283959699999997</v>
      </c>
      <c r="O397" s="28">
        <v>25.283959699999997</v>
      </c>
      <c r="P397" s="28">
        <v>25.283959699999997</v>
      </c>
      <c r="Q397" s="28">
        <v>25.283959699999997</v>
      </c>
      <c r="R397" s="28">
        <v>25.283959699999997</v>
      </c>
      <c r="S397" s="28">
        <v>25.283959699999997</v>
      </c>
      <c r="T397" s="28">
        <v>25.283959699999997</v>
      </c>
      <c r="U397" s="28">
        <v>25.283959699999997</v>
      </c>
      <c r="V397" s="28">
        <v>25.283959699999997</v>
      </c>
      <c r="W397" s="28">
        <v>25.283959699999997</v>
      </c>
      <c r="X397" s="28">
        <v>25.283959699999997</v>
      </c>
      <c r="Y397" s="40">
        <v>25.283959699999997</v>
      </c>
      <c r="AA397" s="52">
        <f>+AA391+AA392+AA393</f>
        <v>1653.845436843928</v>
      </c>
    </row>
    <row r="398" spans="2:27" ht="11.25" hidden="1">
      <c r="B398" s="39" t="s">
        <v>423</v>
      </c>
      <c r="C398" s="82" t="s">
        <v>128</v>
      </c>
      <c r="D398" s="83"/>
      <c r="E398" s="50" t="s">
        <v>123</v>
      </c>
      <c r="F398" s="28">
        <v>0</v>
      </c>
      <c r="G398" s="28">
        <v>0</v>
      </c>
      <c r="H398" s="28">
        <v>0.6199237278118679</v>
      </c>
      <c r="I398" s="28">
        <v>-0.6049474808400965</v>
      </c>
      <c r="J398" s="28">
        <v>100.50208385576633</v>
      </c>
      <c r="K398" s="28">
        <v>-21.946424978276923</v>
      </c>
      <c r="L398" s="28">
        <v>28.44909771628688</v>
      </c>
      <c r="M398" s="28">
        <v>449.47774856575677</v>
      </c>
      <c r="N398" s="28">
        <v>763.0603291617664</v>
      </c>
      <c r="O398" s="28">
        <v>857.8904224891003</v>
      </c>
      <c r="P398" s="28">
        <v>862.8692000188386</v>
      </c>
      <c r="Q398" s="28">
        <v>867.2051350418234</v>
      </c>
      <c r="R398" s="28">
        <v>871.4543513643486</v>
      </c>
      <c r="S398" s="28">
        <v>875.618583360423</v>
      </c>
      <c r="T398" s="28">
        <v>879.6995307165762</v>
      </c>
      <c r="U398" s="28">
        <v>883.6988591256062</v>
      </c>
      <c r="V398" s="28">
        <v>887.6182009664557</v>
      </c>
      <c r="W398" s="28">
        <v>891.4591559704882</v>
      </c>
      <c r="X398" s="28">
        <v>895.22329187444</v>
      </c>
      <c r="Y398" s="40">
        <v>898.9121450603127</v>
      </c>
      <c r="AA398" s="52"/>
    </row>
    <row r="399" spans="2:27" ht="11.25" hidden="1">
      <c r="B399" s="39" t="s">
        <v>424</v>
      </c>
      <c r="C399" s="82" t="s">
        <v>63</v>
      </c>
      <c r="D399" s="83"/>
      <c r="E399" s="50" t="s">
        <v>123</v>
      </c>
      <c r="F399" s="28">
        <v>0</v>
      </c>
      <c r="G399" s="28">
        <v>0</v>
      </c>
      <c r="H399" s="28">
        <v>0</v>
      </c>
      <c r="I399" s="28">
        <v>0</v>
      </c>
      <c r="J399" s="28">
        <v>13.597777777777777</v>
      </c>
      <c r="K399" s="28">
        <v>10.87822222222222</v>
      </c>
      <c r="L399" s="28">
        <v>8.158666666666663</v>
      </c>
      <c r="M399" s="28">
        <v>5.4391111111111075</v>
      </c>
      <c r="N399" s="28">
        <v>2.719555555555552</v>
      </c>
      <c r="O399" s="28">
        <v>0</v>
      </c>
      <c r="P399" s="28">
        <v>0</v>
      </c>
      <c r="Q399" s="28">
        <v>0</v>
      </c>
      <c r="R399" s="28">
        <v>0</v>
      </c>
      <c r="S399" s="28">
        <v>0</v>
      </c>
      <c r="T399" s="28">
        <v>0</v>
      </c>
      <c r="U399" s="28">
        <v>0</v>
      </c>
      <c r="V399" s="28">
        <v>0</v>
      </c>
      <c r="W399" s="28">
        <v>0</v>
      </c>
      <c r="X399" s="28">
        <v>0</v>
      </c>
      <c r="Y399" s="40">
        <v>0</v>
      </c>
      <c r="AA399" s="52"/>
    </row>
    <row r="400" spans="2:27" ht="11.25" hidden="1">
      <c r="B400" s="39" t="s">
        <v>425</v>
      </c>
      <c r="C400" s="82" t="s">
        <v>426</v>
      </c>
      <c r="D400" s="83"/>
      <c r="E400" s="50" t="s">
        <v>123</v>
      </c>
      <c r="F400" s="28">
        <v>0</v>
      </c>
      <c r="G400" s="28">
        <v>0</v>
      </c>
      <c r="H400" s="28">
        <v>0.6199237278118679</v>
      </c>
      <c r="I400" s="28">
        <v>-0.6049474808400965</v>
      </c>
      <c r="J400" s="28">
        <v>114.09986163354411</v>
      </c>
      <c r="K400" s="28">
        <v>-11.068202756054703</v>
      </c>
      <c r="L400" s="28">
        <v>36.60776438295354</v>
      </c>
      <c r="M400" s="28">
        <v>454.9168596768679</v>
      </c>
      <c r="N400" s="28">
        <v>765.7798847173219</v>
      </c>
      <c r="O400" s="28">
        <v>857.8904224891003</v>
      </c>
      <c r="P400" s="28">
        <v>862.8692000188386</v>
      </c>
      <c r="Q400" s="28">
        <v>867.2051350418234</v>
      </c>
      <c r="R400" s="28">
        <v>871.4543513643486</v>
      </c>
      <c r="S400" s="28">
        <v>875.618583360423</v>
      </c>
      <c r="T400" s="28">
        <v>879.6995307165762</v>
      </c>
      <c r="U400" s="28">
        <v>883.6988591256062</v>
      </c>
      <c r="V400" s="28">
        <v>887.6182009664557</v>
      </c>
      <c r="W400" s="28">
        <v>891.4591559704882</v>
      </c>
      <c r="X400" s="28">
        <v>895.22329187444</v>
      </c>
      <c r="Y400" s="40">
        <v>898.9121450603127</v>
      </c>
      <c r="AA400" s="52"/>
    </row>
    <row r="401" spans="2:27" ht="11.25" hidden="1">
      <c r="B401" s="39" t="s">
        <v>427</v>
      </c>
      <c r="C401" s="84" t="s">
        <v>428</v>
      </c>
      <c r="D401" s="85"/>
      <c r="E401" s="50" t="s">
        <v>123</v>
      </c>
      <c r="F401" s="28">
        <v>0</v>
      </c>
      <c r="G401" s="28">
        <v>-20.492</v>
      </c>
      <c r="H401" s="28">
        <v>-507.9312511520887</v>
      </c>
      <c r="I401" s="28">
        <v>-576.0598772107406</v>
      </c>
      <c r="J401" s="28">
        <v>-176.35741044635648</v>
      </c>
      <c r="K401" s="28">
        <v>-38.122385316352876</v>
      </c>
      <c r="L401" s="28">
        <v>11.323804682953543</v>
      </c>
      <c r="M401" s="28">
        <v>429.63289997686786</v>
      </c>
      <c r="N401" s="28">
        <v>740.495925017322</v>
      </c>
      <c r="O401" s="28">
        <v>832.6064627891003</v>
      </c>
      <c r="P401" s="28">
        <v>837.5852403188386</v>
      </c>
      <c r="Q401" s="28">
        <v>841.9211753418234</v>
      </c>
      <c r="R401" s="28">
        <v>846.1703916643486</v>
      </c>
      <c r="S401" s="28">
        <v>850.3346236604231</v>
      </c>
      <c r="T401" s="28">
        <v>854.4155710165762</v>
      </c>
      <c r="U401" s="28">
        <v>858.4148994256062</v>
      </c>
      <c r="V401" s="28">
        <v>862.3342412664557</v>
      </c>
      <c r="W401" s="28">
        <v>866.1751962704882</v>
      </c>
      <c r="X401" s="28">
        <v>869.93933217444</v>
      </c>
      <c r="Y401" s="40">
        <v>873.6281853603127</v>
      </c>
      <c r="AA401" s="52"/>
    </row>
    <row r="402" spans="2:27" ht="11.25" hidden="1">
      <c r="B402" s="114" t="s">
        <v>429</v>
      </c>
      <c r="C402" s="91" t="s">
        <v>121</v>
      </c>
      <c r="D402" s="78">
        <f>+AA397</f>
        <v>1653.845436843928</v>
      </c>
      <c r="E402" s="94"/>
      <c r="F402" s="73"/>
      <c r="G402" s="73"/>
      <c r="H402" s="73"/>
      <c r="I402" s="73"/>
      <c r="J402" s="73"/>
      <c r="K402" s="73"/>
      <c r="L402" s="73"/>
      <c r="M402" s="73"/>
      <c r="N402" s="73"/>
      <c r="O402" s="73"/>
      <c r="P402" s="73"/>
      <c r="Q402" s="73"/>
      <c r="R402" s="73"/>
      <c r="S402" s="73"/>
      <c r="T402" s="73"/>
      <c r="U402" s="73"/>
      <c r="V402" s="73"/>
      <c r="W402" s="73"/>
      <c r="X402" s="73"/>
      <c r="Y402" s="74"/>
      <c r="AA402" s="52"/>
    </row>
    <row r="403" spans="2:27" ht="11.25" hidden="1">
      <c r="B403" s="90" t="s">
        <v>430</v>
      </c>
      <c r="C403" s="92" t="s">
        <v>596</v>
      </c>
      <c r="D403" s="113">
        <f>+AA395</f>
        <v>109.78</v>
      </c>
      <c r="E403" s="95"/>
      <c r="F403" s="54"/>
      <c r="G403" s="54"/>
      <c r="H403" s="54"/>
      <c r="I403" s="54"/>
      <c r="J403" s="54"/>
      <c r="K403" s="54"/>
      <c r="L403" s="54"/>
      <c r="M403" s="54"/>
      <c r="N403" s="54"/>
      <c r="O403" s="54"/>
      <c r="P403" s="54"/>
      <c r="Q403" s="54"/>
      <c r="R403" s="54"/>
      <c r="S403" s="54"/>
      <c r="T403" s="54"/>
      <c r="U403" s="54"/>
      <c r="V403" s="54"/>
      <c r="W403" s="54"/>
      <c r="X403" s="54"/>
      <c r="Y403" s="75"/>
      <c r="AA403" s="52"/>
    </row>
    <row r="404" spans="2:27" ht="11.25" hidden="1">
      <c r="B404" s="90" t="s">
        <v>431</v>
      </c>
      <c r="C404" s="92" t="s">
        <v>57</v>
      </c>
      <c r="D404" s="79">
        <f>+IRR(F401:Y401)</f>
        <v>0.25317997415661586</v>
      </c>
      <c r="E404" s="95"/>
      <c r="F404" s="88"/>
      <c r="G404" s="54"/>
      <c r="H404" s="54"/>
      <c r="I404" s="54"/>
      <c r="J404" s="54"/>
      <c r="K404" s="54"/>
      <c r="L404" s="54"/>
      <c r="M404" s="54"/>
      <c r="N404" s="54"/>
      <c r="O404" s="54"/>
      <c r="P404" s="54"/>
      <c r="Q404" s="54"/>
      <c r="R404" s="54"/>
      <c r="S404" s="54"/>
      <c r="T404" s="54"/>
      <c r="U404" s="54"/>
      <c r="V404" s="54"/>
      <c r="W404" s="54"/>
      <c r="X404" s="54"/>
      <c r="Y404" s="75"/>
      <c r="AA404" s="52"/>
    </row>
    <row r="405" spans="2:27" ht="12" hidden="1" thickBot="1">
      <c r="B405" s="122" t="s">
        <v>614</v>
      </c>
      <c r="C405" s="102" t="s">
        <v>120</v>
      </c>
      <c r="D405" s="103">
        <f>+NPV('Assumptions and Basic Info'!$C$20,F401:Y401)</f>
        <v>1938.96538504237</v>
      </c>
      <c r="E405" s="108"/>
      <c r="F405" s="105"/>
      <c r="G405" s="127"/>
      <c r="H405" s="105"/>
      <c r="I405" s="105"/>
      <c r="J405" s="105"/>
      <c r="K405" s="105"/>
      <c r="L405" s="105"/>
      <c r="M405" s="105"/>
      <c r="N405" s="105"/>
      <c r="O405" s="105"/>
      <c r="P405" s="105"/>
      <c r="Q405" s="105"/>
      <c r="R405" s="105"/>
      <c r="S405" s="105"/>
      <c r="T405" s="105"/>
      <c r="U405" s="105"/>
      <c r="V405" s="105"/>
      <c r="W405" s="105"/>
      <c r="X405" s="105"/>
      <c r="Y405" s="106"/>
      <c r="AA405" s="52"/>
    </row>
    <row r="406" spans="2:27" ht="11.25" hidden="1">
      <c r="B406" s="44" t="s">
        <v>433</v>
      </c>
      <c r="C406" s="23" t="s">
        <v>469</v>
      </c>
      <c r="D406" s="23"/>
      <c r="E406" s="51"/>
      <c r="F406" s="24"/>
      <c r="G406" s="24"/>
      <c r="H406" s="24"/>
      <c r="I406" s="24"/>
      <c r="J406" s="24"/>
      <c r="K406" s="24"/>
      <c r="L406" s="24"/>
      <c r="M406" s="24"/>
      <c r="N406" s="24"/>
      <c r="O406" s="24"/>
      <c r="P406" s="24"/>
      <c r="Q406" s="24"/>
      <c r="R406" s="24"/>
      <c r="S406" s="24"/>
      <c r="T406" s="24"/>
      <c r="U406" s="24"/>
      <c r="V406" s="24"/>
      <c r="W406" s="24"/>
      <c r="X406" s="24"/>
      <c r="Y406" s="45"/>
      <c r="AA406" s="52"/>
    </row>
    <row r="407" spans="2:27" ht="11.25" hidden="1">
      <c r="B407" s="37" t="s">
        <v>434</v>
      </c>
      <c r="C407" s="80" t="s">
        <v>124</v>
      </c>
      <c r="D407" s="81"/>
      <c r="E407" s="49" t="s">
        <v>54</v>
      </c>
      <c r="F407" s="124">
        <v>160</v>
      </c>
      <c r="G407" s="27">
        <v>147.23333333333332</v>
      </c>
      <c r="H407" s="27">
        <v>134.48866666666666</v>
      </c>
      <c r="I407" s="27">
        <v>121.76556</v>
      </c>
      <c r="J407" s="27">
        <v>109.06358213333331</v>
      </c>
      <c r="K407" s="27">
        <v>96.38231049066664</v>
      </c>
      <c r="L407" s="27">
        <v>83.72133094751999</v>
      </c>
      <c r="M407" s="27">
        <v>71.0802376619029</v>
      </c>
      <c r="N407" s="27">
        <v>58.45863290866484</v>
      </c>
      <c r="O407" s="27">
        <v>45.85612691715822</v>
      </c>
      <c r="P407" s="27">
        <v>44.939004378815056</v>
      </c>
      <c r="Q407" s="27">
        <v>44.04022429123876</v>
      </c>
      <c r="R407" s="27">
        <v>43.15941980541399</v>
      </c>
      <c r="S407" s="27">
        <v>42.296231409305705</v>
      </c>
      <c r="T407" s="27">
        <v>41.45030678111959</v>
      </c>
      <c r="U407" s="27">
        <v>40.6213006454972</v>
      </c>
      <c r="V407" s="27">
        <v>39.80887463258725</v>
      </c>
      <c r="W407" s="27">
        <v>39.01269713993551</v>
      </c>
      <c r="X407" s="27">
        <v>38.2324431971368</v>
      </c>
      <c r="Y407" s="38">
        <v>37.467794333194064</v>
      </c>
      <c r="AA407" s="123">
        <v>160</v>
      </c>
    </row>
    <row r="408" spans="2:29" ht="11.25" hidden="1">
      <c r="B408" s="39" t="s">
        <v>435</v>
      </c>
      <c r="C408" s="82" t="s">
        <v>125</v>
      </c>
      <c r="D408" s="83"/>
      <c r="E408" s="50" t="s">
        <v>54</v>
      </c>
      <c r="F408" s="29">
        <v>160</v>
      </c>
      <c r="G408" s="28">
        <v>147.23333333333332</v>
      </c>
      <c r="H408" s="28">
        <v>177.82248148683132</v>
      </c>
      <c r="I408" s="28">
        <v>306.6676296403293</v>
      </c>
      <c r="J408" s="28">
        <v>515.001444460494</v>
      </c>
      <c r="K408" s="28">
        <v>535</v>
      </c>
      <c r="L408" s="28">
        <v>535</v>
      </c>
      <c r="M408" s="28">
        <v>535</v>
      </c>
      <c r="N408" s="28">
        <v>535</v>
      </c>
      <c r="O408" s="28">
        <v>535</v>
      </c>
      <c r="P408" s="28">
        <v>535</v>
      </c>
      <c r="Q408" s="28">
        <v>535</v>
      </c>
      <c r="R408" s="28">
        <v>535</v>
      </c>
      <c r="S408" s="28">
        <v>535</v>
      </c>
      <c r="T408" s="28">
        <v>535</v>
      </c>
      <c r="U408" s="28">
        <v>535</v>
      </c>
      <c r="V408" s="28">
        <v>535</v>
      </c>
      <c r="W408" s="28">
        <v>535</v>
      </c>
      <c r="X408" s="28">
        <v>535</v>
      </c>
      <c r="Y408" s="40">
        <v>535</v>
      </c>
      <c r="AA408" s="123">
        <v>535</v>
      </c>
      <c r="AB408" s="22">
        <v>0</v>
      </c>
      <c r="AC408" s="52"/>
    </row>
    <row r="409" spans="2:27" ht="11.25" hidden="1">
      <c r="B409" s="39" t="s">
        <v>436</v>
      </c>
      <c r="C409" s="82" t="s">
        <v>81</v>
      </c>
      <c r="D409" s="83"/>
      <c r="E409" s="50" t="s">
        <v>54</v>
      </c>
      <c r="F409" s="28">
        <v>0</v>
      </c>
      <c r="G409" s="28">
        <v>0</v>
      </c>
      <c r="H409" s="28">
        <v>43.33381482016466</v>
      </c>
      <c r="I409" s="28">
        <v>184.90206964032933</v>
      </c>
      <c r="J409" s="28">
        <v>405.9378623271607</v>
      </c>
      <c r="K409" s="28">
        <v>438.61768950933333</v>
      </c>
      <c r="L409" s="28">
        <v>451.27866905248004</v>
      </c>
      <c r="M409" s="28">
        <v>463.9197623380971</v>
      </c>
      <c r="N409" s="28">
        <v>476.54136709133513</v>
      </c>
      <c r="O409" s="28">
        <v>489.14387308284176</v>
      </c>
      <c r="P409" s="28">
        <v>490.06099562118493</v>
      </c>
      <c r="Q409" s="28">
        <v>490.95977570876124</v>
      </c>
      <c r="R409" s="28">
        <v>491.840580194586</v>
      </c>
      <c r="S409" s="28">
        <v>492.70376859069427</v>
      </c>
      <c r="T409" s="28">
        <v>493.5496932188804</v>
      </c>
      <c r="U409" s="28">
        <v>494.3786993545028</v>
      </c>
      <c r="V409" s="28">
        <v>495.1911253674127</v>
      </c>
      <c r="W409" s="28">
        <v>495.98730286006446</v>
      </c>
      <c r="X409" s="28">
        <v>496.76755680286317</v>
      </c>
      <c r="Y409" s="40">
        <v>497.5322056668059</v>
      </c>
      <c r="AA409" s="52">
        <v>375</v>
      </c>
    </row>
    <row r="410" spans="2:27" ht="11.25" hidden="1">
      <c r="B410" s="39" t="s">
        <v>437</v>
      </c>
      <c r="C410" s="82" t="s">
        <v>65</v>
      </c>
      <c r="D410" s="83"/>
      <c r="E410" s="50" t="s">
        <v>138</v>
      </c>
      <c r="F410" s="28">
        <v>0</v>
      </c>
      <c r="G410" s="28">
        <v>0</v>
      </c>
      <c r="H410" s="28">
        <v>0</v>
      </c>
      <c r="I410" s="28">
        <v>0</v>
      </c>
      <c r="J410" s="28">
        <v>1277.7777777777774</v>
      </c>
      <c r="K410" s="28">
        <v>1022.2222222222218</v>
      </c>
      <c r="L410" s="28">
        <v>766.6666666666663</v>
      </c>
      <c r="M410" s="28">
        <v>511.11111111111074</v>
      </c>
      <c r="N410" s="28">
        <v>255.5555555555552</v>
      </c>
      <c r="O410" s="28">
        <v>0</v>
      </c>
      <c r="P410" s="28">
        <v>0</v>
      </c>
      <c r="Q410" s="28">
        <v>0</v>
      </c>
      <c r="R410" s="28">
        <v>0</v>
      </c>
      <c r="S410" s="28">
        <v>0</v>
      </c>
      <c r="T410" s="28">
        <v>0</v>
      </c>
      <c r="U410" s="28">
        <v>0</v>
      </c>
      <c r="V410" s="28">
        <v>0</v>
      </c>
      <c r="W410" s="28">
        <v>0</v>
      </c>
      <c r="X410" s="28">
        <v>0</v>
      </c>
      <c r="Y410" s="40">
        <v>0</v>
      </c>
      <c r="AA410" s="52">
        <v>2300</v>
      </c>
    </row>
    <row r="411" spans="2:27" ht="11.25" hidden="1">
      <c r="B411" s="39" t="s">
        <v>438</v>
      </c>
      <c r="C411" s="82" t="s">
        <v>58</v>
      </c>
      <c r="D411" s="83"/>
      <c r="E411" s="50" t="s">
        <v>123</v>
      </c>
      <c r="F411" s="28">
        <v>0</v>
      </c>
      <c r="G411" s="28">
        <v>45.21739130434783</v>
      </c>
      <c r="H411" s="28">
        <v>319.31739130434784</v>
      </c>
      <c r="I411" s="28">
        <v>845.2073913043479</v>
      </c>
      <c r="J411" s="28">
        <v>20.867826086956526</v>
      </c>
      <c r="K411" s="28">
        <v>0</v>
      </c>
      <c r="L411" s="31">
        <v>0</v>
      </c>
      <c r="M411" s="31">
        <v>0</v>
      </c>
      <c r="N411" s="31">
        <v>0</v>
      </c>
      <c r="O411" s="31">
        <v>0</v>
      </c>
      <c r="P411" s="31">
        <v>0</v>
      </c>
      <c r="Q411" s="31">
        <v>0</v>
      </c>
      <c r="R411" s="31">
        <v>0</v>
      </c>
      <c r="S411" s="31">
        <v>0</v>
      </c>
      <c r="T411" s="31">
        <v>0</v>
      </c>
      <c r="U411" s="31">
        <v>0</v>
      </c>
      <c r="V411" s="31">
        <v>0</v>
      </c>
      <c r="W411" s="31">
        <v>0</v>
      </c>
      <c r="X411" s="31">
        <v>0</v>
      </c>
      <c r="Y411" s="46">
        <v>0</v>
      </c>
      <c r="AA411" s="52">
        <v>1230.61</v>
      </c>
    </row>
    <row r="412" spans="2:27" ht="11.25" hidden="1">
      <c r="B412" s="39" t="s">
        <v>439</v>
      </c>
      <c r="C412" s="82" t="s">
        <v>24</v>
      </c>
      <c r="D412" s="83"/>
      <c r="E412" s="50" t="s">
        <v>123</v>
      </c>
      <c r="F412" s="28">
        <v>0</v>
      </c>
      <c r="G412" s="28">
        <v>6.782608695652174</v>
      </c>
      <c r="H412" s="28">
        <v>47.897608695652174</v>
      </c>
      <c r="I412" s="28">
        <v>126.78110869565216</v>
      </c>
      <c r="J412" s="28">
        <v>3.1301739130434787</v>
      </c>
      <c r="K412" s="28">
        <v>0</v>
      </c>
      <c r="L412" s="28">
        <v>0</v>
      </c>
      <c r="M412" s="28">
        <v>0</v>
      </c>
      <c r="N412" s="28">
        <v>0</v>
      </c>
      <c r="O412" s="28">
        <v>0</v>
      </c>
      <c r="P412" s="28">
        <v>0</v>
      </c>
      <c r="Q412" s="28">
        <v>0</v>
      </c>
      <c r="R412" s="28">
        <v>0</v>
      </c>
      <c r="S412" s="28">
        <v>0</v>
      </c>
      <c r="T412" s="28">
        <v>0</v>
      </c>
      <c r="U412" s="28">
        <v>0</v>
      </c>
      <c r="V412" s="31">
        <v>0</v>
      </c>
      <c r="W412" s="31">
        <v>0</v>
      </c>
      <c r="X412" s="31">
        <v>0</v>
      </c>
      <c r="Y412" s="46">
        <v>0</v>
      </c>
      <c r="AA412" s="54">
        <f>+AA411*'Assumptions and Basic Info'!$C$4</f>
        <v>1230.61</v>
      </c>
    </row>
    <row r="413" spans="2:27" ht="11.25" hidden="1">
      <c r="B413" s="39" t="s">
        <v>440</v>
      </c>
      <c r="C413" s="82" t="s">
        <v>83</v>
      </c>
      <c r="D413" s="83"/>
      <c r="E413" s="50" t="s">
        <v>123</v>
      </c>
      <c r="F413" s="28">
        <v>0</v>
      </c>
      <c r="G413" s="28">
        <v>4.68</v>
      </c>
      <c r="H413" s="28">
        <v>77.60098250000001</v>
      </c>
      <c r="I413" s="28">
        <v>46.0794825</v>
      </c>
      <c r="J413" s="28">
        <v>2.1598200000000003</v>
      </c>
      <c r="K413" s="28">
        <v>0</v>
      </c>
      <c r="L413" s="28">
        <v>0</v>
      </c>
      <c r="M413" s="28">
        <v>0</v>
      </c>
      <c r="N413" s="28">
        <v>0</v>
      </c>
      <c r="O413" s="28">
        <v>0</v>
      </c>
      <c r="P413" s="28">
        <v>0</v>
      </c>
      <c r="Q413" s="28">
        <v>0</v>
      </c>
      <c r="R413" s="28">
        <v>0</v>
      </c>
      <c r="S413" s="28">
        <v>0</v>
      </c>
      <c r="T413" s="28">
        <v>0</v>
      </c>
      <c r="U413" s="28">
        <v>0</v>
      </c>
      <c r="V413" s="31">
        <v>0</v>
      </c>
      <c r="W413" s="31">
        <v>0</v>
      </c>
      <c r="X413" s="31">
        <v>0</v>
      </c>
      <c r="Y413" s="46">
        <v>0</v>
      </c>
      <c r="AA413" s="54">
        <v>130.520285</v>
      </c>
    </row>
    <row r="414" spans="2:27" ht="11.25" hidden="1">
      <c r="B414" s="39" t="s">
        <v>441</v>
      </c>
      <c r="C414" s="82" t="s">
        <v>82</v>
      </c>
      <c r="D414" s="83"/>
      <c r="E414" s="50" t="s">
        <v>123</v>
      </c>
      <c r="F414" s="28">
        <v>0</v>
      </c>
      <c r="G414" s="28">
        <v>0</v>
      </c>
      <c r="H414" s="28">
        <v>1.1336</v>
      </c>
      <c r="I414" s="28">
        <v>13.497284650000001</v>
      </c>
      <c r="J414" s="28">
        <v>33.858644299999995</v>
      </c>
      <c r="K414" s="28">
        <v>34.3818007</v>
      </c>
      <c r="L414" s="28">
        <v>34.3818007</v>
      </c>
      <c r="M414" s="28">
        <v>34.3818007</v>
      </c>
      <c r="N414" s="28">
        <v>34.3818007</v>
      </c>
      <c r="O414" s="28">
        <v>34.3818007</v>
      </c>
      <c r="P414" s="28">
        <v>34.3818007</v>
      </c>
      <c r="Q414" s="28">
        <v>34.3818007</v>
      </c>
      <c r="R414" s="28">
        <v>34.3818007</v>
      </c>
      <c r="S414" s="28">
        <v>34.3818007</v>
      </c>
      <c r="T414" s="28">
        <v>34.3818007</v>
      </c>
      <c r="U414" s="28">
        <v>34.3818007</v>
      </c>
      <c r="V414" s="28">
        <v>34.3818007</v>
      </c>
      <c r="W414" s="28">
        <v>34.3818007</v>
      </c>
      <c r="X414" s="28">
        <v>34.3818007</v>
      </c>
      <c r="Y414" s="40">
        <v>34.3818007</v>
      </c>
      <c r="AA414" s="52"/>
    </row>
    <row r="415" spans="2:27" ht="11.25" hidden="1">
      <c r="B415" s="39" t="s">
        <v>615</v>
      </c>
      <c r="C415" s="82" t="s">
        <v>578</v>
      </c>
      <c r="D415" s="83"/>
      <c r="E415" s="50" t="s">
        <v>118</v>
      </c>
      <c r="F415" s="28">
        <v>0</v>
      </c>
      <c r="G415" s="28">
        <v>0</v>
      </c>
      <c r="H415" s="28">
        <v>109.78</v>
      </c>
      <c r="I415" s="28">
        <v>0</v>
      </c>
      <c r="J415" s="28">
        <v>0</v>
      </c>
      <c r="K415" s="28">
        <v>0</v>
      </c>
      <c r="L415" s="28">
        <v>0</v>
      </c>
      <c r="M415" s="28">
        <v>0</v>
      </c>
      <c r="N415" s="28">
        <v>0</v>
      </c>
      <c r="O415" s="28">
        <v>0</v>
      </c>
      <c r="P415" s="28">
        <v>0</v>
      </c>
      <c r="Q415" s="28">
        <v>0</v>
      </c>
      <c r="R415" s="28">
        <v>0</v>
      </c>
      <c r="S415" s="28">
        <v>0</v>
      </c>
      <c r="T415" s="28">
        <v>0</v>
      </c>
      <c r="U415" s="28">
        <v>0</v>
      </c>
      <c r="V415" s="28">
        <v>0</v>
      </c>
      <c r="W415" s="28">
        <v>0</v>
      </c>
      <c r="X415" s="28">
        <v>0</v>
      </c>
      <c r="Y415" s="40">
        <v>0</v>
      </c>
      <c r="AA415" s="52">
        <v>109.78</v>
      </c>
    </row>
    <row r="416" spans="2:27" ht="11.25" hidden="1">
      <c r="B416" s="39" t="s">
        <v>731</v>
      </c>
      <c r="C416" s="82" t="s">
        <v>691</v>
      </c>
      <c r="D416" s="83"/>
      <c r="E416" s="50" t="s">
        <v>118</v>
      </c>
      <c r="F416" s="28">
        <v>0</v>
      </c>
      <c r="G416" s="28">
        <v>0</v>
      </c>
      <c r="H416" s="28">
        <v>14.906832298136644</v>
      </c>
      <c r="I416" s="28">
        <v>47.58683229813664</v>
      </c>
      <c r="J416" s="28">
        <v>59.62683229813664</v>
      </c>
      <c r="K416" s="28">
        <v>6.879503105590059</v>
      </c>
      <c r="L416" s="28">
        <v>0</v>
      </c>
      <c r="M416" s="28">
        <v>0</v>
      </c>
      <c r="N416" s="28">
        <v>0</v>
      </c>
      <c r="O416" s="28">
        <v>0</v>
      </c>
      <c r="P416" s="28">
        <v>0</v>
      </c>
      <c r="Q416" s="28">
        <v>0</v>
      </c>
      <c r="R416" s="28">
        <v>0</v>
      </c>
      <c r="S416" s="28">
        <v>0</v>
      </c>
      <c r="T416" s="28">
        <v>0</v>
      </c>
      <c r="U416" s="28">
        <v>0</v>
      </c>
      <c r="V416" s="28">
        <v>0</v>
      </c>
      <c r="W416" s="28">
        <v>0</v>
      </c>
      <c r="X416" s="28">
        <v>0</v>
      </c>
      <c r="Y416" s="40">
        <v>0</v>
      </c>
      <c r="AA416" s="52"/>
    </row>
    <row r="417" spans="2:27" ht="11.25" hidden="1">
      <c r="B417" s="39" t="s">
        <v>442</v>
      </c>
      <c r="C417" s="82" t="s">
        <v>732</v>
      </c>
      <c r="D417" s="83"/>
      <c r="E417" s="50" t="s">
        <v>123</v>
      </c>
      <c r="F417" s="28">
        <v>0</v>
      </c>
      <c r="G417" s="28">
        <v>56.68</v>
      </c>
      <c r="H417" s="28">
        <v>570.6364147981367</v>
      </c>
      <c r="I417" s="28">
        <v>1079.1520994481368</v>
      </c>
      <c r="J417" s="28">
        <v>119.64329659813663</v>
      </c>
      <c r="K417" s="28">
        <v>41.26130380559006</v>
      </c>
      <c r="L417" s="28">
        <v>34.3818007</v>
      </c>
      <c r="M417" s="28">
        <v>34.3818007</v>
      </c>
      <c r="N417" s="28">
        <v>34.3818007</v>
      </c>
      <c r="O417" s="28">
        <v>34.3818007</v>
      </c>
      <c r="P417" s="28">
        <v>34.3818007</v>
      </c>
      <c r="Q417" s="28">
        <v>34.3818007</v>
      </c>
      <c r="R417" s="28">
        <v>34.3818007</v>
      </c>
      <c r="S417" s="28">
        <v>34.3818007</v>
      </c>
      <c r="T417" s="28">
        <v>34.3818007</v>
      </c>
      <c r="U417" s="28">
        <v>34.3818007</v>
      </c>
      <c r="V417" s="28">
        <v>34.3818007</v>
      </c>
      <c r="W417" s="28">
        <v>34.3818007</v>
      </c>
      <c r="X417" s="28">
        <v>34.3818007</v>
      </c>
      <c r="Y417" s="40">
        <v>34.3818007</v>
      </c>
      <c r="AA417" s="52">
        <f>+AA411+AA412+AA413</f>
        <v>2591.740285</v>
      </c>
    </row>
    <row r="418" spans="2:27" ht="11.25" hidden="1">
      <c r="B418" s="39" t="s">
        <v>443</v>
      </c>
      <c r="C418" s="82" t="s">
        <v>128</v>
      </c>
      <c r="D418" s="83"/>
      <c r="E418" s="50" t="s">
        <v>123</v>
      </c>
      <c r="F418" s="28">
        <v>0</v>
      </c>
      <c r="G418" s="28">
        <v>0</v>
      </c>
      <c r="H418" s="28">
        <v>2.7930606091781027</v>
      </c>
      <c r="I418" s="28">
        <v>6.518340924027529</v>
      </c>
      <c r="J418" s="28">
        <v>38.87658173717372</v>
      </c>
      <c r="K418" s="28">
        <v>48.15443074999193</v>
      </c>
      <c r="L418" s="28">
        <v>155.99739338353237</v>
      </c>
      <c r="M418" s="28">
        <v>323.4764758792831</v>
      </c>
      <c r="N418" s="28">
        <v>430.9448998819802</v>
      </c>
      <c r="O418" s="28">
        <v>469.7955915084468</v>
      </c>
      <c r="P418" s="28">
        <v>472.83482660207505</v>
      </c>
      <c r="Q418" s="28">
        <v>473.70201360667204</v>
      </c>
      <c r="R418" s="28">
        <v>474.55185687117705</v>
      </c>
      <c r="S418" s="28">
        <v>475.3847032703919</v>
      </c>
      <c r="T418" s="28">
        <v>476.2008927416226</v>
      </c>
      <c r="U418" s="28">
        <v>477.0007584234286</v>
      </c>
      <c r="V418" s="28">
        <v>477.7846267915985</v>
      </c>
      <c r="W418" s="28">
        <v>478.552817792405</v>
      </c>
      <c r="X418" s="28">
        <v>479.3056449731953</v>
      </c>
      <c r="Y418" s="40">
        <v>480.04341561036983</v>
      </c>
      <c r="AA418" s="52"/>
    </row>
    <row r="419" spans="2:27" ht="11.25" hidden="1">
      <c r="B419" s="39" t="s">
        <v>444</v>
      </c>
      <c r="C419" s="82" t="s">
        <v>63</v>
      </c>
      <c r="D419" s="83"/>
      <c r="E419" s="50" t="s">
        <v>123</v>
      </c>
      <c r="F419" s="28">
        <v>0</v>
      </c>
      <c r="G419" s="28">
        <v>0</v>
      </c>
      <c r="H419" s="28">
        <v>0</v>
      </c>
      <c r="I419" s="28">
        <v>0</v>
      </c>
      <c r="J419" s="28">
        <v>53.92222222222221</v>
      </c>
      <c r="K419" s="28">
        <v>43.137777777777764</v>
      </c>
      <c r="L419" s="28">
        <v>32.353333333333325</v>
      </c>
      <c r="M419" s="28">
        <v>21.568888888888875</v>
      </c>
      <c r="N419" s="28">
        <v>10.78444444444443</v>
      </c>
      <c r="O419" s="28">
        <v>0</v>
      </c>
      <c r="P419" s="28">
        <v>0</v>
      </c>
      <c r="Q419" s="28">
        <v>0</v>
      </c>
      <c r="R419" s="28">
        <v>0</v>
      </c>
      <c r="S419" s="28">
        <v>0</v>
      </c>
      <c r="T419" s="28">
        <v>0</v>
      </c>
      <c r="U419" s="28">
        <v>0</v>
      </c>
      <c r="V419" s="28">
        <v>0</v>
      </c>
      <c r="W419" s="28">
        <v>0</v>
      </c>
      <c r="X419" s="28">
        <v>0</v>
      </c>
      <c r="Y419" s="40">
        <v>0</v>
      </c>
      <c r="AA419" s="52"/>
    </row>
    <row r="420" spans="2:27" ht="11.25" hidden="1">
      <c r="B420" s="39" t="s">
        <v>445</v>
      </c>
      <c r="C420" s="82" t="s">
        <v>446</v>
      </c>
      <c r="D420" s="83"/>
      <c r="E420" s="50" t="s">
        <v>123</v>
      </c>
      <c r="F420" s="28">
        <v>0</v>
      </c>
      <c r="G420" s="28">
        <v>0</v>
      </c>
      <c r="H420" s="28">
        <v>2.7930606091781027</v>
      </c>
      <c r="I420" s="28">
        <v>6.518340924027529</v>
      </c>
      <c r="J420" s="28">
        <v>92.79880395939594</v>
      </c>
      <c r="K420" s="28">
        <v>91.2922085277697</v>
      </c>
      <c r="L420" s="28">
        <v>188.3507267168657</v>
      </c>
      <c r="M420" s="28">
        <v>345.04536476817196</v>
      </c>
      <c r="N420" s="28">
        <v>441.7293443264246</v>
      </c>
      <c r="O420" s="28">
        <v>469.7955915084468</v>
      </c>
      <c r="P420" s="28">
        <v>472.83482660207505</v>
      </c>
      <c r="Q420" s="28">
        <v>473.70201360667204</v>
      </c>
      <c r="R420" s="28">
        <v>474.55185687117705</v>
      </c>
      <c r="S420" s="28">
        <v>475.3847032703919</v>
      </c>
      <c r="T420" s="28">
        <v>476.2008927416226</v>
      </c>
      <c r="U420" s="28">
        <v>477.0007584234286</v>
      </c>
      <c r="V420" s="28">
        <v>477.7846267915985</v>
      </c>
      <c r="W420" s="28">
        <v>478.552817792405</v>
      </c>
      <c r="X420" s="28">
        <v>479.3056449731953</v>
      </c>
      <c r="Y420" s="40">
        <v>480.04341561036983</v>
      </c>
      <c r="AA420" s="52"/>
    </row>
    <row r="421" spans="2:27" ht="11.25" hidden="1">
      <c r="B421" s="39" t="s">
        <v>447</v>
      </c>
      <c r="C421" s="84" t="s">
        <v>448</v>
      </c>
      <c r="D421" s="85"/>
      <c r="E421" s="50" t="s">
        <v>123</v>
      </c>
      <c r="F421" s="28">
        <v>0</v>
      </c>
      <c r="G421" s="28">
        <v>-56.68</v>
      </c>
      <c r="H421" s="28">
        <v>-567.8433541889585</v>
      </c>
      <c r="I421" s="28">
        <v>-1072.6337585241092</v>
      </c>
      <c r="J421" s="28">
        <v>-26.84449263874069</v>
      </c>
      <c r="K421" s="28">
        <v>50.03090472217964</v>
      </c>
      <c r="L421" s="28">
        <v>153.96892601686568</v>
      </c>
      <c r="M421" s="28">
        <v>310.663564068172</v>
      </c>
      <c r="N421" s="28">
        <v>407.3475436264246</v>
      </c>
      <c r="O421" s="28">
        <v>435.41379080844683</v>
      </c>
      <c r="P421" s="28">
        <v>438.45302590207507</v>
      </c>
      <c r="Q421" s="28">
        <v>439.32021290667205</v>
      </c>
      <c r="R421" s="28">
        <v>440.17005617117707</v>
      </c>
      <c r="S421" s="28">
        <v>441.00290257039194</v>
      </c>
      <c r="T421" s="28">
        <v>441.81909204162264</v>
      </c>
      <c r="U421" s="28">
        <v>442.6189577234286</v>
      </c>
      <c r="V421" s="28">
        <v>443.4028260915985</v>
      </c>
      <c r="W421" s="28">
        <v>444.171017092405</v>
      </c>
      <c r="X421" s="28">
        <v>444.9238442731953</v>
      </c>
      <c r="Y421" s="40">
        <v>445.66161491036985</v>
      </c>
      <c r="AA421" s="52"/>
    </row>
    <row r="422" spans="2:27" ht="11.25" hidden="1">
      <c r="B422" s="114" t="s">
        <v>449</v>
      </c>
      <c r="C422" s="91" t="s">
        <v>121</v>
      </c>
      <c r="D422" s="78">
        <f>+AA417</f>
        <v>2591.740285</v>
      </c>
      <c r="E422" s="94"/>
      <c r="F422" s="73"/>
      <c r="G422" s="73"/>
      <c r="H422" s="73"/>
      <c r="I422" s="73"/>
      <c r="J422" s="73"/>
      <c r="K422" s="73"/>
      <c r="L422" s="73"/>
      <c r="M422" s="73"/>
      <c r="N422" s="73"/>
      <c r="O422" s="73"/>
      <c r="P422" s="73"/>
      <c r="Q422" s="73"/>
      <c r="R422" s="73"/>
      <c r="S422" s="73"/>
      <c r="T422" s="73"/>
      <c r="U422" s="73"/>
      <c r="V422" s="73"/>
      <c r="W422" s="73"/>
      <c r="X422" s="73"/>
      <c r="Y422" s="74"/>
      <c r="AA422" s="52"/>
    </row>
    <row r="423" spans="2:27" ht="11.25" hidden="1">
      <c r="B423" s="90" t="s">
        <v>450</v>
      </c>
      <c r="C423" s="92" t="s">
        <v>596</v>
      </c>
      <c r="D423" s="113">
        <f>+AA415</f>
        <v>109.78</v>
      </c>
      <c r="E423" s="95"/>
      <c r="F423" s="54"/>
      <c r="G423" s="54"/>
      <c r="H423" s="54"/>
      <c r="I423" s="54"/>
      <c r="J423" s="54"/>
      <c r="K423" s="54"/>
      <c r="L423" s="54"/>
      <c r="M423" s="54"/>
      <c r="N423" s="54"/>
      <c r="O423" s="54"/>
      <c r="P423" s="54"/>
      <c r="Q423" s="54"/>
      <c r="R423" s="54"/>
      <c r="S423" s="54"/>
      <c r="T423" s="54"/>
      <c r="U423" s="54"/>
      <c r="V423" s="54"/>
      <c r="W423" s="54"/>
      <c r="X423" s="54"/>
      <c r="Y423" s="75"/>
      <c r="AA423" s="52"/>
    </row>
    <row r="424" spans="2:27" ht="11.25" hidden="1">
      <c r="B424" s="90" t="s">
        <v>451</v>
      </c>
      <c r="C424" s="92" t="s">
        <v>57</v>
      </c>
      <c r="D424" s="79">
        <f>+IRR(F421:Y421)</f>
        <v>0.13759989300931214</v>
      </c>
      <c r="E424" s="95"/>
      <c r="F424" s="88"/>
      <c r="G424" s="54"/>
      <c r="H424" s="54"/>
      <c r="I424" s="54"/>
      <c r="J424" s="54"/>
      <c r="K424" s="54"/>
      <c r="L424" s="54"/>
      <c r="M424" s="54"/>
      <c r="N424" s="54"/>
      <c r="O424" s="54"/>
      <c r="P424" s="54"/>
      <c r="Q424" s="54"/>
      <c r="R424" s="54"/>
      <c r="S424" s="54"/>
      <c r="T424" s="54"/>
      <c r="U424" s="54"/>
      <c r="V424" s="54"/>
      <c r="W424" s="54"/>
      <c r="X424" s="54"/>
      <c r="Y424" s="75"/>
      <c r="AA424" s="52"/>
    </row>
    <row r="425" spans="2:27" ht="12" hidden="1" thickBot="1">
      <c r="B425" s="122" t="s">
        <v>616</v>
      </c>
      <c r="C425" s="102" t="s">
        <v>120</v>
      </c>
      <c r="D425" s="210">
        <f>+NPV('Assumptions and Basic Info'!$C$20,F421:Y421)</f>
        <v>416.0292525081006</v>
      </c>
      <c r="E425" s="108"/>
      <c r="F425" s="105"/>
      <c r="G425" s="127"/>
      <c r="H425" s="105"/>
      <c r="I425" s="105"/>
      <c r="J425" s="105"/>
      <c r="K425" s="105"/>
      <c r="L425" s="105"/>
      <c r="M425" s="105"/>
      <c r="N425" s="105"/>
      <c r="O425" s="105"/>
      <c r="P425" s="105"/>
      <c r="Q425" s="105"/>
      <c r="R425" s="105"/>
      <c r="S425" s="105"/>
      <c r="T425" s="105"/>
      <c r="U425" s="105"/>
      <c r="V425" s="105"/>
      <c r="W425" s="105"/>
      <c r="X425" s="105"/>
      <c r="Y425" s="106"/>
      <c r="AA425" s="52"/>
    </row>
    <row r="426" spans="2:28" ht="11.25" hidden="1">
      <c r="B426" s="44" t="s">
        <v>452</v>
      </c>
      <c r="C426" s="23" t="s">
        <v>470</v>
      </c>
      <c r="D426" s="23"/>
      <c r="E426" s="51"/>
      <c r="F426" s="24"/>
      <c r="G426" s="24"/>
      <c r="H426" s="24"/>
      <c r="I426" s="24"/>
      <c r="J426" s="24"/>
      <c r="K426" s="24"/>
      <c r="L426" s="24"/>
      <c r="M426" s="24"/>
      <c r="N426" s="24"/>
      <c r="O426" s="24"/>
      <c r="P426" s="24"/>
      <c r="Q426" s="24"/>
      <c r="R426" s="24"/>
      <c r="S426" s="24"/>
      <c r="T426" s="24"/>
      <c r="U426" s="24"/>
      <c r="V426" s="24"/>
      <c r="W426" s="24"/>
      <c r="X426" s="24"/>
      <c r="Y426" s="45"/>
      <c r="AA426" s="125"/>
      <c r="AB426" s="126"/>
    </row>
    <row r="427" spans="2:31" s="95" customFormat="1" ht="11.25" hidden="1">
      <c r="B427" s="37" t="s">
        <v>453</v>
      </c>
      <c r="C427" s="80" t="s">
        <v>124</v>
      </c>
      <c r="D427" s="81"/>
      <c r="E427" s="49" t="s">
        <v>54</v>
      </c>
      <c r="F427" s="27">
        <v>2470</v>
      </c>
      <c r="G427" s="27">
        <v>2470</v>
      </c>
      <c r="H427" s="27">
        <v>2470</v>
      </c>
      <c r="I427" s="27">
        <v>2470</v>
      </c>
      <c r="J427" s="27">
        <v>2470</v>
      </c>
      <c r="K427" s="27">
        <v>2470</v>
      </c>
      <c r="L427" s="27">
        <v>2470</v>
      </c>
      <c r="M427" s="27">
        <v>2470</v>
      </c>
      <c r="N427" s="27">
        <v>2470</v>
      </c>
      <c r="O427" s="27">
        <v>2470</v>
      </c>
      <c r="P427" s="27">
        <v>2470</v>
      </c>
      <c r="Q427" s="27">
        <v>2470</v>
      </c>
      <c r="R427" s="27">
        <v>2470</v>
      </c>
      <c r="S427" s="27">
        <v>2470</v>
      </c>
      <c r="T427" s="27">
        <v>2470</v>
      </c>
      <c r="U427" s="27">
        <v>2470</v>
      </c>
      <c r="V427" s="27">
        <v>2470</v>
      </c>
      <c r="W427" s="27">
        <v>2470</v>
      </c>
      <c r="X427" s="27">
        <v>2470</v>
      </c>
      <c r="Y427" s="38">
        <v>2470</v>
      </c>
      <c r="Z427" s="88"/>
      <c r="AA427" s="54">
        <v>2470</v>
      </c>
      <c r="AB427" s="115"/>
      <c r="AC427" s="88"/>
      <c r="AD427" s="88"/>
      <c r="AE427" s="88"/>
    </row>
    <row r="428" spans="2:31" s="95" customFormat="1" ht="11.25" hidden="1">
      <c r="B428" s="39" t="s">
        <v>454</v>
      </c>
      <c r="C428" s="82" t="s">
        <v>125</v>
      </c>
      <c r="D428" s="83"/>
      <c r="E428" s="50" t="s">
        <v>54</v>
      </c>
      <c r="F428" s="28">
        <v>2470</v>
      </c>
      <c r="G428" s="28">
        <v>2470</v>
      </c>
      <c r="H428" s="28">
        <v>2612.9825529745103</v>
      </c>
      <c r="I428" s="28">
        <v>2755.9651059490207</v>
      </c>
      <c r="J428" s="28">
        <v>2898.9476589235305</v>
      </c>
      <c r="K428" s="28">
        <v>2970</v>
      </c>
      <c r="L428" s="28">
        <v>2970</v>
      </c>
      <c r="M428" s="28">
        <v>2970</v>
      </c>
      <c r="N428" s="28">
        <v>2970</v>
      </c>
      <c r="O428" s="28">
        <v>2970</v>
      </c>
      <c r="P428" s="28">
        <v>2970</v>
      </c>
      <c r="Q428" s="28">
        <v>2970</v>
      </c>
      <c r="R428" s="28">
        <v>2970</v>
      </c>
      <c r="S428" s="28">
        <v>2970</v>
      </c>
      <c r="T428" s="28">
        <v>2970</v>
      </c>
      <c r="U428" s="28">
        <v>2970</v>
      </c>
      <c r="V428" s="28">
        <v>2970</v>
      </c>
      <c r="W428" s="28">
        <v>2970</v>
      </c>
      <c r="X428" s="28">
        <v>2970</v>
      </c>
      <c r="Y428" s="40">
        <v>2970</v>
      </c>
      <c r="Z428" s="88"/>
      <c r="AA428" s="54">
        <v>2970</v>
      </c>
      <c r="AC428" s="88"/>
      <c r="AD428" s="88"/>
      <c r="AE428" s="88"/>
    </row>
    <row r="429" spans="2:27" ht="11.25" hidden="1">
      <c r="B429" s="39" t="s">
        <v>455</v>
      </c>
      <c r="C429" s="82" t="s">
        <v>649</v>
      </c>
      <c r="D429" s="83"/>
      <c r="E429" s="50" t="s">
        <v>54</v>
      </c>
      <c r="F429" s="28">
        <v>0</v>
      </c>
      <c r="G429" s="28">
        <v>0</v>
      </c>
      <c r="H429" s="28">
        <v>142.9825529745102</v>
      </c>
      <c r="I429" s="28">
        <v>285.9651059490204</v>
      </c>
      <c r="J429" s="28">
        <v>428.94765892353064</v>
      </c>
      <c r="K429" s="28">
        <v>500</v>
      </c>
      <c r="L429" s="28">
        <v>500</v>
      </c>
      <c r="M429" s="28">
        <v>500</v>
      </c>
      <c r="N429" s="28">
        <v>500</v>
      </c>
      <c r="O429" s="28">
        <v>500</v>
      </c>
      <c r="P429" s="28">
        <v>500</v>
      </c>
      <c r="Q429" s="28">
        <v>500</v>
      </c>
      <c r="R429" s="28">
        <v>500</v>
      </c>
      <c r="S429" s="28">
        <v>500</v>
      </c>
      <c r="T429" s="28">
        <v>500</v>
      </c>
      <c r="U429" s="28">
        <v>500</v>
      </c>
      <c r="V429" s="28">
        <v>500</v>
      </c>
      <c r="W429" s="28">
        <v>500</v>
      </c>
      <c r="X429" s="28">
        <v>500</v>
      </c>
      <c r="Y429" s="40">
        <v>500</v>
      </c>
      <c r="AA429" s="52">
        <v>500</v>
      </c>
    </row>
    <row r="430" spans="2:27" ht="11.25" hidden="1">
      <c r="B430" s="39" t="s">
        <v>650</v>
      </c>
      <c r="C430" s="82" t="s">
        <v>651</v>
      </c>
      <c r="D430" s="83"/>
      <c r="E430" s="50" t="s">
        <v>54</v>
      </c>
      <c r="F430" s="28">
        <v>0</v>
      </c>
      <c r="G430" s="28">
        <v>0</v>
      </c>
      <c r="H430" s="28">
        <v>142.9825529745102</v>
      </c>
      <c r="I430" s="28">
        <v>142.9825529745102</v>
      </c>
      <c r="J430" s="28">
        <v>142.9825529745102</v>
      </c>
      <c r="K430" s="28">
        <v>71.05234107646936</v>
      </c>
      <c r="L430" s="28">
        <v>0</v>
      </c>
      <c r="M430" s="28">
        <v>0</v>
      </c>
      <c r="N430" s="28">
        <v>0</v>
      </c>
      <c r="O430" s="28">
        <v>0</v>
      </c>
      <c r="P430" s="28">
        <v>0</v>
      </c>
      <c r="Q430" s="28">
        <v>0</v>
      </c>
      <c r="R430" s="28">
        <v>0</v>
      </c>
      <c r="S430" s="28">
        <v>0</v>
      </c>
      <c r="T430" s="28">
        <v>0</v>
      </c>
      <c r="U430" s="28">
        <v>0</v>
      </c>
      <c r="V430" s="28">
        <v>0</v>
      </c>
      <c r="W430" s="28">
        <v>0</v>
      </c>
      <c r="X430" s="28">
        <v>0</v>
      </c>
      <c r="Y430" s="40">
        <v>0</v>
      </c>
      <c r="AA430" s="52"/>
    </row>
    <row r="431" spans="2:27" ht="11.25" hidden="1">
      <c r="B431" s="39" t="s">
        <v>456</v>
      </c>
      <c r="C431" s="82" t="s">
        <v>58</v>
      </c>
      <c r="D431" s="83"/>
      <c r="E431" s="50" t="s">
        <v>118</v>
      </c>
      <c r="F431" s="28">
        <v>0</v>
      </c>
      <c r="G431" s="28">
        <v>295.6521739130435</v>
      </c>
      <c r="H431" s="28">
        <v>295.6521739130435</v>
      </c>
      <c r="I431" s="28">
        <v>295.6521739130435</v>
      </c>
      <c r="J431" s="28">
        <v>146.9184782608695</v>
      </c>
      <c r="K431" s="28">
        <v>0</v>
      </c>
      <c r="L431" s="28">
        <v>0</v>
      </c>
      <c r="M431" s="28">
        <v>0</v>
      </c>
      <c r="N431" s="28">
        <v>0</v>
      </c>
      <c r="O431" s="28">
        <v>0</v>
      </c>
      <c r="P431" s="28">
        <v>0</v>
      </c>
      <c r="Q431" s="28">
        <v>0</v>
      </c>
      <c r="R431" s="28">
        <v>0</v>
      </c>
      <c r="S431" s="28">
        <v>0</v>
      </c>
      <c r="T431" s="28">
        <v>0</v>
      </c>
      <c r="U431" s="28">
        <v>0</v>
      </c>
      <c r="V431" s="28">
        <v>0</v>
      </c>
      <c r="W431" s="28">
        <v>0</v>
      </c>
      <c r="X431" s="28">
        <v>0</v>
      </c>
      <c r="Y431" s="40">
        <v>0</v>
      </c>
      <c r="AA431" s="52">
        <v>1033.875</v>
      </c>
    </row>
    <row r="432" spans="2:27" ht="11.25" hidden="1">
      <c r="B432" s="39" t="s">
        <v>457</v>
      </c>
      <c r="C432" s="82" t="s">
        <v>24</v>
      </c>
      <c r="D432" s="83"/>
      <c r="E432" s="50" t="s">
        <v>118</v>
      </c>
      <c r="F432" s="28">
        <v>0</v>
      </c>
      <c r="G432" s="28">
        <v>44.34782608695652</v>
      </c>
      <c r="H432" s="28">
        <v>44.34782608695652</v>
      </c>
      <c r="I432" s="28">
        <v>44.34782608695652</v>
      </c>
      <c r="J432" s="28">
        <v>22.037771739130424</v>
      </c>
      <c r="K432" s="28">
        <v>0</v>
      </c>
      <c r="L432" s="28">
        <v>0</v>
      </c>
      <c r="M432" s="28">
        <v>0</v>
      </c>
      <c r="N432" s="28">
        <v>0</v>
      </c>
      <c r="O432" s="28">
        <v>0</v>
      </c>
      <c r="P432" s="28">
        <v>0</v>
      </c>
      <c r="Q432" s="28">
        <v>0</v>
      </c>
      <c r="R432" s="28">
        <v>0</v>
      </c>
      <c r="S432" s="28">
        <v>0</v>
      </c>
      <c r="T432" s="28">
        <v>0</v>
      </c>
      <c r="U432" s="28">
        <v>0</v>
      </c>
      <c r="V432" s="28">
        <v>0</v>
      </c>
      <c r="W432" s="28">
        <v>0</v>
      </c>
      <c r="X432" s="28">
        <v>0</v>
      </c>
      <c r="Y432" s="40">
        <v>0</v>
      </c>
      <c r="AA432" s="54">
        <f>+AA431*'Assumptions and Basic Info'!$C$4</f>
        <v>1033.875</v>
      </c>
    </row>
    <row r="433" spans="2:27" ht="11.25" hidden="1">
      <c r="B433" s="39" t="s">
        <v>458</v>
      </c>
      <c r="C433" s="82" t="s">
        <v>83</v>
      </c>
      <c r="D433" s="83"/>
      <c r="E433" s="50" t="s">
        <v>118</v>
      </c>
      <c r="F433" s="28">
        <v>0</v>
      </c>
      <c r="G433" s="28">
        <v>30.6</v>
      </c>
      <c r="H433" s="28">
        <v>30.6</v>
      </c>
      <c r="I433" s="28">
        <v>30.6</v>
      </c>
      <c r="J433" s="28">
        <v>15.206062499999993</v>
      </c>
      <c r="K433" s="28">
        <v>0</v>
      </c>
      <c r="L433" s="28">
        <v>0</v>
      </c>
      <c r="M433" s="28">
        <v>0</v>
      </c>
      <c r="N433" s="28">
        <v>0</v>
      </c>
      <c r="O433" s="28">
        <v>0</v>
      </c>
      <c r="P433" s="28">
        <v>0</v>
      </c>
      <c r="Q433" s="28">
        <v>0</v>
      </c>
      <c r="R433" s="28">
        <v>0</v>
      </c>
      <c r="S433" s="28">
        <v>0</v>
      </c>
      <c r="T433" s="28">
        <v>0</v>
      </c>
      <c r="U433" s="28">
        <v>0</v>
      </c>
      <c r="V433" s="28">
        <v>0</v>
      </c>
      <c r="W433" s="28">
        <v>0</v>
      </c>
      <c r="X433" s="28">
        <v>0</v>
      </c>
      <c r="Y433" s="40">
        <v>0</v>
      </c>
      <c r="AA433" s="54">
        <v>107.0060625</v>
      </c>
    </row>
    <row r="434" spans="2:27" ht="11.25" hidden="1">
      <c r="B434" s="39" t="s">
        <v>459</v>
      </c>
      <c r="C434" s="82" t="s">
        <v>82</v>
      </c>
      <c r="D434" s="83"/>
      <c r="E434" s="50" t="s">
        <v>118</v>
      </c>
      <c r="F434" s="28">
        <v>0</v>
      </c>
      <c r="G434" s="29">
        <v>0</v>
      </c>
      <c r="H434" s="29">
        <v>7.412000000000001</v>
      </c>
      <c r="I434" s="29">
        <v>14.824000000000002</v>
      </c>
      <c r="J434" s="29">
        <v>22.236</v>
      </c>
      <c r="K434" s="29">
        <v>25.919246249999997</v>
      </c>
      <c r="L434" s="29">
        <v>25.919246249999997</v>
      </c>
      <c r="M434" s="29">
        <v>25.919246249999997</v>
      </c>
      <c r="N434" s="29">
        <v>25.919246249999997</v>
      </c>
      <c r="O434" s="29">
        <v>25.919246249999997</v>
      </c>
      <c r="P434" s="29">
        <v>25.919246249999997</v>
      </c>
      <c r="Q434" s="29">
        <v>25.919246249999997</v>
      </c>
      <c r="R434" s="29">
        <v>25.919246249999997</v>
      </c>
      <c r="S434" s="29">
        <v>25.919246249999997</v>
      </c>
      <c r="T434" s="29">
        <v>25.919246249999997</v>
      </c>
      <c r="U434" s="29">
        <v>25.919246249999997</v>
      </c>
      <c r="V434" s="29">
        <v>25.919246249999997</v>
      </c>
      <c r="W434" s="29">
        <v>25.919246249999997</v>
      </c>
      <c r="X434" s="29">
        <v>25.919246249999997</v>
      </c>
      <c r="Y434" s="41">
        <v>25.919246249999997</v>
      </c>
      <c r="AA434" s="52"/>
    </row>
    <row r="435" spans="2:27" ht="11.25" hidden="1">
      <c r="B435" s="39" t="s">
        <v>617</v>
      </c>
      <c r="C435" s="82" t="s">
        <v>578</v>
      </c>
      <c r="D435" s="83"/>
      <c r="E435" s="50" t="s">
        <v>118</v>
      </c>
      <c r="F435" s="28">
        <v>0</v>
      </c>
      <c r="G435" s="29">
        <v>14.3</v>
      </c>
      <c r="H435" s="29">
        <v>0</v>
      </c>
      <c r="I435" s="29">
        <v>0</v>
      </c>
      <c r="J435" s="29">
        <v>0</v>
      </c>
      <c r="K435" s="29">
        <v>0</v>
      </c>
      <c r="L435" s="29">
        <v>0</v>
      </c>
      <c r="M435" s="29">
        <v>0</v>
      </c>
      <c r="N435" s="29">
        <v>0</v>
      </c>
      <c r="O435" s="29">
        <v>0</v>
      </c>
      <c r="P435" s="29">
        <v>0</v>
      </c>
      <c r="Q435" s="29">
        <v>0</v>
      </c>
      <c r="R435" s="29">
        <v>0</v>
      </c>
      <c r="S435" s="29">
        <v>0</v>
      </c>
      <c r="T435" s="29">
        <v>0</v>
      </c>
      <c r="U435" s="29">
        <v>0</v>
      </c>
      <c r="V435" s="29">
        <v>0</v>
      </c>
      <c r="W435" s="29">
        <v>0</v>
      </c>
      <c r="X435" s="29">
        <v>0</v>
      </c>
      <c r="Y435" s="41">
        <v>0</v>
      </c>
      <c r="AA435" s="52">
        <v>14.3</v>
      </c>
    </row>
    <row r="436" spans="2:27" ht="11.25" hidden="1">
      <c r="B436" s="39" t="s">
        <v>733</v>
      </c>
      <c r="C436" s="82" t="s">
        <v>691</v>
      </c>
      <c r="D436" s="83"/>
      <c r="E436" s="50" t="s">
        <v>118</v>
      </c>
      <c r="F436" s="28">
        <v>0</v>
      </c>
      <c r="G436" s="29">
        <v>0</v>
      </c>
      <c r="H436" s="29">
        <v>49.185998223231515</v>
      </c>
      <c r="I436" s="29">
        <v>49.185998223231515</v>
      </c>
      <c r="J436" s="29">
        <v>49.185998223231515</v>
      </c>
      <c r="K436" s="29">
        <v>24.44200533030546</v>
      </c>
      <c r="L436" s="29">
        <v>0</v>
      </c>
      <c r="M436" s="29">
        <v>0</v>
      </c>
      <c r="N436" s="29">
        <v>0</v>
      </c>
      <c r="O436" s="29">
        <v>0</v>
      </c>
      <c r="P436" s="29">
        <v>0</v>
      </c>
      <c r="Q436" s="29">
        <v>0</v>
      </c>
      <c r="R436" s="29">
        <v>0</v>
      </c>
      <c r="S436" s="29">
        <v>0</v>
      </c>
      <c r="T436" s="29">
        <v>0</v>
      </c>
      <c r="U436" s="29">
        <v>0</v>
      </c>
      <c r="V436" s="29">
        <v>0</v>
      </c>
      <c r="W436" s="29">
        <v>0</v>
      </c>
      <c r="X436" s="29">
        <v>0</v>
      </c>
      <c r="Y436" s="41">
        <v>0</v>
      </c>
      <c r="AA436" s="52"/>
    </row>
    <row r="437" spans="2:27" ht="11.25" hidden="1">
      <c r="B437" s="39" t="s">
        <v>460</v>
      </c>
      <c r="C437" s="82" t="s">
        <v>734</v>
      </c>
      <c r="D437" s="83"/>
      <c r="E437" s="50" t="s">
        <v>118</v>
      </c>
      <c r="F437" s="28">
        <v>0</v>
      </c>
      <c r="G437" s="28">
        <v>384.9</v>
      </c>
      <c r="H437" s="28">
        <v>427.19799822323154</v>
      </c>
      <c r="I437" s="28">
        <v>434.60999822323157</v>
      </c>
      <c r="J437" s="28">
        <v>255.58431072323143</v>
      </c>
      <c r="K437" s="28">
        <v>50.361251580305456</v>
      </c>
      <c r="L437" s="28">
        <v>25.919246249999997</v>
      </c>
      <c r="M437" s="28">
        <v>25.919246249999997</v>
      </c>
      <c r="N437" s="28">
        <v>25.919246249999997</v>
      </c>
      <c r="O437" s="28">
        <v>25.919246249999997</v>
      </c>
      <c r="P437" s="28">
        <v>25.919246249999997</v>
      </c>
      <c r="Q437" s="28">
        <v>25.919246249999997</v>
      </c>
      <c r="R437" s="28">
        <v>25.919246249999997</v>
      </c>
      <c r="S437" s="28">
        <v>25.919246249999997</v>
      </c>
      <c r="T437" s="28">
        <v>25.919246249999997</v>
      </c>
      <c r="U437" s="28">
        <v>25.919246249999997</v>
      </c>
      <c r="V437" s="28">
        <v>25.919246249999997</v>
      </c>
      <c r="W437" s="28">
        <v>25.919246249999997</v>
      </c>
      <c r="X437" s="28">
        <v>25.919246249999997</v>
      </c>
      <c r="Y437" s="40">
        <v>25.919246249999997</v>
      </c>
      <c r="AA437" s="52">
        <f>+AA431+AA432+AA433</f>
        <v>2174.7560625</v>
      </c>
    </row>
    <row r="438" spans="2:27" ht="11.25" hidden="1">
      <c r="B438" s="39" t="s">
        <v>461</v>
      </c>
      <c r="C438" s="82" t="s">
        <v>128</v>
      </c>
      <c r="D438" s="83"/>
      <c r="E438" s="50" t="s">
        <v>118</v>
      </c>
      <c r="F438" s="28">
        <v>0</v>
      </c>
      <c r="G438" s="28">
        <v>0</v>
      </c>
      <c r="H438" s="28">
        <v>9.215873058260978</v>
      </c>
      <c r="I438" s="28">
        <v>-8.993234070932372</v>
      </c>
      <c r="J438" s="28">
        <v>-21.61218807211954</v>
      </c>
      <c r="K438" s="28">
        <v>38.97417204732952</v>
      </c>
      <c r="L438" s="28">
        <v>166.1087043791542</v>
      </c>
      <c r="M438" s="28">
        <v>319.4621370505361</v>
      </c>
      <c r="N438" s="28">
        <v>430.87792100681605</v>
      </c>
      <c r="O438" s="28">
        <v>474.770329570735</v>
      </c>
      <c r="P438" s="28">
        <v>482.4244643289</v>
      </c>
      <c r="Q438" s="28">
        <v>482.4244643289</v>
      </c>
      <c r="R438" s="28">
        <v>482.4244643289</v>
      </c>
      <c r="S438" s="28">
        <v>482.4244643289</v>
      </c>
      <c r="T438" s="28">
        <v>482.4244643289</v>
      </c>
      <c r="U438" s="28">
        <v>482.4244643289</v>
      </c>
      <c r="V438" s="28">
        <v>482.4244643289</v>
      </c>
      <c r="W438" s="28">
        <v>482.4244643289</v>
      </c>
      <c r="X438" s="28">
        <v>482.4244643289</v>
      </c>
      <c r="Y438" s="40">
        <v>482.4244643289</v>
      </c>
      <c r="AA438" s="52"/>
    </row>
    <row r="439" spans="2:27" ht="11.25" hidden="1">
      <c r="B439" s="39" t="s">
        <v>462</v>
      </c>
      <c r="C439" s="82" t="s">
        <v>463</v>
      </c>
      <c r="D439" s="83"/>
      <c r="E439" s="50" t="s">
        <v>118</v>
      </c>
      <c r="F439" s="28">
        <v>0</v>
      </c>
      <c r="G439" s="28">
        <v>0</v>
      </c>
      <c r="H439" s="28">
        <v>9.215873058260978</v>
      </c>
      <c r="I439" s="28">
        <v>-8.993234070932372</v>
      </c>
      <c r="J439" s="28">
        <v>-21.61218807211954</v>
      </c>
      <c r="K439" s="28">
        <v>38.97417204732952</v>
      </c>
      <c r="L439" s="28">
        <v>166.1087043791542</v>
      </c>
      <c r="M439" s="28">
        <v>319.4621370505361</v>
      </c>
      <c r="N439" s="28">
        <v>430.87792100681605</v>
      </c>
      <c r="O439" s="28">
        <v>474.770329570735</v>
      </c>
      <c r="P439" s="28">
        <v>482.4244643289</v>
      </c>
      <c r="Q439" s="28">
        <v>482.4244643289</v>
      </c>
      <c r="R439" s="28">
        <v>482.4244643289</v>
      </c>
      <c r="S439" s="28">
        <v>482.4244643289</v>
      </c>
      <c r="T439" s="28">
        <v>482.4244643289</v>
      </c>
      <c r="U439" s="28">
        <v>482.4244643289</v>
      </c>
      <c r="V439" s="28">
        <v>482.4244643289</v>
      </c>
      <c r="W439" s="28">
        <v>482.4244643289</v>
      </c>
      <c r="X439" s="28">
        <v>482.4244643289</v>
      </c>
      <c r="Y439" s="40">
        <v>482.4244643289</v>
      </c>
      <c r="AA439" s="52"/>
    </row>
    <row r="440" spans="2:27" ht="11.25" hidden="1">
      <c r="B440" s="42" t="s">
        <v>464</v>
      </c>
      <c r="C440" s="84" t="s">
        <v>465</v>
      </c>
      <c r="D440" s="85"/>
      <c r="E440" s="50" t="s">
        <v>118</v>
      </c>
      <c r="F440" s="30">
        <v>0</v>
      </c>
      <c r="G440" s="30">
        <v>-384.9</v>
      </c>
      <c r="H440" s="30">
        <v>-417.98212516497057</v>
      </c>
      <c r="I440" s="30">
        <v>-443.60323229416394</v>
      </c>
      <c r="J440" s="30">
        <v>-277.196498795351</v>
      </c>
      <c r="K440" s="30">
        <v>-11.387079532975939</v>
      </c>
      <c r="L440" s="30">
        <v>140.18945812915422</v>
      </c>
      <c r="M440" s="30">
        <v>293.5428908005361</v>
      </c>
      <c r="N440" s="30">
        <v>404.95867475681604</v>
      </c>
      <c r="O440" s="30">
        <v>448.851083320735</v>
      </c>
      <c r="P440" s="30">
        <v>456.5052180789</v>
      </c>
      <c r="Q440" s="30">
        <v>456.5052180789</v>
      </c>
      <c r="R440" s="30">
        <v>456.5052180789</v>
      </c>
      <c r="S440" s="30">
        <v>456.5052180789</v>
      </c>
      <c r="T440" s="30">
        <v>456.5052180789</v>
      </c>
      <c r="U440" s="30">
        <v>456.5052180789</v>
      </c>
      <c r="V440" s="30">
        <v>456.5052180789</v>
      </c>
      <c r="W440" s="30">
        <v>456.5052180789</v>
      </c>
      <c r="X440" s="30">
        <v>456.5052180789</v>
      </c>
      <c r="Y440" s="43">
        <v>456.5052180789</v>
      </c>
      <c r="AA440" s="52"/>
    </row>
    <row r="441" spans="2:27" ht="11.25" hidden="1">
      <c r="B441" s="112" t="s">
        <v>466</v>
      </c>
      <c r="C441" s="91" t="s">
        <v>121</v>
      </c>
      <c r="D441" s="78">
        <f>+AA437</f>
        <v>2174.7560625</v>
      </c>
      <c r="E441" s="94"/>
      <c r="F441" s="73"/>
      <c r="G441" s="73"/>
      <c r="H441" s="73"/>
      <c r="I441" s="73"/>
      <c r="J441" s="73"/>
      <c r="K441" s="73"/>
      <c r="L441" s="73"/>
      <c r="M441" s="73"/>
      <c r="N441" s="73"/>
      <c r="O441" s="73"/>
      <c r="P441" s="73"/>
      <c r="Q441" s="73"/>
      <c r="R441" s="73"/>
      <c r="S441" s="73"/>
      <c r="T441" s="73"/>
      <c r="U441" s="73"/>
      <c r="V441" s="73"/>
      <c r="W441" s="73"/>
      <c r="X441" s="73"/>
      <c r="Y441" s="74"/>
      <c r="AA441" s="52"/>
    </row>
    <row r="442" spans="2:27" ht="11.25" hidden="1">
      <c r="B442" s="96" t="s">
        <v>467</v>
      </c>
      <c r="C442" s="92" t="s">
        <v>596</v>
      </c>
      <c r="D442" s="113">
        <f>+AA435</f>
        <v>14.3</v>
      </c>
      <c r="E442" s="95"/>
      <c r="F442" s="54"/>
      <c r="G442" s="54"/>
      <c r="H442" s="54"/>
      <c r="I442" s="54"/>
      <c r="J442" s="54"/>
      <c r="K442" s="54"/>
      <c r="L442" s="54"/>
      <c r="M442" s="54"/>
      <c r="N442" s="54"/>
      <c r="O442" s="54"/>
      <c r="P442" s="54"/>
      <c r="Q442" s="54"/>
      <c r="R442" s="54"/>
      <c r="S442" s="54"/>
      <c r="T442" s="54"/>
      <c r="U442" s="54"/>
      <c r="V442" s="54"/>
      <c r="W442" s="54"/>
      <c r="X442" s="54"/>
      <c r="Y442" s="75"/>
      <c r="AA442" s="52"/>
    </row>
    <row r="443" spans="2:27" ht="11.25" hidden="1">
      <c r="B443" s="96" t="s">
        <v>468</v>
      </c>
      <c r="C443" s="92" t="s">
        <v>57</v>
      </c>
      <c r="D443" s="79">
        <f>+IRR(F440:Y440)</f>
        <v>0.14712456953417663</v>
      </c>
      <c r="E443" s="95"/>
      <c r="F443" s="88"/>
      <c r="G443" s="54"/>
      <c r="H443" s="54"/>
      <c r="I443" s="54"/>
      <c r="J443" s="54"/>
      <c r="K443" s="54">
        <f>AVERAGE(F448:Y448)</f>
        <v>102310.10434976252</v>
      </c>
      <c r="L443" s="54">
        <f>K449-F449</f>
        <v>47984</v>
      </c>
      <c r="M443" s="54"/>
      <c r="N443" s="54"/>
      <c r="O443" s="54"/>
      <c r="P443" s="54"/>
      <c r="Q443" s="54"/>
      <c r="R443" s="54"/>
      <c r="S443" s="54"/>
      <c r="T443" s="54"/>
      <c r="U443" s="54"/>
      <c r="V443" s="54"/>
      <c r="W443" s="54"/>
      <c r="X443" s="54"/>
      <c r="Y443" s="75"/>
      <c r="AA443" s="52"/>
    </row>
    <row r="444" spans="2:27" ht="12" hidden="1" thickBot="1">
      <c r="B444" s="107" t="s">
        <v>618</v>
      </c>
      <c r="C444" s="102" t="s">
        <v>120</v>
      </c>
      <c r="D444" s="210">
        <f>+NPV('Assumptions and Basic Info'!$C$20,F440:Y440)</f>
        <v>521.4648985358617</v>
      </c>
      <c r="E444" s="108"/>
      <c r="F444" s="104"/>
      <c r="G444" s="105"/>
      <c r="H444" s="105"/>
      <c r="I444" s="105"/>
      <c r="J444" s="105"/>
      <c r="K444" s="105">
        <f>AVERAGE(F449:Y449)</f>
        <v>153166.12388905117</v>
      </c>
      <c r="L444" s="105">
        <f>K444-K443</f>
        <v>50856.01953928865</v>
      </c>
      <c r="M444" s="105">
        <f>L444-L443</f>
        <v>2872.0195392886526</v>
      </c>
      <c r="N444" s="105"/>
      <c r="O444" s="105"/>
      <c r="P444" s="105"/>
      <c r="Q444" s="105"/>
      <c r="R444" s="105"/>
      <c r="S444" s="105"/>
      <c r="T444" s="105"/>
      <c r="U444" s="105"/>
      <c r="V444" s="105"/>
      <c r="W444" s="105"/>
      <c r="X444" s="105"/>
      <c r="Y444" s="106"/>
      <c r="AA444" s="52"/>
    </row>
    <row r="445" spans="2:28" ht="22.5" hidden="1">
      <c r="B445" s="145" t="s">
        <v>486</v>
      </c>
      <c r="C445" s="144" t="s">
        <v>497</v>
      </c>
      <c r="D445" s="131"/>
      <c r="E445" s="132"/>
      <c r="F445" s="133"/>
      <c r="G445" s="133"/>
      <c r="H445" s="133"/>
      <c r="I445" s="133"/>
      <c r="J445" s="133"/>
      <c r="K445" s="133"/>
      <c r="L445" s="133"/>
      <c r="M445" s="133"/>
      <c r="N445" s="133"/>
      <c r="O445" s="133"/>
      <c r="P445" s="133"/>
      <c r="Q445" s="133"/>
      <c r="R445" s="133"/>
      <c r="S445" s="133"/>
      <c r="T445" s="133"/>
      <c r="U445" s="133"/>
      <c r="V445" s="133"/>
      <c r="W445" s="133"/>
      <c r="X445" s="133"/>
      <c r="Y445" s="134"/>
      <c r="AA445" s="125"/>
      <c r="AB445" s="126"/>
    </row>
    <row r="446" spans="2:27" ht="12" thickBot="1">
      <c r="B446" s="96"/>
      <c r="C446" s="118"/>
      <c r="D446" s="119"/>
      <c r="E446" s="95"/>
      <c r="F446" s="88"/>
      <c r="G446" s="54"/>
      <c r="H446" s="54"/>
      <c r="I446" s="54"/>
      <c r="J446" s="54"/>
      <c r="K446" s="54"/>
      <c r="L446" s="54"/>
      <c r="M446" s="54"/>
      <c r="N446" s="54"/>
      <c r="O446" s="54"/>
      <c r="P446" s="54"/>
      <c r="Q446" s="54"/>
      <c r="R446" s="54"/>
      <c r="S446" s="54"/>
      <c r="T446" s="54"/>
      <c r="U446" s="54"/>
      <c r="V446" s="54"/>
      <c r="W446" s="54"/>
      <c r="X446" s="54"/>
      <c r="Y446" s="75"/>
      <c r="AA446" s="52"/>
    </row>
    <row r="447" spans="2:27" ht="11.25">
      <c r="B447" s="135" t="s">
        <v>55</v>
      </c>
      <c r="C447" s="136" t="s">
        <v>576</v>
      </c>
      <c r="D447" s="136"/>
      <c r="E447" s="137"/>
      <c r="F447" s="138"/>
      <c r="G447" s="138"/>
      <c r="H447" s="138"/>
      <c r="I447" s="138"/>
      <c r="J447" s="138"/>
      <c r="K447" s="138"/>
      <c r="L447" s="138"/>
      <c r="M447" s="138"/>
      <c r="N447" s="138"/>
      <c r="O447" s="138"/>
      <c r="P447" s="138"/>
      <c r="Q447" s="138"/>
      <c r="R447" s="138"/>
      <c r="S447" s="138"/>
      <c r="T447" s="138"/>
      <c r="U447" s="138"/>
      <c r="V447" s="138"/>
      <c r="W447" s="138"/>
      <c r="X447" s="138"/>
      <c r="Y447" s="139"/>
      <c r="AA447" s="52"/>
    </row>
    <row r="448" spans="2:28" ht="11.25">
      <c r="B448" s="37" t="s">
        <v>487</v>
      </c>
      <c r="C448" s="80" t="s">
        <v>124</v>
      </c>
      <c r="D448" s="81"/>
      <c r="E448" s="49" t="s">
        <v>54</v>
      </c>
      <c r="F448" s="27">
        <f aca="true" t="shared" si="0" ref="F448:Y448">+F5+F27+F47+F67+F89+F111+F133+F153+F173+F193+F213+F233+F253+F271+F291+F309+F329+F349+F367+F387+F407+F427</f>
        <v>114490</v>
      </c>
      <c r="G448" s="27">
        <f t="shared" si="0"/>
        <v>112823.30888888892</v>
      </c>
      <c r="H448" s="27">
        <f t="shared" si="0"/>
        <v>111167.54937777776</v>
      </c>
      <c r="I448" s="27">
        <f t="shared" si="0"/>
        <v>109522.50283466667</v>
      </c>
      <c r="J448" s="27">
        <f t="shared" si="0"/>
        <v>107887.95500019555</v>
      </c>
      <c r="K448" s="27">
        <f t="shared" si="0"/>
        <v>106263.69590019164</v>
      </c>
      <c r="L448" s="27">
        <f t="shared" si="0"/>
        <v>104649.51975996558</v>
      </c>
      <c r="M448" s="27">
        <f t="shared" si="0"/>
        <v>103045.22492032182</v>
      </c>
      <c r="N448" s="27">
        <f t="shared" si="0"/>
        <v>101450.6137552487</v>
      </c>
      <c r="O448" s="27">
        <f t="shared" si="0"/>
        <v>99865.49259125486</v>
      </c>
      <c r="P448" s="27">
        <f t="shared" si="0"/>
        <v>99409.78273942976</v>
      </c>
      <c r="Q448" s="27">
        <f t="shared" si="0"/>
        <v>98963.18708464118</v>
      </c>
      <c r="R448" s="27">
        <f t="shared" si="0"/>
        <v>98525.52334294832</v>
      </c>
      <c r="S448" s="27">
        <f t="shared" si="0"/>
        <v>98096.61287608938</v>
      </c>
      <c r="T448" s="27">
        <f t="shared" si="0"/>
        <v>97676.28061856759</v>
      </c>
      <c r="U448" s="27">
        <f t="shared" si="0"/>
        <v>97264.35500619625</v>
      </c>
      <c r="V448" s="27">
        <f t="shared" si="0"/>
        <v>96860.66790607231</v>
      </c>
      <c r="W448" s="27">
        <f t="shared" si="0"/>
        <v>96465.05454795086</v>
      </c>
      <c r="X448" s="27">
        <f t="shared" si="0"/>
        <v>96077.35345699184</v>
      </c>
      <c r="Y448" s="38">
        <f t="shared" si="0"/>
        <v>95697.40638785201</v>
      </c>
      <c r="AA448" s="52">
        <f>+AA5+AA27+AA47+AA67+AA89+AA111+AA133+AA153+AA173+AA193+AA213+AA233+AA253+AA271+AA291+AA309+AA329+AA349+AA367+AA387+AA407+AA427</f>
        <v>114490</v>
      </c>
      <c r="AB448" s="1" t="s">
        <v>126</v>
      </c>
    </row>
    <row r="449" spans="2:28" ht="11.25">
      <c r="B449" s="39" t="s">
        <v>488</v>
      </c>
      <c r="C449" s="82" t="s">
        <v>125</v>
      </c>
      <c r="D449" s="83"/>
      <c r="E449" s="50" t="s">
        <v>54</v>
      </c>
      <c r="F449" s="28">
        <f aca="true" t="shared" si="1" ref="F449:Y449">+F6+F28+F48+F68+F90+F112+F134+F154+F174+F194+F214+F234+F254+F272+F292+F310+F330+F350+F368+F388+F408+F428</f>
        <v>114490</v>
      </c>
      <c r="G449" s="28">
        <f t="shared" si="1"/>
        <v>112823.30888888892</v>
      </c>
      <c r="H449" s="28">
        <f t="shared" si="1"/>
        <v>114698.20717357617</v>
      </c>
      <c r="I449" s="28">
        <f t="shared" si="1"/>
        <v>130019.97834550412</v>
      </c>
      <c r="J449" s="28">
        <f t="shared" si="1"/>
        <v>154180.98337305413</v>
      </c>
      <c r="K449" s="28">
        <f t="shared" si="1"/>
        <v>162474</v>
      </c>
      <c r="L449" s="28">
        <f t="shared" si="1"/>
        <v>162474</v>
      </c>
      <c r="M449" s="28">
        <f t="shared" si="1"/>
        <v>162474</v>
      </c>
      <c r="N449" s="28">
        <f t="shared" si="1"/>
        <v>162474</v>
      </c>
      <c r="O449" s="28">
        <f t="shared" si="1"/>
        <v>162474</v>
      </c>
      <c r="P449" s="28">
        <f t="shared" si="1"/>
        <v>162474</v>
      </c>
      <c r="Q449" s="28">
        <f t="shared" si="1"/>
        <v>162474</v>
      </c>
      <c r="R449" s="28">
        <f t="shared" si="1"/>
        <v>162474</v>
      </c>
      <c r="S449" s="28">
        <f t="shared" si="1"/>
        <v>162474</v>
      </c>
      <c r="T449" s="28">
        <f t="shared" si="1"/>
        <v>162474</v>
      </c>
      <c r="U449" s="28">
        <f t="shared" si="1"/>
        <v>162474</v>
      </c>
      <c r="V449" s="28">
        <f t="shared" si="1"/>
        <v>162474</v>
      </c>
      <c r="W449" s="28">
        <f t="shared" si="1"/>
        <v>162474</v>
      </c>
      <c r="X449" s="28">
        <f t="shared" si="1"/>
        <v>162474</v>
      </c>
      <c r="Y449" s="40">
        <f t="shared" si="1"/>
        <v>162474</v>
      </c>
      <c r="AA449" s="52">
        <f>+AA6+AA28+AA48+AA68+AA90+AA112+AA134+AA154+AA174+AA194+AA214+AA234+AA254+AA272+AA292+AA310+AA330+AA350+AA368+AA388+AA408+AA428</f>
        <v>162474</v>
      </c>
      <c r="AB449" s="1" t="s">
        <v>127</v>
      </c>
    </row>
    <row r="450" spans="2:29" ht="11.25">
      <c r="B450" s="39" t="s">
        <v>66</v>
      </c>
      <c r="C450" s="82" t="s">
        <v>81</v>
      </c>
      <c r="D450" s="83"/>
      <c r="E450" s="50" t="s">
        <v>54</v>
      </c>
      <c r="F450" s="28">
        <f aca="true" t="shared" si="2" ref="F450:Y450">+F7+F29+F49+F69+F91+F113+F135+F155+F175+F195+F215+F235+F255+F273+F293+F311+F331+F351+F369+F389+F409+F429</f>
        <v>0</v>
      </c>
      <c r="G450" s="28">
        <f t="shared" si="2"/>
        <v>0</v>
      </c>
      <c r="H450" s="28">
        <f t="shared" si="2"/>
        <v>3530.6577957983777</v>
      </c>
      <c r="I450" s="28">
        <f t="shared" si="2"/>
        <v>20497.475510837445</v>
      </c>
      <c r="J450" s="28">
        <f t="shared" si="2"/>
        <v>46293.02837285855</v>
      </c>
      <c r="K450" s="28">
        <f t="shared" si="2"/>
        <v>56210.30409980836</v>
      </c>
      <c r="L450" s="28">
        <f t="shared" si="2"/>
        <v>57824.48024003441</v>
      </c>
      <c r="M450" s="28">
        <f t="shared" si="2"/>
        <v>59428.77507967817</v>
      </c>
      <c r="N450" s="28">
        <f t="shared" si="2"/>
        <v>61023.38624475125</v>
      </c>
      <c r="O450" s="28">
        <f t="shared" si="2"/>
        <v>62608.50740874515</v>
      </c>
      <c r="P450" s="28">
        <f t="shared" si="2"/>
        <v>63064.21726057024</v>
      </c>
      <c r="Q450" s="28">
        <f t="shared" si="2"/>
        <v>63510.81291535883</v>
      </c>
      <c r="R450" s="28">
        <f t="shared" si="2"/>
        <v>63948.47665705166</v>
      </c>
      <c r="S450" s="28">
        <f t="shared" si="2"/>
        <v>64377.387123910616</v>
      </c>
      <c r="T450" s="28">
        <f t="shared" si="2"/>
        <v>64797.71938143242</v>
      </c>
      <c r="U450" s="28">
        <f t="shared" si="2"/>
        <v>65209.644993803755</v>
      </c>
      <c r="V450" s="28">
        <f t="shared" si="2"/>
        <v>65613.33209392769</v>
      </c>
      <c r="W450" s="28">
        <f t="shared" si="2"/>
        <v>66008.94545204914</v>
      </c>
      <c r="X450" s="28">
        <f t="shared" si="2"/>
        <v>66396.64654300814</v>
      </c>
      <c r="Y450" s="40">
        <f t="shared" si="2"/>
        <v>66776.59361214799</v>
      </c>
      <c r="AA450" s="52">
        <f>+AA7+AA29+AA49+AA69+AA91+AA113+AA135+AA155+AA175+AA195+AA215+AA235+AA255+AA273+AA293+AA311+AA331+AA351+AA369+AA389+AA409+AA429</f>
        <v>47984</v>
      </c>
      <c r="AB450" s="1" t="s">
        <v>127</v>
      </c>
      <c r="AC450" s="52"/>
    </row>
    <row r="451" spans="2:28" ht="11.25">
      <c r="B451" s="39" t="s">
        <v>67</v>
      </c>
      <c r="C451" s="82" t="s">
        <v>65</v>
      </c>
      <c r="D451" s="83"/>
      <c r="E451" s="50" t="s">
        <v>119</v>
      </c>
      <c r="F451" s="28">
        <f aca="true" t="shared" si="3" ref="F451:Y451">+F8+F70+F92+F114+F136+F156+F176+F196+F216+F236+F274+F312+F332+F370+F390+F410</f>
        <v>0</v>
      </c>
      <c r="G451" s="28">
        <f t="shared" si="3"/>
        <v>0</v>
      </c>
      <c r="H451" s="28">
        <f t="shared" si="3"/>
        <v>0</v>
      </c>
      <c r="I451" s="28">
        <f t="shared" si="3"/>
        <v>1866.6666666666663</v>
      </c>
      <c r="J451" s="28">
        <f t="shared" si="3"/>
        <v>17577.777777777774</v>
      </c>
      <c r="K451" s="28">
        <f t="shared" si="3"/>
        <v>20506.666666666668</v>
      </c>
      <c r="L451" s="28">
        <f t="shared" si="3"/>
        <v>15380</v>
      </c>
      <c r="M451" s="28">
        <f t="shared" si="3"/>
        <v>10253.333333333334</v>
      </c>
      <c r="N451" s="28">
        <f t="shared" si="3"/>
        <v>5126.666666666666</v>
      </c>
      <c r="O451" s="28">
        <f t="shared" si="3"/>
        <v>0</v>
      </c>
      <c r="P451" s="28">
        <f t="shared" si="3"/>
        <v>0</v>
      </c>
      <c r="Q451" s="28">
        <f t="shared" si="3"/>
        <v>0</v>
      </c>
      <c r="R451" s="28">
        <f t="shared" si="3"/>
        <v>0</v>
      </c>
      <c r="S451" s="28">
        <f t="shared" si="3"/>
        <v>0</v>
      </c>
      <c r="T451" s="28">
        <f t="shared" si="3"/>
        <v>0</v>
      </c>
      <c r="U451" s="28">
        <f t="shared" si="3"/>
        <v>0</v>
      </c>
      <c r="V451" s="28">
        <f t="shared" si="3"/>
        <v>0</v>
      </c>
      <c r="W451" s="28">
        <f t="shared" si="3"/>
        <v>0</v>
      </c>
      <c r="X451" s="28">
        <f t="shared" si="3"/>
        <v>0</v>
      </c>
      <c r="Y451" s="40">
        <f t="shared" si="3"/>
        <v>0</v>
      </c>
      <c r="AA451" s="52">
        <f>+AA8+AA70+AA92+AA114+AA136+AA156+AA176+AA196+AA216+AA236+AA274+AA312+AA332+AA370+AA390+AA410</f>
        <v>47440</v>
      </c>
      <c r="AB451" s="1" t="s">
        <v>127</v>
      </c>
    </row>
    <row r="452" spans="2:28" ht="11.25">
      <c r="B452" s="39" t="s">
        <v>59</v>
      </c>
      <c r="C452" s="82" t="s">
        <v>516</v>
      </c>
      <c r="D452" s="316">
        <f>'ERR &amp; Sensitivity Analysis'!G15</f>
        <v>1</v>
      </c>
      <c r="E452" s="50" t="s">
        <v>526</v>
      </c>
      <c r="F452" s="28">
        <f aca="true" t="shared" si="4" ref="F452:Y452">$D$452*(+F9+F30+F50+F71+F93+F115)</f>
        <v>0</v>
      </c>
      <c r="G452" s="28">
        <f t="shared" si="4"/>
        <v>0</v>
      </c>
      <c r="H452" s="28">
        <f t="shared" si="4"/>
        <v>24103.796758246353</v>
      </c>
      <c r="I452" s="28">
        <f t="shared" si="4"/>
        <v>89393.39485503828</v>
      </c>
      <c r="J452" s="28">
        <f t="shared" si="4"/>
        <v>155228.796104265</v>
      </c>
      <c r="K452" s="28">
        <f t="shared" si="4"/>
        <v>179255.51221302492</v>
      </c>
      <c r="L452" s="28">
        <f t="shared" si="4"/>
        <v>189430.13710521566</v>
      </c>
      <c r="M452" s="28">
        <f t="shared" si="4"/>
        <v>200011.746993094</v>
      </c>
      <c r="N452" s="28">
        <f t="shared" si="4"/>
        <v>211016.62127648754</v>
      </c>
      <c r="O452" s="28">
        <f t="shared" si="4"/>
        <v>222461.69053121674</v>
      </c>
      <c r="P452" s="28">
        <f t="shared" si="4"/>
        <v>234364.56255613512</v>
      </c>
      <c r="Q452" s="28">
        <f t="shared" si="4"/>
        <v>246743.54946205026</v>
      </c>
      <c r="R452" s="28">
        <f t="shared" si="4"/>
        <v>259617.695844202</v>
      </c>
      <c r="S452" s="28">
        <f t="shared" si="4"/>
        <v>273006.8080816398</v>
      </c>
      <c r="T452" s="28">
        <f t="shared" si="4"/>
        <v>286931.4848085752</v>
      </c>
      <c r="U452" s="28">
        <f t="shared" si="4"/>
        <v>301413.1486045879</v>
      </c>
      <c r="V452" s="28">
        <f t="shared" si="4"/>
        <v>316474.07895244117</v>
      </c>
      <c r="W452" s="28">
        <f t="shared" si="4"/>
        <v>332137.4465142085</v>
      </c>
      <c r="X452" s="28">
        <f t="shared" si="4"/>
        <v>348427.3487784466</v>
      </c>
      <c r="Y452" s="28">
        <f t="shared" si="4"/>
        <v>365368.84713325417</v>
      </c>
      <c r="AA452" s="52">
        <f>+AA9+AA30+AA50+AA71+AA93+AA115</f>
        <v>134092</v>
      </c>
      <c r="AB452" s="1"/>
    </row>
    <row r="453" spans="2:27" ht="11.25">
      <c r="B453" s="39" t="s">
        <v>489</v>
      </c>
      <c r="C453" s="82" t="s">
        <v>58</v>
      </c>
      <c r="D453" s="317">
        <f>SUM(F453:J453)</f>
        <v>77095.69532949322</v>
      </c>
      <c r="E453" s="50" t="s">
        <v>118</v>
      </c>
      <c r="F453" s="28">
        <f aca="true" t="shared" si="5" ref="F453:Y453">+F10+F31+F51+F72+F94+F116+F137+F157+F177+F197+F217+F237+F256+F275+F294+F313+F333+F352+F371+F391+F411+F431</f>
        <v>0</v>
      </c>
      <c r="G453" s="28">
        <f t="shared" si="5"/>
        <v>13832.946798418972</v>
      </c>
      <c r="H453" s="28">
        <f t="shared" si="5"/>
        <v>30149.094184130994</v>
      </c>
      <c r="I453" s="28">
        <f t="shared" si="5"/>
        <v>27448.786205217388</v>
      </c>
      <c r="J453" s="28">
        <f t="shared" si="5"/>
        <v>5664.8681417258595</v>
      </c>
      <c r="K453" s="28">
        <f t="shared" si="5"/>
        <v>0</v>
      </c>
      <c r="L453" s="31">
        <f t="shared" si="5"/>
        <v>0</v>
      </c>
      <c r="M453" s="31">
        <f t="shared" si="5"/>
        <v>0</v>
      </c>
      <c r="N453" s="31">
        <f t="shared" si="5"/>
        <v>0</v>
      </c>
      <c r="O453" s="31">
        <f t="shared" si="5"/>
        <v>0</v>
      </c>
      <c r="P453" s="31">
        <f t="shared" si="5"/>
        <v>0</v>
      </c>
      <c r="Q453" s="31">
        <f t="shared" si="5"/>
        <v>0</v>
      </c>
      <c r="R453" s="31">
        <f t="shared" si="5"/>
        <v>0</v>
      </c>
      <c r="S453" s="31">
        <f t="shared" si="5"/>
        <v>0</v>
      </c>
      <c r="T453" s="31">
        <f t="shared" si="5"/>
        <v>0</v>
      </c>
      <c r="U453" s="31">
        <f t="shared" si="5"/>
        <v>0</v>
      </c>
      <c r="V453" s="31">
        <f t="shared" si="5"/>
        <v>0</v>
      </c>
      <c r="W453" s="31">
        <f t="shared" si="5"/>
        <v>0</v>
      </c>
      <c r="X453" s="31">
        <f t="shared" si="5"/>
        <v>0</v>
      </c>
      <c r="Y453" s="46">
        <f t="shared" si="5"/>
        <v>0</v>
      </c>
      <c r="AA453" s="54">
        <f>+AA10+AA31+AA51+AA72+AA94+AA116+AA137+AA157+AA177+AA197+AA217+AA237+AA256+AA275+AA294+AA313+AA333+AA352+AA371+AA391+AA411+AA431</f>
        <v>77095.6953294932</v>
      </c>
    </row>
    <row r="454" spans="2:27" ht="11.25">
      <c r="B454" s="39" t="s">
        <v>490</v>
      </c>
      <c r="C454" s="82" t="s">
        <v>24</v>
      </c>
      <c r="D454" s="317">
        <f>SUM(F454:J454)</f>
        <v>11564.354299423982</v>
      </c>
      <c r="E454" s="50" t="s">
        <v>118</v>
      </c>
      <c r="F454" s="28">
        <f aca="true" t="shared" si="6" ref="F454:Y454">+F11+F32+F52+F73+F95+F117+F138+F158+F178+F198+F218+F238+F257+F276+F295+F314+F334+F353+F372+F392+F412+F432</f>
        <v>0</v>
      </c>
      <c r="G454" s="28">
        <f t="shared" si="6"/>
        <v>2074.942019762846</v>
      </c>
      <c r="H454" s="28">
        <f t="shared" si="6"/>
        <v>4522.3641276196495</v>
      </c>
      <c r="I454" s="28">
        <f t="shared" si="6"/>
        <v>4117.3179307826085</v>
      </c>
      <c r="J454" s="28">
        <f t="shared" si="6"/>
        <v>849.7302212588792</v>
      </c>
      <c r="K454" s="28">
        <f t="shared" si="6"/>
        <v>0</v>
      </c>
      <c r="L454" s="28">
        <f t="shared" si="6"/>
        <v>0</v>
      </c>
      <c r="M454" s="28">
        <f t="shared" si="6"/>
        <v>0</v>
      </c>
      <c r="N454" s="28">
        <f t="shared" si="6"/>
        <v>0</v>
      </c>
      <c r="O454" s="28">
        <f t="shared" si="6"/>
        <v>0</v>
      </c>
      <c r="P454" s="28">
        <f t="shared" si="6"/>
        <v>0</v>
      </c>
      <c r="Q454" s="28">
        <f t="shared" si="6"/>
        <v>0</v>
      </c>
      <c r="R454" s="28">
        <f t="shared" si="6"/>
        <v>0</v>
      </c>
      <c r="S454" s="28">
        <f t="shared" si="6"/>
        <v>0</v>
      </c>
      <c r="T454" s="28">
        <f t="shared" si="6"/>
        <v>0</v>
      </c>
      <c r="U454" s="28">
        <f t="shared" si="6"/>
        <v>0</v>
      </c>
      <c r="V454" s="31">
        <f t="shared" si="6"/>
        <v>0</v>
      </c>
      <c r="W454" s="31">
        <f t="shared" si="6"/>
        <v>0</v>
      </c>
      <c r="X454" s="31">
        <f t="shared" si="6"/>
        <v>0</v>
      </c>
      <c r="Y454" s="46">
        <f t="shared" si="6"/>
        <v>0</v>
      </c>
      <c r="AA454" s="54">
        <f>+AA453*'Assumptions and Basic Info'!$C$4</f>
        <v>77095.6953294932</v>
      </c>
    </row>
    <row r="455" spans="2:27" ht="11.25">
      <c r="B455" s="39" t="s">
        <v>568</v>
      </c>
      <c r="C455" s="82" t="s">
        <v>83</v>
      </c>
      <c r="D455" s="317">
        <f>SUM(F455:J455)</f>
        <v>8328.597327152002</v>
      </c>
      <c r="E455" s="50" t="s">
        <v>118</v>
      </c>
      <c r="F455" s="28">
        <f aca="true" t="shared" si="7" ref="F455:Y455">+F12+F33+F53+F74+F96+F118+F139+F159+F179+F199+F219+F239+F258+F277+F296+F315+F335+F354+F373+F393+F413+F433</f>
        <v>396.9661241869118</v>
      </c>
      <c r="G455" s="28">
        <f t="shared" si="7"/>
        <v>2147.914369180154</v>
      </c>
      <c r="H455" s="28">
        <f t="shared" si="7"/>
        <v>2899.1738207872954</v>
      </c>
      <c r="I455" s="28">
        <f t="shared" si="7"/>
        <v>2364.9616107251263</v>
      </c>
      <c r="J455" s="28">
        <f t="shared" si="7"/>
        <v>519.5814022725131</v>
      </c>
      <c r="K455" s="28">
        <f t="shared" si="7"/>
        <v>0</v>
      </c>
      <c r="L455" s="28">
        <f t="shared" si="7"/>
        <v>0</v>
      </c>
      <c r="M455" s="28">
        <f t="shared" si="7"/>
        <v>0</v>
      </c>
      <c r="N455" s="28">
        <f t="shared" si="7"/>
        <v>0</v>
      </c>
      <c r="O455" s="28">
        <f t="shared" si="7"/>
        <v>0</v>
      </c>
      <c r="P455" s="28">
        <f t="shared" si="7"/>
        <v>0</v>
      </c>
      <c r="Q455" s="28">
        <f t="shared" si="7"/>
        <v>0</v>
      </c>
      <c r="R455" s="28">
        <f t="shared" si="7"/>
        <v>0</v>
      </c>
      <c r="S455" s="28">
        <f t="shared" si="7"/>
        <v>0</v>
      </c>
      <c r="T455" s="28">
        <f t="shared" si="7"/>
        <v>0</v>
      </c>
      <c r="U455" s="28">
        <f t="shared" si="7"/>
        <v>0</v>
      </c>
      <c r="V455" s="31">
        <f t="shared" si="7"/>
        <v>0</v>
      </c>
      <c r="W455" s="31">
        <f t="shared" si="7"/>
        <v>0</v>
      </c>
      <c r="X455" s="31">
        <f t="shared" si="7"/>
        <v>0</v>
      </c>
      <c r="Y455" s="46">
        <f t="shared" si="7"/>
        <v>0</v>
      </c>
      <c r="AA455" s="54">
        <f>+AA12+AA33+AA53+AA74+AA96+AA118+AA139+AA159+AA179+AA199+AA219+AA239+AA258+AA277+AA296+AA315+AA335+AA354+AA373+AA393+AA413+AA433</f>
        <v>8328.597327152</v>
      </c>
    </row>
    <row r="456" spans="2:27" ht="11.25">
      <c r="B456" s="39" t="s">
        <v>569</v>
      </c>
      <c r="C456" s="82" t="s">
        <v>82</v>
      </c>
      <c r="D456" s="316">
        <f>'ERR &amp; Sensitivity Analysis'!$G$14</f>
        <v>1</v>
      </c>
      <c r="E456" s="50" t="s">
        <v>118</v>
      </c>
      <c r="F456" s="28">
        <f aca="true" t="shared" si="8" ref="F456:Y456">$D$456*(+F13+F34+F54+F75+F97+F119+F140+F160+F180+F200+F220+F240+F259+F278+F297+F316+F336+F355+F374+F394+F414+F434)</f>
        <v>0</v>
      </c>
      <c r="G456" s="28">
        <f t="shared" si="8"/>
        <v>7.939322483738236</v>
      </c>
      <c r="H456" s="28">
        <f t="shared" si="8"/>
        <v>454.3933189832503</v>
      </c>
      <c r="I456" s="28">
        <f t="shared" si="8"/>
        <v>1307.1063097825152</v>
      </c>
      <c r="J456" s="28">
        <f t="shared" si="8"/>
        <v>1987.6314873541623</v>
      </c>
      <c r="K456" s="28">
        <f t="shared" si="8"/>
        <v>2128.315082659308</v>
      </c>
      <c r="L456" s="28">
        <f t="shared" si="8"/>
        <v>2128.315082659308</v>
      </c>
      <c r="M456" s="28">
        <f t="shared" si="8"/>
        <v>2128.315082659308</v>
      </c>
      <c r="N456" s="28">
        <f t="shared" si="8"/>
        <v>2128.315082659308</v>
      </c>
      <c r="O456" s="28">
        <f t="shared" si="8"/>
        <v>2128.315082659308</v>
      </c>
      <c r="P456" s="28">
        <f t="shared" si="8"/>
        <v>2128.315082659308</v>
      </c>
      <c r="Q456" s="28">
        <f t="shared" si="8"/>
        <v>2128.315082659308</v>
      </c>
      <c r="R456" s="28">
        <f t="shared" si="8"/>
        <v>2128.315082659308</v>
      </c>
      <c r="S456" s="28">
        <f t="shared" si="8"/>
        <v>2128.315082659308</v>
      </c>
      <c r="T456" s="28">
        <f t="shared" si="8"/>
        <v>2128.315082659308</v>
      </c>
      <c r="U456" s="28">
        <f t="shared" si="8"/>
        <v>2128.315082659308</v>
      </c>
      <c r="V456" s="28">
        <f t="shared" si="8"/>
        <v>2128.315082659308</v>
      </c>
      <c r="W456" s="28">
        <f t="shared" si="8"/>
        <v>2128.315082659308</v>
      </c>
      <c r="X456" s="28">
        <f t="shared" si="8"/>
        <v>2128.315082659308</v>
      </c>
      <c r="Y456" s="28">
        <f t="shared" si="8"/>
        <v>2128.315082659308</v>
      </c>
      <c r="AA456" s="52"/>
    </row>
    <row r="457" spans="2:27" ht="11.25">
      <c r="B457" s="39" t="s">
        <v>635</v>
      </c>
      <c r="C457" s="82" t="s">
        <v>578</v>
      </c>
      <c r="D457" s="317">
        <f>SUM(F457:J457)</f>
        <v>3326.95</v>
      </c>
      <c r="E457" s="50" t="s">
        <v>118</v>
      </c>
      <c r="F457" s="28">
        <f aca="true" t="shared" si="9" ref="F457:Y457">+F14+F35+F55+F76+F98+F120+F141+F161+F181+F201+F221+F241+F260+F279+F298+F317+F337+F356+F375+F395+F415+F435</f>
        <v>338.87333333333333</v>
      </c>
      <c r="G457" s="28">
        <f t="shared" si="9"/>
        <v>1433.7033333333331</v>
      </c>
      <c r="H457" s="28">
        <f t="shared" si="9"/>
        <v>1408</v>
      </c>
      <c r="I457" s="28">
        <f t="shared" si="9"/>
        <v>146.37333333333333</v>
      </c>
      <c r="J457" s="28">
        <f t="shared" si="9"/>
        <v>0</v>
      </c>
      <c r="K457" s="28">
        <f t="shared" si="9"/>
        <v>0</v>
      </c>
      <c r="L457" s="28">
        <f t="shared" si="9"/>
        <v>0</v>
      </c>
      <c r="M457" s="28">
        <f t="shared" si="9"/>
        <v>0</v>
      </c>
      <c r="N457" s="28">
        <f t="shared" si="9"/>
        <v>0</v>
      </c>
      <c r="O457" s="28">
        <f t="shared" si="9"/>
        <v>0</v>
      </c>
      <c r="P457" s="28">
        <f t="shared" si="9"/>
        <v>0</v>
      </c>
      <c r="Q457" s="28">
        <f t="shared" si="9"/>
        <v>0</v>
      </c>
      <c r="R457" s="28">
        <f t="shared" si="9"/>
        <v>0</v>
      </c>
      <c r="S457" s="28">
        <f t="shared" si="9"/>
        <v>0</v>
      </c>
      <c r="T457" s="28">
        <f t="shared" si="9"/>
        <v>0</v>
      </c>
      <c r="U457" s="28">
        <f t="shared" si="9"/>
        <v>0</v>
      </c>
      <c r="V457" s="28">
        <f t="shared" si="9"/>
        <v>0</v>
      </c>
      <c r="W457" s="28">
        <f t="shared" si="9"/>
        <v>0</v>
      </c>
      <c r="X457" s="28">
        <f t="shared" si="9"/>
        <v>0</v>
      </c>
      <c r="Y457" s="40">
        <f t="shared" si="9"/>
        <v>0</v>
      </c>
      <c r="AA457" s="54">
        <f>+AA14+AA35+AA55+AA76+AA98+AA120+AA141+AA161+AA181+AA201+AA221+AA241+AA260+AA279+AA298+AA317+AA337+AA356+AA375+AA395+AA415+AA435</f>
        <v>3326.950000000002</v>
      </c>
    </row>
    <row r="458" spans="2:27" ht="11.25">
      <c r="B458" s="39" t="s">
        <v>735</v>
      </c>
      <c r="C458" s="82" t="s">
        <v>691</v>
      </c>
      <c r="D458" s="317">
        <f>SUM(F458:L458)</f>
        <v>7056.96788184438</v>
      </c>
      <c r="E458" s="50" t="s">
        <v>118</v>
      </c>
      <c r="F458" s="28">
        <f aca="true" t="shared" si="10" ref="F458:Y458">+F15+F36+F56+F77+F99+F121+F142+F162+F182+F202+F222+F242+F261+F280+F299+F318+F338+F357+F376+F396+F416+F436</f>
        <v>0</v>
      </c>
      <c r="G458" s="28">
        <f t="shared" si="10"/>
        <v>0</v>
      </c>
      <c r="H458" s="28">
        <f t="shared" si="10"/>
        <v>462.6824869054482</v>
      </c>
      <c r="I458" s="28">
        <f t="shared" si="10"/>
        <v>2802.1828959684103</v>
      </c>
      <c r="J458" s="28">
        <f t="shared" si="10"/>
        <v>2595.3485376590916</v>
      </c>
      <c r="K458" s="28">
        <f t="shared" si="10"/>
        <v>1196.7539613114307</v>
      </c>
      <c r="L458" s="28">
        <f t="shared" si="10"/>
        <v>0</v>
      </c>
      <c r="M458" s="28">
        <f t="shared" si="10"/>
        <v>0</v>
      </c>
      <c r="N458" s="28">
        <f t="shared" si="10"/>
        <v>0</v>
      </c>
      <c r="O458" s="28">
        <f t="shared" si="10"/>
        <v>0</v>
      </c>
      <c r="P458" s="28">
        <f t="shared" si="10"/>
        <v>0</v>
      </c>
      <c r="Q458" s="28">
        <f t="shared" si="10"/>
        <v>0</v>
      </c>
      <c r="R458" s="28">
        <f t="shared" si="10"/>
        <v>0</v>
      </c>
      <c r="S458" s="28">
        <f t="shared" si="10"/>
        <v>0</v>
      </c>
      <c r="T458" s="28">
        <f t="shared" si="10"/>
        <v>0</v>
      </c>
      <c r="U458" s="28">
        <f t="shared" si="10"/>
        <v>0</v>
      </c>
      <c r="V458" s="28">
        <f t="shared" si="10"/>
        <v>0</v>
      </c>
      <c r="W458" s="28">
        <f t="shared" si="10"/>
        <v>0</v>
      </c>
      <c r="X458" s="28">
        <f t="shared" si="10"/>
        <v>0</v>
      </c>
      <c r="Y458" s="40">
        <f t="shared" si="10"/>
        <v>0</v>
      </c>
      <c r="AA458" s="54"/>
    </row>
    <row r="459" spans="2:27" ht="11.25">
      <c r="B459" s="39" t="s">
        <v>60</v>
      </c>
      <c r="C459" s="82" t="s">
        <v>736</v>
      </c>
      <c r="D459" s="83"/>
      <c r="E459" s="50" t="s">
        <v>118</v>
      </c>
      <c r="F459" s="28">
        <f aca="true" t="shared" si="11" ref="F459:Y459">+SUM(F453:F458)</f>
        <v>735.8394575202451</v>
      </c>
      <c r="G459" s="28">
        <f t="shared" si="11"/>
        <v>19497.445843179044</v>
      </c>
      <c r="H459" s="28">
        <f t="shared" si="11"/>
        <v>39895.70793842664</v>
      </c>
      <c r="I459" s="28">
        <f t="shared" si="11"/>
        <v>38186.72828580939</v>
      </c>
      <c r="J459" s="28">
        <f t="shared" si="11"/>
        <v>11617.159790270503</v>
      </c>
      <c r="K459" s="28">
        <f t="shared" si="11"/>
        <v>3325.0690439707387</v>
      </c>
      <c r="L459" s="28">
        <f t="shared" si="11"/>
        <v>2128.315082659308</v>
      </c>
      <c r="M459" s="28">
        <f t="shared" si="11"/>
        <v>2128.315082659308</v>
      </c>
      <c r="N459" s="28">
        <f t="shared" si="11"/>
        <v>2128.315082659308</v>
      </c>
      <c r="O459" s="28">
        <f t="shared" si="11"/>
        <v>2128.315082659308</v>
      </c>
      <c r="P459" s="28">
        <f t="shared" si="11"/>
        <v>2128.315082659308</v>
      </c>
      <c r="Q459" s="28">
        <f t="shared" si="11"/>
        <v>2128.315082659308</v>
      </c>
      <c r="R459" s="28">
        <f t="shared" si="11"/>
        <v>2128.315082659308</v>
      </c>
      <c r="S459" s="28">
        <f t="shared" si="11"/>
        <v>2128.315082659308</v>
      </c>
      <c r="T459" s="28">
        <f t="shared" si="11"/>
        <v>2128.315082659308</v>
      </c>
      <c r="U459" s="28">
        <f t="shared" si="11"/>
        <v>2128.315082659308</v>
      </c>
      <c r="V459" s="28">
        <f t="shared" si="11"/>
        <v>2128.315082659308</v>
      </c>
      <c r="W459" s="28">
        <f t="shared" si="11"/>
        <v>2128.315082659308</v>
      </c>
      <c r="X459" s="28">
        <f t="shared" si="11"/>
        <v>2128.315082659308</v>
      </c>
      <c r="Y459" s="40">
        <f t="shared" si="11"/>
        <v>2128.315082659308</v>
      </c>
      <c r="AA459" s="130">
        <f>+AA453+AA454+AA455</f>
        <v>162519.9879861384</v>
      </c>
    </row>
    <row r="460" spans="2:27" ht="11.25">
      <c r="B460" s="39" t="s">
        <v>570</v>
      </c>
      <c r="C460" s="82" t="s">
        <v>128</v>
      </c>
      <c r="D460" s="83"/>
      <c r="E460" s="50" t="s">
        <v>118</v>
      </c>
      <c r="F460" s="28">
        <f aca="true" t="shared" si="12" ref="F460:Y460">+F17+F38+F58+F79+F101+F123+F144+F164+F184+F204+F224+F244+F263+F282+F301+F320+F340+F359+F378+F398+F418+F438</f>
        <v>0</v>
      </c>
      <c r="G460" s="28">
        <f t="shared" si="12"/>
        <v>0</v>
      </c>
      <c r="H460" s="28">
        <f t="shared" si="12"/>
        <v>338.9480373389158</v>
      </c>
      <c r="I460" s="28">
        <f t="shared" si="12"/>
        <v>4686.363088574204</v>
      </c>
      <c r="J460" s="28">
        <f t="shared" si="12"/>
        <v>12823.49066349358</v>
      </c>
      <c r="K460" s="28">
        <f t="shared" si="12"/>
        <v>20023.046485639807</v>
      </c>
      <c r="L460" s="28">
        <f t="shared" si="12"/>
        <v>28422.33105664754</v>
      </c>
      <c r="M460" s="28">
        <f t="shared" si="12"/>
        <v>39015.78285883925</v>
      </c>
      <c r="N460" s="28">
        <f t="shared" si="12"/>
        <v>45678.10779578045</v>
      </c>
      <c r="O460" s="28">
        <f t="shared" si="12"/>
        <v>49814.96782165805</v>
      </c>
      <c r="P460" s="28">
        <f t="shared" si="12"/>
        <v>50762.20092571111</v>
      </c>
      <c r="Q460" s="28">
        <f t="shared" si="12"/>
        <v>51378.780042481434</v>
      </c>
      <c r="R460" s="28">
        <f t="shared" si="12"/>
        <v>51983.02757691635</v>
      </c>
      <c r="S460" s="28">
        <f t="shared" si="12"/>
        <v>52575.190160662554</v>
      </c>
      <c r="T460" s="28">
        <f t="shared" si="12"/>
        <v>53155.50949273384</v>
      </c>
      <c r="U460" s="28">
        <f t="shared" si="12"/>
        <v>53724.222438163706</v>
      </c>
      <c r="V460" s="28">
        <f t="shared" si="12"/>
        <v>54281.56112468496</v>
      </c>
      <c r="W460" s="28">
        <f t="shared" si="12"/>
        <v>54827.7530374758</v>
      </c>
      <c r="X460" s="28">
        <f t="shared" si="12"/>
        <v>55363.02111201083</v>
      </c>
      <c r="Y460" s="40">
        <f t="shared" si="12"/>
        <v>55887.58382505515</v>
      </c>
      <c r="AA460" s="52"/>
    </row>
    <row r="461" spans="2:27" ht="11.25">
      <c r="B461" s="39" t="s">
        <v>567</v>
      </c>
      <c r="C461" s="82" t="s">
        <v>63</v>
      </c>
      <c r="D461" s="316">
        <f>'ERR &amp; Sensitivity Analysis'!G16</f>
        <v>1</v>
      </c>
      <c r="E461" s="50" t="s">
        <v>118</v>
      </c>
      <c r="F461" s="28">
        <f aca="true" t="shared" si="13" ref="F461:Y461">$D$461*(+F19+F80+F102+F124+F145+F165+F185+F205+F225+F245+F283+F321+F341+F379+F399+F419)</f>
        <v>0</v>
      </c>
      <c r="G461" s="28">
        <f t="shared" si="13"/>
        <v>0</v>
      </c>
      <c r="H461" s="28">
        <f t="shared" si="13"/>
        <v>209.7384066174601</v>
      </c>
      <c r="I461" s="28">
        <f t="shared" si="13"/>
        <v>394.8513555840001</v>
      </c>
      <c r="J461" s="28">
        <f t="shared" si="13"/>
        <v>1093.434939585138</v>
      </c>
      <c r="K461" s="28">
        <f t="shared" si="13"/>
        <v>1253.5065780574325</v>
      </c>
      <c r="L461" s="28">
        <f t="shared" si="13"/>
        <v>1074.5675176241741</v>
      </c>
      <c r="M461" s="28">
        <f t="shared" si="13"/>
        <v>896.5995525513634</v>
      </c>
      <c r="N461" s="28">
        <f t="shared" si="13"/>
        <v>719.6415266534177</v>
      </c>
      <c r="O461" s="28">
        <f t="shared" si="13"/>
        <v>543.7338374973324</v>
      </c>
      <c r="P461" s="28">
        <f t="shared" si="13"/>
        <v>572.1349429972256</v>
      </c>
      <c r="Q461" s="28">
        <f t="shared" si="13"/>
        <v>601.6720927171147</v>
      </c>
      <c r="R461" s="28">
        <f t="shared" si="13"/>
        <v>632.3907284257992</v>
      </c>
      <c r="S461" s="28">
        <f t="shared" si="13"/>
        <v>664.3381095628314</v>
      </c>
      <c r="T461" s="28">
        <f t="shared" si="13"/>
        <v>697.5633859453445</v>
      </c>
      <c r="U461" s="28">
        <f t="shared" si="13"/>
        <v>732.1176733831583</v>
      </c>
      <c r="V461" s="28">
        <f t="shared" si="13"/>
        <v>768.0541323184847</v>
      </c>
      <c r="W461" s="28">
        <f t="shared" si="13"/>
        <v>805.4280496112241</v>
      </c>
      <c r="X461" s="28">
        <f t="shared" si="13"/>
        <v>844.2969235956732</v>
      </c>
      <c r="Y461" s="28">
        <f t="shared" si="13"/>
        <v>884.7205525395002</v>
      </c>
      <c r="AA461" s="52"/>
    </row>
    <row r="462" spans="2:27" ht="11.25">
      <c r="B462" s="39" t="s">
        <v>571</v>
      </c>
      <c r="C462" s="82" t="s">
        <v>522</v>
      </c>
      <c r="D462" s="316">
        <f>'ERR &amp; Sensitivity Analysis'!G15</f>
        <v>1</v>
      </c>
      <c r="E462" s="50" t="s">
        <v>118</v>
      </c>
      <c r="F462" s="28">
        <f aca="true" t="shared" si="14" ref="F462:Y462">$D$462*(+F19+F39+F59+F81+F103+F125)</f>
        <v>0</v>
      </c>
      <c r="G462" s="28">
        <f t="shared" si="14"/>
        <v>0</v>
      </c>
      <c r="H462" s="28">
        <f t="shared" si="14"/>
        <v>612.2364376594574</v>
      </c>
      <c r="I462" s="28">
        <f t="shared" si="14"/>
        <v>2270.592229317972</v>
      </c>
      <c r="J462" s="28">
        <f t="shared" si="14"/>
        <v>3942.811421048331</v>
      </c>
      <c r="K462" s="28">
        <f t="shared" si="14"/>
        <v>4553.0900102108335</v>
      </c>
      <c r="L462" s="28">
        <f t="shared" si="14"/>
        <v>4811.525482472477</v>
      </c>
      <c r="M462" s="28">
        <f t="shared" si="14"/>
        <v>5080.298373624588</v>
      </c>
      <c r="N462" s="28">
        <f t="shared" si="14"/>
        <v>5359.822180422782</v>
      </c>
      <c r="O462" s="28">
        <f t="shared" si="14"/>
        <v>5650.526939492905</v>
      </c>
      <c r="P462" s="28">
        <f t="shared" si="14"/>
        <v>5952.859888925833</v>
      </c>
      <c r="Q462" s="28">
        <f t="shared" si="14"/>
        <v>6267.286156336077</v>
      </c>
      <c r="R462" s="28">
        <f t="shared" si="14"/>
        <v>6594.289474442731</v>
      </c>
      <c r="S462" s="28">
        <f t="shared" si="14"/>
        <v>6934.372925273652</v>
      </c>
      <c r="T462" s="28">
        <f t="shared" si="14"/>
        <v>7288.059714137808</v>
      </c>
      <c r="U462" s="28">
        <f t="shared" si="14"/>
        <v>7655.893974556532</v>
      </c>
      <c r="V462" s="28">
        <f t="shared" si="14"/>
        <v>8038.441605392005</v>
      </c>
      <c r="W462" s="28">
        <f t="shared" si="14"/>
        <v>8436.291141460895</v>
      </c>
      <c r="X462" s="28">
        <f t="shared" si="14"/>
        <v>8850.054658972542</v>
      </c>
      <c r="Y462" s="28">
        <f t="shared" si="14"/>
        <v>9280.368717184658</v>
      </c>
      <c r="AA462" s="52"/>
    </row>
    <row r="463" spans="2:27" ht="11.25">
      <c r="B463" s="39" t="s">
        <v>61</v>
      </c>
      <c r="C463" s="82" t="s">
        <v>572</v>
      </c>
      <c r="D463" s="83"/>
      <c r="E463" s="50" t="s">
        <v>118</v>
      </c>
      <c r="F463" s="28">
        <f aca="true" t="shared" si="15" ref="F463:Y463">+F461+F460+F462</f>
        <v>0</v>
      </c>
      <c r="G463" s="28">
        <f t="shared" si="15"/>
        <v>0</v>
      </c>
      <c r="H463" s="28">
        <f t="shared" si="15"/>
        <v>1160.9228816158334</v>
      </c>
      <c r="I463" s="28">
        <f t="shared" si="15"/>
        <v>7351.806673476176</v>
      </c>
      <c r="J463" s="28">
        <f t="shared" si="15"/>
        <v>17859.737024127047</v>
      </c>
      <c r="K463" s="28">
        <f t="shared" si="15"/>
        <v>25829.643073908075</v>
      </c>
      <c r="L463" s="28">
        <f t="shared" si="15"/>
        <v>34308.424056744196</v>
      </c>
      <c r="M463" s="28">
        <f t="shared" si="15"/>
        <v>44992.6807850152</v>
      </c>
      <c r="N463" s="28">
        <f t="shared" si="15"/>
        <v>51757.57150285665</v>
      </c>
      <c r="O463" s="28">
        <f t="shared" si="15"/>
        <v>56009.22859864829</v>
      </c>
      <c r="P463" s="28">
        <f t="shared" si="15"/>
        <v>57287.195757634174</v>
      </c>
      <c r="Q463" s="28">
        <f t="shared" si="15"/>
        <v>58247.738291534624</v>
      </c>
      <c r="R463" s="28">
        <f t="shared" si="15"/>
        <v>59209.70777978488</v>
      </c>
      <c r="S463" s="28">
        <f t="shared" si="15"/>
        <v>60173.901195499035</v>
      </c>
      <c r="T463" s="28">
        <f t="shared" si="15"/>
        <v>61141.132592817</v>
      </c>
      <c r="U463" s="28">
        <f t="shared" si="15"/>
        <v>62112.234086103395</v>
      </c>
      <c r="V463" s="28">
        <f t="shared" si="15"/>
        <v>63088.05686239545</v>
      </c>
      <c r="W463" s="28">
        <f t="shared" si="15"/>
        <v>64069.47222854792</v>
      </c>
      <c r="X463" s="28">
        <f t="shared" si="15"/>
        <v>65057.37269457904</v>
      </c>
      <c r="Y463" s="40">
        <f t="shared" si="15"/>
        <v>66052.67309477931</v>
      </c>
      <c r="AA463" s="52"/>
    </row>
    <row r="464" spans="2:27" ht="11.25">
      <c r="B464" s="42" t="s">
        <v>62</v>
      </c>
      <c r="C464" s="84" t="s">
        <v>573</v>
      </c>
      <c r="D464" s="85"/>
      <c r="E464" s="72" t="s">
        <v>118</v>
      </c>
      <c r="F464" s="30">
        <f aca="true" t="shared" si="16" ref="F464:Y464">+F463-F459</f>
        <v>-735.8394575202451</v>
      </c>
      <c r="G464" s="30">
        <f t="shared" si="16"/>
        <v>-19497.445843179044</v>
      </c>
      <c r="H464" s="30">
        <f t="shared" si="16"/>
        <v>-38734.785056810804</v>
      </c>
      <c r="I464" s="30">
        <f t="shared" si="16"/>
        <v>-30834.921612333215</v>
      </c>
      <c r="J464" s="30">
        <f t="shared" si="16"/>
        <v>6242.577233856544</v>
      </c>
      <c r="K464" s="30">
        <f t="shared" si="16"/>
        <v>22504.574029937336</v>
      </c>
      <c r="L464" s="30">
        <f t="shared" si="16"/>
        <v>32180.108974084887</v>
      </c>
      <c r="M464" s="30">
        <f t="shared" si="16"/>
        <v>42864.3657023559</v>
      </c>
      <c r="N464" s="30">
        <f t="shared" si="16"/>
        <v>49629.256420197344</v>
      </c>
      <c r="O464" s="30">
        <f t="shared" si="16"/>
        <v>53880.913515988985</v>
      </c>
      <c r="P464" s="30">
        <f t="shared" si="16"/>
        <v>55158.88067497487</v>
      </c>
      <c r="Q464" s="30">
        <f t="shared" si="16"/>
        <v>56119.42320887532</v>
      </c>
      <c r="R464" s="30">
        <f t="shared" si="16"/>
        <v>57081.39269712558</v>
      </c>
      <c r="S464" s="30">
        <f t="shared" si="16"/>
        <v>58045.58611283973</v>
      </c>
      <c r="T464" s="30">
        <f t="shared" si="16"/>
        <v>59012.81751015769</v>
      </c>
      <c r="U464" s="30">
        <f t="shared" si="16"/>
        <v>59983.91900344409</v>
      </c>
      <c r="V464" s="30">
        <f t="shared" si="16"/>
        <v>60959.74177973615</v>
      </c>
      <c r="W464" s="30">
        <f t="shared" si="16"/>
        <v>61941.15714588862</v>
      </c>
      <c r="X464" s="30">
        <f t="shared" si="16"/>
        <v>62929.057611919736</v>
      </c>
      <c r="Y464" s="43">
        <f t="shared" si="16"/>
        <v>63924.35801212001</v>
      </c>
      <c r="AA464" s="52"/>
    </row>
    <row r="465" spans="2:27" ht="11.25">
      <c r="B465" s="96" t="s">
        <v>117</v>
      </c>
      <c r="C465" s="91" t="s">
        <v>121</v>
      </c>
      <c r="D465" s="78">
        <f>+AA459</f>
        <v>162519.9879861384</v>
      </c>
      <c r="E465" s="94"/>
      <c r="F465" s="73"/>
      <c r="G465" s="73"/>
      <c r="H465" s="73"/>
      <c r="I465" s="73"/>
      <c r="J465" s="73"/>
      <c r="K465" s="73"/>
      <c r="L465" s="73"/>
      <c r="M465" s="73"/>
      <c r="N465" s="73"/>
      <c r="O465" s="73"/>
      <c r="P465" s="73"/>
      <c r="Q465" s="73"/>
      <c r="R465" s="73"/>
      <c r="S465" s="73"/>
      <c r="T465" s="73"/>
      <c r="U465" s="73"/>
      <c r="V465" s="73"/>
      <c r="W465" s="73"/>
      <c r="X465" s="73"/>
      <c r="Y465" s="74"/>
      <c r="AA465" s="52"/>
    </row>
    <row r="466" spans="2:27" ht="11.25">
      <c r="B466" s="96" t="s">
        <v>491</v>
      </c>
      <c r="C466" s="92" t="s">
        <v>596</v>
      </c>
      <c r="D466" s="113">
        <f>+AA457</f>
        <v>3326.950000000002</v>
      </c>
      <c r="E466" s="95"/>
      <c r="F466" s="54"/>
      <c r="G466" s="54">
        <f>SUM(D453:D455,D458,D457)+D473</f>
        <v>113840.81483791358</v>
      </c>
      <c r="H466" s="54"/>
      <c r="I466" s="54"/>
      <c r="J466" s="54"/>
      <c r="K466" s="54"/>
      <c r="L466" s="54"/>
      <c r="M466" s="54"/>
      <c r="N466" s="54"/>
      <c r="O466" s="54"/>
      <c r="P466" s="54"/>
      <c r="Q466" s="54"/>
      <c r="R466" s="54"/>
      <c r="S466" s="54"/>
      <c r="T466" s="54"/>
      <c r="U466" s="54"/>
      <c r="V466" s="54"/>
      <c r="W466" s="54"/>
      <c r="X466" s="54"/>
      <c r="Y466" s="75"/>
      <c r="AA466" s="52"/>
    </row>
    <row r="467" spans="2:27" ht="11.25">
      <c r="B467" s="96" t="s">
        <v>574</v>
      </c>
      <c r="C467" s="92" t="s">
        <v>57</v>
      </c>
      <c r="D467" s="79">
        <f>+IRR(F464:Y464)</f>
        <v>0.28894864042790624</v>
      </c>
      <c r="E467" s="95"/>
      <c r="F467" s="88"/>
      <c r="G467" s="54"/>
      <c r="H467" s="54"/>
      <c r="I467" s="54"/>
      <c r="J467" s="54"/>
      <c r="K467" s="54"/>
      <c r="L467" s="54"/>
      <c r="M467" s="54"/>
      <c r="N467" s="54"/>
      <c r="O467" s="54"/>
      <c r="P467" s="54"/>
      <c r="Q467" s="54"/>
      <c r="R467" s="54"/>
      <c r="S467" s="54"/>
      <c r="T467" s="54"/>
      <c r="U467" s="54"/>
      <c r="V467" s="54"/>
      <c r="W467" s="54"/>
      <c r="X467" s="54"/>
      <c r="Y467" s="75"/>
      <c r="AA467" s="52"/>
    </row>
    <row r="468" spans="2:27" ht="12" thickBot="1">
      <c r="B468" s="107" t="s">
        <v>636</v>
      </c>
      <c r="C468" s="102" t="s">
        <v>120</v>
      </c>
      <c r="D468" s="103">
        <f>+NPV('Assumptions and Basic Info'!$C$20,'Cost and Benefit Summary'!F464:Y464)</f>
        <v>167173.1892507139</v>
      </c>
      <c r="E468" s="108"/>
      <c r="F468" s="104"/>
      <c r="G468" s="105"/>
      <c r="H468" s="105"/>
      <c r="I468" s="105"/>
      <c r="J468" s="105"/>
      <c r="K468" s="105"/>
      <c r="L468" s="105"/>
      <c r="M468" s="105"/>
      <c r="N468" s="105"/>
      <c r="O468" s="105"/>
      <c r="P468" s="105"/>
      <c r="Q468" s="105"/>
      <c r="R468" s="105"/>
      <c r="S468" s="105"/>
      <c r="T468" s="105"/>
      <c r="U468" s="105"/>
      <c r="V468" s="105"/>
      <c r="W468" s="105"/>
      <c r="X468" s="105"/>
      <c r="Y468" s="106"/>
      <c r="AA468" s="52"/>
    </row>
    <row r="469" spans="2:27" ht="12" thickBot="1">
      <c r="B469" s="117"/>
      <c r="C469" s="118"/>
      <c r="D469" s="119"/>
      <c r="E469" s="95"/>
      <c r="F469" s="88"/>
      <c r="G469" s="54"/>
      <c r="H469" s="54"/>
      <c r="I469" s="54"/>
      <c r="J469" s="54"/>
      <c r="K469" s="54"/>
      <c r="L469" s="54"/>
      <c r="M469" s="54"/>
      <c r="N469" s="54"/>
      <c r="O469" s="54"/>
      <c r="P469" s="54"/>
      <c r="Q469" s="54"/>
      <c r="R469" s="54"/>
      <c r="S469" s="54"/>
      <c r="T469" s="54"/>
      <c r="U469" s="54"/>
      <c r="V469" s="54"/>
      <c r="W469" s="54"/>
      <c r="X469" s="54"/>
      <c r="Y469" s="54"/>
      <c r="AA469" s="52"/>
    </row>
    <row r="470" spans="2:27" ht="22.5">
      <c r="B470" s="156" t="s">
        <v>56</v>
      </c>
      <c r="C470" s="131" t="s">
        <v>637</v>
      </c>
      <c r="D470" s="131"/>
      <c r="E470" s="132"/>
      <c r="F470" s="133"/>
      <c r="G470" s="133"/>
      <c r="H470" s="133"/>
      <c r="I470" s="133"/>
      <c r="J470" s="133"/>
      <c r="K470" s="133"/>
      <c r="L470" s="133"/>
      <c r="M470" s="133"/>
      <c r="N470" s="133"/>
      <c r="O470" s="133"/>
      <c r="P470" s="133"/>
      <c r="Q470" s="133"/>
      <c r="R470" s="133"/>
      <c r="S470" s="133"/>
      <c r="T470" s="133"/>
      <c r="U470" s="133"/>
      <c r="V470" s="133"/>
      <c r="W470" s="133"/>
      <c r="X470" s="133"/>
      <c r="Y470" s="134"/>
      <c r="AA470" s="52"/>
    </row>
    <row r="471" spans="2:28" ht="11.25">
      <c r="B471" s="39" t="s">
        <v>492</v>
      </c>
      <c r="C471" s="82" t="s">
        <v>495</v>
      </c>
      <c r="D471" s="157">
        <f>SUM(F471:J471)</f>
        <v>4038.25</v>
      </c>
      <c r="E471" s="50" t="s">
        <v>118</v>
      </c>
      <c r="F471" s="28">
        <v>488.25</v>
      </c>
      <c r="G471" s="28">
        <v>980</v>
      </c>
      <c r="H471" s="28">
        <v>1450</v>
      </c>
      <c r="I471" s="28">
        <v>610</v>
      </c>
      <c r="J471" s="28">
        <v>510</v>
      </c>
      <c r="K471" s="28"/>
      <c r="L471" s="28"/>
      <c r="M471" s="28"/>
      <c r="N471" s="28"/>
      <c r="O471" s="28"/>
      <c r="P471" s="28"/>
      <c r="Q471" s="28"/>
      <c r="R471" s="28"/>
      <c r="S471" s="28"/>
      <c r="T471" s="28"/>
      <c r="U471" s="28"/>
      <c r="V471" s="28"/>
      <c r="W471" s="28"/>
      <c r="X471" s="28"/>
      <c r="Y471" s="40"/>
      <c r="AA471" s="52"/>
      <c r="AB471" s="1"/>
    </row>
    <row r="472" spans="2:29" ht="11.25">
      <c r="B472" s="39" t="s">
        <v>493</v>
      </c>
      <c r="C472" s="82" t="s">
        <v>496</v>
      </c>
      <c r="D472" s="157">
        <f>SUM(F472:J472)</f>
        <v>2430</v>
      </c>
      <c r="E472" s="50" t="s">
        <v>118</v>
      </c>
      <c r="F472" s="28">
        <f>4*121.5</f>
        <v>486</v>
      </c>
      <c r="G472" s="28">
        <f>4*121.5</f>
        <v>486</v>
      </c>
      <c r="H472" s="28">
        <f>4*121.5</f>
        <v>486</v>
      </c>
      <c r="I472" s="28">
        <f>4*121.5</f>
        <v>486</v>
      </c>
      <c r="J472" s="28">
        <f>4*121.5</f>
        <v>486</v>
      </c>
      <c r="K472" s="28"/>
      <c r="L472" s="28"/>
      <c r="M472" s="28"/>
      <c r="N472" s="28"/>
      <c r="O472" s="28"/>
      <c r="P472" s="28"/>
      <c r="Q472" s="28"/>
      <c r="R472" s="28"/>
      <c r="S472" s="28"/>
      <c r="T472" s="28"/>
      <c r="U472" s="28"/>
      <c r="V472" s="28"/>
      <c r="W472" s="28"/>
      <c r="X472" s="28"/>
      <c r="Y472" s="40"/>
      <c r="AA472" s="52"/>
      <c r="AB472" s="1"/>
      <c r="AC472" s="52"/>
    </row>
    <row r="473" spans="2:28" ht="12" thickBot="1">
      <c r="B473" s="47" t="s">
        <v>494</v>
      </c>
      <c r="C473" s="143" t="s">
        <v>638</v>
      </c>
      <c r="D473" s="158">
        <f>+D471+D472</f>
        <v>6468.25</v>
      </c>
      <c r="E473" s="140" t="s">
        <v>118</v>
      </c>
      <c r="F473" s="141">
        <f>SUM(F471:F472)</f>
        <v>974.25</v>
      </c>
      <c r="G473" s="141">
        <f>SUM(G471:G472)</f>
        <v>1466</v>
      </c>
      <c r="H473" s="141">
        <f>SUM(H471:H472)</f>
        <v>1936</v>
      </c>
      <c r="I473" s="141">
        <f>SUM(I471:I472)</f>
        <v>1096</v>
      </c>
      <c r="J473" s="141">
        <f>SUM(J471:J472)</f>
        <v>996</v>
      </c>
      <c r="K473" s="141"/>
      <c r="L473" s="141"/>
      <c r="M473" s="141"/>
      <c r="N473" s="141"/>
      <c r="O473" s="141"/>
      <c r="P473" s="141"/>
      <c r="Q473" s="141"/>
      <c r="R473" s="141"/>
      <c r="S473" s="141"/>
      <c r="T473" s="141"/>
      <c r="U473" s="141"/>
      <c r="V473" s="141"/>
      <c r="W473" s="141"/>
      <c r="X473" s="141"/>
      <c r="Y473" s="142"/>
      <c r="AA473" s="52"/>
      <c r="AB473" s="1"/>
    </row>
    <row r="474" spans="3:27" ht="12" thickBot="1">
      <c r="C474" s="117"/>
      <c r="D474" s="119"/>
      <c r="E474" s="95"/>
      <c r="F474" s="88"/>
      <c r="G474" s="54"/>
      <c r="H474" s="54"/>
      <c r="I474" s="54"/>
      <c r="J474" s="54"/>
      <c r="K474" s="54"/>
      <c r="L474" s="54"/>
      <c r="M474" s="54"/>
      <c r="N474" s="54"/>
      <c r="O474" s="54"/>
      <c r="P474" s="54"/>
      <c r="Q474" s="54"/>
      <c r="R474" s="54"/>
      <c r="S474" s="54"/>
      <c r="T474" s="54"/>
      <c r="U474" s="54"/>
      <c r="V474" s="54"/>
      <c r="W474" s="54"/>
      <c r="X474" s="54"/>
      <c r="Y474" s="54"/>
      <c r="AA474" s="52"/>
    </row>
    <row r="475" spans="2:27" ht="11.25">
      <c r="B475" s="135" t="s">
        <v>64</v>
      </c>
      <c r="C475" s="136" t="s">
        <v>515</v>
      </c>
      <c r="D475" s="136"/>
      <c r="E475" s="137"/>
      <c r="F475" s="138"/>
      <c r="G475" s="138"/>
      <c r="H475" s="138"/>
      <c r="I475" s="138"/>
      <c r="J475" s="138"/>
      <c r="K475" s="138"/>
      <c r="L475" s="138"/>
      <c r="M475" s="138"/>
      <c r="N475" s="138"/>
      <c r="O475" s="138"/>
      <c r="P475" s="138"/>
      <c r="Q475" s="138"/>
      <c r="R475" s="138"/>
      <c r="S475" s="138"/>
      <c r="T475" s="138"/>
      <c r="U475" s="138"/>
      <c r="V475" s="138"/>
      <c r="W475" s="138"/>
      <c r="X475" s="138"/>
      <c r="Y475" s="139"/>
      <c r="AA475" s="52"/>
    </row>
    <row r="476" spans="2:30" ht="11.25">
      <c r="B476" s="37" t="s">
        <v>498</v>
      </c>
      <c r="C476" s="80" t="s">
        <v>639</v>
      </c>
      <c r="D476" s="81"/>
      <c r="E476" s="49" t="s">
        <v>118</v>
      </c>
      <c r="F476" s="27">
        <f aca="true" t="shared" si="17" ref="F476:Y476">+F459+F473</f>
        <v>1710.089457520245</v>
      </c>
      <c r="G476" s="27">
        <f t="shared" si="17"/>
        <v>20963.445843179044</v>
      </c>
      <c r="H476" s="27">
        <f t="shared" si="17"/>
        <v>41831.70793842664</v>
      </c>
      <c r="I476" s="27">
        <f t="shared" si="17"/>
        <v>39282.72828580939</v>
      </c>
      <c r="J476" s="27">
        <f t="shared" si="17"/>
        <v>12613.159790270503</v>
      </c>
      <c r="K476" s="27">
        <f t="shared" si="17"/>
        <v>3325.0690439707387</v>
      </c>
      <c r="L476" s="27">
        <f t="shared" si="17"/>
        <v>2128.315082659308</v>
      </c>
      <c r="M476" s="27">
        <f t="shared" si="17"/>
        <v>2128.315082659308</v>
      </c>
      <c r="N476" s="27">
        <f t="shared" si="17"/>
        <v>2128.315082659308</v>
      </c>
      <c r="O476" s="27">
        <f t="shared" si="17"/>
        <v>2128.315082659308</v>
      </c>
      <c r="P476" s="27">
        <f t="shared" si="17"/>
        <v>2128.315082659308</v>
      </c>
      <c r="Q476" s="27">
        <f t="shared" si="17"/>
        <v>2128.315082659308</v>
      </c>
      <c r="R476" s="27">
        <f t="shared" si="17"/>
        <v>2128.315082659308</v>
      </c>
      <c r="S476" s="27">
        <f t="shared" si="17"/>
        <v>2128.315082659308</v>
      </c>
      <c r="T476" s="27">
        <f t="shared" si="17"/>
        <v>2128.315082659308</v>
      </c>
      <c r="U476" s="27">
        <f t="shared" si="17"/>
        <v>2128.315082659308</v>
      </c>
      <c r="V476" s="27">
        <f t="shared" si="17"/>
        <v>2128.315082659308</v>
      </c>
      <c r="W476" s="27">
        <f t="shared" si="17"/>
        <v>2128.315082659308</v>
      </c>
      <c r="X476" s="27">
        <f t="shared" si="17"/>
        <v>2128.315082659308</v>
      </c>
      <c r="Y476" s="38">
        <f t="shared" si="17"/>
        <v>2128.315082659308</v>
      </c>
      <c r="AA476" s="52"/>
      <c r="AD476" s="52">
        <f>SUM(F476:AC476)</f>
        <v>149522.61151640685</v>
      </c>
    </row>
    <row r="477" spans="2:27" ht="11.25">
      <c r="B477" s="39"/>
      <c r="C477" s="82" t="s">
        <v>0</v>
      </c>
      <c r="D477" s="83"/>
      <c r="E477" s="49" t="s">
        <v>118</v>
      </c>
      <c r="F477" s="28">
        <f>F476*'ERR &amp; Sensitivity Analysis'!$G$10</f>
        <v>1710.089457520245</v>
      </c>
      <c r="G477" s="28">
        <f>G476*'ERR &amp; Sensitivity Analysis'!$G$10</f>
        <v>20963.445843179044</v>
      </c>
      <c r="H477" s="28">
        <f>H476*'ERR &amp; Sensitivity Analysis'!$G$10</f>
        <v>41831.70793842664</v>
      </c>
      <c r="I477" s="28">
        <f>I476*'ERR &amp; Sensitivity Analysis'!$G$10</f>
        <v>39282.72828580939</v>
      </c>
      <c r="J477" s="28">
        <f>J476*'ERR &amp; Sensitivity Analysis'!$G$10</f>
        <v>12613.159790270503</v>
      </c>
      <c r="K477" s="28">
        <f>K476*'ERR &amp; Sensitivity Analysis'!$G$10</f>
        <v>3325.0690439707387</v>
      </c>
      <c r="L477" s="28">
        <f>L476*'ERR &amp; Sensitivity Analysis'!$G$10</f>
        <v>2128.315082659308</v>
      </c>
      <c r="M477" s="28">
        <f>M476*'ERR &amp; Sensitivity Analysis'!$G$10</f>
        <v>2128.315082659308</v>
      </c>
      <c r="N477" s="28">
        <f>N476*'ERR &amp; Sensitivity Analysis'!$G$10</f>
        <v>2128.315082659308</v>
      </c>
      <c r="O477" s="28">
        <f>O476*'ERR &amp; Sensitivity Analysis'!$G$10</f>
        <v>2128.315082659308</v>
      </c>
      <c r="P477" s="28">
        <f>P476*'ERR &amp; Sensitivity Analysis'!$G$10</f>
        <v>2128.315082659308</v>
      </c>
      <c r="Q477" s="28">
        <f>Q476*'ERR &amp; Sensitivity Analysis'!$G$10</f>
        <v>2128.315082659308</v>
      </c>
      <c r="R477" s="28">
        <f>R476*'ERR &amp; Sensitivity Analysis'!$G$10</f>
        <v>2128.315082659308</v>
      </c>
      <c r="S477" s="28">
        <f>S476*'ERR &amp; Sensitivity Analysis'!$G$10</f>
        <v>2128.315082659308</v>
      </c>
      <c r="T477" s="28">
        <f>T476*'ERR &amp; Sensitivity Analysis'!$G$10</f>
        <v>2128.315082659308</v>
      </c>
      <c r="U477" s="28">
        <f>U476*'ERR &amp; Sensitivity Analysis'!$G$10</f>
        <v>2128.315082659308</v>
      </c>
      <c r="V477" s="28">
        <f>V476*'ERR &amp; Sensitivity Analysis'!$G$10</f>
        <v>2128.315082659308</v>
      </c>
      <c r="W477" s="28">
        <f>W476*'ERR &amp; Sensitivity Analysis'!$G$10</f>
        <v>2128.315082659308</v>
      </c>
      <c r="X477" s="28">
        <f>X476*'ERR &amp; Sensitivity Analysis'!$G$10</f>
        <v>2128.315082659308</v>
      </c>
      <c r="Y477" s="28">
        <f>Y476*'ERR &amp; Sensitivity Analysis'!$G$10</f>
        <v>2128.315082659308</v>
      </c>
      <c r="AA477" s="52"/>
    </row>
    <row r="478" spans="2:27" ht="11.25">
      <c r="B478" s="39" t="s">
        <v>499</v>
      </c>
      <c r="C478" s="82" t="s">
        <v>575</v>
      </c>
      <c r="D478" s="83"/>
      <c r="E478" s="50" t="s">
        <v>118</v>
      </c>
      <c r="F478" s="28">
        <f aca="true" t="shared" si="18" ref="F478:Y478">+F463</f>
        <v>0</v>
      </c>
      <c r="G478" s="28">
        <f t="shared" si="18"/>
        <v>0</v>
      </c>
      <c r="H478" s="28">
        <f t="shared" si="18"/>
        <v>1160.9228816158334</v>
      </c>
      <c r="I478" s="28">
        <f t="shared" si="18"/>
        <v>7351.806673476176</v>
      </c>
      <c r="J478" s="28">
        <f t="shared" si="18"/>
        <v>17859.737024127047</v>
      </c>
      <c r="K478" s="28">
        <f t="shared" si="18"/>
        <v>25829.643073908075</v>
      </c>
      <c r="L478" s="28">
        <f t="shared" si="18"/>
        <v>34308.424056744196</v>
      </c>
      <c r="M478" s="28">
        <f t="shared" si="18"/>
        <v>44992.6807850152</v>
      </c>
      <c r="N478" s="28">
        <f t="shared" si="18"/>
        <v>51757.57150285665</v>
      </c>
      <c r="O478" s="28">
        <f t="shared" si="18"/>
        <v>56009.22859864829</v>
      </c>
      <c r="P478" s="28">
        <f t="shared" si="18"/>
        <v>57287.195757634174</v>
      </c>
      <c r="Q478" s="28">
        <f t="shared" si="18"/>
        <v>58247.738291534624</v>
      </c>
      <c r="R478" s="28">
        <f t="shared" si="18"/>
        <v>59209.70777978488</v>
      </c>
      <c r="S478" s="28">
        <f t="shared" si="18"/>
        <v>60173.901195499035</v>
      </c>
      <c r="T478" s="28">
        <f t="shared" si="18"/>
        <v>61141.132592817</v>
      </c>
      <c r="U478" s="28">
        <f t="shared" si="18"/>
        <v>62112.234086103395</v>
      </c>
      <c r="V478" s="28">
        <f t="shared" si="18"/>
        <v>63088.05686239545</v>
      </c>
      <c r="W478" s="28">
        <f t="shared" si="18"/>
        <v>64069.47222854792</v>
      </c>
      <c r="X478" s="28">
        <f t="shared" si="18"/>
        <v>65057.37269457904</v>
      </c>
      <c r="Y478" s="40">
        <f t="shared" si="18"/>
        <v>66052.67309477931</v>
      </c>
      <c r="AA478" s="52"/>
    </row>
    <row r="479" spans="2:27" ht="11.25">
      <c r="B479" s="39"/>
      <c r="C479" s="82" t="s">
        <v>1</v>
      </c>
      <c r="D479" s="83"/>
      <c r="E479" s="50" t="s">
        <v>118</v>
      </c>
      <c r="F479" s="28">
        <f>IF('ERR &amp; Sensitivity Analysis'!$G$13=0,F478*'ERR &amp; Sensitivity Analysis'!$D$11,0)</f>
        <v>0</v>
      </c>
      <c r="G479" s="28">
        <f>IF('ERR &amp; Sensitivity Analysis'!$G$13=0,G478*'ERR &amp; Sensitivity Analysis'!$D$11,IF('ERR &amp; Sensitivity Analysis'!$G$13=1,F478*'ERR &amp; Sensitivity Analysis'!$D$11,0))</f>
        <v>0</v>
      </c>
      <c r="H479" s="28">
        <f>IF('ERR &amp; Sensitivity Analysis'!$G$13=0,H478*'ERR &amp; Sensitivity Analysis'!$D$11,IF('ERR &amp; Sensitivity Analysis'!$G$13=1,G478*'ERR &amp; Sensitivity Analysis'!$D$11,F478*'ERR &amp; Sensitivity Analysis'!$D$11))</f>
        <v>0</v>
      </c>
      <c r="I479" s="28">
        <f>IF('ERR &amp; Sensitivity Analysis'!$G$13=0,I478*'ERR &amp; Sensitivity Analysis'!$D$11,IF('ERR &amp; Sensitivity Analysis'!$G$13=1,H478*'ERR &amp; Sensitivity Analysis'!$D$11,G478*'ERR &amp; Sensitivity Analysis'!$D$11))</f>
        <v>1160.9228816158334</v>
      </c>
      <c r="J479" s="28">
        <f>IF('ERR &amp; Sensitivity Analysis'!$G$13=0,J478*'ERR &amp; Sensitivity Analysis'!$D$11,IF('ERR &amp; Sensitivity Analysis'!$G$13=1,I478*'ERR &amp; Sensitivity Analysis'!$D$11,H478*'ERR &amp; Sensitivity Analysis'!$D$11))</f>
        <v>7351.806673476176</v>
      </c>
      <c r="K479" s="28">
        <f>IF('ERR &amp; Sensitivity Analysis'!$G$13=0,K478*'ERR &amp; Sensitivity Analysis'!$D$11,IF('ERR &amp; Sensitivity Analysis'!$G$13=1,J478*'ERR &amp; Sensitivity Analysis'!$D$11,I478*'ERR &amp; Sensitivity Analysis'!$D$11))</f>
        <v>17859.737024127047</v>
      </c>
      <c r="L479" s="28">
        <f>IF('ERR &amp; Sensitivity Analysis'!$G$13=0,L478*'ERR &amp; Sensitivity Analysis'!$D$11,IF('ERR &amp; Sensitivity Analysis'!$G$13=1,K478*'ERR &amp; Sensitivity Analysis'!$D$11,J478*'ERR &amp; Sensitivity Analysis'!$D$11))</f>
        <v>25829.643073908075</v>
      </c>
      <c r="M479" s="28">
        <f>IF('ERR &amp; Sensitivity Analysis'!$G$13=0,M478*'ERR &amp; Sensitivity Analysis'!$D$11,IF('ERR &amp; Sensitivity Analysis'!$G$13=1,L478*'ERR &amp; Sensitivity Analysis'!$D$11,K478*'ERR &amp; Sensitivity Analysis'!$D$11))</f>
        <v>34308.424056744196</v>
      </c>
      <c r="N479" s="28">
        <f>IF('ERR &amp; Sensitivity Analysis'!$G$13=0,N478*'ERR &amp; Sensitivity Analysis'!$D$11,IF('ERR &amp; Sensitivity Analysis'!$G$13=1,M478*'ERR &amp; Sensitivity Analysis'!$D$11,L478*'ERR &amp; Sensitivity Analysis'!$D$11))</f>
        <v>44992.6807850152</v>
      </c>
      <c r="O479" s="28">
        <f>IF('ERR &amp; Sensitivity Analysis'!$G$13=0,O478*'ERR &amp; Sensitivity Analysis'!$D$11,IF('ERR &amp; Sensitivity Analysis'!$G$13=1,N478*'ERR &amp; Sensitivity Analysis'!$D$11,M478*'ERR &amp; Sensitivity Analysis'!$D$11))</f>
        <v>51757.57150285665</v>
      </c>
      <c r="P479" s="28">
        <f>IF('ERR &amp; Sensitivity Analysis'!$G$13=0,P478*'ERR &amp; Sensitivity Analysis'!$D$11,IF('ERR &amp; Sensitivity Analysis'!$G$13=1,O478*'ERR &amp; Sensitivity Analysis'!$D$11,N478*'ERR &amp; Sensitivity Analysis'!$D$11))</f>
        <v>56009.22859864829</v>
      </c>
      <c r="Q479" s="28">
        <f>IF('ERR &amp; Sensitivity Analysis'!$G$13=0,Q478*'ERR &amp; Sensitivity Analysis'!$D$11,IF('ERR &amp; Sensitivity Analysis'!$G$13=1,P478*'ERR &amp; Sensitivity Analysis'!$D$11,O478*'ERR &amp; Sensitivity Analysis'!$D$11))</f>
        <v>57287.195757634174</v>
      </c>
      <c r="R479" s="28">
        <f>IF('ERR &amp; Sensitivity Analysis'!$G$13=0,R478*'ERR &amp; Sensitivity Analysis'!$D$11,IF('ERR &amp; Sensitivity Analysis'!$G$13=1,Q478*'ERR &amp; Sensitivity Analysis'!$D$11,P478*'ERR &amp; Sensitivity Analysis'!$D$11))</f>
        <v>58247.738291534624</v>
      </c>
      <c r="S479" s="28">
        <f>IF('ERR &amp; Sensitivity Analysis'!$G$13=0,S478*'ERR &amp; Sensitivity Analysis'!$D$11,IF('ERR &amp; Sensitivity Analysis'!$G$13=1,R478*'ERR &amp; Sensitivity Analysis'!$D$11,Q478*'ERR &amp; Sensitivity Analysis'!$D$11))</f>
        <v>59209.70777978488</v>
      </c>
      <c r="T479" s="28">
        <f>IF('ERR &amp; Sensitivity Analysis'!$G$13=0,T478*'ERR &amp; Sensitivity Analysis'!$D$11,IF('ERR &amp; Sensitivity Analysis'!$G$13=1,S478*'ERR &amp; Sensitivity Analysis'!$D$11,R478*'ERR &amp; Sensitivity Analysis'!$D$11))</f>
        <v>60173.901195499035</v>
      </c>
      <c r="U479" s="28">
        <f>IF('ERR &amp; Sensitivity Analysis'!$G$13=0,U478*'ERR &amp; Sensitivity Analysis'!$D$11,IF('ERR &amp; Sensitivity Analysis'!$G$13=1,T478*'ERR &amp; Sensitivity Analysis'!$D$11,S478*'ERR &amp; Sensitivity Analysis'!$D$11))</f>
        <v>61141.132592817</v>
      </c>
      <c r="V479" s="28">
        <f>IF('ERR &amp; Sensitivity Analysis'!$G$13=0,V478*'ERR &amp; Sensitivity Analysis'!$D$11,IF('ERR &amp; Sensitivity Analysis'!$G$13=1,U478*'ERR &amp; Sensitivity Analysis'!$D$11,T478*'ERR &amp; Sensitivity Analysis'!$D$11))</f>
        <v>62112.234086103395</v>
      </c>
      <c r="W479" s="28">
        <f>IF('ERR &amp; Sensitivity Analysis'!$G$13=0,W478*'ERR &amp; Sensitivity Analysis'!$D$11,IF('ERR &amp; Sensitivity Analysis'!$G$13=1,V478*'ERR &amp; Sensitivity Analysis'!$D$11,U478*'ERR &amp; Sensitivity Analysis'!$D$11))</f>
        <v>63088.05686239545</v>
      </c>
      <c r="X479" s="28">
        <f>IF('ERR &amp; Sensitivity Analysis'!$G$13=0,X478*'ERR &amp; Sensitivity Analysis'!$D$11,IF('ERR &amp; Sensitivity Analysis'!$G$13=1,W478*'ERR &amp; Sensitivity Analysis'!$D$11,V478*'ERR &amp; Sensitivity Analysis'!$D$11))</f>
        <v>64069.47222854792</v>
      </c>
      <c r="Y479" s="28">
        <f>IF('ERR &amp; Sensitivity Analysis'!$G$13=0,Y478*'ERR &amp; Sensitivity Analysis'!$D$11,IF('ERR &amp; Sensitivity Analysis'!$G$13=1,X478*'ERR &amp; Sensitivity Analysis'!$D$11,W478*'ERR &amp; Sensitivity Analysis'!$D$11))</f>
        <v>65057.37269457904</v>
      </c>
      <c r="AA479" s="52"/>
    </row>
    <row r="480" spans="2:27" ht="11.25">
      <c r="B480" s="42" t="s">
        <v>500</v>
      </c>
      <c r="C480" s="84" t="s">
        <v>502</v>
      </c>
      <c r="D480" s="85"/>
      <c r="E480" s="72" t="s">
        <v>118</v>
      </c>
      <c r="F480" s="30">
        <f>+F478-F476</f>
        <v>-1710.089457520245</v>
      </c>
      <c r="G480" s="30">
        <f>+G478-G476</f>
        <v>-20963.445843179044</v>
      </c>
      <c r="H480" s="30">
        <f aca="true" t="shared" si="19" ref="H480:Y480">+H479-H477</f>
        <v>-41831.70793842664</v>
      </c>
      <c r="I480" s="30">
        <f t="shared" si="19"/>
        <v>-38121.805404193554</v>
      </c>
      <c r="J480" s="30">
        <f t="shared" si="19"/>
        <v>-5261.353116794327</v>
      </c>
      <c r="K480" s="30">
        <f t="shared" si="19"/>
        <v>14534.667980156308</v>
      </c>
      <c r="L480" s="30">
        <f t="shared" si="19"/>
        <v>23701.327991248767</v>
      </c>
      <c r="M480" s="30">
        <f t="shared" si="19"/>
        <v>32180.108974084887</v>
      </c>
      <c r="N480" s="30">
        <f t="shared" si="19"/>
        <v>42864.3657023559</v>
      </c>
      <c r="O480" s="30">
        <f t="shared" si="19"/>
        <v>49629.256420197344</v>
      </c>
      <c r="P480" s="30">
        <f t="shared" si="19"/>
        <v>53880.913515988985</v>
      </c>
      <c r="Q480" s="30">
        <f t="shared" si="19"/>
        <v>55158.88067497487</v>
      </c>
      <c r="R480" s="30">
        <f t="shared" si="19"/>
        <v>56119.42320887532</v>
      </c>
      <c r="S480" s="30">
        <f t="shared" si="19"/>
        <v>57081.39269712558</v>
      </c>
      <c r="T480" s="30">
        <f t="shared" si="19"/>
        <v>58045.58611283973</v>
      </c>
      <c r="U480" s="30">
        <f t="shared" si="19"/>
        <v>59012.81751015769</v>
      </c>
      <c r="V480" s="30">
        <f t="shared" si="19"/>
        <v>59983.91900344409</v>
      </c>
      <c r="W480" s="30">
        <f t="shared" si="19"/>
        <v>60959.74177973615</v>
      </c>
      <c r="X480" s="30">
        <f t="shared" si="19"/>
        <v>61941.15714588862</v>
      </c>
      <c r="Y480" s="30">
        <f t="shared" si="19"/>
        <v>62929.057611919736</v>
      </c>
      <c r="AA480" s="52"/>
    </row>
    <row r="481" spans="2:27" ht="11.25">
      <c r="B481" s="96" t="s">
        <v>501</v>
      </c>
      <c r="C481" s="92" t="s">
        <v>644</v>
      </c>
      <c r="D481" s="113">
        <f>+D465+D473</f>
        <v>168988.2379861384</v>
      </c>
      <c r="E481" s="95"/>
      <c r="F481" s="54"/>
      <c r="G481" s="54"/>
      <c r="H481" s="54"/>
      <c r="I481" s="54"/>
      <c r="J481" s="54"/>
      <c r="K481" s="54"/>
      <c r="L481" s="54"/>
      <c r="M481" s="54"/>
      <c r="N481" s="54"/>
      <c r="O481" s="54"/>
      <c r="P481" s="54"/>
      <c r="Q481" s="54"/>
      <c r="R481" s="54"/>
      <c r="S481" s="54"/>
      <c r="T481" s="54"/>
      <c r="U481" s="54"/>
      <c r="V481" s="54"/>
      <c r="W481" s="54"/>
      <c r="X481" s="54"/>
      <c r="Y481" s="75"/>
      <c r="AA481" s="52"/>
    </row>
    <row r="482" spans="2:27" ht="11.25">
      <c r="B482" s="96" t="s">
        <v>504</v>
      </c>
      <c r="C482" s="92" t="s">
        <v>641</v>
      </c>
      <c r="D482" s="113">
        <f>+D466</f>
        <v>3326.950000000002</v>
      </c>
      <c r="E482" s="95"/>
      <c r="F482" s="54"/>
      <c r="G482" s="54"/>
      <c r="H482" s="54"/>
      <c r="I482" s="54"/>
      <c r="J482" s="54"/>
      <c r="K482" s="54"/>
      <c r="L482" s="54"/>
      <c r="M482" s="54"/>
      <c r="N482" s="54"/>
      <c r="O482" s="54"/>
      <c r="P482" s="54"/>
      <c r="Q482" s="54"/>
      <c r="R482" s="54"/>
      <c r="S482" s="54"/>
      <c r="T482" s="54"/>
      <c r="U482" s="54"/>
      <c r="V482" s="54"/>
      <c r="W482" s="54"/>
      <c r="X482" s="54"/>
      <c r="Y482" s="75"/>
      <c r="AA482" s="52"/>
    </row>
    <row r="483" spans="2:27" ht="11.25">
      <c r="B483" s="96" t="s">
        <v>503</v>
      </c>
      <c r="C483" s="92" t="s">
        <v>57</v>
      </c>
      <c r="D483" s="299">
        <f>+IRR(F480:Y480)</f>
        <v>0.2296053597311766</v>
      </c>
      <c r="E483" s="95"/>
      <c r="F483" s="88"/>
      <c r="G483" s="54"/>
      <c r="H483" s="54"/>
      <c r="I483" s="54"/>
      <c r="J483" s="54"/>
      <c r="K483" s="54"/>
      <c r="L483" s="54"/>
      <c r="M483" s="54"/>
      <c r="N483" s="54"/>
      <c r="O483" s="54"/>
      <c r="P483" s="54"/>
      <c r="Q483" s="54"/>
      <c r="R483" s="54"/>
      <c r="S483" s="54"/>
      <c r="T483" s="54"/>
      <c r="U483" s="54"/>
      <c r="V483" s="54"/>
      <c r="W483" s="54"/>
      <c r="X483" s="54"/>
      <c r="Y483" s="75"/>
      <c r="AA483" s="52"/>
    </row>
    <row r="484" spans="2:27" ht="12" thickBot="1">
      <c r="B484" s="107" t="s">
        <v>640</v>
      </c>
      <c r="C484" s="102" t="s">
        <v>120</v>
      </c>
      <c r="D484" s="103">
        <f>+NPV('Assumptions and Basic Info'!$C$20,'Cost and Benefit Summary'!F480:Y480)</f>
        <v>129878.41346614393</v>
      </c>
      <c r="E484" s="108"/>
      <c r="F484" s="104"/>
      <c r="G484" s="105"/>
      <c r="H484" s="105"/>
      <c r="I484" s="105"/>
      <c r="J484" s="105"/>
      <c r="K484" s="105"/>
      <c r="L484" s="105"/>
      <c r="M484" s="105"/>
      <c r="N484" s="105"/>
      <c r="O484" s="105"/>
      <c r="P484" s="105"/>
      <c r="Q484" s="105"/>
      <c r="R484" s="105"/>
      <c r="S484" s="105"/>
      <c r="T484" s="105"/>
      <c r="U484" s="105"/>
      <c r="V484" s="105"/>
      <c r="W484" s="105"/>
      <c r="X484" s="105"/>
      <c r="Y484" s="106"/>
      <c r="AA484" s="52"/>
    </row>
    <row r="485" spans="2:27" ht="36" customHeight="1">
      <c r="B485" s="362" t="s">
        <v>839</v>
      </c>
      <c r="C485" s="362"/>
      <c r="D485" s="362"/>
      <c r="E485" s="362"/>
      <c r="F485" s="362"/>
      <c r="G485" s="362"/>
      <c r="H485" s="154"/>
      <c r="I485" s="154"/>
      <c r="J485" s="154"/>
      <c r="K485" s="154"/>
      <c r="L485" s="154"/>
      <c r="M485" s="154"/>
      <c r="N485" s="154"/>
      <c r="O485" s="154"/>
      <c r="P485" s="154"/>
      <c r="Q485" s="154"/>
      <c r="R485" s="154"/>
      <c r="S485" s="154"/>
      <c r="T485" s="154"/>
      <c r="U485" s="154"/>
      <c r="V485" s="154"/>
      <c r="W485" s="154"/>
      <c r="X485" s="154"/>
      <c r="Y485" s="154"/>
      <c r="AA485" s="52"/>
    </row>
    <row r="486" spans="2:27" ht="36.75" customHeight="1">
      <c r="B486" s="363" t="s">
        <v>840</v>
      </c>
      <c r="C486" s="363"/>
      <c r="D486" s="363"/>
      <c r="E486" s="363"/>
      <c r="F486" s="363"/>
      <c r="G486" s="363"/>
      <c r="H486" s="54"/>
      <c r="I486" s="54"/>
      <c r="J486" s="54"/>
      <c r="K486" s="54"/>
      <c r="L486" s="54"/>
      <c r="M486" s="54"/>
      <c r="N486" s="54"/>
      <c r="O486" s="54"/>
      <c r="P486" s="54"/>
      <c r="Q486" s="54"/>
      <c r="R486" s="54"/>
      <c r="S486" s="54"/>
      <c r="T486" s="54"/>
      <c r="U486" s="54"/>
      <c r="V486" s="54"/>
      <c r="W486" s="54"/>
      <c r="X486" s="54"/>
      <c r="Y486" s="54"/>
      <c r="AA486" s="52"/>
    </row>
    <row r="487" spans="2:27" ht="12.75">
      <c r="B487" s="155"/>
      <c r="C487" s="117"/>
      <c r="D487" s="119"/>
      <c r="E487" s="95"/>
      <c r="F487" s="88"/>
      <c r="G487" s="54"/>
      <c r="H487" s="54"/>
      <c r="I487" s="54"/>
      <c r="J487" s="54"/>
      <c r="K487" s="54"/>
      <c r="L487" s="54"/>
      <c r="M487" s="54"/>
      <c r="N487" s="54"/>
      <c r="O487" s="54"/>
      <c r="P487" s="54"/>
      <c r="Q487" s="54"/>
      <c r="R487" s="54"/>
      <c r="S487" s="54"/>
      <c r="T487" s="54"/>
      <c r="U487" s="54"/>
      <c r="V487" s="54"/>
      <c r="W487" s="54"/>
      <c r="X487" s="54"/>
      <c r="Y487" s="54"/>
      <c r="AA487" s="52"/>
    </row>
    <row r="488" ht="12" thickBot="1">
      <c r="B488" s="19" t="s">
        <v>506</v>
      </c>
    </row>
    <row r="489" spans="2:25" ht="11.25">
      <c r="B489" s="58" t="s">
        <v>509</v>
      </c>
      <c r="C489" s="59" t="s">
        <v>513</v>
      </c>
      <c r="D489" s="59"/>
      <c r="E489" s="60"/>
      <c r="F489" s="61"/>
      <c r="G489" s="61"/>
      <c r="H489" s="61"/>
      <c r="I489" s="61"/>
      <c r="J489" s="61"/>
      <c r="K489" s="61"/>
      <c r="L489" s="61"/>
      <c r="M489" s="61"/>
      <c r="N489" s="61"/>
      <c r="O489" s="61"/>
      <c r="P489" s="61"/>
      <c r="Q489" s="61"/>
      <c r="R489" s="61"/>
      <c r="S489" s="61"/>
      <c r="T489" s="61"/>
      <c r="U489" s="61"/>
      <c r="V489" s="61"/>
      <c r="W489" s="61"/>
      <c r="X489" s="61"/>
      <c r="Y489" s="62"/>
    </row>
    <row r="490" spans="2:25" ht="11.25">
      <c r="B490" s="37"/>
      <c r="C490" s="80" t="s">
        <v>766</v>
      </c>
      <c r="D490" s="109">
        <f>'ERR &amp; Sensitivity Analysis'!G10</f>
        <v>1</v>
      </c>
      <c r="E490" s="49" t="s">
        <v>118</v>
      </c>
      <c r="F490" s="27">
        <f aca="true" t="shared" si="20" ref="F490:Y490">+F476*$D490</f>
        <v>1710.089457520245</v>
      </c>
      <c r="G490" s="27">
        <f t="shared" si="20"/>
        <v>20963.445843179044</v>
      </c>
      <c r="H490" s="27">
        <f t="shared" si="20"/>
        <v>41831.70793842664</v>
      </c>
      <c r="I490" s="27">
        <f t="shared" si="20"/>
        <v>39282.72828580939</v>
      </c>
      <c r="J490" s="27">
        <f t="shared" si="20"/>
        <v>12613.159790270503</v>
      </c>
      <c r="K490" s="27">
        <f t="shared" si="20"/>
        <v>3325.0690439707387</v>
      </c>
      <c r="L490" s="27">
        <f t="shared" si="20"/>
        <v>2128.315082659308</v>
      </c>
      <c r="M490" s="27">
        <f t="shared" si="20"/>
        <v>2128.315082659308</v>
      </c>
      <c r="N490" s="27">
        <f t="shared" si="20"/>
        <v>2128.315082659308</v>
      </c>
      <c r="O490" s="27">
        <f t="shared" si="20"/>
        <v>2128.315082659308</v>
      </c>
      <c r="P490" s="27">
        <f t="shared" si="20"/>
        <v>2128.315082659308</v>
      </c>
      <c r="Q490" s="27">
        <f t="shared" si="20"/>
        <v>2128.315082659308</v>
      </c>
      <c r="R490" s="27">
        <f t="shared" si="20"/>
        <v>2128.315082659308</v>
      </c>
      <c r="S490" s="27">
        <f t="shared" si="20"/>
        <v>2128.315082659308</v>
      </c>
      <c r="T490" s="27">
        <f t="shared" si="20"/>
        <v>2128.315082659308</v>
      </c>
      <c r="U490" s="27">
        <f t="shared" si="20"/>
        <v>2128.315082659308</v>
      </c>
      <c r="V490" s="27">
        <f t="shared" si="20"/>
        <v>2128.315082659308</v>
      </c>
      <c r="W490" s="27">
        <f t="shared" si="20"/>
        <v>2128.315082659308</v>
      </c>
      <c r="X490" s="27">
        <f t="shared" si="20"/>
        <v>2128.315082659308</v>
      </c>
      <c r="Y490" s="27">
        <f t="shared" si="20"/>
        <v>2128.315082659308</v>
      </c>
    </row>
    <row r="491" spans="2:25" ht="11.25">
      <c r="B491" s="39"/>
      <c r="C491" s="82" t="s">
        <v>84</v>
      </c>
      <c r="D491" s="110">
        <f>'ERR &amp; Sensitivity Analysis'!G11</f>
        <v>1</v>
      </c>
      <c r="E491" s="50" t="s">
        <v>118</v>
      </c>
      <c r="F491" s="28">
        <f aca="true" t="shared" si="21" ref="F491:Y491">+F478*$D491</f>
        <v>0</v>
      </c>
      <c r="G491" s="28">
        <f t="shared" si="21"/>
        <v>0</v>
      </c>
      <c r="H491" s="28">
        <f t="shared" si="21"/>
        <v>1160.9228816158334</v>
      </c>
      <c r="I491" s="28">
        <f t="shared" si="21"/>
        <v>7351.806673476176</v>
      </c>
      <c r="J491" s="28">
        <f t="shared" si="21"/>
        <v>17859.737024127047</v>
      </c>
      <c r="K491" s="28">
        <f t="shared" si="21"/>
        <v>25829.643073908075</v>
      </c>
      <c r="L491" s="28">
        <f t="shared" si="21"/>
        <v>34308.424056744196</v>
      </c>
      <c r="M491" s="28">
        <f t="shared" si="21"/>
        <v>44992.6807850152</v>
      </c>
      <c r="N491" s="28">
        <f t="shared" si="21"/>
        <v>51757.57150285665</v>
      </c>
      <c r="O491" s="28">
        <f t="shared" si="21"/>
        <v>56009.22859864829</v>
      </c>
      <c r="P491" s="28">
        <f t="shared" si="21"/>
        <v>57287.195757634174</v>
      </c>
      <c r="Q491" s="28">
        <f t="shared" si="21"/>
        <v>58247.738291534624</v>
      </c>
      <c r="R491" s="28">
        <f t="shared" si="21"/>
        <v>59209.70777978488</v>
      </c>
      <c r="S491" s="28">
        <f t="shared" si="21"/>
        <v>60173.901195499035</v>
      </c>
      <c r="T491" s="28">
        <f t="shared" si="21"/>
        <v>61141.132592817</v>
      </c>
      <c r="U491" s="28">
        <f t="shared" si="21"/>
        <v>62112.234086103395</v>
      </c>
      <c r="V491" s="28">
        <f t="shared" si="21"/>
        <v>63088.05686239545</v>
      </c>
      <c r="W491" s="28">
        <f t="shared" si="21"/>
        <v>64069.47222854792</v>
      </c>
      <c r="X491" s="28">
        <f t="shared" si="21"/>
        <v>65057.37269457904</v>
      </c>
      <c r="Y491" s="28">
        <f t="shared" si="21"/>
        <v>66052.67309477931</v>
      </c>
    </row>
    <row r="492" spans="2:25" ht="11.25">
      <c r="B492" s="39"/>
      <c r="C492" s="82" t="s">
        <v>85</v>
      </c>
      <c r="D492" s="100"/>
      <c r="E492" s="72" t="s">
        <v>118</v>
      </c>
      <c r="F492" s="30">
        <f aca="true" t="shared" si="22" ref="F492:Y492">+F491-F490</f>
        <v>-1710.089457520245</v>
      </c>
      <c r="G492" s="30">
        <f t="shared" si="22"/>
        <v>-20963.445843179044</v>
      </c>
      <c r="H492" s="30">
        <f t="shared" si="22"/>
        <v>-40670.785056810804</v>
      </c>
      <c r="I492" s="30">
        <f t="shared" si="22"/>
        <v>-31930.921612333215</v>
      </c>
      <c r="J492" s="30">
        <f t="shared" si="22"/>
        <v>5246.577233856544</v>
      </c>
      <c r="K492" s="30">
        <f t="shared" si="22"/>
        <v>22504.574029937336</v>
      </c>
      <c r="L492" s="30">
        <f t="shared" si="22"/>
        <v>32180.108974084887</v>
      </c>
      <c r="M492" s="30">
        <f t="shared" si="22"/>
        <v>42864.3657023559</v>
      </c>
      <c r="N492" s="30">
        <f t="shared" si="22"/>
        <v>49629.256420197344</v>
      </c>
      <c r="O492" s="30">
        <f t="shared" si="22"/>
        <v>53880.913515988985</v>
      </c>
      <c r="P492" s="30">
        <f t="shared" si="22"/>
        <v>55158.88067497487</v>
      </c>
      <c r="Q492" s="30">
        <f t="shared" si="22"/>
        <v>56119.42320887532</v>
      </c>
      <c r="R492" s="30">
        <f t="shared" si="22"/>
        <v>57081.39269712558</v>
      </c>
      <c r="S492" s="30">
        <f t="shared" si="22"/>
        <v>58045.58611283973</v>
      </c>
      <c r="T492" s="30">
        <f t="shared" si="22"/>
        <v>59012.81751015769</v>
      </c>
      <c r="U492" s="30">
        <f t="shared" si="22"/>
        <v>59983.91900344409</v>
      </c>
      <c r="V492" s="30">
        <f t="shared" si="22"/>
        <v>60959.74177973615</v>
      </c>
      <c r="W492" s="30">
        <f t="shared" si="22"/>
        <v>61941.15714588862</v>
      </c>
      <c r="X492" s="30">
        <f t="shared" si="22"/>
        <v>62929.057611919736</v>
      </c>
      <c r="Y492" s="43">
        <f t="shared" si="22"/>
        <v>63924.35801212001</v>
      </c>
    </row>
    <row r="493" spans="2:25" ht="11.25">
      <c r="B493" s="39"/>
      <c r="C493" s="98" t="s">
        <v>57</v>
      </c>
      <c r="D493" s="99">
        <f>+IRR(F492:Y492)</f>
        <v>0.2752006571617917</v>
      </c>
      <c r="E493" s="100"/>
      <c r="F493" s="101"/>
      <c r="G493" s="73"/>
      <c r="H493" s="73"/>
      <c r="I493" s="73"/>
      <c r="J493" s="73"/>
      <c r="K493" s="73"/>
      <c r="L493" s="73"/>
      <c r="M493" s="73"/>
      <c r="N493" s="73"/>
      <c r="O493" s="73"/>
      <c r="P493" s="73"/>
      <c r="Q493" s="73"/>
      <c r="R493" s="73"/>
      <c r="S493" s="73"/>
      <c r="T493" s="73"/>
      <c r="U493" s="73"/>
      <c r="V493" s="73"/>
      <c r="W493" s="73"/>
      <c r="X493" s="73"/>
      <c r="Y493" s="74"/>
    </row>
    <row r="494" spans="2:25" ht="11.25">
      <c r="B494" s="42"/>
      <c r="C494" s="93" t="s">
        <v>120</v>
      </c>
      <c r="D494" s="97">
        <f>+NPV('Assumptions and Basic Info'!$C$20,'Cost and Benefit Summary'!F492:Y492)</f>
        <v>162254.37134520573</v>
      </c>
      <c r="E494" s="100"/>
      <c r="F494" s="89"/>
      <c r="G494" s="76"/>
      <c r="H494" s="76"/>
      <c r="I494" s="76"/>
      <c r="J494" s="76"/>
      <c r="K494" s="76"/>
      <c r="L494" s="76"/>
      <c r="M494" s="76"/>
      <c r="N494" s="76"/>
      <c r="O494" s="76"/>
      <c r="P494" s="76"/>
      <c r="Q494" s="76"/>
      <c r="R494" s="76"/>
      <c r="S494" s="76"/>
      <c r="T494" s="76"/>
      <c r="U494" s="76"/>
      <c r="V494" s="76"/>
      <c r="W494" s="76"/>
      <c r="X494" s="76"/>
      <c r="Y494" s="77"/>
    </row>
    <row r="495" spans="2:25" ht="11.25">
      <c r="B495" s="63" t="s">
        <v>510</v>
      </c>
      <c r="C495" s="55" t="s">
        <v>507</v>
      </c>
      <c r="D495" s="55"/>
      <c r="E495" s="56"/>
      <c r="F495" s="57"/>
      <c r="G495" s="57"/>
      <c r="H495" s="57"/>
      <c r="I495" s="57"/>
      <c r="J495" s="57"/>
      <c r="K495" s="57"/>
      <c r="L495" s="57"/>
      <c r="M495" s="57"/>
      <c r="N495" s="57"/>
      <c r="O495" s="57"/>
      <c r="P495" s="57"/>
      <c r="Q495" s="57"/>
      <c r="R495" s="57"/>
      <c r="S495" s="57"/>
      <c r="T495" s="57"/>
      <c r="U495" s="57"/>
      <c r="V495" s="57"/>
      <c r="W495" s="57"/>
      <c r="X495" s="57"/>
      <c r="Y495" s="64"/>
    </row>
    <row r="496" spans="2:25" ht="11.25">
      <c r="B496" s="37"/>
      <c r="C496" s="80" t="s">
        <v>508</v>
      </c>
      <c r="D496" s="109"/>
      <c r="E496" s="49" t="s">
        <v>118</v>
      </c>
      <c r="F496" s="27">
        <f aca="true" t="shared" si="23" ref="F496:Y496">+F476</f>
        <v>1710.089457520245</v>
      </c>
      <c r="G496" s="27">
        <f t="shared" si="23"/>
        <v>20963.445843179044</v>
      </c>
      <c r="H496" s="27">
        <f t="shared" si="23"/>
        <v>41831.70793842664</v>
      </c>
      <c r="I496" s="27">
        <f t="shared" si="23"/>
        <v>39282.72828580939</v>
      </c>
      <c r="J496" s="27">
        <f t="shared" si="23"/>
        <v>12613.159790270503</v>
      </c>
      <c r="K496" s="27">
        <f t="shared" si="23"/>
        <v>3325.0690439707387</v>
      </c>
      <c r="L496" s="27">
        <f t="shared" si="23"/>
        <v>2128.315082659308</v>
      </c>
      <c r="M496" s="27">
        <f t="shared" si="23"/>
        <v>2128.315082659308</v>
      </c>
      <c r="N496" s="27">
        <f t="shared" si="23"/>
        <v>2128.315082659308</v>
      </c>
      <c r="O496" s="27">
        <f t="shared" si="23"/>
        <v>2128.315082659308</v>
      </c>
      <c r="P496" s="27">
        <f t="shared" si="23"/>
        <v>2128.315082659308</v>
      </c>
      <c r="Q496" s="27">
        <f t="shared" si="23"/>
        <v>2128.315082659308</v>
      </c>
      <c r="R496" s="27">
        <f t="shared" si="23"/>
        <v>2128.315082659308</v>
      </c>
      <c r="S496" s="27">
        <f t="shared" si="23"/>
        <v>2128.315082659308</v>
      </c>
      <c r="T496" s="27">
        <f t="shared" si="23"/>
        <v>2128.315082659308</v>
      </c>
      <c r="U496" s="27">
        <f t="shared" si="23"/>
        <v>2128.315082659308</v>
      </c>
      <c r="V496" s="27">
        <f t="shared" si="23"/>
        <v>2128.315082659308</v>
      </c>
      <c r="W496" s="27">
        <f t="shared" si="23"/>
        <v>2128.315082659308</v>
      </c>
      <c r="X496" s="27">
        <f t="shared" si="23"/>
        <v>2128.315082659308</v>
      </c>
      <c r="Y496" s="38">
        <f t="shared" si="23"/>
        <v>2128.315082659308</v>
      </c>
    </row>
    <row r="497" spans="2:25" ht="11.25">
      <c r="B497" s="39"/>
      <c r="C497" s="82" t="s">
        <v>514</v>
      </c>
      <c r="D497" s="110"/>
      <c r="E497" s="50" t="s">
        <v>118</v>
      </c>
      <c r="F497" s="28">
        <v>0</v>
      </c>
      <c r="G497" s="28">
        <f aca="true" t="shared" si="24" ref="G497:Y497">+F478</f>
        <v>0</v>
      </c>
      <c r="H497" s="28">
        <f t="shared" si="24"/>
        <v>0</v>
      </c>
      <c r="I497" s="28">
        <f t="shared" si="24"/>
        <v>1160.9228816158334</v>
      </c>
      <c r="J497" s="28">
        <f t="shared" si="24"/>
        <v>7351.806673476176</v>
      </c>
      <c r="K497" s="28">
        <f t="shared" si="24"/>
        <v>17859.737024127047</v>
      </c>
      <c r="L497" s="28">
        <f t="shared" si="24"/>
        <v>25829.643073908075</v>
      </c>
      <c r="M497" s="28">
        <f t="shared" si="24"/>
        <v>34308.424056744196</v>
      </c>
      <c r="N497" s="28">
        <f t="shared" si="24"/>
        <v>44992.6807850152</v>
      </c>
      <c r="O497" s="28">
        <f t="shared" si="24"/>
        <v>51757.57150285665</v>
      </c>
      <c r="P497" s="28">
        <f t="shared" si="24"/>
        <v>56009.22859864829</v>
      </c>
      <c r="Q497" s="28">
        <f t="shared" si="24"/>
        <v>57287.195757634174</v>
      </c>
      <c r="R497" s="28">
        <f t="shared" si="24"/>
        <v>58247.738291534624</v>
      </c>
      <c r="S497" s="28">
        <f t="shared" si="24"/>
        <v>59209.70777978488</v>
      </c>
      <c r="T497" s="28">
        <f t="shared" si="24"/>
        <v>60173.901195499035</v>
      </c>
      <c r="U497" s="28">
        <f t="shared" si="24"/>
        <v>61141.132592817</v>
      </c>
      <c r="V497" s="28">
        <f t="shared" si="24"/>
        <v>62112.234086103395</v>
      </c>
      <c r="W497" s="28">
        <f t="shared" si="24"/>
        <v>63088.05686239545</v>
      </c>
      <c r="X497" s="28">
        <f t="shared" si="24"/>
        <v>64069.47222854792</v>
      </c>
      <c r="Y497" s="40">
        <f t="shared" si="24"/>
        <v>65057.37269457904</v>
      </c>
    </row>
    <row r="498" spans="2:25" ht="11.25">
      <c r="B498" s="39"/>
      <c r="C498" s="82" t="s">
        <v>85</v>
      </c>
      <c r="D498" s="100"/>
      <c r="E498" s="72" t="s">
        <v>118</v>
      </c>
      <c r="F498" s="30">
        <f aca="true" t="shared" si="25" ref="F498:Y498">+F497-F496</f>
        <v>-1710.089457520245</v>
      </c>
      <c r="G498" s="30">
        <f t="shared" si="25"/>
        <v>-20963.445843179044</v>
      </c>
      <c r="H498" s="30">
        <f t="shared" si="25"/>
        <v>-41831.70793842664</v>
      </c>
      <c r="I498" s="30">
        <f t="shared" si="25"/>
        <v>-38121.805404193554</v>
      </c>
      <c r="J498" s="30">
        <f t="shared" si="25"/>
        <v>-5261.353116794327</v>
      </c>
      <c r="K498" s="30">
        <f t="shared" si="25"/>
        <v>14534.667980156308</v>
      </c>
      <c r="L498" s="30">
        <f t="shared" si="25"/>
        <v>23701.327991248767</v>
      </c>
      <c r="M498" s="30">
        <f t="shared" si="25"/>
        <v>32180.108974084887</v>
      </c>
      <c r="N498" s="30">
        <f t="shared" si="25"/>
        <v>42864.3657023559</v>
      </c>
      <c r="O498" s="30">
        <f t="shared" si="25"/>
        <v>49629.256420197344</v>
      </c>
      <c r="P498" s="30">
        <f t="shared" si="25"/>
        <v>53880.913515988985</v>
      </c>
      <c r="Q498" s="30">
        <f t="shared" si="25"/>
        <v>55158.88067497487</v>
      </c>
      <c r="R498" s="30">
        <f t="shared" si="25"/>
        <v>56119.42320887532</v>
      </c>
      <c r="S498" s="30">
        <f t="shared" si="25"/>
        <v>57081.39269712558</v>
      </c>
      <c r="T498" s="30">
        <f t="shared" si="25"/>
        <v>58045.58611283973</v>
      </c>
      <c r="U498" s="30">
        <f t="shared" si="25"/>
        <v>59012.81751015769</v>
      </c>
      <c r="V498" s="30">
        <f t="shared" si="25"/>
        <v>59983.91900344409</v>
      </c>
      <c r="W498" s="30">
        <f t="shared" si="25"/>
        <v>60959.74177973615</v>
      </c>
      <c r="X498" s="30">
        <f t="shared" si="25"/>
        <v>61941.15714588862</v>
      </c>
      <c r="Y498" s="43">
        <f t="shared" si="25"/>
        <v>62929.057611919736</v>
      </c>
    </row>
    <row r="499" spans="2:25" ht="11.25">
      <c r="B499" s="39"/>
      <c r="C499" s="98" t="s">
        <v>57</v>
      </c>
      <c r="D499" s="99">
        <f>+IRR(F498:Y498)</f>
        <v>0.2296053597311766</v>
      </c>
      <c r="E499" s="100"/>
      <c r="F499" s="101"/>
      <c r="G499" s="73"/>
      <c r="H499" s="73"/>
      <c r="I499" s="73"/>
      <c r="J499" s="73"/>
      <c r="K499" s="73"/>
      <c r="L499" s="73"/>
      <c r="M499" s="73"/>
      <c r="N499" s="73"/>
      <c r="O499" s="73"/>
      <c r="P499" s="73"/>
      <c r="Q499" s="73"/>
      <c r="R499" s="73"/>
      <c r="S499" s="73"/>
      <c r="T499" s="73"/>
      <c r="U499" s="73"/>
      <c r="V499" s="73"/>
      <c r="W499" s="73"/>
      <c r="X499" s="73"/>
      <c r="Y499" s="74"/>
    </row>
    <row r="500" spans="2:25" ht="11.25">
      <c r="B500" s="42"/>
      <c r="C500" s="93" t="s">
        <v>120</v>
      </c>
      <c r="D500" s="97">
        <f>+NPV('Assumptions and Basic Info'!$C$20,'Cost and Benefit Summary'!F498:Y498)</f>
        <v>129878.41346614393</v>
      </c>
      <c r="E500" s="100"/>
      <c r="F500" s="89"/>
      <c r="G500" s="76"/>
      <c r="H500" s="76"/>
      <c r="I500" s="76"/>
      <c r="J500" s="76"/>
      <c r="K500" s="76"/>
      <c r="L500" s="76"/>
      <c r="M500" s="76"/>
      <c r="N500" s="76"/>
      <c r="O500" s="76"/>
      <c r="P500" s="76"/>
      <c r="Q500" s="76"/>
      <c r="R500" s="76"/>
      <c r="S500" s="76"/>
      <c r="T500" s="76"/>
      <c r="U500" s="76"/>
      <c r="V500" s="76"/>
      <c r="W500" s="76"/>
      <c r="X500" s="76"/>
      <c r="Y500" s="77"/>
    </row>
    <row r="501" spans="2:25" ht="11.25">
      <c r="B501" s="63" t="s">
        <v>511</v>
      </c>
      <c r="C501" s="55" t="s">
        <v>512</v>
      </c>
      <c r="D501" s="55"/>
      <c r="E501" s="56"/>
      <c r="F501" s="57"/>
      <c r="G501" s="57"/>
      <c r="H501" s="57"/>
      <c r="I501" s="57"/>
      <c r="J501" s="57"/>
      <c r="K501" s="57"/>
      <c r="L501" s="57"/>
      <c r="M501" s="57"/>
      <c r="N501" s="57"/>
      <c r="O501" s="57"/>
      <c r="P501" s="57"/>
      <c r="Q501" s="57"/>
      <c r="R501" s="57"/>
      <c r="S501" s="57"/>
      <c r="T501" s="57"/>
      <c r="U501" s="57"/>
      <c r="V501" s="57"/>
      <c r="W501" s="57"/>
      <c r="X501" s="57"/>
      <c r="Y501" s="64"/>
    </row>
    <row r="502" spans="2:25" ht="11.25">
      <c r="B502" s="37"/>
      <c r="C502" s="80" t="s">
        <v>508</v>
      </c>
      <c r="D502" s="109"/>
      <c r="E502" s="49" t="s">
        <v>118</v>
      </c>
      <c r="F502" s="27">
        <f aca="true" t="shared" si="26" ref="F502:Y502">+F476</f>
        <v>1710.089457520245</v>
      </c>
      <c r="G502" s="27">
        <f t="shared" si="26"/>
        <v>20963.445843179044</v>
      </c>
      <c r="H502" s="27">
        <f t="shared" si="26"/>
        <v>41831.70793842664</v>
      </c>
      <c r="I502" s="27">
        <f t="shared" si="26"/>
        <v>39282.72828580939</v>
      </c>
      <c r="J502" s="27">
        <f t="shared" si="26"/>
        <v>12613.159790270503</v>
      </c>
      <c r="K502" s="27">
        <f t="shared" si="26"/>
        <v>3325.0690439707387</v>
      </c>
      <c r="L502" s="27">
        <f t="shared" si="26"/>
        <v>2128.315082659308</v>
      </c>
      <c r="M502" s="27">
        <f t="shared" si="26"/>
        <v>2128.315082659308</v>
      </c>
      <c r="N502" s="27">
        <f t="shared" si="26"/>
        <v>2128.315082659308</v>
      </c>
      <c r="O502" s="27">
        <f t="shared" si="26"/>
        <v>2128.315082659308</v>
      </c>
      <c r="P502" s="27">
        <f t="shared" si="26"/>
        <v>2128.315082659308</v>
      </c>
      <c r="Q502" s="27">
        <f t="shared" si="26"/>
        <v>2128.315082659308</v>
      </c>
      <c r="R502" s="27">
        <f t="shared" si="26"/>
        <v>2128.315082659308</v>
      </c>
      <c r="S502" s="27">
        <f t="shared" si="26"/>
        <v>2128.315082659308</v>
      </c>
      <c r="T502" s="27">
        <f t="shared" si="26"/>
        <v>2128.315082659308</v>
      </c>
      <c r="U502" s="27">
        <f t="shared" si="26"/>
        <v>2128.315082659308</v>
      </c>
      <c r="V502" s="27">
        <f t="shared" si="26"/>
        <v>2128.315082659308</v>
      </c>
      <c r="W502" s="27">
        <f t="shared" si="26"/>
        <v>2128.315082659308</v>
      </c>
      <c r="X502" s="27">
        <f t="shared" si="26"/>
        <v>2128.315082659308</v>
      </c>
      <c r="Y502" s="38">
        <f t="shared" si="26"/>
        <v>2128.315082659308</v>
      </c>
    </row>
    <row r="503" spans="2:25" ht="11.25">
      <c r="B503" s="39"/>
      <c r="C503" s="82" t="s">
        <v>514</v>
      </c>
      <c r="D503" s="110"/>
      <c r="E503" s="50" t="s">
        <v>118</v>
      </c>
      <c r="F503" s="28">
        <v>0</v>
      </c>
      <c r="G503" s="28">
        <v>0</v>
      </c>
      <c r="H503" s="28">
        <f aca="true" t="shared" si="27" ref="H503:Y503">+F491</f>
        <v>0</v>
      </c>
      <c r="I503" s="28">
        <f t="shared" si="27"/>
        <v>0</v>
      </c>
      <c r="J503" s="28">
        <f t="shared" si="27"/>
        <v>1160.9228816158334</v>
      </c>
      <c r="K503" s="28">
        <f t="shared" si="27"/>
        <v>7351.806673476176</v>
      </c>
      <c r="L503" s="28">
        <f t="shared" si="27"/>
        <v>17859.737024127047</v>
      </c>
      <c r="M503" s="28">
        <f t="shared" si="27"/>
        <v>25829.643073908075</v>
      </c>
      <c r="N503" s="28">
        <f t="shared" si="27"/>
        <v>34308.424056744196</v>
      </c>
      <c r="O503" s="28">
        <f t="shared" si="27"/>
        <v>44992.6807850152</v>
      </c>
      <c r="P503" s="28">
        <f t="shared" si="27"/>
        <v>51757.57150285665</v>
      </c>
      <c r="Q503" s="28">
        <f t="shared" si="27"/>
        <v>56009.22859864829</v>
      </c>
      <c r="R503" s="28">
        <f t="shared" si="27"/>
        <v>57287.195757634174</v>
      </c>
      <c r="S503" s="28">
        <f t="shared" si="27"/>
        <v>58247.738291534624</v>
      </c>
      <c r="T503" s="28">
        <f t="shared" si="27"/>
        <v>59209.70777978488</v>
      </c>
      <c r="U503" s="28">
        <f t="shared" si="27"/>
        <v>60173.901195499035</v>
      </c>
      <c r="V503" s="28">
        <f t="shared" si="27"/>
        <v>61141.132592817</v>
      </c>
      <c r="W503" s="28">
        <f t="shared" si="27"/>
        <v>62112.234086103395</v>
      </c>
      <c r="X503" s="28">
        <f t="shared" si="27"/>
        <v>63088.05686239545</v>
      </c>
      <c r="Y503" s="40">
        <f t="shared" si="27"/>
        <v>64069.47222854792</v>
      </c>
    </row>
    <row r="504" spans="2:25" ht="11.25">
      <c r="B504" s="39"/>
      <c r="C504" s="82" t="s">
        <v>85</v>
      </c>
      <c r="D504" s="100"/>
      <c r="E504" s="72" t="s">
        <v>118</v>
      </c>
      <c r="F504" s="30">
        <f aca="true" t="shared" si="28" ref="F504:Y504">+F503-F502</f>
        <v>-1710.089457520245</v>
      </c>
      <c r="G504" s="30">
        <f t="shared" si="28"/>
        <v>-20963.445843179044</v>
      </c>
      <c r="H504" s="30">
        <f t="shared" si="28"/>
        <v>-41831.70793842664</v>
      </c>
      <c r="I504" s="30">
        <f t="shared" si="28"/>
        <v>-39282.72828580939</v>
      </c>
      <c r="J504" s="30">
        <f t="shared" si="28"/>
        <v>-11452.23690865467</v>
      </c>
      <c r="K504" s="30">
        <f t="shared" si="28"/>
        <v>4026.7376295054373</v>
      </c>
      <c r="L504" s="30">
        <f t="shared" si="28"/>
        <v>15731.421941467739</v>
      </c>
      <c r="M504" s="30">
        <f t="shared" si="28"/>
        <v>23701.327991248767</v>
      </c>
      <c r="N504" s="30">
        <f t="shared" si="28"/>
        <v>32180.108974084887</v>
      </c>
      <c r="O504" s="30">
        <f t="shared" si="28"/>
        <v>42864.3657023559</v>
      </c>
      <c r="P504" s="30">
        <f t="shared" si="28"/>
        <v>49629.256420197344</v>
      </c>
      <c r="Q504" s="30">
        <f t="shared" si="28"/>
        <v>53880.913515988985</v>
      </c>
      <c r="R504" s="30">
        <f t="shared" si="28"/>
        <v>55158.88067497487</v>
      </c>
      <c r="S504" s="30">
        <f t="shared" si="28"/>
        <v>56119.42320887532</v>
      </c>
      <c r="T504" s="30">
        <f t="shared" si="28"/>
        <v>57081.39269712558</v>
      </c>
      <c r="U504" s="30">
        <f t="shared" si="28"/>
        <v>58045.58611283973</v>
      </c>
      <c r="V504" s="30">
        <f t="shared" si="28"/>
        <v>59012.81751015769</v>
      </c>
      <c r="W504" s="30">
        <f t="shared" si="28"/>
        <v>59983.91900344409</v>
      </c>
      <c r="X504" s="30">
        <f t="shared" si="28"/>
        <v>60959.74177973615</v>
      </c>
      <c r="Y504" s="43">
        <f t="shared" si="28"/>
        <v>61941.15714588862</v>
      </c>
    </row>
    <row r="505" spans="2:25" ht="11.25">
      <c r="B505" s="39"/>
      <c r="C505" s="98" t="s">
        <v>57</v>
      </c>
      <c r="D505" s="99">
        <f>+IRR(F504:Y504)</f>
        <v>0.19612395887860087</v>
      </c>
      <c r="E505" s="100"/>
      <c r="F505" s="101"/>
      <c r="G505" s="73"/>
      <c r="H505" s="73"/>
      <c r="I505" s="73"/>
      <c r="J505" s="73"/>
      <c r="K505" s="73"/>
      <c r="L505" s="73"/>
      <c r="M505" s="73"/>
      <c r="N505" s="73"/>
      <c r="O505" s="73"/>
      <c r="P505" s="73"/>
      <c r="Q505" s="73"/>
      <c r="R505" s="73"/>
      <c r="S505" s="73"/>
      <c r="T505" s="73"/>
      <c r="U505" s="73"/>
      <c r="V505" s="73"/>
      <c r="W505" s="73"/>
      <c r="X505" s="73"/>
      <c r="Y505" s="74"/>
    </row>
    <row r="506" spans="2:25" ht="12" thickBot="1">
      <c r="B506" s="47"/>
      <c r="C506" s="102" t="s">
        <v>120</v>
      </c>
      <c r="D506" s="103">
        <f>+NPV('Assumptions and Basic Info'!$C$20,'Cost and Benefit Summary'!F504:Y504)</f>
        <v>100580.21999650558</v>
      </c>
      <c r="E506" s="111"/>
      <c r="F506" s="104"/>
      <c r="G506" s="105"/>
      <c r="H506" s="105"/>
      <c r="I506" s="105"/>
      <c r="J506" s="105"/>
      <c r="K506" s="105"/>
      <c r="L506" s="105"/>
      <c r="M506" s="105"/>
      <c r="N506" s="105"/>
      <c r="O506" s="105"/>
      <c r="P506" s="105"/>
      <c r="Q506" s="105"/>
      <c r="R506" s="105"/>
      <c r="S506" s="105"/>
      <c r="T506" s="105"/>
      <c r="U506" s="105"/>
      <c r="V506" s="105"/>
      <c r="W506" s="105"/>
      <c r="X506" s="105"/>
      <c r="Y506" s="106"/>
    </row>
    <row r="507" spans="2:25" ht="11.25">
      <c r="B507" s="95" t="s">
        <v>646</v>
      </c>
      <c r="C507" s="118"/>
      <c r="D507" s="119"/>
      <c r="E507" s="100"/>
      <c r="F507" s="88"/>
      <c r="G507" s="54"/>
      <c r="H507" s="54"/>
      <c r="I507" s="54"/>
      <c r="J507" s="54"/>
      <c r="K507" s="54"/>
      <c r="L507" s="54"/>
      <c r="M507" s="54"/>
      <c r="N507" s="54"/>
      <c r="O507" s="54"/>
      <c r="P507" s="54"/>
      <c r="Q507" s="54"/>
      <c r="R507" s="54"/>
      <c r="S507" s="54"/>
      <c r="T507" s="54"/>
      <c r="U507" s="54"/>
      <c r="V507" s="54"/>
      <c r="W507" s="54"/>
      <c r="X507" s="54"/>
      <c r="Y507" s="54"/>
    </row>
    <row r="508" spans="2:25" ht="11.25">
      <c r="B508" s="95" t="s">
        <v>647</v>
      </c>
      <c r="C508" s="118"/>
      <c r="D508" s="119"/>
      <c r="E508" s="100"/>
      <c r="F508" s="88"/>
      <c r="G508" s="54"/>
      <c r="H508" s="54"/>
      <c r="I508" s="54"/>
      <c r="J508" s="54"/>
      <c r="K508" s="54"/>
      <c r="L508" s="54"/>
      <c r="M508" s="54"/>
      <c r="N508" s="54"/>
      <c r="O508" s="54"/>
      <c r="P508" s="54"/>
      <c r="Q508" s="54"/>
      <c r="R508" s="54"/>
      <c r="S508" s="54"/>
      <c r="T508" s="54"/>
      <c r="U508" s="54"/>
      <c r="V508" s="54"/>
      <c r="W508" s="54"/>
      <c r="X508" s="54"/>
      <c r="Y508" s="54"/>
    </row>
    <row r="509" spans="2:25" ht="11.25">
      <c r="B509" s="95" t="s">
        <v>648</v>
      </c>
      <c r="C509" s="118"/>
      <c r="D509" s="119"/>
      <c r="E509" s="100"/>
      <c r="F509" s="88"/>
      <c r="G509" s="54"/>
      <c r="H509" s="54"/>
      <c r="I509" s="54"/>
      <c r="J509" s="54"/>
      <c r="K509" s="54"/>
      <c r="L509" s="54"/>
      <c r="M509" s="54"/>
      <c r="N509" s="54"/>
      <c r="O509" s="54"/>
      <c r="P509" s="54"/>
      <c r="Q509" s="54"/>
      <c r="R509" s="54"/>
      <c r="S509" s="54"/>
      <c r="T509" s="54"/>
      <c r="U509" s="54"/>
      <c r="V509" s="54"/>
      <c r="W509" s="54"/>
      <c r="X509" s="54"/>
      <c r="Y509" s="54"/>
    </row>
    <row r="510" spans="2:25" ht="11.25">
      <c r="B510" s="95" t="s">
        <v>645</v>
      </c>
      <c r="C510" s="118"/>
      <c r="D510" s="119"/>
      <c r="E510" s="100"/>
      <c r="F510" s="88"/>
      <c r="G510" s="54"/>
      <c r="H510" s="54"/>
      <c r="I510" s="54"/>
      <c r="J510" s="54"/>
      <c r="K510" s="54"/>
      <c r="L510" s="54"/>
      <c r="M510" s="54"/>
      <c r="N510" s="54"/>
      <c r="O510" s="54"/>
      <c r="P510" s="54"/>
      <c r="Q510" s="54"/>
      <c r="R510" s="54"/>
      <c r="S510" s="54"/>
      <c r="T510" s="54"/>
      <c r="U510" s="54"/>
      <c r="V510" s="54"/>
      <c r="W510" s="54"/>
      <c r="X510" s="54"/>
      <c r="Y510" s="54"/>
    </row>
    <row r="511" spans="2:25" ht="11.25">
      <c r="B511" s="95"/>
      <c r="C511" s="118"/>
      <c r="D511" s="119"/>
      <c r="E511" s="100"/>
      <c r="F511" s="88"/>
      <c r="G511" s="54"/>
      <c r="H511" s="54"/>
      <c r="I511" s="54"/>
      <c r="J511" s="54"/>
      <c r="K511" s="54"/>
      <c r="L511" s="54"/>
      <c r="M511" s="54"/>
      <c r="N511" s="54"/>
      <c r="O511" s="54"/>
      <c r="P511" s="54"/>
      <c r="Q511" s="54"/>
      <c r="R511" s="54"/>
      <c r="S511" s="54"/>
      <c r="T511" s="54"/>
      <c r="U511" s="54"/>
      <c r="V511" s="54"/>
      <c r="W511" s="54"/>
      <c r="X511" s="54"/>
      <c r="Y511" s="54"/>
    </row>
    <row r="512" spans="2:4" ht="11.25">
      <c r="B512" s="69" t="s">
        <v>737</v>
      </c>
      <c r="C512" s="70"/>
      <c r="D512" s="70"/>
    </row>
    <row r="514" ht="11.25">
      <c r="D514" s="146"/>
    </row>
    <row r="515" spans="4:5" ht="11.25">
      <c r="D515" s="146"/>
      <c r="E515" s="151"/>
    </row>
    <row r="516" spans="4:5" ht="11.25">
      <c r="D516" s="146"/>
      <c r="E516" s="151"/>
    </row>
    <row r="517" spans="4:5" ht="11.25">
      <c r="D517" s="146"/>
      <c r="E517" s="151"/>
    </row>
    <row r="518" spans="4:5" ht="11.25">
      <c r="D518" s="146"/>
      <c r="E518" s="151"/>
    </row>
    <row r="519" spans="4:5" ht="11.25">
      <c r="D519" s="149"/>
      <c r="E519" s="152"/>
    </row>
    <row r="520" spans="4:5" ht="11.25">
      <c r="D520" s="148"/>
      <c r="E520" s="152"/>
    </row>
    <row r="521" spans="4:5" ht="11.25">
      <c r="D521" s="148"/>
      <c r="E521" s="152"/>
    </row>
    <row r="523" ht="11.25">
      <c r="D523" s="148"/>
    </row>
    <row r="526" ht="11.25">
      <c r="D526" s="150"/>
    </row>
    <row r="527" ht="11.25">
      <c r="D527" s="150"/>
    </row>
    <row r="532" ht="11.25">
      <c r="D532" s="146"/>
    </row>
    <row r="533" ht="11.25">
      <c r="D533" s="146"/>
    </row>
    <row r="534" ht="11.25">
      <c r="D534" s="146"/>
    </row>
    <row r="535" ht="11.25">
      <c r="C535" s="153"/>
    </row>
  </sheetData>
  <mergeCells count="2">
    <mergeCell ref="B485:G485"/>
    <mergeCell ref="B486:G486"/>
  </mergeCells>
  <printOptions horizontalCentered="1"/>
  <pageMargins left="0.17" right="0.23" top="0.6" bottom="0.37" header="0.19" footer="0.2"/>
  <pageSetup fitToHeight="9" horizontalDpi="600" verticalDpi="600" orientation="landscape" paperSize="9" scale="71" r:id="rId1"/>
  <headerFooter alignWithMargins="0">
    <oddFooter>&amp;L&amp;A&amp;R&amp;P &amp; of &amp;N</oddFooter>
  </headerFooter>
  <rowBreaks count="8" manualBreakCount="8">
    <brk id="65" max="255" man="1"/>
    <brk id="131" max="255" man="1"/>
    <brk id="191" max="255" man="1"/>
    <brk id="251" max="255" man="1"/>
    <brk id="307" max="255" man="1"/>
    <brk id="365" max="255" man="1"/>
    <brk id="425" max="255" man="1"/>
    <brk id="486" max="255" man="1"/>
  </rowBreaks>
</worksheet>
</file>

<file path=xl/worksheets/sheet6.xml><?xml version="1.0" encoding="utf-8"?>
<worksheet xmlns="http://schemas.openxmlformats.org/spreadsheetml/2006/main" xmlns:r="http://schemas.openxmlformats.org/officeDocument/2006/relationships">
  <sheetPr codeName="Sheet3"/>
  <dimension ref="B1:AE535"/>
  <sheetViews>
    <sheetView showGridLines="0" zoomScaleSheetLayoutView="100" workbookViewId="0" topLeftCell="A1">
      <pane xSplit="5" ySplit="3" topLeftCell="F442" activePane="bottomRight" state="frozen"/>
      <selection pane="topLeft" activeCell="A1" sqref="A1"/>
      <selection pane="topRight" activeCell="F1" sqref="F1"/>
      <selection pane="bottomLeft" activeCell="A4" sqref="A4"/>
      <selection pane="bottomRight" activeCell="A1" sqref="A1"/>
    </sheetView>
  </sheetViews>
  <sheetFormatPr defaultColWidth="9.140625" defaultRowHeight="12.75"/>
  <cols>
    <col min="1" max="1" width="2.28125" style="1" customWidth="1"/>
    <col min="2" max="2" width="6.421875" style="1" customWidth="1"/>
    <col min="3" max="3" width="48.140625" style="20" customWidth="1"/>
    <col min="4" max="4" width="7.7109375" style="20" customWidth="1"/>
    <col min="5" max="5" width="9.8515625" style="2" customWidth="1"/>
    <col min="6" max="6" width="6.7109375" style="22" customWidth="1"/>
    <col min="7" max="7" width="7.8515625" style="22" customWidth="1"/>
    <col min="8" max="25" width="6.7109375" style="22" customWidth="1"/>
    <col min="26" max="26" width="4.00390625" style="22" customWidth="1"/>
    <col min="27" max="27" width="0.13671875" style="22" customWidth="1"/>
    <col min="28" max="29" width="0.42578125" style="22" hidden="1" customWidth="1"/>
    <col min="30" max="30" width="0.13671875" style="22" customWidth="1"/>
    <col min="31" max="31" width="0.2890625" style="22" hidden="1" customWidth="1"/>
    <col min="32" max="16384" width="9.140625" style="1" customWidth="1"/>
  </cols>
  <sheetData>
    <row r="1" spans="3:4" ht="27.75" customHeight="1">
      <c r="C1" s="320">
        <f>IF('ERR &amp; Sensitivity Analysis'!I11="Y",IF('ERR &amp; Sensitivity Analysis'!I10="Y","","Note: Current calculations are based on user input and are not the original MCC estimates"),"Note: Current calculations are based on user input and are not the original MCC estimates")</f>
      </c>
      <c r="D1" s="53"/>
    </row>
    <row r="2" spans="2:7" ht="12" thickBot="1">
      <c r="B2" s="19" t="s">
        <v>505</v>
      </c>
      <c r="F2" s="105"/>
      <c r="G2" s="129"/>
    </row>
    <row r="3" spans="2:29" ht="11.25">
      <c r="B3" s="32"/>
      <c r="C3" s="86"/>
      <c r="D3" s="87"/>
      <c r="E3" s="21" t="s">
        <v>80</v>
      </c>
      <c r="F3" s="33" t="s">
        <v>4</v>
      </c>
      <c r="G3" s="33" t="s">
        <v>5</v>
      </c>
      <c r="H3" s="33" t="s">
        <v>6</v>
      </c>
      <c r="I3" s="33" t="s">
        <v>7</v>
      </c>
      <c r="J3" s="33" t="s">
        <v>8</v>
      </c>
      <c r="K3" s="33" t="s">
        <v>9</v>
      </c>
      <c r="L3" s="33" t="s">
        <v>10</v>
      </c>
      <c r="M3" s="33" t="s">
        <v>11</v>
      </c>
      <c r="N3" s="33" t="s">
        <v>12</v>
      </c>
      <c r="O3" s="33" t="s">
        <v>13</v>
      </c>
      <c r="P3" s="33" t="s">
        <v>14</v>
      </c>
      <c r="Q3" s="33" t="s">
        <v>15</v>
      </c>
      <c r="R3" s="33" t="s">
        <v>16</v>
      </c>
      <c r="S3" s="33" t="s">
        <v>17</v>
      </c>
      <c r="T3" s="33" t="s">
        <v>18</v>
      </c>
      <c r="U3" s="33" t="s">
        <v>19</v>
      </c>
      <c r="V3" s="33" t="s">
        <v>20</v>
      </c>
      <c r="W3" s="33" t="s">
        <v>21</v>
      </c>
      <c r="X3" s="33" t="s">
        <v>22</v>
      </c>
      <c r="Y3" s="34" t="s">
        <v>23</v>
      </c>
      <c r="AA3" s="68" t="s">
        <v>96</v>
      </c>
      <c r="AB3" s="71"/>
      <c r="AC3" s="65"/>
    </row>
    <row r="4" spans="2:28" ht="11.25">
      <c r="B4" s="35" t="s">
        <v>68</v>
      </c>
      <c r="C4" s="25" t="s">
        <v>130</v>
      </c>
      <c r="D4" s="25"/>
      <c r="E4" s="48"/>
      <c r="F4" s="26"/>
      <c r="G4" s="26"/>
      <c r="H4" s="26"/>
      <c r="I4" s="26"/>
      <c r="J4" s="26"/>
      <c r="K4" s="26"/>
      <c r="L4" s="26"/>
      <c r="M4" s="26"/>
      <c r="N4" s="26"/>
      <c r="O4" s="26"/>
      <c r="P4" s="26"/>
      <c r="Q4" s="26"/>
      <c r="R4" s="26"/>
      <c r="S4" s="26"/>
      <c r="T4" s="26"/>
      <c r="U4" s="26"/>
      <c r="V4" s="26"/>
      <c r="W4" s="26"/>
      <c r="X4" s="26"/>
      <c r="Y4" s="36"/>
      <c r="AA4" s="68" t="s">
        <v>104</v>
      </c>
      <c r="AB4" s="71"/>
    </row>
    <row r="5" spans="2:29" ht="11.25">
      <c r="B5" s="37" t="s">
        <v>69</v>
      </c>
      <c r="C5" s="80" t="s">
        <v>124</v>
      </c>
      <c r="D5" s="81"/>
      <c r="E5" s="49" t="s">
        <v>54</v>
      </c>
      <c r="F5" s="27">
        <v>28902</v>
      </c>
      <c r="G5" s="27">
        <v>28512.10222222222</v>
      </c>
      <c r="H5" s="27">
        <v>28128.246844444446</v>
      </c>
      <c r="I5" s="27">
        <v>27750.313018666664</v>
      </c>
      <c r="J5" s="27">
        <v>27378.18231384889</v>
      </c>
      <c r="K5" s="27">
        <v>27011.73866757191</v>
      </c>
      <c r="L5" s="27">
        <v>26650.86833866491</v>
      </c>
      <c r="M5" s="27">
        <v>26295.459860780502</v>
      </c>
      <c r="N5" s="27">
        <v>25945.40399689823</v>
      </c>
      <c r="O5" s="27">
        <v>25600.59369473804</v>
      </c>
      <c r="P5" s="27">
        <v>25348.70182084328</v>
      </c>
      <c r="Q5" s="27">
        <v>25101.847784426413</v>
      </c>
      <c r="R5" s="27">
        <v>24859.93082873788</v>
      </c>
      <c r="S5" s="27">
        <v>24622.852212163125</v>
      </c>
      <c r="T5" s="27">
        <v>24390.51516791986</v>
      </c>
      <c r="U5" s="27">
        <v>24162.824864561466</v>
      </c>
      <c r="V5" s="27">
        <v>23939.68836727024</v>
      </c>
      <c r="W5" s="27">
        <v>23721.014599924834</v>
      </c>
      <c r="X5" s="27">
        <v>23506.714307926333</v>
      </c>
      <c r="Y5" s="38">
        <v>23296.700021767814</v>
      </c>
      <c r="AA5" s="52">
        <v>28902</v>
      </c>
      <c r="AC5" s="52"/>
    </row>
    <row r="6" spans="2:27" ht="11.25">
      <c r="B6" s="39" t="s">
        <v>70</v>
      </c>
      <c r="C6" s="82" t="s">
        <v>125</v>
      </c>
      <c r="D6" s="83"/>
      <c r="E6" s="50" t="s">
        <v>54</v>
      </c>
      <c r="F6" s="28">
        <v>28902</v>
      </c>
      <c r="G6" s="28">
        <v>28512.10222222222</v>
      </c>
      <c r="H6" s="28">
        <v>29103.84674419763</v>
      </c>
      <c r="I6" s="28">
        <v>34074.86781485165</v>
      </c>
      <c r="J6" s="28">
        <v>34364.30172227747</v>
      </c>
      <c r="K6" s="28">
        <v>34509</v>
      </c>
      <c r="L6" s="28">
        <v>34509</v>
      </c>
      <c r="M6" s="28">
        <v>34509</v>
      </c>
      <c r="N6" s="28">
        <v>34509</v>
      </c>
      <c r="O6" s="28">
        <v>34509</v>
      </c>
      <c r="P6" s="28">
        <v>34509</v>
      </c>
      <c r="Q6" s="28">
        <v>34509</v>
      </c>
      <c r="R6" s="28">
        <v>34509</v>
      </c>
      <c r="S6" s="28">
        <v>34509</v>
      </c>
      <c r="T6" s="28">
        <v>34509</v>
      </c>
      <c r="U6" s="28">
        <v>34509</v>
      </c>
      <c r="V6" s="28">
        <v>34509</v>
      </c>
      <c r="W6" s="28">
        <v>34509</v>
      </c>
      <c r="X6" s="28">
        <v>34509</v>
      </c>
      <c r="Y6" s="40">
        <v>34509</v>
      </c>
      <c r="AA6" s="52">
        <v>34509</v>
      </c>
    </row>
    <row r="7" spans="2:27" ht="11.25">
      <c r="B7" s="39" t="s">
        <v>71</v>
      </c>
      <c r="C7" s="82" t="s">
        <v>81</v>
      </c>
      <c r="D7" s="83"/>
      <c r="E7" s="50" t="s">
        <v>54</v>
      </c>
      <c r="F7" s="28">
        <v>0</v>
      </c>
      <c r="G7" s="28">
        <v>0</v>
      </c>
      <c r="H7" s="28">
        <v>975.599899753186</v>
      </c>
      <c r="I7" s="28">
        <v>6324.554796184984</v>
      </c>
      <c r="J7" s="28">
        <v>6986.119408428582</v>
      </c>
      <c r="K7" s="28">
        <v>7497.26133242809</v>
      </c>
      <c r="L7" s="28">
        <v>7858.13166133509</v>
      </c>
      <c r="M7" s="28">
        <v>8213.540139219498</v>
      </c>
      <c r="N7" s="28">
        <v>8563.596003101771</v>
      </c>
      <c r="O7" s="28">
        <v>8908.40630526196</v>
      </c>
      <c r="P7" s="28">
        <v>9160.298179156722</v>
      </c>
      <c r="Q7" s="28">
        <v>9407.152215573587</v>
      </c>
      <c r="R7" s="28">
        <v>9649.06917126212</v>
      </c>
      <c r="S7" s="28">
        <v>9886.147787836875</v>
      </c>
      <c r="T7" s="28">
        <v>10118.48483208014</v>
      </c>
      <c r="U7" s="28">
        <v>10346.175135438534</v>
      </c>
      <c r="V7" s="28">
        <v>10569.311632729761</v>
      </c>
      <c r="W7" s="28">
        <v>10787.985400075166</v>
      </c>
      <c r="X7" s="28">
        <v>11002.285692073667</v>
      </c>
      <c r="Y7" s="40">
        <v>11212.299978232186</v>
      </c>
      <c r="AA7" s="52">
        <v>5607</v>
      </c>
    </row>
    <row r="8" spans="2:27" ht="11.25">
      <c r="B8" s="39" t="s">
        <v>72</v>
      </c>
      <c r="C8" s="82" t="s">
        <v>65</v>
      </c>
      <c r="D8" s="83"/>
      <c r="E8" s="50" t="s">
        <v>119</v>
      </c>
      <c r="F8" s="28">
        <v>0</v>
      </c>
      <c r="G8" s="28">
        <v>0</v>
      </c>
      <c r="H8" s="28">
        <v>0</v>
      </c>
      <c r="I8" s="28">
        <v>1866.6666666666663</v>
      </c>
      <c r="J8" s="28">
        <v>1555.5555555555552</v>
      </c>
      <c r="K8" s="28">
        <v>1244.4444444444441</v>
      </c>
      <c r="L8" s="28">
        <v>933.333333333333</v>
      </c>
      <c r="M8" s="28">
        <v>622.222222222222</v>
      </c>
      <c r="N8" s="28">
        <v>311.11111111111086</v>
      </c>
      <c r="O8" s="28">
        <v>0</v>
      </c>
      <c r="P8" s="28">
        <v>0</v>
      </c>
      <c r="Q8" s="28">
        <v>0</v>
      </c>
      <c r="R8" s="28">
        <v>0</v>
      </c>
      <c r="S8" s="28">
        <v>0</v>
      </c>
      <c r="T8" s="28">
        <v>0</v>
      </c>
      <c r="U8" s="28">
        <v>0</v>
      </c>
      <c r="V8" s="28">
        <v>0</v>
      </c>
      <c r="W8" s="28">
        <v>0</v>
      </c>
      <c r="X8" s="28">
        <v>0</v>
      </c>
      <c r="Y8" s="40">
        <v>0</v>
      </c>
      <c r="AA8" s="52">
        <v>2800</v>
      </c>
    </row>
    <row r="9" spans="2:27" ht="11.25">
      <c r="B9" s="39" t="s">
        <v>73</v>
      </c>
      <c r="C9" s="82" t="s">
        <v>516</v>
      </c>
      <c r="D9" s="83"/>
      <c r="E9" s="50" t="s">
        <v>526</v>
      </c>
      <c r="F9" s="28">
        <v>0</v>
      </c>
      <c r="G9" s="28">
        <v>0</v>
      </c>
      <c r="H9" s="28">
        <v>8257.417583364571</v>
      </c>
      <c r="I9" s="28">
        <v>15545.328960000003</v>
      </c>
      <c r="J9" s="28">
        <v>16429.022118400004</v>
      </c>
      <c r="K9" s="28">
        <v>17348.063003136005</v>
      </c>
      <c r="L9" s="28">
        <v>18303.865523261447</v>
      </c>
      <c r="M9" s="28">
        <v>19297.900144191906</v>
      </c>
      <c r="N9" s="28">
        <v>20331.69614995958</v>
      </c>
      <c r="O9" s="28">
        <v>21406.843995957966</v>
      </c>
      <c r="P9" s="28">
        <v>22524.997755796285</v>
      </c>
      <c r="Q9" s="28">
        <v>23687.877666028136</v>
      </c>
      <c r="R9" s="28">
        <v>24897.272772669265</v>
      </c>
      <c r="S9" s="28">
        <v>26155.043683576037</v>
      </c>
      <c r="T9" s="28">
        <v>27463.125430919077</v>
      </c>
      <c r="U9" s="28">
        <v>28823.53044815584</v>
      </c>
      <c r="V9" s="28">
        <v>30238.351666082075</v>
      </c>
      <c r="W9" s="28">
        <v>31709.765732725362</v>
      </c>
      <c r="X9" s="28">
        <v>33240.03636203438</v>
      </c>
      <c r="Y9" s="40">
        <v>34831.517816515756</v>
      </c>
      <c r="AA9" s="52">
        <v>13093</v>
      </c>
    </row>
    <row r="10" spans="2:27" ht="11.25">
      <c r="B10" s="39" t="s">
        <v>74</v>
      </c>
      <c r="C10" s="82" t="s">
        <v>58</v>
      </c>
      <c r="D10" s="83"/>
      <c r="E10" s="50" t="s">
        <v>118</v>
      </c>
      <c r="F10" s="28">
        <v>0</v>
      </c>
      <c r="G10" s="28">
        <v>5569.350988142292</v>
      </c>
      <c r="H10" s="28">
        <v>2700.9236144533597</v>
      </c>
      <c r="I10" s="28">
        <v>458.1913043478261</v>
      </c>
      <c r="J10" s="28">
        <v>229.06608695652199</v>
      </c>
      <c r="K10" s="28">
        <v>0</v>
      </c>
      <c r="L10" s="31">
        <v>0</v>
      </c>
      <c r="M10" s="31">
        <v>0</v>
      </c>
      <c r="N10" s="31">
        <v>0</v>
      </c>
      <c r="O10" s="31">
        <v>0</v>
      </c>
      <c r="P10" s="31">
        <v>0</v>
      </c>
      <c r="Q10" s="31">
        <v>0</v>
      </c>
      <c r="R10" s="31">
        <v>0</v>
      </c>
      <c r="S10" s="31">
        <v>0</v>
      </c>
      <c r="T10" s="31">
        <v>0</v>
      </c>
      <c r="U10" s="31">
        <v>0</v>
      </c>
      <c r="V10" s="31">
        <v>0</v>
      </c>
      <c r="W10" s="31">
        <v>0</v>
      </c>
      <c r="X10" s="31">
        <v>0</v>
      </c>
      <c r="Y10" s="46">
        <v>0</v>
      </c>
      <c r="AA10" s="52">
        <v>8957.5319939</v>
      </c>
    </row>
    <row r="11" spans="2:27" ht="11.25">
      <c r="B11" s="39" t="s">
        <v>75</v>
      </c>
      <c r="C11" s="82" t="s">
        <v>24</v>
      </c>
      <c r="D11" s="83"/>
      <c r="E11" s="50" t="s">
        <v>118</v>
      </c>
      <c r="F11" s="28">
        <v>0</v>
      </c>
      <c r="G11" s="28">
        <v>835.4026482213438</v>
      </c>
      <c r="H11" s="28">
        <v>405.13854216800394</v>
      </c>
      <c r="I11" s="28">
        <v>68.72869565217391</v>
      </c>
      <c r="J11" s="28">
        <v>34.359913043478294</v>
      </c>
      <c r="K11" s="28">
        <v>0</v>
      </c>
      <c r="L11" s="28">
        <v>0</v>
      </c>
      <c r="M11" s="28">
        <v>0</v>
      </c>
      <c r="N11" s="28">
        <v>0</v>
      </c>
      <c r="O11" s="28">
        <v>0</v>
      </c>
      <c r="P11" s="28">
        <v>0</v>
      </c>
      <c r="Q11" s="28">
        <v>0</v>
      </c>
      <c r="R11" s="28">
        <v>0</v>
      </c>
      <c r="S11" s="28">
        <v>0</v>
      </c>
      <c r="T11" s="28">
        <v>0</v>
      </c>
      <c r="U11" s="28">
        <v>0</v>
      </c>
      <c r="V11" s="31">
        <v>0</v>
      </c>
      <c r="W11" s="31">
        <v>0</v>
      </c>
      <c r="X11" s="31">
        <v>0</v>
      </c>
      <c r="Y11" s="46">
        <v>0</v>
      </c>
      <c r="AA11" s="54">
        <f>+AA10*'Assumptions and Basic Info'!$C$4</f>
        <v>8957.5319939</v>
      </c>
    </row>
    <row r="12" spans="2:27" ht="11.25">
      <c r="B12" s="39" t="s">
        <v>517</v>
      </c>
      <c r="C12" s="82" t="s">
        <v>83</v>
      </c>
      <c r="D12" s="83"/>
      <c r="E12" s="50" t="s">
        <v>118</v>
      </c>
      <c r="F12" s="28">
        <v>86.23913927372999</v>
      </c>
      <c r="G12" s="28">
        <v>511.23226999999997</v>
      </c>
      <c r="H12" s="28">
        <v>305.46111209492</v>
      </c>
      <c r="I12" s="28">
        <v>47.422799999999995</v>
      </c>
      <c r="J12" s="28">
        <v>23.708340000000025</v>
      </c>
      <c r="K12" s="28">
        <v>0</v>
      </c>
      <c r="L12" s="28">
        <v>0</v>
      </c>
      <c r="M12" s="28">
        <v>0</v>
      </c>
      <c r="N12" s="28">
        <v>0</v>
      </c>
      <c r="O12" s="28">
        <v>0</v>
      </c>
      <c r="P12" s="28">
        <v>0</v>
      </c>
      <c r="Q12" s="28">
        <v>0</v>
      </c>
      <c r="R12" s="28">
        <v>0</v>
      </c>
      <c r="S12" s="28">
        <v>0</v>
      </c>
      <c r="T12" s="28">
        <v>0</v>
      </c>
      <c r="U12" s="28">
        <v>0</v>
      </c>
      <c r="V12" s="31">
        <v>0</v>
      </c>
      <c r="W12" s="31">
        <v>0</v>
      </c>
      <c r="X12" s="31">
        <v>0</v>
      </c>
      <c r="Y12" s="46">
        <v>0</v>
      </c>
      <c r="AA12" s="52">
        <v>974.06366136865</v>
      </c>
    </row>
    <row r="13" spans="2:27" ht="11.25">
      <c r="B13" s="39" t="s">
        <v>518</v>
      </c>
      <c r="C13" s="82" t="s">
        <v>82</v>
      </c>
      <c r="D13" s="83"/>
      <c r="E13" s="50" t="s">
        <v>118</v>
      </c>
      <c r="F13" s="28">
        <v>0</v>
      </c>
      <c r="G13" s="28">
        <v>1.7247827854745998</v>
      </c>
      <c r="H13" s="28">
        <v>177.9195787763837</v>
      </c>
      <c r="I13" s="28">
        <v>259.92997628707303</v>
      </c>
      <c r="J13" s="28">
        <v>271.4168322870731</v>
      </c>
      <c r="K13" s="28">
        <v>277.1595190870731</v>
      </c>
      <c r="L13" s="28">
        <v>277.1595190870731</v>
      </c>
      <c r="M13" s="28">
        <v>277.1595190870731</v>
      </c>
      <c r="N13" s="28">
        <v>277.1595190870731</v>
      </c>
      <c r="O13" s="28">
        <v>277.1595190870731</v>
      </c>
      <c r="P13" s="28">
        <v>277.1595190870731</v>
      </c>
      <c r="Q13" s="28">
        <v>277.1595190870731</v>
      </c>
      <c r="R13" s="28">
        <v>277.1595190870731</v>
      </c>
      <c r="S13" s="28">
        <v>277.1595190870731</v>
      </c>
      <c r="T13" s="28">
        <v>277.1595190870731</v>
      </c>
      <c r="U13" s="28">
        <v>277.1595190870731</v>
      </c>
      <c r="V13" s="28">
        <v>277.1595190870731</v>
      </c>
      <c r="W13" s="28">
        <v>277.1595190870731</v>
      </c>
      <c r="X13" s="28">
        <v>277.1595190870731</v>
      </c>
      <c r="Y13" s="40">
        <v>277.1595190870731</v>
      </c>
      <c r="AA13" s="52"/>
    </row>
    <row r="14" spans="2:27" ht="11.25">
      <c r="B14" s="39" t="s">
        <v>577</v>
      </c>
      <c r="C14" s="82" t="s">
        <v>578</v>
      </c>
      <c r="D14" s="83"/>
      <c r="E14" s="50" t="s">
        <v>118</v>
      </c>
      <c r="F14" s="28">
        <v>109.78</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40">
        <v>0</v>
      </c>
      <c r="AA14" s="52">
        <v>109.78</v>
      </c>
    </row>
    <row r="15" spans="2:27" ht="11.25">
      <c r="B15" s="39" t="s">
        <v>690</v>
      </c>
      <c r="C15" s="82" t="s">
        <v>691</v>
      </c>
      <c r="D15" s="83"/>
      <c r="E15" s="50" t="s">
        <v>118</v>
      </c>
      <c r="F15" s="28">
        <v>0</v>
      </c>
      <c r="G15" s="28">
        <v>0</v>
      </c>
      <c r="H15" s="28">
        <v>72.35847685645588</v>
      </c>
      <c r="I15" s="28">
        <v>883.3584768564559</v>
      </c>
      <c r="J15" s="28">
        <v>72.3584768564559</v>
      </c>
      <c r="K15" s="28">
        <v>36.17456943063229</v>
      </c>
      <c r="L15" s="28">
        <v>0</v>
      </c>
      <c r="M15" s="28">
        <v>0</v>
      </c>
      <c r="N15" s="28">
        <v>0</v>
      </c>
      <c r="O15" s="28">
        <v>0</v>
      </c>
      <c r="P15" s="28">
        <v>0</v>
      </c>
      <c r="Q15" s="28">
        <v>0</v>
      </c>
      <c r="R15" s="28">
        <v>0</v>
      </c>
      <c r="S15" s="28">
        <v>0</v>
      </c>
      <c r="T15" s="28">
        <v>0</v>
      </c>
      <c r="U15" s="28">
        <v>0</v>
      </c>
      <c r="V15" s="28">
        <v>0</v>
      </c>
      <c r="W15" s="28">
        <v>0</v>
      </c>
      <c r="X15" s="28">
        <v>0</v>
      </c>
      <c r="Y15" s="40">
        <v>0</v>
      </c>
      <c r="AA15" s="52"/>
    </row>
    <row r="16" spans="2:27" ht="11.25">
      <c r="B16" s="39" t="s">
        <v>76</v>
      </c>
      <c r="C16" s="82" t="s">
        <v>692</v>
      </c>
      <c r="D16" s="83"/>
      <c r="E16" s="50" t="s">
        <v>118</v>
      </c>
      <c r="F16" s="28">
        <v>196.01913927373</v>
      </c>
      <c r="G16" s="28">
        <v>6917.71068914911</v>
      </c>
      <c r="H16" s="28">
        <v>3661.801324349123</v>
      </c>
      <c r="I16" s="28">
        <v>1717.6312531435287</v>
      </c>
      <c r="J16" s="28">
        <v>630.9096491435292</v>
      </c>
      <c r="K16" s="28">
        <v>313.33408851770537</v>
      </c>
      <c r="L16" s="28">
        <v>277.1595190870731</v>
      </c>
      <c r="M16" s="28">
        <v>277.1595190870731</v>
      </c>
      <c r="N16" s="28">
        <v>277.1595190870731</v>
      </c>
      <c r="O16" s="28">
        <v>277.1595190870731</v>
      </c>
      <c r="P16" s="28">
        <v>277.1595190870731</v>
      </c>
      <c r="Q16" s="28">
        <v>277.1595190870731</v>
      </c>
      <c r="R16" s="28">
        <v>277.1595190870731</v>
      </c>
      <c r="S16" s="28">
        <v>277.1595190870731</v>
      </c>
      <c r="T16" s="28">
        <v>277.1595190870731</v>
      </c>
      <c r="U16" s="28">
        <v>277.1595190870731</v>
      </c>
      <c r="V16" s="28">
        <v>277.1595190870731</v>
      </c>
      <c r="W16" s="28">
        <v>277.1595190870731</v>
      </c>
      <c r="X16" s="28">
        <v>277.1595190870731</v>
      </c>
      <c r="Y16" s="40">
        <v>277.1595190870731</v>
      </c>
      <c r="AA16" s="52">
        <f>+AA10+AA11+AA12</f>
        <v>18889.12764916865</v>
      </c>
    </row>
    <row r="17" spans="2:27" ht="11.25">
      <c r="B17" s="39" t="s">
        <v>519</v>
      </c>
      <c r="C17" s="82" t="s">
        <v>128</v>
      </c>
      <c r="D17" s="83"/>
      <c r="E17" s="50" t="s">
        <v>118</v>
      </c>
      <c r="F17" s="28">
        <v>0</v>
      </c>
      <c r="G17" s="28">
        <v>0</v>
      </c>
      <c r="H17" s="28">
        <v>78.15077308500818</v>
      </c>
      <c r="I17" s="28">
        <v>2744.601207503242</v>
      </c>
      <c r="J17" s="28">
        <v>4859.487066977271</v>
      </c>
      <c r="K17" s="28">
        <v>6721.988322819136</v>
      </c>
      <c r="L17" s="28">
        <v>8567.334142290614</v>
      </c>
      <c r="M17" s="28">
        <v>10278.448972386299</v>
      </c>
      <c r="N17" s="28">
        <v>10049.220663037882</v>
      </c>
      <c r="O17" s="28">
        <v>10504.113829771411</v>
      </c>
      <c r="P17" s="28">
        <v>10818.05102632297</v>
      </c>
      <c r="Q17" s="28">
        <v>11159.96877398824</v>
      </c>
      <c r="R17" s="28">
        <v>11495.048166700206</v>
      </c>
      <c r="S17" s="28">
        <v>11823.425971557932</v>
      </c>
      <c r="T17" s="28">
        <v>12145.236220318504</v>
      </c>
      <c r="U17" s="28">
        <v>12460.610264103867</v>
      </c>
      <c r="V17" s="28">
        <v>12769.676827013518</v>
      </c>
      <c r="W17" s="28">
        <v>13072.562058664978</v>
      </c>
      <c r="X17" s="28">
        <v>13369.389585683413</v>
      </c>
      <c r="Y17" s="40">
        <v>13660.280562161475</v>
      </c>
      <c r="AA17" s="52"/>
    </row>
    <row r="18" spans="2:27" ht="11.25">
      <c r="B18" s="39" t="s">
        <v>520</v>
      </c>
      <c r="C18" s="82" t="s">
        <v>63</v>
      </c>
      <c r="D18" s="83"/>
      <c r="E18" s="50" t="s">
        <v>118</v>
      </c>
      <c r="F18" s="28">
        <v>0</v>
      </c>
      <c r="G18" s="28">
        <v>0</v>
      </c>
      <c r="H18" s="28">
        <v>0</v>
      </c>
      <c r="I18" s="28">
        <v>78.77333333333333</v>
      </c>
      <c r="J18" s="28">
        <v>65.64444444444443</v>
      </c>
      <c r="K18" s="28">
        <v>52.51555555555555</v>
      </c>
      <c r="L18" s="28">
        <v>39.386666666666656</v>
      </c>
      <c r="M18" s="28">
        <v>26.257777777777765</v>
      </c>
      <c r="N18" s="28">
        <v>13.128888888888879</v>
      </c>
      <c r="O18" s="28">
        <v>0</v>
      </c>
      <c r="P18" s="28">
        <v>0</v>
      </c>
      <c r="Q18" s="28">
        <v>0</v>
      </c>
      <c r="R18" s="28">
        <v>0</v>
      </c>
      <c r="S18" s="28">
        <v>0</v>
      </c>
      <c r="T18" s="28">
        <v>0</v>
      </c>
      <c r="U18" s="28">
        <v>0</v>
      </c>
      <c r="V18" s="28">
        <v>0</v>
      </c>
      <c r="W18" s="28">
        <v>0</v>
      </c>
      <c r="X18" s="28">
        <v>0</v>
      </c>
      <c r="Y18" s="40">
        <v>0</v>
      </c>
      <c r="AA18" s="52"/>
    </row>
    <row r="19" spans="2:27" ht="11.25">
      <c r="B19" s="39" t="s">
        <v>521</v>
      </c>
      <c r="C19" s="82" t="s">
        <v>522</v>
      </c>
      <c r="D19" s="83"/>
      <c r="E19" s="50" t="s">
        <v>118</v>
      </c>
      <c r="F19" s="28">
        <v>0</v>
      </c>
      <c r="G19" s="28">
        <v>0</v>
      </c>
      <c r="H19" s="28">
        <v>209.7384066174601</v>
      </c>
      <c r="I19" s="28">
        <v>394.8513555840001</v>
      </c>
      <c r="J19" s="28">
        <v>417.29716180736006</v>
      </c>
      <c r="K19" s="28">
        <v>440.6408002796545</v>
      </c>
      <c r="L19" s="28">
        <v>464.91818429084077</v>
      </c>
      <c r="M19" s="28">
        <v>490.1666636624744</v>
      </c>
      <c r="N19" s="28">
        <v>516.4250822089733</v>
      </c>
      <c r="O19" s="28">
        <v>543.7338374973324</v>
      </c>
      <c r="P19" s="28">
        <v>572.1349429972256</v>
      </c>
      <c r="Q19" s="28">
        <v>601.6720927171147</v>
      </c>
      <c r="R19" s="28">
        <v>632.3907284257992</v>
      </c>
      <c r="S19" s="28">
        <v>664.3381095628314</v>
      </c>
      <c r="T19" s="28">
        <v>697.5633859453445</v>
      </c>
      <c r="U19" s="28">
        <v>732.1176733831583</v>
      </c>
      <c r="V19" s="28">
        <v>768.0541323184847</v>
      </c>
      <c r="W19" s="28">
        <v>805.4280496112241</v>
      </c>
      <c r="X19" s="28">
        <v>844.2969235956732</v>
      </c>
      <c r="Y19" s="40">
        <v>884.7205525395002</v>
      </c>
      <c r="AA19" s="52"/>
    </row>
    <row r="20" spans="2:27" ht="11.25">
      <c r="B20" s="39" t="s">
        <v>77</v>
      </c>
      <c r="C20" s="82" t="s">
        <v>523</v>
      </c>
      <c r="D20" s="83"/>
      <c r="E20" s="50" t="s">
        <v>118</v>
      </c>
      <c r="F20" s="28">
        <v>0</v>
      </c>
      <c r="G20" s="28">
        <v>0</v>
      </c>
      <c r="H20" s="28">
        <v>287.88917970246825</v>
      </c>
      <c r="I20" s="28">
        <v>3218.2258964205757</v>
      </c>
      <c r="J20" s="28">
        <v>5342.428673229075</v>
      </c>
      <c r="K20" s="28">
        <v>7215.144678654346</v>
      </c>
      <c r="L20" s="28">
        <v>9071.638993248122</v>
      </c>
      <c r="M20" s="28">
        <v>10794.87341382655</v>
      </c>
      <c r="N20" s="28">
        <v>10578.774634135743</v>
      </c>
      <c r="O20" s="28">
        <v>11047.847667268743</v>
      </c>
      <c r="P20" s="28">
        <v>11390.185969320195</v>
      </c>
      <c r="Q20" s="28">
        <v>11761.640866705355</v>
      </c>
      <c r="R20" s="28">
        <v>12127.438895126004</v>
      </c>
      <c r="S20" s="28">
        <v>12487.764081120764</v>
      </c>
      <c r="T20" s="28">
        <v>12842.799606263849</v>
      </c>
      <c r="U20" s="28">
        <v>13192.727937487025</v>
      </c>
      <c r="V20" s="28">
        <v>13537.730959332002</v>
      </c>
      <c r="W20" s="28">
        <v>13877.990108276203</v>
      </c>
      <c r="X20" s="28">
        <v>14213.686509279087</v>
      </c>
      <c r="Y20" s="40">
        <v>14545.001114700975</v>
      </c>
      <c r="AA20" s="52"/>
    </row>
    <row r="21" spans="2:27" ht="11.25">
      <c r="B21" s="42" t="s">
        <v>78</v>
      </c>
      <c r="C21" s="84" t="s">
        <v>524</v>
      </c>
      <c r="D21" s="85"/>
      <c r="E21" s="72" t="s">
        <v>118</v>
      </c>
      <c r="F21" s="30">
        <v>-196.01913927373</v>
      </c>
      <c r="G21" s="30">
        <v>-6917.71068914911</v>
      </c>
      <c r="H21" s="30">
        <v>-3373.912144646655</v>
      </c>
      <c r="I21" s="30">
        <v>1500.594643277047</v>
      </c>
      <c r="J21" s="30">
        <v>4711.519024085545</v>
      </c>
      <c r="K21" s="30">
        <v>6901.81059013664</v>
      </c>
      <c r="L21" s="30">
        <v>8794.479474161048</v>
      </c>
      <c r="M21" s="30">
        <v>10517.713894739476</v>
      </c>
      <c r="N21" s="30">
        <v>10301.61511504867</v>
      </c>
      <c r="O21" s="30">
        <v>10770.688148181669</v>
      </c>
      <c r="P21" s="30">
        <v>11113.026450233121</v>
      </c>
      <c r="Q21" s="30">
        <v>11484.48134761828</v>
      </c>
      <c r="R21" s="30">
        <v>11850.27937603893</v>
      </c>
      <c r="S21" s="30">
        <v>12210.60456203369</v>
      </c>
      <c r="T21" s="30">
        <v>12565.640087176775</v>
      </c>
      <c r="U21" s="30">
        <v>12915.568418399951</v>
      </c>
      <c r="V21" s="30">
        <v>13260.571440244928</v>
      </c>
      <c r="W21" s="30">
        <v>13600.830589189129</v>
      </c>
      <c r="X21" s="30">
        <v>13936.526990192013</v>
      </c>
      <c r="Y21" s="43">
        <v>14267.841595613902</v>
      </c>
      <c r="AA21" s="52"/>
    </row>
    <row r="22" spans="2:27" ht="11.25">
      <c r="B22" s="96" t="s">
        <v>79</v>
      </c>
      <c r="C22" s="91" t="s">
        <v>121</v>
      </c>
      <c r="D22" s="78">
        <f>+AA16</f>
        <v>18889.12764916865</v>
      </c>
      <c r="E22" s="94"/>
      <c r="F22" s="73"/>
      <c r="G22" s="73"/>
      <c r="H22" s="73"/>
      <c r="I22" s="73"/>
      <c r="J22" s="73"/>
      <c r="K22" s="73"/>
      <c r="L22" s="73"/>
      <c r="M22" s="73"/>
      <c r="N22" s="73"/>
      <c r="O22" s="73"/>
      <c r="P22" s="73"/>
      <c r="Q22" s="73"/>
      <c r="R22" s="73"/>
      <c r="S22" s="73"/>
      <c r="T22" s="73"/>
      <c r="U22" s="73"/>
      <c r="V22" s="73"/>
      <c r="W22" s="73"/>
      <c r="X22" s="73"/>
      <c r="Y22" s="74"/>
      <c r="AA22" s="52"/>
    </row>
    <row r="23" spans="2:27" ht="11.25">
      <c r="B23" s="96" t="s">
        <v>122</v>
      </c>
      <c r="C23" s="92" t="s">
        <v>579</v>
      </c>
      <c r="D23" s="113">
        <f>+AA14</f>
        <v>109.78</v>
      </c>
      <c r="E23" s="95"/>
      <c r="F23" s="54"/>
      <c r="G23" s="54"/>
      <c r="H23" s="54"/>
      <c r="I23" s="54"/>
      <c r="J23" s="54"/>
      <c r="K23" s="54"/>
      <c r="L23" s="54"/>
      <c r="M23" s="54"/>
      <c r="N23" s="54"/>
      <c r="O23" s="54"/>
      <c r="P23" s="54"/>
      <c r="Q23" s="54"/>
      <c r="R23" s="54"/>
      <c r="S23" s="54"/>
      <c r="T23" s="54"/>
      <c r="U23" s="54"/>
      <c r="V23" s="54"/>
      <c r="W23" s="54"/>
      <c r="X23" s="54"/>
      <c r="Y23" s="75"/>
      <c r="AA23" s="52"/>
    </row>
    <row r="24" spans="2:27" ht="11.25">
      <c r="B24" s="96" t="s">
        <v>525</v>
      </c>
      <c r="C24" s="92" t="s">
        <v>57</v>
      </c>
      <c r="D24" s="79">
        <f>+IRR(F21:Y21)</f>
        <v>0.4334944238430595</v>
      </c>
      <c r="E24" s="95"/>
      <c r="F24" s="88"/>
      <c r="G24" s="54"/>
      <c r="H24" s="54"/>
      <c r="I24" s="54"/>
      <c r="J24" s="54"/>
      <c r="K24" s="54"/>
      <c r="L24" s="54"/>
      <c r="M24" s="54"/>
      <c r="N24" s="54"/>
      <c r="O24" s="54"/>
      <c r="P24" s="54"/>
      <c r="Q24" s="54"/>
      <c r="R24" s="54"/>
      <c r="S24" s="54"/>
      <c r="T24" s="54"/>
      <c r="U24" s="54"/>
      <c r="V24" s="54"/>
      <c r="W24" s="54"/>
      <c r="X24" s="54"/>
      <c r="Y24" s="75"/>
      <c r="AA24" s="52"/>
    </row>
    <row r="25" spans="2:27" ht="12" thickBot="1">
      <c r="B25" s="107" t="s">
        <v>580</v>
      </c>
      <c r="C25" s="102" t="s">
        <v>120</v>
      </c>
      <c r="D25" s="103">
        <f>+NPV('Assumptions and Basic Info'!$C$20,'Irrigation Summary'!F21:Y21)</f>
        <v>46847.75533994372</v>
      </c>
      <c r="E25" s="108"/>
      <c r="F25" s="105"/>
      <c r="G25" s="128"/>
      <c r="H25" s="105"/>
      <c r="I25" s="105"/>
      <c r="J25" s="105"/>
      <c r="K25" s="105"/>
      <c r="L25" s="105"/>
      <c r="M25" s="105"/>
      <c r="N25" s="105"/>
      <c r="O25" s="105"/>
      <c r="P25" s="105"/>
      <c r="Q25" s="105"/>
      <c r="R25" s="105"/>
      <c r="S25" s="105"/>
      <c r="T25" s="105"/>
      <c r="U25" s="105"/>
      <c r="V25" s="105"/>
      <c r="W25" s="105"/>
      <c r="X25" s="105"/>
      <c r="Y25" s="106"/>
      <c r="AA25" s="52"/>
    </row>
    <row r="26" spans="2:31" ht="11.25">
      <c r="B26" s="44" t="s">
        <v>106</v>
      </c>
      <c r="C26" s="23" t="s">
        <v>129</v>
      </c>
      <c r="D26" s="23"/>
      <c r="E26" s="51"/>
      <c r="F26" s="24"/>
      <c r="G26" s="24"/>
      <c r="H26" s="24"/>
      <c r="I26" s="24"/>
      <c r="J26" s="24"/>
      <c r="K26" s="24"/>
      <c r="L26" s="24"/>
      <c r="M26" s="24"/>
      <c r="N26" s="24"/>
      <c r="O26" s="24"/>
      <c r="P26" s="24"/>
      <c r="Q26" s="24"/>
      <c r="R26" s="24"/>
      <c r="S26" s="24"/>
      <c r="T26" s="24"/>
      <c r="U26" s="24"/>
      <c r="V26" s="24"/>
      <c r="W26" s="24"/>
      <c r="X26" s="24"/>
      <c r="Y26" s="45"/>
      <c r="AA26" s="52"/>
      <c r="AD26" s="1"/>
      <c r="AE26" s="1"/>
    </row>
    <row r="27" spans="2:31" ht="11.25">
      <c r="B27" s="37" t="s">
        <v>107</v>
      </c>
      <c r="C27" s="80" t="s">
        <v>124</v>
      </c>
      <c r="D27" s="81"/>
      <c r="E27" s="49" t="s">
        <v>54</v>
      </c>
      <c r="F27" s="27">
        <v>13178</v>
      </c>
      <c r="G27" s="27">
        <v>13043</v>
      </c>
      <c r="H27" s="27">
        <v>12910.7</v>
      </c>
      <c r="I27" s="27">
        <v>12781.045999999998</v>
      </c>
      <c r="J27" s="27">
        <v>12653.985079999999</v>
      </c>
      <c r="K27" s="27">
        <v>12529.4653784</v>
      </c>
      <c r="L27" s="27">
        <v>12407.436070831998</v>
      </c>
      <c r="M27" s="27">
        <v>12287.847349415359</v>
      </c>
      <c r="N27" s="27">
        <v>12170.65040242705</v>
      </c>
      <c r="O27" s="27">
        <v>12055.797394378511</v>
      </c>
      <c r="P27" s="27">
        <v>11943.241446490942</v>
      </c>
      <c r="Q27" s="27">
        <v>11832.936617561121</v>
      </c>
      <c r="R27" s="27">
        <v>11724.837885209898</v>
      </c>
      <c r="S27" s="27">
        <v>11618.901127505702</v>
      </c>
      <c r="T27" s="27">
        <v>11515.083104955585</v>
      </c>
      <c r="U27" s="27">
        <v>11413.341442856476</v>
      </c>
      <c r="V27" s="27">
        <v>11313.634613999347</v>
      </c>
      <c r="W27" s="27">
        <v>11215.92192171936</v>
      </c>
      <c r="X27" s="27">
        <v>11120.16348328497</v>
      </c>
      <c r="Y27" s="38">
        <v>11026.32021361927</v>
      </c>
      <c r="AA27" s="52">
        <v>13178</v>
      </c>
      <c r="AC27" s="52"/>
      <c r="AD27" s="1"/>
      <c r="AE27" s="1"/>
    </row>
    <row r="28" spans="2:31" ht="11.25">
      <c r="B28" s="39" t="s">
        <v>108</v>
      </c>
      <c r="C28" s="82" t="s">
        <v>125</v>
      </c>
      <c r="D28" s="83"/>
      <c r="E28" s="50" t="s">
        <v>54</v>
      </c>
      <c r="F28" s="28">
        <v>13178</v>
      </c>
      <c r="G28" s="28">
        <v>13043</v>
      </c>
      <c r="H28" s="28">
        <v>13698.723102704427</v>
      </c>
      <c r="I28" s="28">
        <v>15978.86180173913</v>
      </c>
      <c r="J28" s="28">
        <v>16146.292702608696</v>
      </c>
      <c r="K28" s="28">
        <v>16230</v>
      </c>
      <c r="L28" s="28">
        <v>16230</v>
      </c>
      <c r="M28" s="28">
        <v>16230</v>
      </c>
      <c r="N28" s="28">
        <v>16230</v>
      </c>
      <c r="O28" s="28">
        <v>16230</v>
      </c>
      <c r="P28" s="28">
        <v>16230</v>
      </c>
      <c r="Q28" s="28">
        <v>16230</v>
      </c>
      <c r="R28" s="28">
        <v>16230</v>
      </c>
      <c r="S28" s="28">
        <v>16230</v>
      </c>
      <c r="T28" s="28">
        <v>16230</v>
      </c>
      <c r="U28" s="28">
        <v>16230</v>
      </c>
      <c r="V28" s="28">
        <v>16230</v>
      </c>
      <c r="W28" s="28">
        <v>16230</v>
      </c>
      <c r="X28" s="28">
        <v>16230</v>
      </c>
      <c r="Y28" s="40">
        <v>16230</v>
      </c>
      <c r="AA28" s="52">
        <v>16230</v>
      </c>
      <c r="AD28" s="1"/>
      <c r="AE28" s="1"/>
    </row>
    <row r="29" spans="2:31" ht="11.25">
      <c r="B29" s="39" t="s">
        <v>116</v>
      </c>
      <c r="C29" s="82" t="s">
        <v>81</v>
      </c>
      <c r="D29" s="83"/>
      <c r="E29" s="50" t="s">
        <v>54</v>
      </c>
      <c r="F29" s="28">
        <v>0</v>
      </c>
      <c r="G29" s="28">
        <v>0</v>
      </c>
      <c r="H29" s="28">
        <v>788.0231027044265</v>
      </c>
      <c r="I29" s="28">
        <v>3197.8158017391324</v>
      </c>
      <c r="J29" s="28">
        <v>3492.307622608698</v>
      </c>
      <c r="K29" s="28">
        <v>3700.5346216</v>
      </c>
      <c r="L29" s="28">
        <v>3822.563929168002</v>
      </c>
      <c r="M29" s="28">
        <v>3942.1526505846414</v>
      </c>
      <c r="N29" s="28">
        <v>4059.3495975729493</v>
      </c>
      <c r="O29" s="28">
        <v>4174.202605621489</v>
      </c>
      <c r="P29" s="28">
        <v>4286.758553509058</v>
      </c>
      <c r="Q29" s="28">
        <v>4397.063382438879</v>
      </c>
      <c r="R29" s="28">
        <v>4505.162114790102</v>
      </c>
      <c r="S29" s="28">
        <v>4611.098872494298</v>
      </c>
      <c r="T29" s="28">
        <v>4714.916895044415</v>
      </c>
      <c r="U29" s="28">
        <v>4816.658557143524</v>
      </c>
      <c r="V29" s="28">
        <v>4916.3653860006525</v>
      </c>
      <c r="W29" s="28">
        <v>5014.07807828064</v>
      </c>
      <c r="X29" s="28">
        <v>5109.83651671503</v>
      </c>
      <c r="Y29" s="40">
        <v>5203.67978638073</v>
      </c>
      <c r="AA29" s="52">
        <v>3052</v>
      </c>
      <c r="AB29" s="52"/>
      <c r="AD29" s="1"/>
      <c r="AE29" s="1"/>
    </row>
    <row r="30" spans="2:31" ht="11.25">
      <c r="B30" s="39" t="s">
        <v>109</v>
      </c>
      <c r="C30" s="82" t="s">
        <v>516</v>
      </c>
      <c r="D30" s="83"/>
      <c r="E30" s="50" t="s">
        <v>526</v>
      </c>
      <c r="F30" s="28">
        <v>0</v>
      </c>
      <c r="G30" s="28">
        <v>0</v>
      </c>
      <c r="H30" s="28">
        <v>6686.615091743122</v>
      </c>
      <c r="I30" s="28">
        <v>12526.443200000002</v>
      </c>
      <c r="J30" s="28">
        <v>13372.340928000001</v>
      </c>
      <c r="K30" s="28">
        <v>14252.074565120001</v>
      </c>
      <c r="L30" s="28">
        <v>15166.9975477248</v>
      </c>
      <c r="M30" s="28">
        <v>16118.517449633793</v>
      </c>
      <c r="N30" s="28">
        <v>17108.098147619145</v>
      </c>
      <c r="O30" s="28">
        <v>18137.26207352391</v>
      </c>
      <c r="P30" s="28">
        <v>19207.592556464868</v>
      </c>
      <c r="Q30" s="28">
        <v>20320.736258723464</v>
      </c>
      <c r="R30" s="28">
        <v>21478.4057090724</v>
      </c>
      <c r="S30" s="28">
        <v>22682.3819374353</v>
      </c>
      <c r="T30" s="28">
        <v>23934.517214932715</v>
      </c>
      <c r="U30" s="28">
        <v>25236.737903530026</v>
      </c>
      <c r="V30" s="28">
        <v>26591.04741967123</v>
      </c>
      <c r="W30" s="28">
        <v>27999.52931645808</v>
      </c>
      <c r="X30" s="28">
        <v>29464.350489116405</v>
      </c>
      <c r="Y30" s="40">
        <v>30987.76450868106</v>
      </c>
      <c r="AA30" s="52">
        <v>10179</v>
      </c>
      <c r="AB30" s="52"/>
      <c r="AD30" s="1"/>
      <c r="AE30" s="1"/>
    </row>
    <row r="31" spans="2:31" ht="11.25">
      <c r="B31" s="39" t="s">
        <v>110</v>
      </c>
      <c r="C31" s="82" t="s">
        <v>58</v>
      </c>
      <c r="D31" s="83"/>
      <c r="E31" s="50" t="s">
        <v>118</v>
      </c>
      <c r="F31" s="28">
        <v>0</v>
      </c>
      <c r="G31" s="28">
        <v>3405.7850592885375</v>
      </c>
      <c r="H31" s="28">
        <v>1987.8905928853756</v>
      </c>
      <c r="I31" s="28">
        <v>357.14782608695657</v>
      </c>
      <c r="J31" s="28">
        <v>178.5565217391303</v>
      </c>
      <c r="K31" s="28">
        <v>0</v>
      </c>
      <c r="L31" s="31">
        <v>0</v>
      </c>
      <c r="M31" s="31">
        <v>0</v>
      </c>
      <c r="N31" s="31">
        <v>0</v>
      </c>
      <c r="O31" s="31">
        <v>0</v>
      </c>
      <c r="P31" s="31">
        <v>0</v>
      </c>
      <c r="Q31" s="31">
        <v>0</v>
      </c>
      <c r="R31" s="31">
        <v>0</v>
      </c>
      <c r="S31" s="31">
        <v>0</v>
      </c>
      <c r="T31" s="31">
        <v>0</v>
      </c>
      <c r="U31" s="31">
        <v>0</v>
      </c>
      <c r="V31" s="31">
        <v>0</v>
      </c>
      <c r="W31" s="31">
        <v>0</v>
      </c>
      <c r="X31" s="31">
        <v>0</v>
      </c>
      <c r="Y31" s="46">
        <v>0</v>
      </c>
      <c r="AA31" s="52">
        <v>5929.38</v>
      </c>
      <c r="AD31" s="1"/>
      <c r="AE31" s="1"/>
    </row>
    <row r="32" spans="2:31" ht="11.25">
      <c r="B32" s="39" t="s">
        <v>527</v>
      </c>
      <c r="C32" s="82" t="s">
        <v>24</v>
      </c>
      <c r="D32" s="83"/>
      <c r="E32" s="50" t="s">
        <v>118</v>
      </c>
      <c r="F32" s="28">
        <v>0</v>
      </c>
      <c r="G32" s="28">
        <v>510.86775889328055</v>
      </c>
      <c r="H32" s="28">
        <v>298.1835889328063</v>
      </c>
      <c r="I32" s="28">
        <v>53.572173913043486</v>
      </c>
      <c r="J32" s="28">
        <v>26.783478260869543</v>
      </c>
      <c r="K32" s="28">
        <v>0</v>
      </c>
      <c r="L32" s="28">
        <v>0</v>
      </c>
      <c r="M32" s="28">
        <v>0</v>
      </c>
      <c r="N32" s="28">
        <v>0</v>
      </c>
      <c r="O32" s="28">
        <v>0</v>
      </c>
      <c r="P32" s="28">
        <v>0</v>
      </c>
      <c r="Q32" s="28">
        <v>0</v>
      </c>
      <c r="R32" s="28">
        <v>0</v>
      </c>
      <c r="S32" s="28">
        <v>0</v>
      </c>
      <c r="T32" s="28">
        <v>0</v>
      </c>
      <c r="U32" s="28">
        <v>0</v>
      </c>
      <c r="V32" s="31">
        <v>0</v>
      </c>
      <c r="W32" s="31">
        <v>0</v>
      </c>
      <c r="X32" s="31">
        <v>0</v>
      </c>
      <c r="Y32" s="46">
        <v>0</v>
      </c>
      <c r="AA32" s="54">
        <f>+AA31*'Assumptions and Basic Info'!$C$4</f>
        <v>5929.38</v>
      </c>
      <c r="AD32" s="1"/>
      <c r="AE32" s="1"/>
    </row>
    <row r="33" spans="2:31" ht="11.25">
      <c r="B33" s="39" t="s">
        <v>528</v>
      </c>
      <c r="C33" s="82" t="s">
        <v>83</v>
      </c>
      <c r="D33" s="83"/>
      <c r="E33" s="50" t="s">
        <v>118</v>
      </c>
      <c r="F33" s="28">
        <v>27.095471999999997</v>
      </c>
      <c r="G33" s="28">
        <v>363.97498581818184</v>
      </c>
      <c r="H33" s="28">
        <v>200.91712218181817</v>
      </c>
      <c r="I33" s="28">
        <v>36.964800000000004</v>
      </c>
      <c r="J33" s="28">
        <v>18.480599999999985</v>
      </c>
      <c r="K33" s="28">
        <v>0</v>
      </c>
      <c r="L33" s="28">
        <v>0</v>
      </c>
      <c r="M33" s="28">
        <v>0</v>
      </c>
      <c r="N33" s="28">
        <v>0</v>
      </c>
      <c r="O33" s="28">
        <v>0</v>
      </c>
      <c r="P33" s="28">
        <v>0</v>
      </c>
      <c r="Q33" s="28">
        <v>0</v>
      </c>
      <c r="R33" s="28">
        <v>0</v>
      </c>
      <c r="S33" s="28">
        <v>0</v>
      </c>
      <c r="T33" s="28">
        <v>0</v>
      </c>
      <c r="U33" s="28">
        <v>0</v>
      </c>
      <c r="V33" s="31">
        <v>0</v>
      </c>
      <c r="W33" s="31">
        <v>0</v>
      </c>
      <c r="X33" s="31">
        <v>0</v>
      </c>
      <c r="Y33" s="46">
        <v>0</v>
      </c>
      <c r="AA33" s="54">
        <v>647.4329799999999</v>
      </c>
      <c r="AD33" s="1"/>
      <c r="AE33" s="1"/>
    </row>
    <row r="34" spans="2:31" ht="11.25">
      <c r="B34" s="39" t="s">
        <v>529</v>
      </c>
      <c r="C34" s="82" t="s">
        <v>82</v>
      </c>
      <c r="D34" s="83"/>
      <c r="E34" s="50" t="s">
        <v>118</v>
      </c>
      <c r="F34" s="28">
        <v>0</v>
      </c>
      <c r="G34" s="28">
        <v>0.54190944</v>
      </c>
      <c r="H34" s="28">
        <v>113.68083052</v>
      </c>
      <c r="I34" s="28">
        <v>173.0106566</v>
      </c>
      <c r="J34" s="28">
        <v>181.96435259999998</v>
      </c>
      <c r="K34" s="28">
        <v>186.4407646</v>
      </c>
      <c r="L34" s="28">
        <v>186.4407646</v>
      </c>
      <c r="M34" s="28">
        <v>186.4407646</v>
      </c>
      <c r="N34" s="28">
        <v>186.4407646</v>
      </c>
      <c r="O34" s="28">
        <v>186.4407646</v>
      </c>
      <c r="P34" s="28">
        <v>186.4407646</v>
      </c>
      <c r="Q34" s="28">
        <v>186.4407646</v>
      </c>
      <c r="R34" s="28">
        <v>186.4407646</v>
      </c>
      <c r="S34" s="28">
        <v>186.4407646</v>
      </c>
      <c r="T34" s="28">
        <v>186.4407646</v>
      </c>
      <c r="U34" s="28">
        <v>186.4407646</v>
      </c>
      <c r="V34" s="28">
        <v>186.4407646</v>
      </c>
      <c r="W34" s="28">
        <v>186.4407646</v>
      </c>
      <c r="X34" s="28">
        <v>186.4407646</v>
      </c>
      <c r="Y34" s="40">
        <v>186.4407646</v>
      </c>
      <c r="AA34" s="52"/>
      <c r="AD34" s="1"/>
      <c r="AE34" s="1"/>
    </row>
    <row r="35" spans="2:31" ht="11.25">
      <c r="B35" s="39" t="s">
        <v>591</v>
      </c>
      <c r="C35" s="82" t="s">
        <v>578</v>
      </c>
      <c r="D35" s="83"/>
      <c r="E35" s="50" t="s">
        <v>118</v>
      </c>
      <c r="F35" s="28">
        <v>4.766666666666667</v>
      </c>
      <c r="G35" s="28">
        <v>9.533333333333333</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40">
        <v>0</v>
      </c>
      <c r="AA35" s="52">
        <v>14.3</v>
      </c>
      <c r="AD35" s="1"/>
      <c r="AE35" s="1"/>
    </row>
    <row r="36" spans="2:31" ht="11.25">
      <c r="B36" s="39" t="s">
        <v>693</v>
      </c>
      <c r="C36" s="82" t="s">
        <v>691</v>
      </c>
      <c r="D36" s="83"/>
      <c r="E36" s="50" t="s">
        <v>118</v>
      </c>
      <c r="F36" s="28">
        <v>0</v>
      </c>
      <c r="G36" s="28">
        <v>0</v>
      </c>
      <c r="H36" s="28">
        <v>41.85772521739131</v>
      </c>
      <c r="I36" s="28">
        <v>351.8577252173913</v>
      </c>
      <c r="J36" s="28">
        <v>41.85772521739132</v>
      </c>
      <c r="K36" s="28">
        <v>20.926824347826056</v>
      </c>
      <c r="L36" s="28">
        <v>0</v>
      </c>
      <c r="M36" s="28">
        <v>0</v>
      </c>
      <c r="N36" s="28">
        <v>0</v>
      </c>
      <c r="O36" s="28">
        <v>0</v>
      </c>
      <c r="P36" s="28">
        <v>0</v>
      </c>
      <c r="Q36" s="28">
        <v>0</v>
      </c>
      <c r="R36" s="28">
        <v>0</v>
      </c>
      <c r="S36" s="28">
        <v>0</v>
      </c>
      <c r="T36" s="28">
        <v>0</v>
      </c>
      <c r="U36" s="28">
        <v>0</v>
      </c>
      <c r="V36" s="28">
        <v>0</v>
      </c>
      <c r="W36" s="28">
        <v>0</v>
      </c>
      <c r="X36" s="28">
        <v>0</v>
      </c>
      <c r="Y36" s="40">
        <v>0</v>
      </c>
      <c r="AA36" s="52"/>
      <c r="AD36" s="1"/>
      <c r="AE36" s="1"/>
    </row>
    <row r="37" spans="2:31" ht="11.25">
      <c r="B37" s="39" t="s">
        <v>111</v>
      </c>
      <c r="C37" s="82" t="s">
        <v>694</v>
      </c>
      <c r="D37" s="83"/>
      <c r="E37" s="50" t="s">
        <v>118</v>
      </c>
      <c r="F37" s="28">
        <v>31.862138666666663</v>
      </c>
      <c r="G37" s="28">
        <v>4290.703046773334</v>
      </c>
      <c r="H37" s="28">
        <v>2642.5298597373917</v>
      </c>
      <c r="I37" s="28">
        <v>972.5531818173913</v>
      </c>
      <c r="J37" s="28">
        <v>447.6426778173911</v>
      </c>
      <c r="K37" s="28">
        <v>207.36758894782605</v>
      </c>
      <c r="L37" s="28">
        <v>186.4407646</v>
      </c>
      <c r="M37" s="28">
        <v>186.4407646</v>
      </c>
      <c r="N37" s="28">
        <v>186.4407646</v>
      </c>
      <c r="O37" s="28">
        <v>186.4407646</v>
      </c>
      <c r="P37" s="28">
        <v>186.4407646</v>
      </c>
      <c r="Q37" s="28">
        <v>186.4407646</v>
      </c>
      <c r="R37" s="28">
        <v>186.4407646</v>
      </c>
      <c r="S37" s="28">
        <v>186.4407646</v>
      </c>
      <c r="T37" s="28">
        <v>186.4407646</v>
      </c>
      <c r="U37" s="28">
        <v>186.4407646</v>
      </c>
      <c r="V37" s="28">
        <v>186.4407646</v>
      </c>
      <c r="W37" s="28">
        <v>186.4407646</v>
      </c>
      <c r="X37" s="28">
        <v>186.4407646</v>
      </c>
      <c r="Y37" s="40">
        <v>186.4407646</v>
      </c>
      <c r="AA37" s="52">
        <f>+AA31+AA32+AA33</f>
        <v>12506.19298</v>
      </c>
      <c r="AD37" s="1"/>
      <c r="AE37" s="1"/>
    </row>
    <row r="38" spans="2:31" ht="11.25">
      <c r="B38" s="39" t="s">
        <v>530</v>
      </c>
      <c r="C38" s="82" t="s">
        <v>128</v>
      </c>
      <c r="D38" s="83"/>
      <c r="E38" s="50" t="s">
        <v>118</v>
      </c>
      <c r="F38" s="28">
        <v>0</v>
      </c>
      <c r="G38" s="28">
        <v>0</v>
      </c>
      <c r="H38" s="28">
        <v>45.20843621139758</v>
      </c>
      <c r="I38" s="28">
        <v>1042.8376060096439</v>
      </c>
      <c r="J38" s="28">
        <v>1886.3560815089643</v>
      </c>
      <c r="K38" s="28">
        <v>2642.9332894279505</v>
      </c>
      <c r="L38" s="28">
        <v>3391.8247458980604</v>
      </c>
      <c r="M38" s="28">
        <v>4054.7912250413588</v>
      </c>
      <c r="N38" s="28">
        <v>3957.83120473498</v>
      </c>
      <c r="O38" s="28">
        <v>4103.781391379411</v>
      </c>
      <c r="P38" s="28">
        <v>4239.459422878336</v>
      </c>
      <c r="Q38" s="28">
        <v>4392.242740549499</v>
      </c>
      <c r="R38" s="28">
        <v>4541.970391867239</v>
      </c>
      <c r="S38" s="28">
        <v>4688.703490158624</v>
      </c>
      <c r="T38" s="28">
        <v>4832.501926484181</v>
      </c>
      <c r="U38" s="28">
        <v>4973.4243940832275</v>
      </c>
      <c r="V38" s="28">
        <v>5111.528412330293</v>
      </c>
      <c r="W38" s="28">
        <v>5246.870350212416</v>
      </c>
      <c r="X38" s="28">
        <v>5379.505449336898</v>
      </c>
      <c r="Y38" s="40">
        <v>5509.487846478889</v>
      </c>
      <c r="AA38" s="52"/>
      <c r="AD38" s="1"/>
      <c r="AE38" s="1"/>
    </row>
    <row r="39" spans="2:31" ht="11.25">
      <c r="B39" s="39" t="s">
        <v>531</v>
      </c>
      <c r="C39" s="82" t="s">
        <v>522</v>
      </c>
      <c r="D39" s="83"/>
      <c r="E39" s="50" t="s">
        <v>118</v>
      </c>
      <c r="F39" s="28">
        <v>0</v>
      </c>
      <c r="G39" s="28">
        <v>0</v>
      </c>
      <c r="H39" s="28">
        <v>169.8400233302753</v>
      </c>
      <c r="I39" s="28">
        <v>318.17165728000003</v>
      </c>
      <c r="J39" s="28">
        <v>339.65745957120004</v>
      </c>
      <c r="K39" s="28">
        <v>362.002693954048</v>
      </c>
      <c r="L39" s="28">
        <v>385.24173771220995</v>
      </c>
      <c r="M39" s="28">
        <v>409.4103432206983</v>
      </c>
      <c r="N39" s="28">
        <v>434.54569294952626</v>
      </c>
      <c r="O39" s="28">
        <v>460.6864566675073</v>
      </c>
      <c r="P39" s="28">
        <v>487.87285093420763</v>
      </c>
      <c r="Q39" s="28">
        <v>516.146700971576</v>
      </c>
      <c r="R39" s="28">
        <v>545.551505010439</v>
      </c>
      <c r="S39" s="28">
        <v>576.1325012108566</v>
      </c>
      <c r="T39" s="28">
        <v>607.936737259291</v>
      </c>
      <c r="U39" s="28">
        <v>641.0131427496626</v>
      </c>
      <c r="V39" s="28">
        <v>675.4126044596492</v>
      </c>
      <c r="W39" s="28">
        <v>711.1880446380352</v>
      </c>
      <c r="X39" s="28">
        <v>748.3945024235567</v>
      </c>
      <c r="Y39" s="40">
        <v>787.0892185204989</v>
      </c>
      <c r="AA39" s="52"/>
      <c r="AD39" s="1"/>
      <c r="AE39" s="1"/>
    </row>
    <row r="40" spans="2:31" ht="11.25">
      <c r="B40" s="39" t="s">
        <v>112</v>
      </c>
      <c r="C40" s="82" t="s">
        <v>532</v>
      </c>
      <c r="D40" s="83"/>
      <c r="E40" s="50" t="s">
        <v>118</v>
      </c>
      <c r="F40" s="28">
        <v>0</v>
      </c>
      <c r="G40" s="28">
        <v>0</v>
      </c>
      <c r="H40" s="28">
        <v>215.04845954167288</v>
      </c>
      <c r="I40" s="28">
        <v>1361.009263289644</v>
      </c>
      <c r="J40" s="28">
        <v>2226.0135410801645</v>
      </c>
      <c r="K40" s="28">
        <v>3004.9359833819985</v>
      </c>
      <c r="L40" s="28">
        <v>3777.0664836102706</v>
      </c>
      <c r="M40" s="28">
        <v>4464.201568262057</v>
      </c>
      <c r="N40" s="28">
        <v>4392.376897684506</v>
      </c>
      <c r="O40" s="28">
        <v>4564.467848046918</v>
      </c>
      <c r="P40" s="28">
        <v>4727.3322738125435</v>
      </c>
      <c r="Q40" s="28">
        <v>4908.389441521075</v>
      </c>
      <c r="R40" s="28">
        <v>5087.521896877678</v>
      </c>
      <c r="S40" s="28">
        <v>5264.83599136948</v>
      </c>
      <c r="T40" s="28">
        <v>5440.438663743473</v>
      </c>
      <c r="U40" s="28">
        <v>5614.43753683289</v>
      </c>
      <c r="V40" s="28">
        <v>5786.941016789942</v>
      </c>
      <c r="W40" s="28">
        <v>5958.058394850452</v>
      </c>
      <c r="X40" s="28">
        <v>6127.899951760454</v>
      </c>
      <c r="Y40" s="40">
        <v>6296.577064999388</v>
      </c>
      <c r="AA40" s="52"/>
      <c r="AD40" s="1"/>
      <c r="AE40" s="1"/>
    </row>
    <row r="41" spans="2:31" ht="11.25">
      <c r="B41" s="42" t="s">
        <v>113</v>
      </c>
      <c r="C41" s="84" t="s">
        <v>533</v>
      </c>
      <c r="D41" s="85"/>
      <c r="E41" s="50" t="s">
        <v>118</v>
      </c>
      <c r="F41" s="28">
        <v>-31.862138666666663</v>
      </c>
      <c r="G41" s="28">
        <v>-4290.703046773334</v>
      </c>
      <c r="H41" s="28">
        <v>-2427.481400195719</v>
      </c>
      <c r="I41" s="28">
        <v>388.45608147225266</v>
      </c>
      <c r="J41" s="28">
        <v>1778.3708632627734</v>
      </c>
      <c r="K41" s="28">
        <v>2797.5683944341727</v>
      </c>
      <c r="L41" s="28">
        <v>3590.6257190102706</v>
      </c>
      <c r="M41" s="28">
        <v>4277.760803662057</v>
      </c>
      <c r="N41" s="28">
        <v>4205.936133084506</v>
      </c>
      <c r="O41" s="28">
        <v>4378.027083446918</v>
      </c>
      <c r="P41" s="28">
        <v>4540.8915092125435</v>
      </c>
      <c r="Q41" s="28">
        <v>4721.948676921075</v>
      </c>
      <c r="R41" s="28">
        <v>4901.081132277678</v>
      </c>
      <c r="S41" s="28">
        <v>5078.39522676948</v>
      </c>
      <c r="T41" s="28">
        <v>5253.997899143473</v>
      </c>
      <c r="U41" s="28">
        <v>5427.99677223289</v>
      </c>
      <c r="V41" s="28">
        <v>5600.500252189942</v>
      </c>
      <c r="W41" s="28">
        <v>5771.617630250452</v>
      </c>
      <c r="X41" s="28">
        <v>5941.459187160454</v>
      </c>
      <c r="Y41" s="40">
        <v>6110.136300399388</v>
      </c>
      <c r="AA41" s="52"/>
      <c r="AD41" s="1"/>
      <c r="AE41" s="1"/>
    </row>
    <row r="42" spans="2:27" ht="11.25">
      <c r="B42" s="96" t="s">
        <v>114</v>
      </c>
      <c r="C42" s="91" t="s">
        <v>121</v>
      </c>
      <c r="D42" s="113">
        <f>+AA37</f>
        <v>12506.19298</v>
      </c>
      <c r="E42" s="94"/>
      <c r="F42" s="73"/>
      <c r="G42" s="73"/>
      <c r="H42" s="73"/>
      <c r="I42" s="73"/>
      <c r="J42" s="73"/>
      <c r="K42" s="73"/>
      <c r="L42" s="73"/>
      <c r="M42" s="73"/>
      <c r="N42" s="73"/>
      <c r="O42" s="73"/>
      <c r="P42" s="73"/>
      <c r="Q42" s="73"/>
      <c r="R42" s="73"/>
      <c r="S42" s="73"/>
      <c r="T42" s="73"/>
      <c r="U42" s="73"/>
      <c r="V42" s="73"/>
      <c r="W42" s="73"/>
      <c r="X42" s="73"/>
      <c r="Y42" s="74"/>
      <c r="AA42" s="52"/>
    </row>
    <row r="43" spans="2:27" ht="11.25">
      <c r="B43" s="96" t="s">
        <v>115</v>
      </c>
      <c r="C43" s="92" t="s">
        <v>579</v>
      </c>
      <c r="D43" s="113">
        <f>+AA35</f>
        <v>14.3</v>
      </c>
      <c r="E43" s="95"/>
      <c r="F43" s="54"/>
      <c r="G43" s="54"/>
      <c r="H43" s="54"/>
      <c r="I43" s="54"/>
      <c r="J43" s="54"/>
      <c r="K43" s="54"/>
      <c r="L43" s="54"/>
      <c r="M43" s="54"/>
      <c r="N43" s="54"/>
      <c r="O43" s="54"/>
      <c r="P43" s="54"/>
      <c r="Q43" s="54"/>
      <c r="R43" s="54"/>
      <c r="S43" s="54"/>
      <c r="T43" s="54"/>
      <c r="U43" s="54"/>
      <c r="V43" s="54"/>
      <c r="W43" s="54"/>
      <c r="X43" s="54"/>
      <c r="Y43" s="75"/>
      <c r="AA43" s="52"/>
    </row>
    <row r="44" spans="2:27" ht="11.25">
      <c r="B44" s="96" t="s">
        <v>534</v>
      </c>
      <c r="C44" s="92" t="s">
        <v>57</v>
      </c>
      <c r="D44" s="79">
        <f>+IRR(F41:Y41)</f>
        <v>0.323656650231195</v>
      </c>
      <c r="E44" s="95"/>
      <c r="F44" s="88"/>
      <c r="G44" s="54"/>
      <c r="H44" s="54"/>
      <c r="I44" s="54"/>
      <c r="J44" s="54"/>
      <c r="K44" s="54"/>
      <c r="L44" s="54"/>
      <c r="M44" s="54"/>
      <c r="N44" s="54"/>
      <c r="O44" s="54"/>
      <c r="P44" s="54"/>
      <c r="Q44" s="54"/>
      <c r="R44" s="54"/>
      <c r="S44" s="54"/>
      <c r="T44" s="54"/>
      <c r="U44" s="54"/>
      <c r="V44" s="54"/>
      <c r="W44" s="54"/>
      <c r="X44" s="54"/>
      <c r="Y44" s="75"/>
      <c r="AA44" s="52"/>
    </row>
    <row r="45" spans="2:27" ht="12" thickBot="1">
      <c r="B45" s="107" t="s">
        <v>592</v>
      </c>
      <c r="C45" s="102" t="s">
        <v>120</v>
      </c>
      <c r="D45" s="103">
        <f>+NPV('Assumptions and Basic Info'!$C$20,F41:Y41)</f>
        <v>17177.663552655566</v>
      </c>
      <c r="E45" s="108"/>
      <c r="F45" s="105"/>
      <c r="G45" s="128"/>
      <c r="H45" s="105"/>
      <c r="I45" s="105"/>
      <c r="J45" s="105"/>
      <c r="K45" s="105"/>
      <c r="L45" s="105"/>
      <c r="M45" s="105"/>
      <c r="N45" s="105"/>
      <c r="O45" s="105"/>
      <c r="P45" s="105"/>
      <c r="Q45" s="105"/>
      <c r="R45" s="105"/>
      <c r="S45" s="105"/>
      <c r="T45" s="105"/>
      <c r="U45" s="105"/>
      <c r="V45" s="105"/>
      <c r="W45" s="105"/>
      <c r="X45" s="105"/>
      <c r="Y45" s="106"/>
      <c r="AA45" s="52"/>
    </row>
    <row r="46" spans="2:31" ht="11.25">
      <c r="B46" s="44" t="s">
        <v>86</v>
      </c>
      <c r="C46" s="23" t="s">
        <v>131</v>
      </c>
      <c r="D46" s="23"/>
      <c r="E46" s="51"/>
      <c r="F46" s="24"/>
      <c r="G46" s="24"/>
      <c r="H46" s="24"/>
      <c r="I46" s="24"/>
      <c r="J46" s="24"/>
      <c r="K46" s="24"/>
      <c r="L46" s="24"/>
      <c r="M46" s="24"/>
      <c r="N46" s="24"/>
      <c r="O46" s="24"/>
      <c r="P46" s="24"/>
      <c r="Q46" s="24"/>
      <c r="R46" s="24"/>
      <c r="S46" s="24"/>
      <c r="T46" s="24"/>
      <c r="U46" s="24"/>
      <c r="V46" s="24"/>
      <c r="W46" s="24"/>
      <c r="X46" s="24"/>
      <c r="Y46" s="45"/>
      <c r="AA46" s="52"/>
      <c r="AD46" s="1"/>
      <c r="AE46" s="1"/>
    </row>
    <row r="47" spans="2:31" ht="11.25">
      <c r="B47" s="37" t="s">
        <v>87</v>
      </c>
      <c r="C47" s="80" t="s">
        <v>124</v>
      </c>
      <c r="D47" s="81"/>
      <c r="E47" s="49" t="s">
        <v>54</v>
      </c>
      <c r="F47" s="27">
        <v>23003</v>
      </c>
      <c r="G47" s="27">
        <v>22985.88</v>
      </c>
      <c r="H47" s="27">
        <v>22969.1024</v>
      </c>
      <c r="I47" s="27">
        <v>22952.660352</v>
      </c>
      <c r="J47" s="27">
        <v>22936.54714496</v>
      </c>
      <c r="K47" s="27">
        <v>22920.7562020608</v>
      </c>
      <c r="L47" s="27">
        <v>22905.281078019583</v>
      </c>
      <c r="M47" s="27">
        <v>22890.115456459193</v>
      </c>
      <c r="N47" s="27">
        <v>22875.253147330008</v>
      </c>
      <c r="O47" s="27">
        <v>22860.688084383408</v>
      </c>
      <c r="P47" s="27">
        <v>22846.41432269574</v>
      </c>
      <c r="Q47" s="27">
        <v>22832.426036241824</v>
      </c>
      <c r="R47" s="27">
        <v>22818.71751551699</v>
      </c>
      <c r="S47" s="27">
        <v>22805.28316520665</v>
      </c>
      <c r="T47" s="27">
        <v>22792.117501902518</v>
      </c>
      <c r="U47" s="27">
        <v>22779.215151864464</v>
      </c>
      <c r="V47" s="27">
        <v>22766.570848827178</v>
      </c>
      <c r="W47" s="27">
        <v>22754.179431850633</v>
      </c>
      <c r="X47" s="27">
        <v>22742.03584321362</v>
      </c>
      <c r="Y47" s="38">
        <v>22730.13512634935</v>
      </c>
      <c r="AA47" s="52">
        <v>23003</v>
      </c>
      <c r="AC47" s="52"/>
      <c r="AD47" s="1"/>
      <c r="AE47" s="1"/>
    </row>
    <row r="48" spans="2:31" ht="11.25">
      <c r="B48" s="39" t="s">
        <v>88</v>
      </c>
      <c r="C48" s="82" t="s">
        <v>125</v>
      </c>
      <c r="D48" s="83"/>
      <c r="E48" s="50" t="s">
        <v>54</v>
      </c>
      <c r="F48" s="28">
        <v>23003</v>
      </c>
      <c r="G48" s="28">
        <v>22985.88</v>
      </c>
      <c r="H48" s="28">
        <v>23107.537191547814</v>
      </c>
      <c r="I48" s="28">
        <v>23955.777075860762</v>
      </c>
      <c r="J48" s="28">
        <v>24396.119360173703</v>
      </c>
      <c r="K48" s="28">
        <v>24531</v>
      </c>
      <c r="L48" s="28">
        <v>24531</v>
      </c>
      <c r="M48" s="28">
        <v>24531</v>
      </c>
      <c r="N48" s="28">
        <v>24531</v>
      </c>
      <c r="O48" s="28">
        <v>24531</v>
      </c>
      <c r="P48" s="28">
        <v>24531</v>
      </c>
      <c r="Q48" s="28">
        <v>24531</v>
      </c>
      <c r="R48" s="28">
        <v>24531</v>
      </c>
      <c r="S48" s="28">
        <v>24531</v>
      </c>
      <c r="T48" s="28">
        <v>24531</v>
      </c>
      <c r="U48" s="28">
        <v>24531</v>
      </c>
      <c r="V48" s="28">
        <v>24531</v>
      </c>
      <c r="W48" s="28">
        <v>24531</v>
      </c>
      <c r="X48" s="28">
        <v>24531</v>
      </c>
      <c r="Y48" s="40">
        <v>24531</v>
      </c>
      <c r="AA48" s="52">
        <v>24531</v>
      </c>
      <c r="AD48" s="1"/>
      <c r="AE48" s="1"/>
    </row>
    <row r="49" spans="2:31" ht="11.25">
      <c r="B49" s="39" t="s">
        <v>89</v>
      </c>
      <c r="C49" s="82" t="s">
        <v>81</v>
      </c>
      <c r="D49" s="83"/>
      <c r="E49" s="50" t="s">
        <v>54</v>
      </c>
      <c r="F49" s="28">
        <v>0</v>
      </c>
      <c r="G49" s="28">
        <v>0</v>
      </c>
      <c r="H49" s="28">
        <v>138.4347915478138</v>
      </c>
      <c r="I49" s="28">
        <v>1003.1167238607632</v>
      </c>
      <c r="J49" s="28">
        <v>1459.5722152137023</v>
      </c>
      <c r="K49" s="28">
        <v>1610.2437979392016</v>
      </c>
      <c r="L49" s="28">
        <v>1625.7189219804168</v>
      </c>
      <c r="M49" s="28">
        <v>1640.8845435408075</v>
      </c>
      <c r="N49" s="28">
        <v>1655.7468526699922</v>
      </c>
      <c r="O49" s="28">
        <v>1670.3119156165922</v>
      </c>
      <c r="P49" s="28">
        <v>1684.5856773042615</v>
      </c>
      <c r="Q49" s="28">
        <v>1698.5739637581755</v>
      </c>
      <c r="R49" s="28">
        <v>1712.2824844830102</v>
      </c>
      <c r="S49" s="28">
        <v>1725.7168347933512</v>
      </c>
      <c r="T49" s="28">
        <v>1738.8824980974823</v>
      </c>
      <c r="U49" s="28">
        <v>1751.7848481355359</v>
      </c>
      <c r="V49" s="28">
        <v>1764.4291511728225</v>
      </c>
      <c r="W49" s="28">
        <v>1776.8205681493673</v>
      </c>
      <c r="X49" s="28">
        <v>1788.96415678638</v>
      </c>
      <c r="Y49" s="40">
        <v>1800.8648736506511</v>
      </c>
      <c r="AA49" s="52">
        <v>1528</v>
      </c>
      <c r="AB49" s="52"/>
      <c r="AD49" s="1"/>
      <c r="AE49" s="1"/>
    </row>
    <row r="50" spans="2:31" ht="11.25">
      <c r="B50" s="39" t="s">
        <v>90</v>
      </c>
      <c r="C50" s="82" t="s">
        <v>516</v>
      </c>
      <c r="D50" s="83"/>
      <c r="E50" s="50" t="s">
        <v>526</v>
      </c>
      <c r="F50" s="28">
        <v>0</v>
      </c>
      <c r="G50" s="28">
        <v>0</v>
      </c>
      <c r="H50" s="28">
        <v>4577.256529474311</v>
      </c>
      <c r="I50" s="28">
        <v>17979.273421874874</v>
      </c>
      <c r="J50" s="28">
        <v>31383.747163965156</v>
      </c>
      <c r="K50" s="28">
        <v>36198.43594035202</v>
      </c>
      <c r="L50" s="28">
        <v>38192.77337796611</v>
      </c>
      <c r="M50" s="28">
        <v>40266.88431308475</v>
      </c>
      <c r="N50" s="28">
        <v>42423.95968560815</v>
      </c>
      <c r="O50" s="28">
        <v>44667.31807303247</v>
      </c>
      <c r="P50" s="28">
        <v>47000.410795953765</v>
      </c>
      <c r="Q50" s="28">
        <v>49426.82722779192</v>
      </c>
      <c r="R50" s="28">
        <v>51950.300316903595</v>
      </c>
      <c r="S50" s="28">
        <v>54574.712329579736</v>
      </c>
      <c r="T50" s="28">
        <v>57304.10082276292</v>
      </c>
      <c r="U50" s="28">
        <v>60142.66485567344</v>
      </c>
      <c r="V50" s="28">
        <v>63094.77144990038</v>
      </c>
      <c r="W50" s="28">
        <v>66164.96230789639</v>
      </c>
      <c r="X50" s="28">
        <v>69357.96080021225</v>
      </c>
      <c r="Y50" s="40">
        <v>72678.67923222075</v>
      </c>
      <c r="AA50" s="52">
        <v>27320</v>
      </c>
      <c r="AB50" s="52"/>
      <c r="AD50" s="1"/>
      <c r="AE50" s="1"/>
    </row>
    <row r="51" spans="2:31" ht="11.25">
      <c r="B51" s="39" t="s">
        <v>105</v>
      </c>
      <c r="C51" s="82" t="s">
        <v>58</v>
      </c>
      <c r="D51" s="83"/>
      <c r="E51" s="50" t="s">
        <v>118</v>
      </c>
      <c r="F51" s="28">
        <v>0</v>
      </c>
      <c r="G51" s="28">
        <v>1085.7020553359685</v>
      </c>
      <c r="H51" s="28">
        <v>2466.403162055336</v>
      </c>
      <c r="I51" s="28">
        <v>2034.7826086956522</v>
      </c>
      <c r="J51" s="28">
        <v>655.640251413043</v>
      </c>
      <c r="K51" s="28">
        <v>0</v>
      </c>
      <c r="L51" s="31">
        <v>0</v>
      </c>
      <c r="M51" s="31">
        <v>0</v>
      </c>
      <c r="N51" s="31">
        <v>0</v>
      </c>
      <c r="O51" s="31">
        <v>0</v>
      </c>
      <c r="P51" s="31">
        <v>0</v>
      </c>
      <c r="Q51" s="31">
        <v>0</v>
      </c>
      <c r="R51" s="31">
        <v>0</v>
      </c>
      <c r="S51" s="31">
        <v>0</v>
      </c>
      <c r="T51" s="31">
        <v>0</v>
      </c>
      <c r="U51" s="31">
        <v>0</v>
      </c>
      <c r="V51" s="31">
        <v>0</v>
      </c>
      <c r="W51" s="31">
        <v>0</v>
      </c>
      <c r="X51" s="31">
        <v>0</v>
      </c>
      <c r="Y51" s="46">
        <v>0</v>
      </c>
      <c r="AA51" s="52">
        <v>6242.5280775</v>
      </c>
      <c r="AD51" s="1"/>
      <c r="AE51" s="1"/>
    </row>
    <row r="52" spans="2:31" ht="11.25">
      <c r="B52" s="39" t="s">
        <v>535</v>
      </c>
      <c r="C52" s="82" t="s">
        <v>24</v>
      </c>
      <c r="D52" s="83"/>
      <c r="E52" s="50" t="s">
        <v>118</v>
      </c>
      <c r="F52" s="28">
        <v>0</v>
      </c>
      <c r="G52" s="28">
        <v>162.85530830039528</v>
      </c>
      <c r="H52" s="28">
        <v>369.9604743083004</v>
      </c>
      <c r="I52" s="28">
        <v>305.2173913043478</v>
      </c>
      <c r="J52" s="28">
        <v>98.34603771195644</v>
      </c>
      <c r="K52" s="28">
        <v>0</v>
      </c>
      <c r="L52" s="28">
        <v>0</v>
      </c>
      <c r="M52" s="28">
        <v>0</v>
      </c>
      <c r="N52" s="28">
        <v>0</v>
      </c>
      <c r="O52" s="28">
        <v>0</v>
      </c>
      <c r="P52" s="28">
        <v>0</v>
      </c>
      <c r="Q52" s="28">
        <v>0</v>
      </c>
      <c r="R52" s="28">
        <v>0</v>
      </c>
      <c r="S52" s="28">
        <v>0</v>
      </c>
      <c r="T52" s="28">
        <v>0</v>
      </c>
      <c r="U52" s="28">
        <v>0</v>
      </c>
      <c r="V52" s="31">
        <v>0</v>
      </c>
      <c r="W52" s="31">
        <v>0</v>
      </c>
      <c r="X52" s="31">
        <v>0</v>
      </c>
      <c r="Y52" s="46">
        <v>0</v>
      </c>
      <c r="AA52" s="54">
        <f>+AA51*'Assumptions and Basic Info'!$C$4</f>
        <v>6242.5280775</v>
      </c>
      <c r="AD52" s="1"/>
      <c r="AE52" s="1"/>
    </row>
    <row r="53" spans="2:31" ht="11.25">
      <c r="B53" s="39" t="s">
        <v>536</v>
      </c>
      <c r="C53" s="82" t="s">
        <v>83</v>
      </c>
      <c r="D53" s="83"/>
      <c r="E53" s="50" t="s">
        <v>118</v>
      </c>
      <c r="F53" s="28">
        <v>52.17735770999999</v>
      </c>
      <c r="G53" s="28">
        <v>114.77273636363637</v>
      </c>
      <c r="H53" s="28">
        <v>237.88036363636363</v>
      </c>
      <c r="I53" s="28">
        <v>188.244</v>
      </c>
      <c r="J53" s="28">
        <v>62.25640831124994</v>
      </c>
      <c r="K53" s="28">
        <v>0</v>
      </c>
      <c r="L53" s="28">
        <v>0</v>
      </c>
      <c r="M53" s="28">
        <v>0</v>
      </c>
      <c r="N53" s="28">
        <v>0</v>
      </c>
      <c r="O53" s="28">
        <v>0</v>
      </c>
      <c r="P53" s="28">
        <v>0</v>
      </c>
      <c r="Q53" s="28">
        <v>0</v>
      </c>
      <c r="R53" s="28">
        <v>0</v>
      </c>
      <c r="S53" s="28">
        <v>0</v>
      </c>
      <c r="T53" s="28">
        <v>0</v>
      </c>
      <c r="U53" s="28">
        <v>0</v>
      </c>
      <c r="V53" s="31">
        <v>0</v>
      </c>
      <c r="W53" s="31">
        <v>0</v>
      </c>
      <c r="X53" s="31">
        <v>0</v>
      </c>
      <c r="Y53" s="46">
        <v>0</v>
      </c>
      <c r="AA53" s="54">
        <v>655.3308660212499</v>
      </c>
      <c r="AD53" s="1"/>
      <c r="AE53" s="1"/>
    </row>
    <row r="54" spans="2:31" ht="11.25">
      <c r="B54" s="39" t="s">
        <v>537</v>
      </c>
      <c r="C54" s="82" t="s">
        <v>82</v>
      </c>
      <c r="D54" s="83"/>
      <c r="E54" s="50" t="s">
        <v>118</v>
      </c>
      <c r="F54" s="28">
        <v>0</v>
      </c>
      <c r="G54" s="28">
        <v>1.0435471541999999</v>
      </c>
      <c r="H54" s="28">
        <v>33.00228015420001</v>
      </c>
      <c r="I54" s="28">
        <v>99.94716015419999</v>
      </c>
      <c r="J54" s="28">
        <v>150.5120401542</v>
      </c>
      <c r="K54" s="28">
        <v>166.836894102925</v>
      </c>
      <c r="L54" s="28">
        <v>166.836894102925</v>
      </c>
      <c r="M54" s="28">
        <v>166.836894102925</v>
      </c>
      <c r="N54" s="28">
        <v>166.836894102925</v>
      </c>
      <c r="O54" s="28">
        <v>166.836894102925</v>
      </c>
      <c r="P54" s="28">
        <v>166.836894102925</v>
      </c>
      <c r="Q54" s="28">
        <v>166.836894102925</v>
      </c>
      <c r="R54" s="28">
        <v>166.836894102925</v>
      </c>
      <c r="S54" s="28">
        <v>166.836894102925</v>
      </c>
      <c r="T54" s="28">
        <v>166.836894102925</v>
      </c>
      <c r="U54" s="28">
        <v>166.836894102925</v>
      </c>
      <c r="V54" s="28">
        <v>166.836894102925</v>
      </c>
      <c r="W54" s="28">
        <v>166.836894102925</v>
      </c>
      <c r="X54" s="28">
        <v>166.836894102925</v>
      </c>
      <c r="Y54" s="40">
        <v>166.836894102925</v>
      </c>
      <c r="AA54" s="52"/>
      <c r="AD54" s="1"/>
      <c r="AE54" s="1"/>
    </row>
    <row r="55" spans="2:31" ht="11.25">
      <c r="B55" s="39" t="s">
        <v>593</v>
      </c>
      <c r="C55" s="82" t="s">
        <v>578</v>
      </c>
      <c r="D55" s="83"/>
      <c r="E55" s="50" t="s">
        <v>118</v>
      </c>
      <c r="F55" s="28">
        <v>4.766666666666667</v>
      </c>
      <c r="G55" s="28">
        <v>9.533333333333333</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40">
        <v>0</v>
      </c>
      <c r="AA55" s="52">
        <v>14.3</v>
      </c>
      <c r="AD55" s="1"/>
      <c r="AE55" s="1"/>
    </row>
    <row r="56" spans="2:31" ht="11.25">
      <c r="B56" s="39" t="s">
        <v>695</v>
      </c>
      <c r="C56" s="82" t="s">
        <v>691</v>
      </c>
      <c r="D56" s="83"/>
      <c r="E56" s="50" t="s">
        <v>118</v>
      </c>
      <c r="F56" s="28">
        <v>0</v>
      </c>
      <c r="G56" s="28">
        <v>0</v>
      </c>
      <c r="H56" s="28">
        <v>25.031400824526603</v>
      </c>
      <c r="I56" s="28">
        <v>118.5314008245266</v>
      </c>
      <c r="J56" s="28">
        <v>25.031400824526607</v>
      </c>
      <c r="K56" s="28">
        <v>12.405797526420187</v>
      </c>
      <c r="L56" s="28">
        <v>0</v>
      </c>
      <c r="M56" s="28">
        <v>0</v>
      </c>
      <c r="N56" s="28">
        <v>0</v>
      </c>
      <c r="O56" s="28">
        <v>0</v>
      </c>
      <c r="P56" s="28">
        <v>0</v>
      </c>
      <c r="Q56" s="28">
        <v>0</v>
      </c>
      <c r="R56" s="28">
        <v>0</v>
      </c>
      <c r="S56" s="28">
        <v>0</v>
      </c>
      <c r="T56" s="28">
        <v>0</v>
      </c>
      <c r="U56" s="28">
        <v>0</v>
      </c>
      <c r="V56" s="28">
        <v>0</v>
      </c>
      <c r="W56" s="28">
        <v>0</v>
      </c>
      <c r="X56" s="28">
        <v>0</v>
      </c>
      <c r="Y56" s="40">
        <v>0</v>
      </c>
      <c r="AA56" s="52"/>
      <c r="AD56" s="1"/>
      <c r="AE56" s="1"/>
    </row>
    <row r="57" spans="2:31" ht="11.25">
      <c r="B57" s="39" t="s">
        <v>91</v>
      </c>
      <c r="C57" s="82" t="s">
        <v>696</v>
      </c>
      <c r="D57" s="83"/>
      <c r="E57" s="50" t="s">
        <v>118</v>
      </c>
      <c r="F57" s="28">
        <v>56.944024376666654</v>
      </c>
      <c r="G57" s="28">
        <v>1373.9069804875335</v>
      </c>
      <c r="H57" s="28">
        <v>3132.277680978727</v>
      </c>
      <c r="I57" s="28">
        <v>2746.7225609787265</v>
      </c>
      <c r="J57" s="28">
        <v>991.786138414976</v>
      </c>
      <c r="K57" s="28">
        <v>179.2426916293452</v>
      </c>
      <c r="L57" s="28">
        <v>166.836894102925</v>
      </c>
      <c r="M57" s="28">
        <v>166.836894102925</v>
      </c>
      <c r="N57" s="28">
        <v>166.836894102925</v>
      </c>
      <c r="O57" s="28">
        <v>166.836894102925</v>
      </c>
      <c r="P57" s="28">
        <v>166.836894102925</v>
      </c>
      <c r="Q57" s="28">
        <v>166.836894102925</v>
      </c>
      <c r="R57" s="28">
        <v>166.836894102925</v>
      </c>
      <c r="S57" s="28">
        <v>166.836894102925</v>
      </c>
      <c r="T57" s="28">
        <v>166.836894102925</v>
      </c>
      <c r="U57" s="28">
        <v>166.836894102925</v>
      </c>
      <c r="V57" s="28">
        <v>166.836894102925</v>
      </c>
      <c r="W57" s="28">
        <v>166.836894102925</v>
      </c>
      <c r="X57" s="28">
        <v>166.836894102925</v>
      </c>
      <c r="Y57" s="40">
        <v>166.836894102925</v>
      </c>
      <c r="AA57" s="52">
        <f>+AA51+AA52+AA53</f>
        <v>13140.38702102125</v>
      </c>
      <c r="AD57" s="1"/>
      <c r="AE57" s="1"/>
    </row>
    <row r="58" spans="2:31" ht="11.25">
      <c r="B58" s="39" t="s">
        <v>538</v>
      </c>
      <c r="C58" s="82" t="s">
        <v>128</v>
      </c>
      <c r="D58" s="83"/>
      <c r="E58" s="50" t="s">
        <v>118</v>
      </c>
      <c r="F58" s="28">
        <v>0</v>
      </c>
      <c r="G58" s="28">
        <v>0</v>
      </c>
      <c r="H58" s="28">
        <v>27.035164514562744</v>
      </c>
      <c r="I58" s="28">
        <v>265.31604177687734</v>
      </c>
      <c r="J58" s="28">
        <v>538.0277241207295</v>
      </c>
      <c r="K58" s="28">
        <v>793.7868791130103</v>
      </c>
      <c r="L58" s="28">
        <v>1047.2220036285314</v>
      </c>
      <c r="M58" s="28">
        <v>1245.5527924359528</v>
      </c>
      <c r="N58" s="28">
        <v>1199.7395259425978</v>
      </c>
      <c r="O58" s="28">
        <v>1211.9181561877924</v>
      </c>
      <c r="P58" s="28">
        <v>1219.700012932823</v>
      </c>
      <c r="Q58" s="28">
        <v>1239.0752010700846</v>
      </c>
      <c r="R58" s="28">
        <v>1258.0628854446009</v>
      </c>
      <c r="S58" s="28">
        <v>1276.670816131627</v>
      </c>
      <c r="T58" s="28">
        <v>1294.9065882049124</v>
      </c>
      <c r="U58" s="28">
        <v>1312.7776448367322</v>
      </c>
      <c r="V58" s="28">
        <v>1330.2912803359156</v>
      </c>
      <c r="W58" s="28">
        <v>1347.4546431251151</v>
      </c>
      <c r="X58" s="28">
        <v>1364.2747386585309</v>
      </c>
      <c r="Y58" s="40">
        <v>1380.7584322812784</v>
      </c>
      <c r="AA58" s="52"/>
      <c r="AD58" s="1"/>
      <c r="AE58" s="1"/>
    </row>
    <row r="59" spans="2:31" ht="11.25">
      <c r="B59" s="39" t="s">
        <v>539</v>
      </c>
      <c r="C59" s="82" t="s">
        <v>522</v>
      </c>
      <c r="D59" s="83"/>
      <c r="E59" s="50" t="s">
        <v>118</v>
      </c>
      <c r="F59" s="28">
        <v>0</v>
      </c>
      <c r="G59" s="28">
        <v>0</v>
      </c>
      <c r="H59" s="28">
        <v>116.26231584864749</v>
      </c>
      <c r="I59" s="28">
        <v>456.67354491562173</v>
      </c>
      <c r="J59" s="28">
        <v>797.147177964715</v>
      </c>
      <c r="K59" s="28">
        <v>919.4402728849414</v>
      </c>
      <c r="L59" s="28">
        <v>970.096443800339</v>
      </c>
      <c r="M59" s="28">
        <v>1022.7788615523526</v>
      </c>
      <c r="N59" s="28">
        <v>1077.5685760144468</v>
      </c>
      <c r="O59" s="28">
        <v>1134.5498790550246</v>
      </c>
      <c r="P59" s="28">
        <v>1193.8104342172255</v>
      </c>
      <c r="Q59" s="28">
        <v>1255.4414115859147</v>
      </c>
      <c r="R59" s="28">
        <v>1319.5376280493513</v>
      </c>
      <c r="S59" s="28">
        <v>1386.1976931713252</v>
      </c>
      <c r="T59" s="28">
        <v>1455.524160898178</v>
      </c>
      <c r="U59" s="28">
        <v>1527.6236873341054</v>
      </c>
      <c r="V59" s="28">
        <v>1602.6071948274696</v>
      </c>
      <c r="W59" s="28">
        <v>1680.5900426205683</v>
      </c>
      <c r="X59" s="28">
        <v>1761.6922043253912</v>
      </c>
      <c r="Y59" s="40">
        <v>1846.038452498407</v>
      </c>
      <c r="AA59" s="52"/>
      <c r="AD59" s="1"/>
      <c r="AE59" s="1"/>
    </row>
    <row r="60" spans="2:31" ht="11.25">
      <c r="B60" s="39" t="s">
        <v>92</v>
      </c>
      <c r="C60" s="82" t="s">
        <v>540</v>
      </c>
      <c r="D60" s="83"/>
      <c r="E60" s="50" t="s">
        <v>118</v>
      </c>
      <c r="F60" s="28">
        <v>0</v>
      </c>
      <c r="G60" s="28">
        <v>0</v>
      </c>
      <c r="H60" s="28">
        <v>143.29748036321024</v>
      </c>
      <c r="I60" s="28">
        <v>721.9895866924991</v>
      </c>
      <c r="J60" s="28">
        <v>1335.1749020854445</v>
      </c>
      <c r="K60" s="28">
        <v>1713.2271519979518</v>
      </c>
      <c r="L60" s="28">
        <v>2017.3184474288705</v>
      </c>
      <c r="M60" s="28">
        <v>2268.3316539883053</v>
      </c>
      <c r="N60" s="28">
        <v>2277.3081019570445</v>
      </c>
      <c r="O60" s="28">
        <v>2346.4680352428168</v>
      </c>
      <c r="P60" s="28">
        <v>2413.5104471500485</v>
      </c>
      <c r="Q60" s="28">
        <v>2494.5166126559993</v>
      </c>
      <c r="R60" s="28">
        <v>2577.6005134939523</v>
      </c>
      <c r="S60" s="28">
        <v>2662.868509302952</v>
      </c>
      <c r="T60" s="28">
        <v>2750.4307491030904</v>
      </c>
      <c r="U60" s="28">
        <v>2840.4013321708376</v>
      </c>
      <c r="V60" s="28">
        <v>2932.8984751633852</v>
      </c>
      <c r="W60" s="28">
        <v>3028.0446857456836</v>
      </c>
      <c r="X60" s="28">
        <v>3125.9669429839223</v>
      </c>
      <c r="Y60" s="40">
        <v>3226.7968847796856</v>
      </c>
      <c r="AA60" s="52"/>
      <c r="AD60" s="1"/>
      <c r="AE60" s="1"/>
    </row>
    <row r="61" spans="2:31" ht="11.25">
      <c r="B61" s="42" t="s">
        <v>93</v>
      </c>
      <c r="C61" s="84" t="s">
        <v>541</v>
      </c>
      <c r="D61" s="85"/>
      <c r="E61" s="50" t="s">
        <v>118</v>
      </c>
      <c r="F61" s="28">
        <v>-56.944024376666654</v>
      </c>
      <c r="G61" s="28">
        <v>-1373.9069804875335</v>
      </c>
      <c r="H61" s="28">
        <v>-2988.980200615517</v>
      </c>
      <c r="I61" s="28">
        <v>-2024.7329742862275</v>
      </c>
      <c r="J61" s="28">
        <v>343.3887636704685</v>
      </c>
      <c r="K61" s="28">
        <v>1533.9844603686065</v>
      </c>
      <c r="L61" s="28">
        <v>1850.4815533259455</v>
      </c>
      <c r="M61" s="28">
        <v>2101.4947598853805</v>
      </c>
      <c r="N61" s="28">
        <v>2110.4712078541197</v>
      </c>
      <c r="O61" s="28">
        <v>2179.631141139892</v>
      </c>
      <c r="P61" s="28">
        <v>2246.6735530471237</v>
      </c>
      <c r="Q61" s="28">
        <v>2327.6797185530745</v>
      </c>
      <c r="R61" s="28">
        <v>2410.7636193910275</v>
      </c>
      <c r="S61" s="28">
        <v>2496.0316152000273</v>
      </c>
      <c r="T61" s="28">
        <v>2583.5938550001656</v>
      </c>
      <c r="U61" s="28">
        <v>2673.5644380679128</v>
      </c>
      <c r="V61" s="28">
        <v>2766.0615810604604</v>
      </c>
      <c r="W61" s="28">
        <v>2861.207791642759</v>
      </c>
      <c r="X61" s="28">
        <v>2959.1300488809975</v>
      </c>
      <c r="Y61" s="40">
        <v>3059.9599906767608</v>
      </c>
      <c r="AA61" s="52"/>
      <c r="AD61" s="1"/>
      <c r="AE61" s="1"/>
    </row>
    <row r="62" spans="2:27" ht="11.25">
      <c r="B62" s="96" t="s">
        <v>94</v>
      </c>
      <c r="C62" s="91" t="s">
        <v>121</v>
      </c>
      <c r="D62" s="113">
        <f>+AA57</f>
        <v>13140.38702102125</v>
      </c>
      <c r="E62" s="94"/>
      <c r="F62" s="73"/>
      <c r="G62" s="73"/>
      <c r="H62" s="73"/>
      <c r="I62" s="73"/>
      <c r="J62" s="73"/>
      <c r="K62" s="73"/>
      <c r="L62" s="73"/>
      <c r="M62" s="73"/>
      <c r="N62" s="73"/>
      <c r="O62" s="73"/>
      <c r="P62" s="73"/>
      <c r="Q62" s="73"/>
      <c r="R62" s="73"/>
      <c r="S62" s="73"/>
      <c r="T62" s="73"/>
      <c r="U62" s="73"/>
      <c r="V62" s="73"/>
      <c r="W62" s="73"/>
      <c r="X62" s="73"/>
      <c r="Y62" s="74"/>
      <c r="AA62" s="52"/>
    </row>
    <row r="63" spans="2:27" ht="11.25">
      <c r="B63" s="96" t="s">
        <v>95</v>
      </c>
      <c r="C63" s="92" t="s">
        <v>579</v>
      </c>
      <c r="D63" s="113">
        <f>+AA55</f>
        <v>14.3</v>
      </c>
      <c r="E63" s="95"/>
      <c r="F63" s="54"/>
      <c r="G63" s="54"/>
      <c r="H63" s="54"/>
      <c r="I63" s="54"/>
      <c r="J63" s="54"/>
      <c r="K63" s="54"/>
      <c r="L63" s="54"/>
      <c r="M63" s="54"/>
      <c r="N63" s="54"/>
      <c r="O63" s="54"/>
      <c r="P63" s="54"/>
      <c r="Q63" s="54"/>
      <c r="R63" s="54"/>
      <c r="S63" s="54"/>
      <c r="T63" s="54"/>
      <c r="U63" s="54"/>
      <c r="V63" s="54"/>
      <c r="W63" s="54"/>
      <c r="X63" s="54"/>
      <c r="Y63" s="75"/>
      <c r="AA63" s="52"/>
    </row>
    <row r="64" spans="2:27" ht="11.25">
      <c r="B64" s="96" t="s">
        <v>542</v>
      </c>
      <c r="C64" s="92" t="s">
        <v>57</v>
      </c>
      <c r="D64" s="79">
        <f>+IRR(F61:Y61)</f>
        <v>0.21732498611021442</v>
      </c>
      <c r="E64" s="95"/>
      <c r="F64" s="88"/>
      <c r="G64" s="54"/>
      <c r="H64" s="54"/>
      <c r="I64" s="54"/>
      <c r="J64" s="54"/>
      <c r="K64" s="54"/>
      <c r="L64" s="54"/>
      <c r="M64" s="54"/>
      <c r="N64" s="54"/>
      <c r="O64" s="54"/>
      <c r="P64" s="54"/>
      <c r="Q64" s="54"/>
      <c r="R64" s="54"/>
      <c r="S64" s="54"/>
      <c r="T64" s="54"/>
      <c r="U64" s="54"/>
      <c r="V64" s="54"/>
      <c r="W64" s="54"/>
      <c r="X64" s="54"/>
      <c r="Y64" s="75"/>
      <c r="AA64" s="52"/>
    </row>
    <row r="65" spans="2:27" ht="12" thickBot="1">
      <c r="B65" s="107" t="s">
        <v>594</v>
      </c>
      <c r="C65" s="102" t="s">
        <v>120</v>
      </c>
      <c r="D65" s="103">
        <f>+NPV('Assumptions and Basic Info'!$C$20,F61:Y61)</f>
        <v>6014.2370924594015</v>
      </c>
      <c r="E65" s="108"/>
      <c r="F65" s="105"/>
      <c r="G65" s="127"/>
      <c r="H65" s="105"/>
      <c r="I65" s="105"/>
      <c r="J65" s="105"/>
      <c r="K65" s="105"/>
      <c r="L65" s="105"/>
      <c r="M65" s="105"/>
      <c r="N65" s="105"/>
      <c r="O65" s="105"/>
      <c r="P65" s="105"/>
      <c r="Q65" s="105"/>
      <c r="R65" s="105"/>
      <c r="S65" s="105"/>
      <c r="T65" s="105"/>
      <c r="U65" s="105"/>
      <c r="V65" s="105"/>
      <c r="W65" s="105"/>
      <c r="X65" s="105"/>
      <c r="Y65" s="106"/>
      <c r="AA65" s="52"/>
    </row>
    <row r="66" spans="2:27" ht="11.25">
      <c r="B66" s="35" t="s">
        <v>132</v>
      </c>
      <c r="C66" s="25" t="s">
        <v>147</v>
      </c>
      <c r="D66" s="25"/>
      <c r="E66" s="48"/>
      <c r="F66" s="26"/>
      <c r="G66" s="26"/>
      <c r="H66" s="26"/>
      <c r="I66" s="26"/>
      <c r="J66" s="26"/>
      <c r="K66" s="26"/>
      <c r="L66" s="26"/>
      <c r="M66" s="26"/>
      <c r="N66" s="26"/>
      <c r="O66" s="26"/>
      <c r="P66" s="26"/>
      <c r="Q66" s="26"/>
      <c r="R66" s="26"/>
      <c r="S66" s="26"/>
      <c r="T66" s="26"/>
      <c r="U66" s="26"/>
      <c r="V66" s="26"/>
      <c r="W66" s="26"/>
      <c r="X66" s="26"/>
      <c r="Y66" s="36"/>
      <c r="AA66" s="52"/>
    </row>
    <row r="67" spans="2:29" ht="11.25">
      <c r="B67" s="37" t="s">
        <v>471</v>
      </c>
      <c r="C67" s="80" t="s">
        <v>124</v>
      </c>
      <c r="D67" s="81"/>
      <c r="E67" s="49" t="s">
        <v>54</v>
      </c>
      <c r="F67" s="27">
        <v>13056</v>
      </c>
      <c r="G67" s="27">
        <v>12826.88</v>
      </c>
      <c r="H67" s="27">
        <v>12598.3424</v>
      </c>
      <c r="I67" s="27">
        <v>12370.375552</v>
      </c>
      <c r="J67" s="27">
        <v>12142.96804096</v>
      </c>
      <c r="K67" s="27">
        <v>11916.1086801408</v>
      </c>
      <c r="L67" s="27">
        <v>11689.786506537985</v>
      </c>
      <c r="M67" s="27">
        <v>11463.990776407223</v>
      </c>
      <c r="N67" s="27">
        <v>11238.71096087908</v>
      </c>
      <c r="O67" s="27">
        <v>11013.936741661499</v>
      </c>
      <c r="P67" s="27">
        <v>10989.658006828267</v>
      </c>
      <c r="Q67" s="27">
        <v>10965.864846691702</v>
      </c>
      <c r="R67" s="27">
        <v>10942.547549757868</v>
      </c>
      <c r="S67" s="27">
        <v>10919.696598762712</v>
      </c>
      <c r="T67" s="27">
        <v>10897.302666787456</v>
      </c>
      <c r="U67" s="27">
        <v>10875.356613451708</v>
      </c>
      <c r="V67" s="27">
        <v>10853.849481182673</v>
      </c>
      <c r="W67" s="27">
        <v>10832.77249155902</v>
      </c>
      <c r="X67" s="27">
        <v>10812.11704172784</v>
      </c>
      <c r="Y67" s="38">
        <v>10791.874700893282</v>
      </c>
      <c r="AA67" s="52">
        <v>13056</v>
      </c>
      <c r="AC67" s="52"/>
    </row>
    <row r="68" spans="2:29" ht="11.25">
      <c r="B68" s="39" t="s">
        <v>472</v>
      </c>
      <c r="C68" s="82" t="s">
        <v>125</v>
      </c>
      <c r="D68" s="83"/>
      <c r="E68" s="50" t="s">
        <v>54</v>
      </c>
      <c r="F68" s="28">
        <v>13056</v>
      </c>
      <c r="G68" s="28">
        <v>12826.88</v>
      </c>
      <c r="H68" s="28">
        <v>12918.406668765621</v>
      </c>
      <c r="I68" s="28">
        <v>16792.69101182739</v>
      </c>
      <c r="J68" s="28">
        <v>22100.0692344285</v>
      </c>
      <c r="K68" s="28">
        <v>23320</v>
      </c>
      <c r="L68" s="28">
        <v>23320</v>
      </c>
      <c r="M68" s="28">
        <v>23320</v>
      </c>
      <c r="N68" s="28">
        <v>23320</v>
      </c>
      <c r="O68" s="28">
        <v>23320</v>
      </c>
      <c r="P68" s="28">
        <v>23320</v>
      </c>
      <c r="Q68" s="28">
        <v>23320</v>
      </c>
      <c r="R68" s="28">
        <v>23320</v>
      </c>
      <c r="S68" s="28">
        <v>23320</v>
      </c>
      <c r="T68" s="28">
        <v>23320</v>
      </c>
      <c r="U68" s="28">
        <v>23320</v>
      </c>
      <c r="V68" s="28">
        <v>23320</v>
      </c>
      <c r="W68" s="28">
        <v>23320</v>
      </c>
      <c r="X68" s="28">
        <v>23320</v>
      </c>
      <c r="Y68" s="40">
        <v>23320</v>
      </c>
      <c r="AA68" s="52">
        <v>23320</v>
      </c>
      <c r="AC68" s="52"/>
    </row>
    <row r="69" spans="2:27" ht="11.25">
      <c r="B69" s="39" t="s">
        <v>473</v>
      </c>
      <c r="C69" s="82" t="s">
        <v>81</v>
      </c>
      <c r="D69" s="83"/>
      <c r="E69" s="50" t="s">
        <v>54</v>
      </c>
      <c r="F69" s="28">
        <v>0</v>
      </c>
      <c r="G69" s="28">
        <v>0</v>
      </c>
      <c r="H69" s="28">
        <v>320.0642687656218</v>
      </c>
      <c r="I69" s="28">
        <v>4422.315459827392</v>
      </c>
      <c r="J69" s="28">
        <v>9957.101193468501</v>
      </c>
      <c r="K69" s="28">
        <v>11403.8913198592</v>
      </c>
      <c r="L69" s="28">
        <v>11630.213493462015</v>
      </c>
      <c r="M69" s="28">
        <v>11856.009223592777</v>
      </c>
      <c r="N69" s="28">
        <v>12081.28903912092</v>
      </c>
      <c r="O69" s="28">
        <v>12306.063258338501</v>
      </c>
      <c r="P69" s="28">
        <v>12330.341993171733</v>
      </c>
      <c r="Q69" s="28">
        <v>12354.135153308298</v>
      </c>
      <c r="R69" s="28">
        <v>12377.452450242132</v>
      </c>
      <c r="S69" s="28">
        <v>12400.303401237288</v>
      </c>
      <c r="T69" s="28">
        <v>12422.697333212544</v>
      </c>
      <c r="U69" s="28">
        <v>12444.643386548292</v>
      </c>
      <c r="V69" s="28">
        <v>12466.150518817327</v>
      </c>
      <c r="W69" s="28">
        <v>12487.22750844098</v>
      </c>
      <c r="X69" s="28">
        <v>12507.88295827216</v>
      </c>
      <c r="Y69" s="40">
        <v>12528.125299106718</v>
      </c>
      <c r="AA69" s="52">
        <v>10264</v>
      </c>
    </row>
    <row r="70" spans="2:27" ht="11.25">
      <c r="B70" s="39" t="s">
        <v>474</v>
      </c>
      <c r="C70" s="82" t="s">
        <v>65</v>
      </c>
      <c r="D70" s="83"/>
      <c r="E70" s="50" t="s">
        <v>119</v>
      </c>
      <c r="F70" s="28">
        <v>0</v>
      </c>
      <c r="G70" s="28">
        <v>0</v>
      </c>
      <c r="H70" s="28">
        <v>0</v>
      </c>
      <c r="I70" s="28">
        <v>0</v>
      </c>
      <c r="J70" s="28">
        <v>2477.7777777777774</v>
      </c>
      <c r="K70" s="28">
        <v>1982.2222222222217</v>
      </c>
      <c r="L70" s="28">
        <v>1486.666666666666</v>
      </c>
      <c r="M70" s="28">
        <v>991.1111111111105</v>
      </c>
      <c r="N70" s="28">
        <v>495.555555555555</v>
      </c>
      <c r="O70" s="28">
        <v>0</v>
      </c>
      <c r="P70" s="28">
        <v>0</v>
      </c>
      <c r="Q70" s="28">
        <v>0</v>
      </c>
      <c r="R70" s="28">
        <v>0</v>
      </c>
      <c r="S70" s="28">
        <v>0</v>
      </c>
      <c r="T70" s="28">
        <v>0</v>
      </c>
      <c r="U70" s="28">
        <v>0</v>
      </c>
      <c r="V70" s="28">
        <v>0</v>
      </c>
      <c r="W70" s="28">
        <v>0</v>
      </c>
      <c r="X70" s="28">
        <v>0</v>
      </c>
      <c r="Y70" s="40">
        <v>0</v>
      </c>
      <c r="AA70" s="52">
        <v>4460</v>
      </c>
    </row>
    <row r="71" spans="2:27" ht="11.25">
      <c r="B71" s="39" t="s">
        <v>475</v>
      </c>
      <c r="C71" s="82" t="s">
        <v>516</v>
      </c>
      <c r="D71" s="83"/>
      <c r="E71" s="50" t="s">
        <v>526</v>
      </c>
      <c r="F71" s="28">
        <v>0</v>
      </c>
      <c r="G71" s="28">
        <v>0</v>
      </c>
      <c r="H71" s="28">
        <v>0</v>
      </c>
      <c r="I71" s="28">
        <v>20734.510275088163</v>
      </c>
      <c r="J71" s="28">
        <v>54699.74515915682</v>
      </c>
      <c r="K71" s="28">
        <v>65829.64122880001</v>
      </c>
      <c r="L71" s="28">
        <v>69455.26687795202</v>
      </c>
      <c r="M71" s="28">
        <v>73225.9175530701</v>
      </c>
      <c r="N71" s="28">
        <v>77147.3942551929</v>
      </c>
      <c r="O71" s="28">
        <v>81225.73002540063</v>
      </c>
      <c r="P71" s="28">
        <v>85467.19922641665</v>
      </c>
      <c r="Q71" s="28">
        <v>89878.32719547332</v>
      </c>
      <c r="R71" s="28">
        <v>94465.90028329226</v>
      </c>
      <c r="S71" s="28">
        <v>99236.97629462395</v>
      </c>
      <c r="T71" s="28">
        <v>104198.89534640891</v>
      </c>
      <c r="U71" s="28">
        <v>109359.29116026527</v>
      </c>
      <c r="V71" s="28">
        <v>114726.10280667589</v>
      </c>
      <c r="W71" s="28">
        <v>120307.58691894292</v>
      </c>
      <c r="X71" s="28">
        <v>126112.33039570064</v>
      </c>
      <c r="Y71" s="40">
        <v>132149.26361152867</v>
      </c>
      <c r="AA71" s="52">
        <v>49689</v>
      </c>
    </row>
    <row r="72" spans="2:27" ht="11.25">
      <c r="B72" s="39" t="s">
        <v>476</v>
      </c>
      <c r="C72" s="82" t="s">
        <v>58</v>
      </c>
      <c r="D72" s="83"/>
      <c r="E72" s="50" t="s">
        <v>118</v>
      </c>
      <c r="F72" s="28">
        <v>0</v>
      </c>
      <c r="G72" s="28">
        <v>1157.598814229249</v>
      </c>
      <c r="H72" s="28">
        <v>3119.38814229249</v>
      </c>
      <c r="I72" s="28">
        <v>4332.927391304348</v>
      </c>
      <c r="J72" s="28">
        <v>992.8505521739132</v>
      </c>
      <c r="K72" s="28">
        <v>0</v>
      </c>
      <c r="L72" s="31">
        <v>0</v>
      </c>
      <c r="M72" s="31">
        <v>0</v>
      </c>
      <c r="N72" s="31">
        <v>0</v>
      </c>
      <c r="O72" s="31">
        <v>0</v>
      </c>
      <c r="P72" s="31">
        <v>0</v>
      </c>
      <c r="Q72" s="31">
        <v>0</v>
      </c>
      <c r="R72" s="31">
        <v>0</v>
      </c>
      <c r="S72" s="31">
        <v>0</v>
      </c>
      <c r="T72" s="31">
        <v>0</v>
      </c>
      <c r="U72" s="31">
        <v>0</v>
      </c>
      <c r="V72" s="31">
        <v>0</v>
      </c>
      <c r="W72" s="31">
        <v>0</v>
      </c>
      <c r="X72" s="31">
        <v>0</v>
      </c>
      <c r="Y72" s="46">
        <v>0</v>
      </c>
      <c r="AA72" s="52">
        <v>9602.7649</v>
      </c>
    </row>
    <row r="73" spans="2:27" ht="11.25">
      <c r="B73" s="39" t="s">
        <v>477</v>
      </c>
      <c r="C73" s="82" t="s">
        <v>24</v>
      </c>
      <c r="D73" s="83"/>
      <c r="E73" s="50" t="s">
        <v>118</v>
      </c>
      <c r="F73" s="28">
        <v>0</v>
      </c>
      <c r="G73" s="28">
        <v>173.63982213438734</v>
      </c>
      <c r="H73" s="28">
        <v>467.90822134387355</v>
      </c>
      <c r="I73" s="28">
        <v>649.9391086956523</v>
      </c>
      <c r="J73" s="28">
        <v>148.92758282608696</v>
      </c>
      <c r="K73" s="28">
        <v>0</v>
      </c>
      <c r="L73" s="28">
        <v>0</v>
      </c>
      <c r="M73" s="28">
        <v>0</v>
      </c>
      <c r="N73" s="28">
        <v>0</v>
      </c>
      <c r="O73" s="28">
        <v>0</v>
      </c>
      <c r="P73" s="28">
        <v>0</v>
      </c>
      <c r="Q73" s="28">
        <v>0</v>
      </c>
      <c r="R73" s="28">
        <v>0</v>
      </c>
      <c r="S73" s="28">
        <v>0</v>
      </c>
      <c r="T73" s="28">
        <v>0</v>
      </c>
      <c r="U73" s="28">
        <v>0</v>
      </c>
      <c r="V73" s="31">
        <v>0</v>
      </c>
      <c r="W73" s="31">
        <v>0</v>
      </c>
      <c r="X73" s="31">
        <v>0</v>
      </c>
      <c r="Y73" s="46">
        <v>0</v>
      </c>
      <c r="AA73" s="54">
        <f>+AA72*'Assumptions and Basic Info'!$C$4</f>
        <v>9602.7649</v>
      </c>
    </row>
    <row r="74" spans="2:27" ht="11.25">
      <c r="B74" s="39" t="s">
        <v>543</v>
      </c>
      <c r="C74" s="82" t="s">
        <v>83</v>
      </c>
      <c r="D74" s="83"/>
      <c r="E74" s="50" t="s">
        <v>118</v>
      </c>
      <c r="F74" s="28">
        <v>0</v>
      </c>
      <c r="G74" s="28">
        <v>307.60179243500005</v>
      </c>
      <c r="H74" s="28">
        <v>290.819764984</v>
      </c>
      <c r="I74" s="28">
        <v>354.23463696799996</v>
      </c>
      <c r="J74" s="28">
        <v>82.111042715</v>
      </c>
      <c r="K74" s="28">
        <v>0</v>
      </c>
      <c r="L74" s="28">
        <v>0</v>
      </c>
      <c r="M74" s="28">
        <v>0</v>
      </c>
      <c r="N74" s="28">
        <v>0</v>
      </c>
      <c r="O74" s="28">
        <v>0</v>
      </c>
      <c r="P74" s="28">
        <v>0</v>
      </c>
      <c r="Q74" s="28">
        <v>0</v>
      </c>
      <c r="R74" s="28">
        <v>0</v>
      </c>
      <c r="S74" s="28">
        <v>0</v>
      </c>
      <c r="T74" s="28">
        <v>0</v>
      </c>
      <c r="U74" s="28">
        <v>0</v>
      </c>
      <c r="V74" s="31">
        <v>0</v>
      </c>
      <c r="W74" s="31">
        <v>0</v>
      </c>
      <c r="X74" s="31">
        <v>0</v>
      </c>
      <c r="Y74" s="46">
        <v>0</v>
      </c>
      <c r="AA74" s="54">
        <v>1034.767237102</v>
      </c>
    </row>
    <row r="75" spans="2:27" ht="11.25">
      <c r="B75" s="39" t="s">
        <v>544</v>
      </c>
      <c r="C75" s="82" t="s">
        <v>82</v>
      </c>
      <c r="D75" s="83"/>
      <c r="E75" s="50" t="s">
        <v>118</v>
      </c>
      <c r="F75" s="28">
        <v>0</v>
      </c>
      <c r="G75" s="28">
        <v>0</v>
      </c>
      <c r="H75" s="28">
        <v>42.94686368960909</v>
      </c>
      <c r="I75" s="28">
        <v>132.56159894806</v>
      </c>
      <c r="J75" s="28">
        <v>239.30362168742002</v>
      </c>
      <c r="K75" s="28">
        <v>263.78140524172</v>
      </c>
      <c r="L75" s="28">
        <v>263.78140524172</v>
      </c>
      <c r="M75" s="28">
        <v>263.78140524172</v>
      </c>
      <c r="N75" s="28">
        <v>263.78140524172</v>
      </c>
      <c r="O75" s="28">
        <v>263.78140524172</v>
      </c>
      <c r="P75" s="28">
        <v>263.78140524172</v>
      </c>
      <c r="Q75" s="28">
        <v>263.78140524172</v>
      </c>
      <c r="R75" s="28">
        <v>263.78140524172</v>
      </c>
      <c r="S75" s="28">
        <v>263.78140524172</v>
      </c>
      <c r="T75" s="28">
        <v>263.78140524172</v>
      </c>
      <c r="U75" s="28">
        <v>263.78140524172</v>
      </c>
      <c r="V75" s="28">
        <v>263.78140524172</v>
      </c>
      <c r="W75" s="28">
        <v>263.78140524172</v>
      </c>
      <c r="X75" s="28">
        <v>263.78140524172</v>
      </c>
      <c r="Y75" s="40">
        <v>263.78140524172</v>
      </c>
      <c r="AA75" s="52"/>
    </row>
    <row r="76" spans="2:27" ht="11.25">
      <c r="B76" s="39" t="s">
        <v>595</v>
      </c>
      <c r="C76" s="82" t="s">
        <v>578</v>
      </c>
      <c r="D76" s="83"/>
      <c r="E76" s="50" t="s">
        <v>118</v>
      </c>
      <c r="F76" s="28">
        <v>0</v>
      </c>
      <c r="G76" s="28">
        <v>0</v>
      </c>
      <c r="H76" s="28">
        <v>73.18666666666667</v>
      </c>
      <c r="I76" s="28">
        <v>36.593333333333334</v>
      </c>
      <c r="J76" s="28">
        <v>0</v>
      </c>
      <c r="K76" s="28">
        <v>0</v>
      </c>
      <c r="L76" s="28">
        <v>0</v>
      </c>
      <c r="M76" s="28">
        <v>0</v>
      </c>
      <c r="N76" s="28">
        <v>0</v>
      </c>
      <c r="O76" s="28">
        <v>0</v>
      </c>
      <c r="P76" s="28">
        <v>0</v>
      </c>
      <c r="Q76" s="28">
        <v>0</v>
      </c>
      <c r="R76" s="28">
        <v>0</v>
      </c>
      <c r="S76" s="28">
        <v>0</v>
      </c>
      <c r="T76" s="28">
        <v>0</v>
      </c>
      <c r="U76" s="28">
        <v>0</v>
      </c>
      <c r="V76" s="28">
        <v>0</v>
      </c>
      <c r="W76" s="28">
        <v>0</v>
      </c>
      <c r="X76" s="28">
        <v>0</v>
      </c>
      <c r="Y76" s="40">
        <v>0</v>
      </c>
      <c r="AA76" s="52">
        <v>109.78</v>
      </c>
    </row>
    <row r="77" spans="2:27" ht="11.25">
      <c r="B77" s="39" t="s">
        <v>697</v>
      </c>
      <c r="C77" s="82" t="s">
        <v>691</v>
      </c>
      <c r="D77" s="83"/>
      <c r="E77" s="50" t="s">
        <v>118</v>
      </c>
      <c r="F77" s="28">
        <v>0</v>
      </c>
      <c r="G77" s="28">
        <v>0</v>
      </c>
      <c r="H77" s="28">
        <v>54.86833230858494</v>
      </c>
      <c r="I77" s="28">
        <v>923.9327413715463</v>
      </c>
      <c r="J77" s="28">
        <v>245.56474137154635</v>
      </c>
      <c r="K77" s="28">
        <v>76.64218494832235</v>
      </c>
      <c r="L77" s="28">
        <v>0</v>
      </c>
      <c r="M77" s="28">
        <v>0</v>
      </c>
      <c r="N77" s="28">
        <v>0</v>
      </c>
      <c r="O77" s="28">
        <v>0</v>
      </c>
      <c r="P77" s="28">
        <v>0</v>
      </c>
      <c r="Q77" s="28">
        <v>0</v>
      </c>
      <c r="R77" s="28">
        <v>0</v>
      </c>
      <c r="S77" s="28">
        <v>0</v>
      </c>
      <c r="T77" s="28">
        <v>0</v>
      </c>
      <c r="U77" s="28">
        <v>0</v>
      </c>
      <c r="V77" s="28">
        <v>0</v>
      </c>
      <c r="W77" s="28">
        <v>0</v>
      </c>
      <c r="X77" s="28">
        <v>0</v>
      </c>
      <c r="Y77" s="40">
        <v>0</v>
      </c>
      <c r="AA77" s="52"/>
    </row>
    <row r="78" spans="2:27" ht="11.25">
      <c r="B78" s="39" t="s">
        <v>478</v>
      </c>
      <c r="C78" s="82" t="s">
        <v>698</v>
      </c>
      <c r="D78" s="83"/>
      <c r="E78" s="50" t="s">
        <v>118</v>
      </c>
      <c r="F78" s="28">
        <v>0</v>
      </c>
      <c r="G78" s="28">
        <v>1638.8404287986364</v>
      </c>
      <c r="H78" s="28">
        <v>4049.117991285224</v>
      </c>
      <c r="I78" s="28">
        <v>6430.18881062094</v>
      </c>
      <c r="J78" s="28">
        <v>1708.7575407739664</v>
      </c>
      <c r="K78" s="28">
        <v>340.4235901900423</v>
      </c>
      <c r="L78" s="28">
        <v>263.78140524172</v>
      </c>
      <c r="M78" s="28">
        <v>263.78140524172</v>
      </c>
      <c r="N78" s="28">
        <v>263.78140524172</v>
      </c>
      <c r="O78" s="28">
        <v>263.78140524172</v>
      </c>
      <c r="P78" s="28">
        <v>263.78140524172</v>
      </c>
      <c r="Q78" s="28">
        <v>263.78140524172</v>
      </c>
      <c r="R78" s="28">
        <v>263.78140524172</v>
      </c>
      <c r="S78" s="28">
        <v>263.78140524172</v>
      </c>
      <c r="T78" s="28">
        <v>263.78140524172</v>
      </c>
      <c r="U78" s="28">
        <v>263.78140524172</v>
      </c>
      <c r="V78" s="28">
        <v>263.78140524172</v>
      </c>
      <c r="W78" s="28">
        <v>263.78140524172</v>
      </c>
      <c r="X78" s="28">
        <v>263.78140524172</v>
      </c>
      <c r="Y78" s="40">
        <v>263.78140524172</v>
      </c>
      <c r="AA78" s="52">
        <f>+AA72+AA73+AA74</f>
        <v>20240.297037102002</v>
      </c>
    </row>
    <row r="79" spans="2:27" ht="11.25">
      <c r="B79" s="39" t="s">
        <v>545</v>
      </c>
      <c r="C79" s="82" t="s">
        <v>128</v>
      </c>
      <c r="D79" s="83"/>
      <c r="E79" s="50" t="s">
        <v>118</v>
      </c>
      <c r="F79" s="28">
        <v>0</v>
      </c>
      <c r="G79" s="28">
        <v>0</v>
      </c>
      <c r="H79" s="28">
        <v>10.280559584852858</v>
      </c>
      <c r="I79" s="28">
        <v>235.41715741454556</v>
      </c>
      <c r="J79" s="28">
        <v>570.823681993385</v>
      </c>
      <c r="K79" s="28">
        <v>858.9901494044166</v>
      </c>
      <c r="L79" s="28">
        <v>2588.698497248614</v>
      </c>
      <c r="M79" s="28">
        <v>4298.01468458167</v>
      </c>
      <c r="N79" s="28">
        <v>5212.2333066173815</v>
      </c>
      <c r="O79" s="28">
        <v>5595.340316271609</v>
      </c>
      <c r="P79" s="28">
        <v>5642.766506536168</v>
      </c>
      <c r="Q79" s="28">
        <v>5665.723311603317</v>
      </c>
      <c r="R79" s="28">
        <v>5688.220980569123</v>
      </c>
      <c r="S79" s="28">
        <v>5710.268696155612</v>
      </c>
      <c r="T79" s="28">
        <v>5731.875457430371</v>
      </c>
      <c r="U79" s="28">
        <v>5753.050083479636</v>
      </c>
      <c r="V79" s="28">
        <v>5773.8012170079155</v>
      </c>
      <c r="W79" s="28">
        <v>5794.137327865629</v>
      </c>
      <c r="X79" s="28">
        <v>5814.066716506188</v>
      </c>
      <c r="Y79" s="40">
        <v>5833.597517373936</v>
      </c>
      <c r="AA79" s="52"/>
    </row>
    <row r="80" spans="2:27" ht="11.25">
      <c r="B80" s="39" t="s">
        <v>546</v>
      </c>
      <c r="C80" s="82" t="s">
        <v>63</v>
      </c>
      <c r="D80" s="83"/>
      <c r="E80" s="50" t="s">
        <v>118</v>
      </c>
      <c r="F80" s="28">
        <v>0</v>
      </c>
      <c r="G80" s="28">
        <v>0</v>
      </c>
      <c r="H80" s="28">
        <v>0</v>
      </c>
      <c r="I80" s="28">
        <v>0</v>
      </c>
      <c r="J80" s="28">
        <v>104.56222222222222</v>
      </c>
      <c r="K80" s="28">
        <v>83.64977777777777</v>
      </c>
      <c r="L80" s="28">
        <v>62.73733333333331</v>
      </c>
      <c r="M80" s="28">
        <v>41.82488888888887</v>
      </c>
      <c r="N80" s="28">
        <v>20.91244444444442</v>
      </c>
      <c r="O80" s="28">
        <v>0</v>
      </c>
      <c r="P80" s="28">
        <v>0</v>
      </c>
      <c r="Q80" s="28">
        <v>0</v>
      </c>
      <c r="R80" s="28">
        <v>0</v>
      </c>
      <c r="S80" s="28">
        <v>0</v>
      </c>
      <c r="T80" s="28">
        <v>0</v>
      </c>
      <c r="U80" s="28">
        <v>0</v>
      </c>
      <c r="V80" s="28">
        <v>0</v>
      </c>
      <c r="W80" s="28">
        <v>0</v>
      </c>
      <c r="X80" s="28">
        <v>0</v>
      </c>
      <c r="Y80" s="40">
        <v>0</v>
      </c>
      <c r="AA80" s="52"/>
    </row>
    <row r="81" spans="2:27" ht="11.25">
      <c r="B81" s="39" t="s">
        <v>547</v>
      </c>
      <c r="C81" s="82" t="s">
        <v>522</v>
      </c>
      <c r="D81" s="83"/>
      <c r="E81" s="50" t="s">
        <v>118</v>
      </c>
      <c r="F81" s="28">
        <v>0</v>
      </c>
      <c r="G81" s="28">
        <v>0</v>
      </c>
      <c r="H81" s="28">
        <v>0</v>
      </c>
      <c r="I81" s="28">
        <v>526.6565609872393</v>
      </c>
      <c r="J81" s="28">
        <v>1389.3735270425832</v>
      </c>
      <c r="K81" s="28">
        <v>1672.0728872115203</v>
      </c>
      <c r="L81" s="28">
        <v>1764.163778699981</v>
      </c>
      <c r="M81" s="28">
        <v>1859.9383058479805</v>
      </c>
      <c r="N81" s="28">
        <v>1959.5438140818999</v>
      </c>
      <c r="O81" s="28">
        <v>2063.1335426451756</v>
      </c>
      <c r="P81" s="28">
        <v>2170.8668603509827</v>
      </c>
      <c r="Q81" s="28">
        <v>2282.9095107650223</v>
      </c>
      <c r="R81" s="28">
        <v>2399.433867195623</v>
      </c>
      <c r="S81" s="28">
        <v>2520.619197883448</v>
      </c>
      <c r="T81" s="28">
        <v>2646.651941798786</v>
      </c>
      <c r="U81" s="28">
        <v>2777.725995470738</v>
      </c>
      <c r="V81" s="28">
        <v>2914.0430112895674</v>
      </c>
      <c r="W81" s="28">
        <v>3055.81270774115</v>
      </c>
      <c r="X81" s="28">
        <v>3203.253192050796</v>
      </c>
      <c r="Y81" s="40">
        <v>3356.5912957328283</v>
      </c>
      <c r="AA81" s="52"/>
    </row>
    <row r="82" spans="2:27" ht="11.25">
      <c r="B82" s="39" t="s">
        <v>479</v>
      </c>
      <c r="C82" s="82" t="s">
        <v>548</v>
      </c>
      <c r="D82" s="83"/>
      <c r="E82" s="50" t="s">
        <v>118</v>
      </c>
      <c r="F82" s="28">
        <v>0</v>
      </c>
      <c r="G82" s="28">
        <v>0</v>
      </c>
      <c r="H82" s="28">
        <v>10.280559584852858</v>
      </c>
      <c r="I82" s="28">
        <v>762.0737184017848</v>
      </c>
      <c r="J82" s="28">
        <v>2064.7594312581905</v>
      </c>
      <c r="K82" s="28">
        <v>2614.712814393715</v>
      </c>
      <c r="L82" s="28">
        <v>4415.599609281929</v>
      </c>
      <c r="M82" s="28">
        <v>6199.77787931854</v>
      </c>
      <c r="N82" s="28">
        <v>7192.689565143725</v>
      </c>
      <c r="O82" s="28">
        <v>7658.473858916785</v>
      </c>
      <c r="P82" s="28">
        <v>7813.63336688715</v>
      </c>
      <c r="Q82" s="28">
        <v>7948.6328223683395</v>
      </c>
      <c r="R82" s="28">
        <v>8087.654847764746</v>
      </c>
      <c r="S82" s="28">
        <v>8230.88789403906</v>
      </c>
      <c r="T82" s="28">
        <v>8378.527399229157</v>
      </c>
      <c r="U82" s="28">
        <v>8530.776078950374</v>
      </c>
      <c r="V82" s="28">
        <v>8687.844228297483</v>
      </c>
      <c r="W82" s="28">
        <v>8849.95003560678</v>
      </c>
      <c r="X82" s="28">
        <v>9017.319908556983</v>
      </c>
      <c r="Y82" s="40">
        <v>9190.188813106764</v>
      </c>
      <c r="AA82" s="52"/>
    </row>
    <row r="83" spans="2:27" ht="11.25">
      <c r="B83" s="42" t="s">
        <v>480</v>
      </c>
      <c r="C83" s="84" t="s">
        <v>549</v>
      </c>
      <c r="D83" s="85"/>
      <c r="E83" s="72" t="s">
        <v>118</v>
      </c>
      <c r="F83" s="30">
        <v>0</v>
      </c>
      <c r="G83" s="30">
        <v>-1638.8404287986364</v>
      </c>
      <c r="H83" s="30">
        <v>-4038.8374317003713</v>
      </c>
      <c r="I83" s="30">
        <v>-5668.1150922191555</v>
      </c>
      <c r="J83" s="30">
        <v>356.0018904842241</v>
      </c>
      <c r="K83" s="30">
        <v>2274.2892242036723</v>
      </c>
      <c r="L83" s="30">
        <v>4151.818204040209</v>
      </c>
      <c r="M83" s="30">
        <v>5935.99647407682</v>
      </c>
      <c r="N83" s="30">
        <v>6928.9081599020055</v>
      </c>
      <c r="O83" s="30">
        <v>7394.692453675065</v>
      </c>
      <c r="P83" s="30">
        <v>7549.8519616454305</v>
      </c>
      <c r="Q83" s="30">
        <v>7684.85141712662</v>
      </c>
      <c r="R83" s="30">
        <v>7823.873442523026</v>
      </c>
      <c r="S83" s="30">
        <v>7967.106488797341</v>
      </c>
      <c r="T83" s="30">
        <v>8114.745993987437</v>
      </c>
      <c r="U83" s="30">
        <v>8266.994673708654</v>
      </c>
      <c r="V83" s="30">
        <v>8424.062823055763</v>
      </c>
      <c r="W83" s="30">
        <v>8586.16863036506</v>
      </c>
      <c r="X83" s="30">
        <v>8753.538503315263</v>
      </c>
      <c r="Y83" s="43">
        <v>8926.407407865045</v>
      </c>
      <c r="AA83" s="52"/>
    </row>
    <row r="84" spans="2:27" ht="11.25">
      <c r="B84" s="96" t="s">
        <v>481</v>
      </c>
      <c r="C84" s="91" t="s">
        <v>121</v>
      </c>
      <c r="D84" s="113">
        <f>+AA78</f>
        <v>20240.297037102002</v>
      </c>
      <c r="E84" s="94"/>
      <c r="F84" s="73"/>
      <c r="G84" s="73"/>
      <c r="H84" s="73"/>
      <c r="I84" s="73"/>
      <c r="J84" s="73"/>
      <c r="K84" s="73"/>
      <c r="L84" s="73"/>
      <c r="M84" s="73"/>
      <c r="N84" s="73"/>
      <c r="O84" s="73"/>
      <c r="P84" s="73"/>
      <c r="Q84" s="73"/>
      <c r="R84" s="73"/>
      <c r="S84" s="73"/>
      <c r="T84" s="73"/>
      <c r="U84" s="73"/>
      <c r="V84" s="73"/>
      <c r="W84" s="73"/>
      <c r="X84" s="73"/>
      <c r="Y84" s="74"/>
      <c r="AA84" s="52"/>
    </row>
    <row r="85" spans="2:27" ht="11.25">
      <c r="B85" s="96" t="s">
        <v>482</v>
      </c>
      <c r="C85" s="92" t="s">
        <v>596</v>
      </c>
      <c r="D85" s="113">
        <f>+AA76</f>
        <v>109.78</v>
      </c>
      <c r="E85" s="95"/>
      <c r="F85" s="54"/>
      <c r="G85" s="54"/>
      <c r="H85" s="54"/>
      <c r="I85" s="54"/>
      <c r="J85" s="54"/>
      <c r="K85" s="54"/>
      <c r="L85" s="54"/>
      <c r="M85" s="54"/>
      <c r="N85" s="54"/>
      <c r="O85" s="54"/>
      <c r="P85" s="54"/>
      <c r="Q85" s="54"/>
      <c r="R85" s="54"/>
      <c r="S85" s="54"/>
      <c r="T85" s="54"/>
      <c r="U85" s="54"/>
      <c r="V85" s="54"/>
      <c r="W85" s="54"/>
      <c r="X85" s="54"/>
      <c r="Y85" s="75"/>
      <c r="AA85" s="52"/>
    </row>
    <row r="86" spans="2:27" ht="11.25">
      <c r="B86" s="96" t="s">
        <v>550</v>
      </c>
      <c r="C86" s="92" t="s">
        <v>57</v>
      </c>
      <c r="D86" s="79">
        <f>+IRR(F83:Y83)</f>
        <v>0.3050932212517651</v>
      </c>
      <c r="E86" s="95"/>
      <c r="F86" s="88"/>
      <c r="G86" s="54"/>
      <c r="H86" s="54"/>
      <c r="I86" s="54"/>
      <c r="J86" s="54"/>
      <c r="K86" s="54"/>
      <c r="L86" s="54"/>
      <c r="M86" s="54"/>
      <c r="N86" s="54"/>
      <c r="O86" s="54"/>
      <c r="P86" s="54"/>
      <c r="Q86" s="54"/>
      <c r="R86" s="54"/>
      <c r="S86" s="54"/>
      <c r="T86" s="54"/>
      <c r="U86" s="54"/>
      <c r="V86" s="54"/>
      <c r="W86" s="54"/>
      <c r="X86" s="54"/>
      <c r="Y86" s="75"/>
      <c r="AA86" s="52"/>
    </row>
    <row r="87" spans="2:27" ht="12" thickBot="1">
      <c r="B87" s="107" t="s">
        <v>597</v>
      </c>
      <c r="C87" s="102" t="s">
        <v>120</v>
      </c>
      <c r="D87" s="103">
        <f>+NPV('Assumptions and Basic Info'!$C$20,F83:Y83)</f>
        <v>23103.726844515837</v>
      </c>
      <c r="E87" s="108"/>
      <c r="F87" s="105"/>
      <c r="G87" s="127"/>
      <c r="H87" s="105"/>
      <c r="I87" s="105"/>
      <c r="J87" s="105"/>
      <c r="K87" s="105"/>
      <c r="L87" s="105"/>
      <c r="M87" s="105"/>
      <c r="N87" s="105"/>
      <c r="O87" s="105"/>
      <c r="P87" s="105"/>
      <c r="Q87" s="105"/>
      <c r="R87" s="105"/>
      <c r="S87" s="105"/>
      <c r="T87" s="105"/>
      <c r="U87" s="105"/>
      <c r="V87" s="105"/>
      <c r="W87" s="105"/>
      <c r="X87" s="105"/>
      <c r="Y87" s="106"/>
      <c r="AA87" s="52"/>
    </row>
    <row r="88" spans="2:27" ht="11.25">
      <c r="B88" s="44" t="s">
        <v>133</v>
      </c>
      <c r="C88" s="23" t="s">
        <v>148</v>
      </c>
      <c r="D88" s="23"/>
      <c r="E88" s="51"/>
      <c r="F88" s="24"/>
      <c r="G88" s="24"/>
      <c r="H88" s="24"/>
      <c r="I88" s="24"/>
      <c r="J88" s="24"/>
      <c r="K88" s="24"/>
      <c r="L88" s="24"/>
      <c r="M88" s="24"/>
      <c r="N88" s="24"/>
      <c r="O88" s="24"/>
      <c r="P88" s="24"/>
      <c r="Q88" s="24"/>
      <c r="R88" s="24"/>
      <c r="S88" s="24"/>
      <c r="T88" s="24"/>
      <c r="U88" s="24"/>
      <c r="V88" s="24"/>
      <c r="W88" s="24"/>
      <c r="X88" s="24"/>
      <c r="Y88" s="45"/>
      <c r="AA88" s="52"/>
    </row>
    <row r="89" spans="2:29" ht="11.25">
      <c r="B89" s="37" t="s">
        <v>134</v>
      </c>
      <c r="C89" s="80" t="s">
        <v>124</v>
      </c>
      <c r="D89" s="81"/>
      <c r="E89" s="49" t="s">
        <v>54</v>
      </c>
      <c r="F89" s="27">
        <v>15765</v>
      </c>
      <c r="G89" s="27">
        <v>15701.935555555554</v>
      </c>
      <c r="H89" s="27">
        <v>15638.94351111111</v>
      </c>
      <c r="I89" s="27">
        <v>15576.022418666666</v>
      </c>
      <c r="J89" s="27">
        <v>15513.170859182223</v>
      </c>
      <c r="K89" s="27">
        <v>15450.387441998577</v>
      </c>
      <c r="L89" s="27">
        <v>15387.670804269717</v>
      </c>
      <c r="M89" s="27">
        <v>15325.019610406545</v>
      </c>
      <c r="N89" s="27">
        <v>15262.432551531749</v>
      </c>
      <c r="O89" s="27">
        <v>15199.908344945557</v>
      </c>
      <c r="P89" s="27">
        <v>15196.890178046646</v>
      </c>
      <c r="Q89" s="27">
        <v>15193.932374485714</v>
      </c>
      <c r="R89" s="27">
        <v>15191.033726995998</v>
      </c>
      <c r="S89" s="27">
        <v>15188.19305245608</v>
      </c>
      <c r="T89" s="27">
        <v>15185.409191406958</v>
      </c>
      <c r="U89" s="27">
        <v>15182.681007578818</v>
      </c>
      <c r="V89" s="27">
        <v>15180.007387427242</v>
      </c>
      <c r="W89" s="27">
        <v>15177.387239678697</v>
      </c>
      <c r="X89" s="27">
        <v>15174.819494885123</v>
      </c>
      <c r="Y89" s="38">
        <v>15172.30310498742</v>
      </c>
      <c r="AA89" s="52">
        <v>15765</v>
      </c>
      <c r="AB89" s="1" t="s">
        <v>126</v>
      </c>
      <c r="AC89" s="52"/>
    </row>
    <row r="90" spans="2:28" ht="11.25">
      <c r="B90" s="39" t="s">
        <v>135</v>
      </c>
      <c r="C90" s="82" t="s">
        <v>125</v>
      </c>
      <c r="D90" s="83"/>
      <c r="E90" s="50" t="s">
        <v>54</v>
      </c>
      <c r="F90" s="28">
        <v>15765</v>
      </c>
      <c r="G90" s="28">
        <v>15701.935555555554</v>
      </c>
      <c r="H90" s="28">
        <v>16035.858779969722</v>
      </c>
      <c r="I90" s="28">
        <v>17267.633735770938</v>
      </c>
      <c r="J90" s="28">
        <v>20375.30736534993</v>
      </c>
      <c r="K90" s="28">
        <v>20765</v>
      </c>
      <c r="L90" s="28">
        <v>20765</v>
      </c>
      <c r="M90" s="28">
        <v>20765</v>
      </c>
      <c r="N90" s="28">
        <v>20765</v>
      </c>
      <c r="O90" s="28">
        <v>20765</v>
      </c>
      <c r="P90" s="28">
        <v>20765</v>
      </c>
      <c r="Q90" s="28">
        <v>20765</v>
      </c>
      <c r="R90" s="28">
        <v>20765</v>
      </c>
      <c r="S90" s="28">
        <v>20765</v>
      </c>
      <c r="T90" s="28">
        <v>20765</v>
      </c>
      <c r="U90" s="28">
        <v>20765</v>
      </c>
      <c r="V90" s="28">
        <v>20765</v>
      </c>
      <c r="W90" s="28">
        <v>20765</v>
      </c>
      <c r="X90" s="28">
        <v>20765</v>
      </c>
      <c r="Y90" s="40">
        <v>20765</v>
      </c>
      <c r="Z90" s="52"/>
      <c r="AA90" s="52">
        <v>20765</v>
      </c>
      <c r="AB90" s="1" t="s">
        <v>127</v>
      </c>
    </row>
    <row r="91" spans="2:29" ht="11.25">
      <c r="B91" s="39" t="s">
        <v>136</v>
      </c>
      <c r="C91" s="82" t="s">
        <v>81</v>
      </c>
      <c r="D91" s="83"/>
      <c r="E91" s="50" t="s">
        <v>54</v>
      </c>
      <c r="F91" s="28">
        <v>0</v>
      </c>
      <c r="G91" s="28">
        <v>0</v>
      </c>
      <c r="H91" s="28">
        <v>396.91526885861094</v>
      </c>
      <c r="I91" s="28">
        <v>1691.6113171042725</v>
      </c>
      <c r="J91" s="28">
        <v>4862.136506167708</v>
      </c>
      <c r="K91" s="28">
        <v>5314.612558001423</v>
      </c>
      <c r="L91" s="28">
        <v>5377.329195730283</v>
      </c>
      <c r="M91" s="28">
        <v>5439.980389593455</v>
      </c>
      <c r="N91" s="28">
        <v>5502.567448468251</v>
      </c>
      <c r="O91" s="28">
        <v>5565.0916550544425</v>
      </c>
      <c r="P91" s="28">
        <v>5568.109821953354</v>
      </c>
      <c r="Q91" s="28">
        <v>5571.067625514286</v>
      </c>
      <c r="R91" s="28">
        <v>5573.966273004002</v>
      </c>
      <c r="S91" s="28">
        <v>5576.806947543921</v>
      </c>
      <c r="T91" s="28">
        <v>5579.590808593042</v>
      </c>
      <c r="U91" s="28">
        <v>5582.318992421182</v>
      </c>
      <c r="V91" s="28">
        <v>5584.992612572758</v>
      </c>
      <c r="W91" s="28">
        <v>5587.612760321303</v>
      </c>
      <c r="X91" s="28">
        <v>5590.180505114877</v>
      </c>
      <c r="Y91" s="40">
        <v>5592.696895012579</v>
      </c>
      <c r="AA91" s="52">
        <v>5000</v>
      </c>
      <c r="AB91" s="1" t="s">
        <v>127</v>
      </c>
      <c r="AC91" s="52">
        <v>5000</v>
      </c>
    </row>
    <row r="92" spans="2:28" ht="11.25">
      <c r="B92" s="39" t="s">
        <v>137</v>
      </c>
      <c r="C92" s="82" t="s">
        <v>65</v>
      </c>
      <c r="D92" s="83"/>
      <c r="E92" s="50" t="s">
        <v>138</v>
      </c>
      <c r="F92" s="28">
        <v>0</v>
      </c>
      <c r="G92" s="28">
        <v>0</v>
      </c>
      <c r="H92" s="28">
        <v>0</v>
      </c>
      <c r="I92" s="28">
        <v>0</v>
      </c>
      <c r="J92" s="28">
        <v>1888.8888888888887</v>
      </c>
      <c r="K92" s="28">
        <v>1511.1111111111109</v>
      </c>
      <c r="L92" s="28">
        <v>1133.333333333333</v>
      </c>
      <c r="M92" s="28">
        <v>755.5555555555552</v>
      </c>
      <c r="N92" s="28">
        <v>377.77777777777743</v>
      </c>
      <c r="O92" s="28">
        <v>0</v>
      </c>
      <c r="P92" s="28">
        <v>0</v>
      </c>
      <c r="Q92" s="28">
        <v>0</v>
      </c>
      <c r="R92" s="28">
        <v>0</v>
      </c>
      <c r="S92" s="28">
        <v>0</v>
      </c>
      <c r="T92" s="28">
        <v>0</v>
      </c>
      <c r="U92" s="28">
        <v>0</v>
      </c>
      <c r="V92" s="28">
        <v>0</v>
      </c>
      <c r="W92" s="28">
        <v>0</v>
      </c>
      <c r="X92" s="28">
        <v>0</v>
      </c>
      <c r="Y92" s="40">
        <v>0</v>
      </c>
      <c r="AA92" s="52">
        <v>3600</v>
      </c>
      <c r="AB92" s="1" t="s">
        <v>127</v>
      </c>
    </row>
    <row r="93" spans="2:28" ht="11.25">
      <c r="B93" s="39" t="s">
        <v>139</v>
      </c>
      <c r="C93" s="82" t="s">
        <v>516</v>
      </c>
      <c r="D93" s="83"/>
      <c r="E93" s="50" t="s">
        <v>526</v>
      </c>
      <c r="F93" s="28">
        <v>0</v>
      </c>
      <c r="G93" s="28">
        <v>0</v>
      </c>
      <c r="H93" s="28">
        <v>4582.507553664349</v>
      </c>
      <c r="I93" s="28">
        <v>17187.087258609736</v>
      </c>
      <c r="J93" s="28">
        <v>29860.54325155513</v>
      </c>
      <c r="K93" s="28">
        <v>34433.78551552</v>
      </c>
      <c r="L93" s="28">
        <v>36370.696936140805</v>
      </c>
      <c r="M93" s="28">
        <v>38385.084813586436</v>
      </c>
      <c r="N93" s="28">
        <v>40480.0482061299</v>
      </c>
      <c r="O93" s="28">
        <v>42658.8101343751</v>
      </c>
      <c r="P93" s="28">
        <v>44924.7225397501</v>
      </c>
      <c r="Q93" s="28">
        <v>47281.27144134011</v>
      </c>
      <c r="R93" s="28">
        <v>49732.082298993715</v>
      </c>
      <c r="S93" s="28">
        <v>52280.92559095347</v>
      </c>
      <c r="T93" s="28">
        <v>54931.72261459161</v>
      </c>
      <c r="U93" s="28">
        <v>57688.55151917528</v>
      </c>
      <c r="V93" s="28">
        <v>60555.653579942285</v>
      </c>
      <c r="W93" s="28">
        <v>63537.43972313998</v>
      </c>
      <c r="X93" s="28">
        <v>66638.49731206558</v>
      </c>
      <c r="Y93" s="40">
        <v>69863.5972045482</v>
      </c>
      <c r="AA93" s="52">
        <v>25811</v>
      </c>
      <c r="AB93" s="1"/>
    </row>
    <row r="94" spans="2:27" ht="11.25">
      <c r="B94" s="39" t="s">
        <v>140</v>
      </c>
      <c r="C94" s="82" t="s">
        <v>58</v>
      </c>
      <c r="D94" s="83"/>
      <c r="E94" s="50" t="s">
        <v>118</v>
      </c>
      <c r="F94" s="28">
        <v>0</v>
      </c>
      <c r="G94" s="28">
        <v>579.1304347826087</v>
      </c>
      <c r="H94" s="28">
        <v>4577.132806324112</v>
      </c>
      <c r="I94" s="28">
        <v>4669.375572806324</v>
      </c>
      <c r="J94" s="28">
        <v>672.558376086957</v>
      </c>
      <c r="K94" s="28">
        <v>0</v>
      </c>
      <c r="L94" s="31">
        <v>0</v>
      </c>
      <c r="M94" s="31">
        <v>0</v>
      </c>
      <c r="N94" s="31">
        <v>0</v>
      </c>
      <c r="O94" s="31">
        <v>0</v>
      </c>
      <c r="P94" s="31">
        <v>0</v>
      </c>
      <c r="Q94" s="31">
        <v>0</v>
      </c>
      <c r="R94" s="31">
        <v>0</v>
      </c>
      <c r="S94" s="31">
        <v>0</v>
      </c>
      <c r="T94" s="31">
        <v>0</v>
      </c>
      <c r="U94" s="31">
        <v>0</v>
      </c>
      <c r="V94" s="31">
        <v>0</v>
      </c>
      <c r="W94" s="31">
        <v>0</v>
      </c>
      <c r="X94" s="31">
        <v>0</v>
      </c>
      <c r="Y94" s="46">
        <v>0</v>
      </c>
      <c r="AA94" s="52">
        <v>10498.197189999999</v>
      </c>
    </row>
    <row r="95" spans="2:27" ht="11.25">
      <c r="B95" s="39" t="s">
        <v>141</v>
      </c>
      <c r="C95" s="82" t="s">
        <v>24</v>
      </c>
      <c r="D95" s="83"/>
      <c r="E95" s="50" t="s">
        <v>118</v>
      </c>
      <c r="F95" s="28">
        <v>0</v>
      </c>
      <c r="G95" s="28">
        <v>86.86956521739131</v>
      </c>
      <c r="H95" s="28">
        <v>686.5699209486166</v>
      </c>
      <c r="I95" s="28">
        <v>700.4063359209485</v>
      </c>
      <c r="J95" s="28">
        <v>100.88375641304353</v>
      </c>
      <c r="K95" s="28">
        <v>0</v>
      </c>
      <c r="L95" s="28">
        <v>0</v>
      </c>
      <c r="M95" s="28">
        <v>0</v>
      </c>
      <c r="N95" s="28">
        <v>0</v>
      </c>
      <c r="O95" s="28">
        <v>0</v>
      </c>
      <c r="P95" s="28">
        <v>0</v>
      </c>
      <c r="Q95" s="28">
        <v>0</v>
      </c>
      <c r="R95" s="28">
        <v>0</v>
      </c>
      <c r="S95" s="28">
        <v>0</v>
      </c>
      <c r="T95" s="28">
        <v>0</v>
      </c>
      <c r="U95" s="28">
        <v>0</v>
      </c>
      <c r="V95" s="31">
        <v>0</v>
      </c>
      <c r="W95" s="31">
        <v>0</v>
      </c>
      <c r="X95" s="31">
        <v>0</v>
      </c>
      <c r="Y95" s="46">
        <v>0</v>
      </c>
      <c r="AA95" s="54">
        <f>+AA94*'Assumptions and Basic Info'!$C$4</f>
        <v>10498.197189999999</v>
      </c>
    </row>
    <row r="96" spans="2:27" ht="11.25">
      <c r="B96" s="39" t="s">
        <v>551</v>
      </c>
      <c r="C96" s="82" t="s">
        <v>83</v>
      </c>
      <c r="D96" s="83"/>
      <c r="E96" s="50" t="s">
        <v>118</v>
      </c>
      <c r="F96" s="28">
        <v>89.51529838500001</v>
      </c>
      <c r="G96" s="28">
        <v>114.33823362000001</v>
      </c>
      <c r="H96" s="28">
        <v>474.3944447392728</v>
      </c>
      <c r="I96" s="28">
        <v>409.13913290472726</v>
      </c>
      <c r="J96" s="28">
        <v>60.05049354000003</v>
      </c>
      <c r="K96" s="28">
        <v>0</v>
      </c>
      <c r="L96" s="28">
        <v>0</v>
      </c>
      <c r="M96" s="28">
        <v>0</v>
      </c>
      <c r="N96" s="28">
        <v>0</v>
      </c>
      <c r="O96" s="28">
        <v>0</v>
      </c>
      <c r="P96" s="28">
        <v>0</v>
      </c>
      <c r="Q96" s="28">
        <v>0</v>
      </c>
      <c r="R96" s="28">
        <v>0</v>
      </c>
      <c r="S96" s="28">
        <v>0</v>
      </c>
      <c r="T96" s="28">
        <v>0</v>
      </c>
      <c r="U96" s="28">
        <v>0</v>
      </c>
      <c r="V96" s="31">
        <v>0</v>
      </c>
      <c r="W96" s="31">
        <v>0</v>
      </c>
      <c r="X96" s="31">
        <v>0</v>
      </c>
      <c r="Y96" s="46">
        <v>0</v>
      </c>
      <c r="AA96" s="54">
        <v>1147.437603189</v>
      </c>
    </row>
    <row r="97" spans="2:27" ht="11.25">
      <c r="B97" s="39" t="s">
        <v>552</v>
      </c>
      <c r="C97" s="82" t="s">
        <v>82</v>
      </c>
      <c r="D97" s="83"/>
      <c r="E97" s="50" t="s">
        <v>118</v>
      </c>
      <c r="F97" s="28">
        <v>0</v>
      </c>
      <c r="G97" s="28">
        <v>1.7903059677000002</v>
      </c>
      <c r="H97" s="28">
        <v>17.397070640100004</v>
      </c>
      <c r="I97" s="28">
        <v>142.44414752058</v>
      </c>
      <c r="J97" s="28">
        <v>256.22113096081995</v>
      </c>
      <c r="K97" s="28">
        <v>272.89098348161997</v>
      </c>
      <c r="L97" s="28">
        <v>272.89098348161997</v>
      </c>
      <c r="M97" s="28">
        <v>272.89098348161997</v>
      </c>
      <c r="N97" s="28">
        <v>272.89098348161997</v>
      </c>
      <c r="O97" s="28">
        <v>272.89098348161997</v>
      </c>
      <c r="P97" s="28">
        <v>272.89098348161997</v>
      </c>
      <c r="Q97" s="28">
        <v>272.89098348161997</v>
      </c>
      <c r="R97" s="28">
        <v>272.89098348161997</v>
      </c>
      <c r="S97" s="28">
        <v>272.89098348161997</v>
      </c>
      <c r="T97" s="28">
        <v>272.89098348161997</v>
      </c>
      <c r="U97" s="28">
        <v>272.89098348161997</v>
      </c>
      <c r="V97" s="28">
        <v>272.89098348161997</v>
      </c>
      <c r="W97" s="28">
        <v>272.89098348161997</v>
      </c>
      <c r="X97" s="28">
        <v>272.89098348161997</v>
      </c>
      <c r="Y97" s="40">
        <v>272.89098348161997</v>
      </c>
      <c r="AA97" s="52"/>
    </row>
    <row r="98" spans="2:27" ht="11.25">
      <c r="B98" s="39" t="s">
        <v>598</v>
      </c>
      <c r="C98" s="82" t="s">
        <v>578</v>
      </c>
      <c r="D98" s="83"/>
      <c r="E98" s="50" t="s">
        <v>118</v>
      </c>
      <c r="F98" s="28">
        <v>0</v>
      </c>
      <c r="G98" s="28">
        <v>70.96833333333333</v>
      </c>
      <c r="H98" s="28">
        <v>354.8416666666667</v>
      </c>
      <c r="I98" s="28">
        <v>0</v>
      </c>
      <c r="J98" s="28">
        <v>0</v>
      </c>
      <c r="K98" s="28">
        <v>0</v>
      </c>
      <c r="L98" s="28">
        <v>0</v>
      </c>
      <c r="M98" s="28">
        <v>0</v>
      </c>
      <c r="N98" s="28">
        <v>0</v>
      </c>
      <c r="O98" s="28">
        <v>0</v>
      </c>
      <c r="P98" s="28">
        <v>0</v>
      </c>
      <c r="Q98" s="28">
        <v>0</v>
      </c>
      <c r="R98" s="28">
        <v>0</v>
      </c>
      <c r="S98" s="28">
        <v>0</v>
      </c>
      <c r="T98" s="28">
        <v>0</v>
      </c>
      <c r="U98" s="28">
        <v>0</v>
      </c>
      <c r="V98" s="28">
        <v>0</v>
      </c>
      <c r="W98" s="28">
        <v>0</v>
      </c>
      <c r="X98" s="28">
        <v>0</v>
      </c>
      <c r="Y98" s="40">
        <v>0</v>
      </c>
      <c r="AA98" s="52">
        <v>425.81</v>
      </c>
    </row>
    <row r="99" spans="2:27" ht="11.25">
      <c r="B99" s="39" t="s">
        <v>699</v>
      </c>
      <c r="C99" s="82" t="s">
        <v>691</v>
      </c>
      <c r="D99" s="83"/>
      <c r="E99" s="50" t="s">
        <v>123</v>
      </c>
      <c r="F99" s="28">
        <v>0</v>
      </c>
      <c r="G99" s="28">
        <v>0</v>
      </c>
      <c r="H99" s="28">
        <v>93.36224148338287</v>
      </c>
      <c r="I99" s="28">
        <v>93.36224148338287</v>
      </c>
      <c r="J99" s="28">
        <v>652.0182414833828</v>
      </c>
      <c r="K99" s="28">
        <v>46.36927554985143</v>
      </c>
      <c r="L99" s="28">
        <v>0</v>
      </c>
      <c r="M99" s="28">
        <v>0</v>
      </c>
      <c r="N99" s="28">
        <v>0</v>
      </c>
      <c r="O99" s="28">
        <v>0</v>
      </c>
      <c r="P99" s="28">
        <v>0</v>
      </c>
      <c r="Q99" s="28">
        <v>0</v>
      </c>
      <c r="R99" s="28">
        <v>0</v>
      </c>
      <c r="S99" s="28">
        <v>0</v>
      </c>
      <c r="T99" s="28">
        <v>0</v>
      </c>
      <c r="U99" s="28">
        <v>0</v>
      </c>
      <c r="V99" s="28">
        <v>0</v>
      </c>
      <c r="W99" s="28">
        <v>0</v>
      </c>
      <c r="X99" s="28">
        <v>0</v>
      </c>
      <c r="Y99" s="40">
        <v>0</v>
      </c>
      <c r="AA99" s="52"/>
    </row>
    <row r="100" spans="2:27" ht="11.25">
      <c r="B100" s="39" t="s">
        <v>142</v>
      </c>
      <c r="C100" s="82" t="s">
        <v>700</v>
      </c>
      <c r="D100" s="83"/>
      <c r="E100" s="50" t="s">
        <v>118</v>
      </c>
      <c r="F100" s="28">
        <v>89.51529838500001</v>
      </c>
      <c r="G100" s="28">
        <v>853.0968729210333</v>
      </c>
      <c r="H100" s="28">
        <v>6203.698150802151</v>
      </c>
      <c r="I100" s="28">
        <v>6014.727430635963</v>
      </c>
      <c r="J100" s="28">
        <v>1741.7319984842034</v>
      </c>
      <c r="K100" s="28">
        <v>319.2602590314714</v>
      </c>
      <c r="L100" s="28">
        <v>272.89098348161997</v>
      </c>
      <c r="M100" s="28">
        <v>272.89098348161997</v>
      </c>
      <c r="N100" s="28">
        <v>272.89098348161997</v>
      </c>
      <c r="O100" s="28">
        <v>272.89098348161997</v>
      </c>
      <c r="P100" s="28">
        <v>272.89098348161997</v>
      </c>
      <c r="Q100" s="28">
        <v>272.89098348161997</v>
      </c>
      <c r="R100" s="28">
        <v>272.89098348161997</v>
      </c>
      <c r="S100" s="28">
        <v>272.89098348161997</v>
      </c>
      <c r="T100" s="28">
        <v>272.89098348161997</v>
      </c>
      <c r="U100" s="28">
        <v>272.89098348161997</v>
      </c>
      <c r="V100" s="28">
        <v>272.89098348161997</v>
      </c>
      <c r="W100" s="28">
        <v>272.89098348161997</v>
      </c>
      <c r="X100" s="28">
        <v>272.89098348161997</v>
      </c>
      <c r="Y100" s="40">
        <v>272.89098348161997</v>
      </c>
      <c r="AA100" s="52">
        <f>+AA94+AA95+AA96</f>
        <v>22143.831983188997</v>
      </c>
    </row>
    <row r="101" spans="2:27" ht="11.25">
      <c r="B101" s="39" t="s">
        <v>553</v>
      </c>
      <c r="C101" s="82" t="s">
        <v>128</v>
      </c>
      <c r="D101" s="83"/>
      <c r="E101" s="50" t="s">
        <v>118</v>
      </c>
      <c r="F101" s="28">
        <v>0</v>
      </c>
      <c r="G101" s="28">
        <v>0</v>
      </c>
      <c r="H101" s="28">
        <v>17.49307927106729</v>
      </c>
      <c r="I101" s="28">
        <v>-17.070477806230667</v>
      </c>
      <c r="J101" s="28">
        <v>306.62812723631674</v>
      </c>
      <c r="K101" s="28">
        <v>170.7079890415966</v>
      </c>
      <c r="L101" s="28">
        <v>536.0472595280929</v>
      </c>
      <c r="M101" s="28">
        <v>1771.7071455525647</v>
      </c>
      <c r="N101" s="28">
        <v>2694.7064871054117</v>
      </c>
      <c r="O101" s="28">
        <v>3013.2636036203357</v>
      </c>
      <c r="P101" s="28">
        <v>3030.6964465081865</v>
      </c>
      <c r="Q101" s="28">
        <v>3033.5502801051325</v>
      </c>
      <c r="R101" s="28">
        <v>3036.34703703014</v>
      </c>
      <c r="S101" s="28">
        <v>3039.087858816648</v>
      </c>
      <c r="T101" s="28">
        <v>3041.773864167425</v>
      </c>
      <c r="U101" s="28">
        <v>3044.4061494111866</v>
      </c>
      <c r="V101" s="28">
        <v>3046.9857889500727</v>
      </c>
      <c r="W101" s="28">
        <v>3049.5138356981815</v>
      </c>
      <c r="X101" s="28">
        <v>3051.9913215113274</v>
      </c>
      <c r="Y101" s="40">
        <v>3054.4192576082114</v>
      </c>
      <c r="AA101" s="52"/>
    </row>
    <row r="102" spans="2:27" ht="11.25">
      <c r="B102" s="39" t="s">
        <v>554</v>
      </c>
      <c r="C102" s="82" t="s">
        <v>63</v>
      </c>
      <c r="D102" s="83"/>
      <c r="E102" s="50" t="s">
        <v>118</v>
      </c>
      <c r="F102" s="28">
        <v>0</v>
      </c>
      <c r="G102" s="28">
        <v>0</v>
      </c>
      <c r="H102" s="28">
        <v>0</v>
      </c>
      <c r="I102" s="28">
        <v>0</v>
      </c>
      <c r="J102" s="28">
        <v>79.71111111111111</v>
      </c>
      <c r="K102" s="28">
        <v>63.76888888888888</v>
      </c>
      <c r="L102" s="28">
        <v>47.826666666666654</v>
      </c>
      <c r="M102" s="28">
        <v>31.88444444444443</v>
      </c>
      <c r="N102" s="28">
        <v>15.942222222222208</v>
      </c>
      <c r="O102" s="28">
        <v>0</v>
      </c>
      <c r="P102" s="28">
        <v>0</v>
      </c>
      <c r="Q102" s="28">
        <v>0</v>
      </c>
      <c r="R102" s="28">
        <v>0</v>
      </c>
      <c r="S102" s="28">
        <v>0</v>
      </c>
      <c r="T102" s="28">
        <v>0</v>
      </c>
      <c r="U102" s="28">
        <v>0</v>
      </c>
      <c r="V102" s="28">
        <v>0</v>
      </c>
      <c r="W102" s="28">
        <v>0</v>
      </c>
      <c r="X102" s="28">
        <v>0</v>
      </c>
      <c r="Y102" s="40">
        <v>0</v>
      </c>
      <c r="AA102" s="52"/>
    </row>
    <row r="103" spans="2:27" ht="11.25">
      <c r="B103" s="39" t="s">
        <v>555</v>
      </c>
      <c r="C103" s="82" t="s">
        <v>522</v>
      </c>
      <c r="D103" s="83"/>
      <c r="E103" s="50" t="s">
        <v>118</v>
      </c>
      <c r="F103" s="28">
        <v>0</v>
      </c>
      <c r="G103" s="28">
        <v>0</v>
      </c>
      <c r="H103" s="28">
        <v>116.39569186307446</v>
      </c>
      <c r="I103" s="28">
        <v>436.55201636868725</v>
      </c>
      <c r="J103" s="28">
        <v>758.4577985895003</v>
      </c>
      <c r="K103" s="28">
        <v>874.618152094208</v>
      </c>
      <c r="L103" s="28">
        <v>923.8157021779764</v>
      </c>
      <c r="M103" s="28">
        <v>974.9811542650955</v>
      </c>
      <c r="N103" s="28">
        <v>1028.1932244356992</v>
      </c>
      <c r="O103" s="28">
        <v>1083.5337774131274</v>
      </c>
      <c r="P103" s="28">
        <v>1141.0879525096525</v>
      </c>
      <c r="Q103" s="28">
        <v>1200.944294610039</v>
      </c>
      <c r="R103" s="28">
        <v>1263.1948903944403</v>
      </c>
      <c r="S103" s="28">
        <v>1327.935510010218</v>
      </c>
      <c r="T103" s="28">
        <v>1395.2657544106269</v>
      </c>
      <c r="U103" s="28">
        <v>1465.2892085870521</v>
      </c>
      <c r="V103" s="28">
        <v>1538.1136009305342</v>
      </c>
      <c r="W103" s="28">
        <v>1613.8509689677553</v>
      </c>
      <c r="X103" s="28">
        <v>1692.6178317264655</v>
      </c>
      <c r="Y103" s="40">
        <v>1774.5353689955243</v>
      </c>
      <c r="AA103" s="52"/>
    </row>
    <row r="104" spans="2:27" ht="11.25">
      <c r="B104" s="39" t="s">
        <v>143</v>
      </c>
      <c r="C104" s="82" t="s">
        <v>556</v>
      </c>
      <c r="D104" s="83"/>
      <c r="E104" s="50" t="s">
        <v>123</v>
      </c>
      <c r="F104" s="28">
        <v>0</v>
      </c>
      <c r="G104" s="28">
        <v>0</v>
      </c>
      <c r="H104" s="28">
        <v>133.88877113414176</v>
      </c>
      <c r="I104" s="28">
        <v>419.4815385624566</v>
      </c>
      <c r="J104" s="28">
        <v>1144.7970369369282</v>
      </c>
      <c r="K104" s="28">
        <v>1109.0950300246934</v>
      </c>
      <c r="L104" s="28">
        <v>1507.6896283727358</v>
      </c>
      <c r="M104" s="28">
        <v>2778.5727442621046</v>
      </c>
      <c r="N104" s="28">
        <v>3738.8419337633336</v>
      </c>
      <c r="O104" s="28">
        <v>4096.797381033463</v>
      </c>
      <c r="P104" s="28">
        <v>4171.784399017839</v>
      </c>
      <c r="Q104" s="28">
        <v>4234.494574715171</v>
      </c>
      <c r="R104" s="28">
        <v>4299.5419274245805</v>
      </c>
      <c r="S104" s="28">
        <v>4367.023368826865</v>
      </c>
      <c r="T104" s="28">
        <v>4437.039618578052</v>
      </c>
      <c r="U104" s="28">
        <v>4509.695357998238</v>
      </c>
      <c r="V104" s="28">
        <v>4585.099389880606</v>
      </c>
      <c r="W104" s="28">
        <v>4663.364804665936</v>
      </c>
      <c r="X104" s="28">
        <v>4744.609153237793</v>
      </c>
      <c r="Y104" s="40">
        <v>4828.954626603736</v>
      </c>
      <c r="AA104" s="52"/>
    </row>
    <row r="105" spans="2:27" ht="11.25">
      <c r="B105" s="42" t="s">
        <v>144</v>
      </c>
      <c r="C105" s="84" t="s">
        <v>557</v>
      </c>
      <c r="D105" s="85"/>
      <c r="E105" s="50" t="s">
        <v>123</v>
      </c>
      <c r="F105" s="28">
        <v>-89.51529838500001</v>
      </c>
      <c r="G105" s="28">
        <v>-853.0968729210333</v>
      </c>
      <c r="H105" s="28">
        <v>-6069.809379668009</v>
      </c>
      <c r="I105" s="28">
        <v>-5595.245892073506</v>
      </c>
      <c r="J105" s="28">
        <v>-596.9349615472752</v>
      </c>
      <c r="K105" s="28">
        <v>789.834770993222</v>
      </c>
      <c r="L105" s="28">
        <v>1234.7986448911158</v>
      </c>
      <c r="M105" s="28">
        <v>2505.6817607804846</v>
      </c>
      <c r="N105" s="28">
        <v>3465.9509502817136</v>
      </c>
      <c r="O105" s="28">
        <v>3823.9063975518434</v>
      </c>
      <c r="P105" s="28">
        <v>3898.893415536219</v>
      </c>
      <c r="Q105" s="28">
        <v>3961.6035912335515</v>
      </c>
      <c r="R105" s="28">
        <v>4026.6509439429606</v>
      </c>
      <c r="S105" s="28">
        <v>4094.1323853452454</v>
      </c>
      <c r="T105" s="28">
        <v>4164.1486350964315</v>
      </c>
      <c r="U105" s="28">
        <v>4236.804374516618</v>
      </c>
      <c r="V105" s="28">
        <v>4312.208406398986</v>
      </c>
      <c r="W105" s="28">
        <v>4390.473821184316</v>
      </c>
      <c r="X105" s="28">
        <v>4471.718169756174</v>
      </c>
      <c r="Y105" s="40">
        <v>4556.0636431221155</v>
      </c>
      <c r="AA105" s="52"/>
    </row>
    <row r="106" spans="2:27" ht="11.25">
      <c r="B106" s="96" t="s">
        <v>145</v>
      </c>
      <c r="C106" s="91" t="s">
        <v>121</v>
      </c>
      <c r="D106" s="78">
        <f>+AA100</f>
        <v>22143.831983188997</v>
      </c>
      <c r="E106" s="94"/>
      <c r="F106" s="73"/>
      <c r="G106" s="73"/>
      <c r="H106" s="73"/>
      <c r="I106" s="73"/>
      <c r="J106" s="73"/>
      <c r="K106" s="73"/>
      <c r="L106" s="73"/>
      <c r="M106" s="73"/>
      <c r="N106" s="73"/>
      <c r="O106" s="73"/>
      <c r="P106" s="73"/>
      <c r="Q106" s="73"/>
      <c r="R106" s="73"/>
      <c r="S106" s="73"/>
      <c r="T106" s="73"/>
      <c r="U106" s="73"/>
      <c r="V106" s="73"/>
      <c r="W106" s="73"/>
      <c r="X106" s="73"/>
      <c r="Y106" s="74"/>
      <c r="AA106" s="52"/>
    </row>
    <row r="107" spans="2:27" ht="11.25">
      <c r="B107" s="96" t="s">
        <v>146</v>
      </c>
      <c r="C107" s="92" t="s">
        <v>596</v>
      </c>
      <c r="D107" s="113">
        <f>+AA98</f>
        <v>425.81000000000006</v>
      </c>
      <c r="E107" s="95"/>
      <c r="F107" s="54"/>
      <c r="G107" s="54"/>
      <c r="H107" s="54"/>
      <c r="I107" s="54"/>
      <c r="J107" s="54"/>
      <c r="K107" s="54"/>
      <c r="L107" s="54"/>
      <c r="M107" s="54"/>
      <c r="N107" s="54"/>
      <c r="O107" s="54"/>
      <c r="P107" s="54"/>
      <c r="Q107" s="54"/>
      <c r="R107" s="54"/>
      <c r="S107" s="54"/>
      <c r="T107" s="54"/>
      <c r="U107" s="54"/>
      <c r="V107" s="54"/>
      <c r="W107" s="54"/>
      <c r="X107" s="54"/>
      <c r="Y107" s="75"/>
      <c r="AA107" s="52"/>
    </row>
    <row r="108" spans="2:27" ht="11.25">
      <c r="B108" s="96" t="s">
        <v>558</v>
      </c>
      <c r="C108" s="92" t="s">
        <v>57</v>
      </c>
      <c r="D108" s="79">
        <f>+IRR(F105:Y105)</f>
        <v>0.15743015023164036</v>
      </c>
      <c r="E108" s="95"/>
      <c r="F108" s="88"/>
      <c r="G108" s="54"/>
      <c r="H108" s="54"/>
      <c r="I108" s="54"/>
      <c r="J108" s="54"/>
      <c r="K108" s="54"/>
      <c r="L108" s="54"/>
      <c r="M108" s="54"/>
      <c r="N108" s="54"/>
      <c r="O108" s="54"/>
      <c r="P108" s="54"/>
      <c r="Q108" s="54"/>
      <c r="R108" s="54"/>
      <c r="S108" s="54"/>
      <c r="T108" s="54"/>
      <c r="U108" s="54"/>
      <c r="V108" s="54"/>
      <c r="W108" s="54"/>
      <c r="X108" s="54"/>
      <c r="Y108" s="75"/>
      <c r="AA108" s="52"/>
    </row>
    <row r="109" spans="2:27" ht="12" thickBot="1">
      <c r="B109" s="107" t="s">
        <v>599</v>
      </c>
      <c r="C109" s="102" t="s">
        <v>120</v>
      </c>
      <c r="D109" s="103">
        <f>+NPV('Assumptions and Basic Info'!$C$20,F105:Y105)</f>
        <v>5496.996429622294</v>
      </c>
      <c r="E109" s="108"/>
      <c r="F109" s="105"/>
      <c r="G109" s="127"/>
      <c r="H109" s="105"/>
      <c r="I109" s="105"/>
      <c r="J109" s="105"/>
      <c r="K109" s="105"/>
      <c r="L109" s="105"/>
      <c r="M109" s="105"/>
      <c r="N109" s="105"/>
      <c r="O109" s="105"/>
      <c r="P109" s="105"/>
      <c r="Q109" s="105"/>
      <c r="R109" s="105"/>
      <c r="S109" s="105"/>
      <c r="T109" s="105"/>
      <c r="U109" s="105"/>
      <c r="V109" s="105"/>
      <c r="W109" s="105"/>
      <c r="X109" s="105"/>
      <c r="Y109" s="106"/>
      <c r="AA109" s="52"/>
    </row>
    <row r="110" spans="2:27" ht="11.25">
      <c r="B110" s="44" t="s">
        <v>149</v>
      </c>
      <c r="C110" s="23" t="s">
        <v>162</v>
      </c>
      <c r="D110" s="23"/>
      <c r="E110" s="51"/>
      <c r="F110" s="24"/>
      <c r="G110" s="24"/>
      <c r="H110" s="24"/>
      <c r="I110" s="24"/>
      <c r="J110" s="24"/>
      <c r="K110" s="24"/>
      <c r="L110" s="24"/>
      <c r="M110" s="24"/>
      <c r="N110" s="24"/>
      <c r="O110" s="24"/>
      <c r="P110" s="24"/>
      <c r="Q110" s="24"/>
      <c r="R110" s="24"/>
      <c r="S110" s="24"/>
      <c r="T110" s="24"/>
      <c r="U110" s="24"/>
      <c r="V110" s="24"/>
      <c r="W110" s="24"/>
      <c r="X110" s="24"/>
      <c r="Y110" s="45"/>
      <c r="AA110" s="52"/>
    </row>
    <row r="111" spans="2:29" ht="11.25">
      <c r="B111" s="37" t="s">
        <v>150</v>
      </c>
      <c r="C111" s="80" t="s">
        <v>124</v>
      </c>
      <c r="D111" s="81"/>
      <c r="E111" s="49" t="s">
        <v>54</v>
      </c>
      <c r="F111" s="27">
        <v>8562</v>
      </c>
      <c r="G111" s="27">
        <v>8428.666666666666</v>
      </c>
      <c r="H111" s="27">
        <v>8295.333333333334</v>
      </c>
      <c r="I111" s="27">
        <v>8162</v>
      </c>
      <c r="J111" s="27">
        <v>8028.666666666666</v>
      </c>
      <c r="K111" s="27">
        <v>7895.333333333334</v>
      </c>
      <c r="L111" s="27">
        <v>7762</v>
      </c>
      <c r="M111" s="27">
        <v>7628.666666666666</v>
      </c>
      <c r="N111" s="27">
        <v>7495.333333333334</v>
      </c>
      <c r="O111" s="27">
        <v>7362</v>
      </c>
      <c r="P111" s="27">
        <v>7362</v>
      </c>
      <c r="Q111" s="27">
        <v>7362</v>
      </c>
      <c r="R111" s="27">
        <v>7362</v>
      </c>
      <c r="S111" s="27">
        <v>7362</v>
      </c>
      <c r="T111" s="27">
        <v>7362</v>
      </c>
      <c r="U111" s="27">
        <v>7362</v>
      </c>
      <c r="V111" s="27">
        <v>7362</v>
      </c>
      <c r="W111" s="27">
        <v>7362</v>
      </c>
      <c r="X111" s="27">
        <v>7362</v>
      </c>
      <c r="Y111" s="38">
        <v>7362</v>
      </c>
      <c r="AA111" s="52">
        <v>8562</v>
      </c>
      <c r="AB111" s="116" t="s">
        <v>126</v>
      </c>
      <c r="AC111" s="52"/>
    </row>
    <row r="112" spans="2:28" ht="11.25">
      <c r="B112" s="39" t="s">
        <v>151</v>
      </c>
      <c r="C112" s="82" t="s">
        <v>125</v>
      </c>
      <c r="D112" s="83"/>
      <c r="E112" s="50" t="s">
        <v>54</v>
      </c>
      <c r="F112" s="28">
        <v>8562</v>
      </c>
      <c r="G112" s="28">
        <v>8428.666666666666</v>
      </c>
      <c r="H112" s="28">
        <v>8612.512604371226</v>
      </c>
      <c r="I112" s="28">
        <v>10101.193809859253</v>
      </c>
      <c r="J112" s="28">
        <v>14949.013853267768</v>
      </c>
      <c r="K112" s="28">
        <v>15521</v>
      </c>
      <c r="L112" s="28">
        <v>15521</v>
      </c>
      <c r="M112" s="28">
        <v>15521</v>
      </c>
      <c r="N112" s="28">
        <v>15521</v>
      </c>
      <c r="O112" s="28">
        <v>15521</v>
      </c>
      <c r="P112" s="28">
        <v>15521</v>
      </c>
      <c r="Q112" s="28">
        <v>15521</v>
      </c>
      <c r="R112" s="28">
        <v>15521</v>
      </c>
      <c r="S112" s="28">
        <v>15521</v>
      </c>
      <c r="T112" s="28">
        <v>15521</v>
      </c>
      <c r="U112" s="28">
        <v>15521</v>
      </c>
      <c r="V112" s="28">
        <v>15521</v>
      </c>
      <c r="W112" s="28">
        <v>15521</v>
      </c>
      <c r="X112" s="28">
        <v>15521</v>
      </c>
      <c r="Y112" s="40">
        <v>15521</v>
      </c>
      <c r="AA112" s="52">
        <v>15521</v>
      </c>
      <c r="AB112" s="116" t="s">
        <v>127</v>
      </c>
    </row>
    <row r="113" spans="2:29" ht="11.25">
      <c r="B113" s="39" t="s">
        <v>152</v>
      </c>
      <c r="C113" s="82" t="s">
        <v>81</v>
      </c>
      <c r="D113" s="83"/>
      <c r="E113" s="50" t="s">
        <v>54</v>
      </c>
      <c r="F113" s="28">
        <v>0</v>
      </c>
      <c r="G113" s="28">
        <v>0</v>
      </c>
      <c r="H113" s="28">
        <v>317.17927103789225</v>
      </c>
      <c r="I113" s="28">
        <v>1939.1938098592527</v>
      </c>
      <c r="J113" s="28">
        <v>6920.347186601102</v>
      </c>
      <c r="K113" s="28">
        <v>7625.666666666666</v>
      </c>
      <c r="L113" s="28">
        <v>7759</v>
      </c>
      <c r="M113" s="28">
        <v>7892.333333333334</v>
      </c>
      <c r="N113" s="28">
        <v>8025.666666666666</v>
      </c>
      <c r="O113" s="28">
        <v>8159</v>
      </c>
      <c r="P113" s="28">
        <v>8159</v>
      </c>
      <c r="Q113" s="28">
        <v>8159</v>
      </c>
      <c r="R113" s="28">
        <v>8159</v>
      </c>
      <c r="S113" s="28">
        <v>8159</v>
      </c>
      <c r="T113" s="28">
        <v>8159</v>
      </c>
      <c r="U113" s="28">
        <v>8159</v>
      </c>
      <c r="V113" s="28">
        <v>8159</v>
      </c>
      <c r="W113" s="28">
        <v>8159</v>
      </c>
      <c r="X113" s="28">
        <v>8159</v>
      </c>
      <c r="Y113" s="40">
        <v>8159</v>
      </c>
      <c r="AA113" s="52">
        <v>6959</v>
      </c>
      <c r="AB113" s="116" t="s">
        <v>127</v>
      </c>
      <c r="AC113" s="52">
        <v>6959</v>
      </c>
    </row>
    <row r="114" spans="2:28" ht="11.25">
      <c r="B114" s="39" t="s">
        <v>153</v>
      </c>
      <c r="C114" s="82" t="s">
        <v>65</v>
      </c>
      <c r="D114" s="83"/>
      <c r="E114" s="50" t="s">
        <v>119</v>
      </c>
      <c r="F114" s="28">
        <v>0</v>
      </c>
      <c r="G114" s="28">
        <v>0</v>
      </c>
      <c r="H114" s="28">
        <v>0</v>
      </c>
      <c r="I114" s="28">
        <v>0</v>
      </c>
      <c r="J114" s="28">
        <v>3944.4444444444453</v>
      </c>
      <c r="K114" s="28">
        <v>3155.5555555555566</v>
      </c>
      <c r="L114" s="28">
        <v>2366.666666666668</v>
      </c>
      <c r="M114" s="28">
        <v>1577.777777777779</v>
      </c>
      <c r="N114" s="28">
        <v>788.88888888889</v>
      </c>
      <c r="O114" s="28">
        <v>0</v>
      </c>
      <c r="P114" s="28">
        <v>0</v>
      </c>
      <c r="Q114" s="28">
        <v>0</v>
      </c>
      <c r="R114" s="28">
        <v>0</v>
      </c>
      <c r="S114" s="28">
        <v>0</v>
      </c>
      <c r="T114" s="28">
        <v>0</v>
      </c>
      <c r="U114" s="28">
        <v>0</v>
      </c>
      <c r="V114" s="28">
        <v>0</v>
      </c>
      <c r="W114" s="28">
        <v>0</v>
      </c>
      <c r="X114" s="28">
        <v>0</v>
      </c>
      <c r="Y114" s="40">
        <v>0</v>
      </c>
      <c r="AA114" s="52">
        <v>7100</v>
      </c>
      <c r="AB114" s="116" t="s">
        <v>127</v>
      </c>
    </row>
    <row r="115" spans="2:28" ht="11.25">
      <c r="B115" s="39" t="s">
        <v>154</v>
      </c>
      <c r="C115" s="82" t="s">
        <v>516</v>
      </c>
      <c r="D115" s="83"/>
      <c r="E115" s="50" t="s">
        <v>526</v>
      </c>
      <c r="F115" s="28">
        <v>0</v>
      </c>
      <c r="G115" s="28">
        <v>0</v>
      </c>
      <c r="H115" s="28">
        <v>0</v>
      </c>
      <c r="I115" s="28">
        <v>5420.751739465506</v>
      </c>
      <c r="J115" s="28">
        <v>9483.397483187893</v>
      </c>
      <c r="K115" s="28">
        <v>11193.511960096886</v>
      </c>
      <c r="L115" s="28">
        <v>11940.536842170488</v>
      </c>
      <c r="M115" s="28">
        <v>12717.442719527033</v>
      </c>
      <c r="N115" s="28">
        <v>13525.424831977838</v>
      </c>
      <c r="O115" s="28">
        <v>14365.726228926676</v>
      </c>
      <c r="P115" s="28">
        <v>15239.63968175347</v>
      </c>
      <c r="Q115" s="28">
        <v>16148.509672693333</v>
      </c>
      <c r="R115" s="28">
        <v>17093.734463270794</v>
      </c>
      <c r="S115" s="28">
        <v>18076.76824547135</v>
      </c>
      <c r="T115" s="28">
        <v>19099.12337895993</v>
      </c>
      <c r="U115" s="28">
        <v>20162.37271778805</v>
      </c>
      <c r="V115" s="28">
        <v>21268.152030169298</v>
      </c>
      <c r="W115" s="28">
        <v>22418.162515045795</v>
      </c>
      <c r="X115" s="28">
        <v>23614.17341931735</v>
      </c>
      <c r="Y115" s="40">
        <v>24858.02475975977</v>
      </c>
      <c r="AA115" s="52">
        <v>8000</v>
      </c>
      <c r="AB115" s="116"/>
    </row>
    <row r="116" spans="2:27" ht="11.25">
      <c r="B116" s="39" t="s">
        <v>155</v>
      </c>
      <c r="C116" s="82" t="s">
        <v>58</v>
      </c>
      <c r="D116" s="83"/>
      <c r="E116" s="50" t="s">
        <v>123</v>
      </c>
      <c r="F116" s="28">
        <v>0</v>
      </c>
      <c r="G116" s="28">
        <v>283.47826086956525</v>
      </c>
      <c r="H116" s="28">
        <v>4473.947826086957</v>
      </c>
      <c r="I116" s="28">
        <v>2274.6</v>
      </c>
      <c r="J116" s="28">
        <v>324.05875859347816</v>
      </c>
      <c r="K116" s="28">
        <v>0</v>
      </c>
      <c r="L116" s="31">
        <v>0</v>
      </c>
      <c r="M116" s="31">
        <v>0</v>
      </c>
      <c r="N116" s="31">
        <v>0</v>
      </c>
      <c r="O116" s="31">
        <v>0</v>
      </c>
      <c r="P116" s="31">
        <v>0</v>
      </c>
      <c r="Q116" s="31">
        <v>0</v>
      </c>
      <c r="R116" s="31">
        <v>0</v>
      </c>
      <c r="S116" s="31">
        <v>0</v>
      </c>
      <c r="T116" s="31">
        <v>0</v>
      </c>
      <c r="U116" s="31">
        <v>0</v>
      </c>
      <c r="V116" s="31">
        <v>0</v>
      </c>
      <c r="W116" s="31">
        <v>0</v>
      </c>
      <c r="X116" s="31">
        <v>0</v>
      </c>
      <c r="Y116" s="46">
        <v>0</v>
      </c>
      <c r="AA116" s="52">
        <v>7356.08484555</v>
      </c>
    </row>
    <row r="117" spans="2:27" ht="11.25">
      <c r="B117" s="39" t="s">
        <v>156</v>
      </c>
      <c r="C117" s="82" t="s">
        <v>24</v>
      </c>
      <c r="D117" s="83"/>
      <c r="E117" s="50" t="s">
        <v>123</v>
      </c>
      <c r="F117" s="28">
        <v>0</v>
      </c>
      <c r="G117" s="28">
        <v>42.52173913043478</v>
      </c>
      <c r="H117" s="28">
        <v>671.0921739130436</v>
      </c>
      <c r="I117" s="28">
        <v>341.19</v>
      </c>
      <c r="J117" s="28">
        <v>48.608813789021724</v>
      </c>
      <c r="K117" s="28">
        <v>0</v>
      </c>
      <c r="L117" s="28">
        <v>0</v>
      </c>
      <c r="M117" s="28">
        <v>0</v>
      </c>
      <c r="N117" s="28">
        <v>0</v>
      </c>
      <c r="O117" s="28">
        <v>0</v>
      </c>
      <c r="P117" s="28">
        <v>0</v>
      </c>
      <c r="Q117" s="28">
        <v>0</v>
      </c>
      <c r="R117" s="28">
        <v>0</v>
      </c>
      <c r="S117" s="28">
        <v>0</v>
      </c>
      <c r="T117" s="28">
        <v>0</v>
      </c>
      <c r="U117" s="28">
        <v>0</v>
      </c>
      <c r="V117" s="31">
        <v>0</v>
      </c>
      <c r="W117" s="31">
        <v>0</v>
      </c>
      <c r="X117" s="31">
        <v>0</v>
      </c>
      <c r="Y117" s="46">
        <v>0</v>
      </c>
      <c r="AA117" s="54">
        <f>+AA116*'Assumptions and Basic Info'!$C$4</f>
        <v>7356.08484555</v>
      </c>
    </row>
    <row r="118" spans="2:27" ht="11.25">
      <c r="B118" s="39" t="s">
        <v>559</v>
      </c>
      <c r="C118" s="82" t="s">
        <v>83</v>
      </c>
      <c r="D118" s="83"/>
      <c r="E118" s="50" t="s">
        <v>123</v>
      </c>
      <c r="F118" s="28">
        <v>0</v>
      </c>
      <c r="G118" s="28">
        <v>133.37356499999999</v>
      </c>
      <c r="H118" s="28">
        <v>397.098956327445</v>
      </c>
      <c r="I118" s="28">
        <v>201.716178672555</v>
      </c>
      <c r="J118" s="28">
        <v>29.166081514424995</v>
      </c>
      <c r="K118" s="28">
        <v>0</v>
      </c>
      <c r="L118" s="28">
        <v>0</v>
      </c>
      <c r="M118" s="28">
        <v>0</v>
      </c>
      <c r="N118" s="28">
        <v>0</v>
      </c>
      <c r="O118" s="28">
        <v>0</v>
      </c>
      <c r="P118" s="28">
        <v>0</v>
      </c>
      <c r="Q118" s="28">
        <v>0</v>
      </c>
      <c r="R118" s="28">
        <v>0</v>
      </c>
      <c r="S118" s="28">
        <v>0</v>
      </c>
      <c r="T118" s="28">
        <v>0</v>
      </c>
      <c r="U118" s="28">
        <v>0</v>
      </c>
      <c r="V118" s="31">
        <v>0</v>
      </c>
      <c r="W118" s="31">
        <v>0</v>
      </c>
      <c r="X118" s="31">
        <v>0</v>
      </c>
      <c r="Y118" s="46">
        <v>0</v>
      </c>
      <c r="AA118" s="54">
        <v>761.354781514425</v>
      </c>
    </row>
    <row r="119" spans="2:27" ht="11.25">
      <c r="B119" s="39" t="s">
        <v>560</v>
      </c>
      <c r="C119" s="82" t="s">
        <v>82</v>
      </c>
      <c r="D119" s="83"/>
      <c r="E119" s="50" t="s">
        <v>123</v>
      </c>
      <c r="F119" s="28">
        <v>0</v>
      </c>
      <c r="G119" s="28">
        <v>0</v>
      </c>
      <c r="H119" s="28">
        <v>8.337860500000001</v>
      </c>
      <c r="I119" s="28">
        <v>127.48982955309782</v>
      </c>
      <c r="J119" s="28">
        <v>183.8399531265489</v>
      </c>
      <c r="K119" s="28">
        <v>191.87662620448742</v>
      </c>
      <c r="L119" s="28">
        <v>191.87662620448742</v>
      </c>
      <c r="M119" s="28">
        <v>191.87662620448742</v>
      </c>
      <c r="N119" s="28">
        <v>191.87662620448742</v>
      </c>
      <c r="O119" s="28">
        <v>191.87662620448742</v>
      </c>
      <c r="P119" s="28">
        <v>191.87662620448742</v>
      </c>
      <c r="Q119" s="28">
        <v>191.87662620448742</v>
      </c>
      <c r="R119" s="28">
        <v>191.87662620448742</v>
      </c>
      <c r="S119" s="28">
        <v>191.87662620448742</v>
      </c>
      <c r="T119" s="28">
        <v>191.87662620448742</v>
      </c>
      <c r="U119" s="28">
        <v>191.87662620448742</v>
      </c>
      <c r="V119" s="28">
        <v>191.87662620448742</v>
      </c>
      <c r="W119" s="28">
        <v>191.87662620448742</v>
      </c>
      <c r="X119" s="28">
        <v>191.87662620448742</v>
      </c>
      <c r="Y119" s="40">
        <v>191.87662620448742</v>
      </c>
      <c r="AA119" s="52"/>
    </row>
    <row r="120" spans="2:27" ht="11.25">
      <c r="B120" s="39" t="s">
        <v>619</v>
      </c>
      <c r="C120" s="82" t="s">
        <v>578</v>
      </c>
      <c r="D120" s="83"/>
      <c r="E120" s="50" t="s">
        <v>123</v>
      </c>
      <c r="F120" s="28">
        <v>0</v>
      </c>
      <c r="G120" s="28">
        <v>109.78</v>
      </c>
      <c r="H120" s="28">
        <v>0</v>
      </c>
      <c r="I120" s="28">
        <v>0</v>
      </c>
      <c r="J120" s="28">
        <v>0</v>
      </c>
      <c r="K120" s="28">
        <v>0</v>
      </c>
      <c r="L120" s="28">
        <v>0</v>
      </c>
      <c r="M120" s="28">
        <v>0</v>
      </c>
      <c r="N120" s="28">
        <v>0</v>
      </c>
      <c r="O120" s="28">
        <v>0</v>
      </c>
      <c r="P120" s="28">
        <v>0</v>
      </c>
      <c r="Q120" s="28">
        <v>0</v>
      </c>
      <c r="R120" s="28">
        <v>0</v>
      </c>
      <c r="S120" s="28">
        <v>0</v>
      </c>
      <c r="T120" s="28">
        <v>0</v>
      </c>
      <c r="U120" s="28">
        <v>0</v>
      </c>
      <c r="V120" s="28">
        <v>0</v>
      </c>
      <c r="W120" s="28">
        <v>0</v>
      </c>
      <c r="X120" s="28">
        <v>0</v>
      </c>
      <c r="Y120" s="40">
        <v>0</v>
      </c>
      <c r="AA120" s="52">
        <v>109.78</v>
      </c>
    </row>
    <row r="121" spans="2:27" ht="11.25">
      <c r="B121" s="39" t="s">
        <v>701</v>
      </c>
      <c r="C121" s="82" t="s">
        <v>691</v>
      </c>
      <c r="D121" s="83"/>
      <c r="E121" s="50" t="s">
        <v>123</v>
      </c>
      <c r="F121" s="28">
        <v>0</v>
      </c>
      <c r="G121" s="28">
        <v>0</v>
      </c>
      <c r="H121" s="28">
        <v>5.392047607644171</v>
      </c>
      <c r="I121" s="28">
        <v>5.392047607644171</v>
      </c>
      <c r="J121" s="28">
        <v>54.26704760764417</v>
      </c>
      <c r="K121" s="28">
        <v>2.6088571770674833</v>
      </c>
      <c r="L121" s="28">
        <v>0</v>
      </c>
      <c r="M121" s="28">
        <v>0</v>
      </c>
      <c r="N121" s="28">
        <v>0</v>
      </c>
      <c r="O121" s="28">
        <v>0</v>
      </c>
      <c r="P121" s="28">
        <v>0</v>
      </c>
      <c r="Q121" s="28">
        <v>0</v>
      </c>
      <c r="R121" s="28">
        <v>0</v>
      </c>
      <c r="S121" s="28">
        <v>0</v>
      </c>
      <c r="T121" s="28">
        <v>0</v>
      </c>
      <c r="U121" s="28">
        <v>0</v>
      </c>
      <c r="V121" s="28">
        <v>0</v>
      </c>
      <c r="W121" s="28">
        <v>0</v>
      </c>
      <c r="X121" s="28">
        <v>0</v>
      </c>
      <c r="Y121" s="40">
        <v>0</v>
      </c>
      <c r="AA121" s="52"/>
    </row>
    <row r="122" spans="2:27" ht="11.25">
      <c r="B122" s="39" t="s">
        <v>157</v>
      </c>
      <c r="C122" s="82" t="s">
        <v>702</v>
      </c>
      <c r="D122" s="83"/>
      <c r="E122" s="50" t="s">
        <v>123</v>
      </c>
      <c r="F122" s="28">
        <v>0</v>
      </c>
      <c r="G122" s="28">
        <v>569.153565</v>
      </c>
      <c r="H122" s="28">
        <v>5550.476816827446</v>
      </c>
      <c r="I122" s="28">
        <v>2944.996008225652</v>
      </c>
      <c r="J122" s="28">
        <v>585.6736070234738</v>
      </c>
      <c r="K122" s="28">
        <v>191.87662620448742</v>
      </c>
      <c r="L122" s="28">
        <v>191.87662620448742</v>
      </c>
      <c r="M122" s="28">
        <v>191.87662620448742</v>
      </c>
      <c r="N122" s="28">
        <v>191.87662620448742</v>
      </c>
      <c r="O122" s="28">
        <v>191.87662620448742</v>
      </c>
      <c r="P122" s="28">
        <v>191.87662620448742</v>
      </c>
      <c r="Q122" s="28">
        <v>191.87662620448742</v>
      </c>
      <c r="R122" s="28">
        <v>191.87662620448742</v>
      </c>
      <c r="S122" s="28">
        <v>191.87662620448742</v>
      </c>
      <c r="T122" s="28">
        <v>191.87662620448742</v>
      </c>
      <c r="U122" s="28">
        <v>191.87662620448742</v>
      </c>
      <c r="V122" s="28">
        <v>191.87662620448742</v>
      </c>
      <c r="W122" s="28">
        <v>191.87662620448742</v>
      </c>
      <c r="X122" s="28">
        <v>191.87662620448742</v>
      </c>
      <c r="Y122" s="40">
        <v>191.87662620448742</v>
      </c>
      <c r="AA122" s="52">
        <f>+AA116+AA117+AA118</f>
        <v>15473.524472614425</v>
      </c>
    </row>
    <row r="123" spans="2:27" ht="11.25">
      <c r="B123" s="39" t="s">
        <v>561</v>
      </c>
      <c r="C123" s="82" t="s">
        <v>128</v>
      </c>
      <c r="D123" s="83"/>
      <c r="E123" s="50" t="s">
        <v>123</v>
      </c>
      <c r="F123" s="28">
        <v>0</v>
      </c>
      <c r="G123" s="28">
        <v>0</v>
      </c>
      <c r="H123" s="28">
        <v>93.07786898628795</v>
      </c>
      <c r="I123" s="28">
        <v>252.3151052770388</v>
      </c>
      <c r="J123" s="28">
        <v>1718.4373453124847</v>
      </c>
      <c r="K123" s="28">
        <v>2599.6255812684167</v>
      </c>
      <c r="L123" s="28">
        <v>3419.471194304987</v>
      </c>
      <c r="M123" s="28">
        <v>3593.400506872507</v>
      </c>
      <c r="N123" s="28">
        <v>3735.7403005598626</v>
      </c>
      <c r="O123" s="28">
        <v>3841.313692243749</v>
      </c>
      <c r="P123" s="28">
        <v>3841.5402454010054</v>
      </c>
      <c r="Q123" s="28">
        <v>3841.5402454010054</v>
      </c>
      <c r="R123" s="28">
        <v>3841.5402454010054</v>
      </c>
      <c r="S123" s="28">
        <v>3841.5402454010054</v>
      </c>
      <c r="T123" s="28">
        <v>3841.5402454010054</v>
      </c>
      <c r="U123" s="28">
        <v>3841.5402454010054</v>
      </c>
      <c r="V123" s="28">
        <v>3841.5402454010054</v>
      </c>
      <c r="W123" s="28">
        <v>3841.5402454010054</v>
      </c>
      <c r="X123" s="28">
        <v>3841.5402454010054</v>
      </c>
      <c r="Y123" s="40">
        <v>3841.5402454010054</v>
      </c>
      <c r="AA123" s="52"/>
    </row>
    <row r="124" spans="2:27" ht="11.25">
      <c r="B124" s="39" t="s">
        <v>562</v>
      </c>
      <c r="C124" s="82" t="s">
        <v>63</v>
      </c>
      <c r="D124" s="83"/>
      <c r="E124" s="50" t="s">
        <v>123</v>
      </c>
      <c r="F124" s="28">
        <v>0</v>
      </c>
      <c r="G124" s="28">
        <v>0</v>
      </c>
      <c r="H124" s="28">
        <v>0</v>
      </c>
      <c r="I124" s="28">
        <v>0</v>
      </c>
      <c r="J124" s="28">
        <v>166.45555555555558</v>
      </c>
      <c r="K124" s="28">
        <v>133.16444444444448</v>
      </c>
      <c r="L124" s="28">
        <v>99.87333333333339</v>
      </c>
      <c r="M124" s="28">
        <v>66.58222222222227</v>
      </c>
      <c r="N124" s="28">
        <v>33.291111111111164</v>
      </c>
      <c r="O124" s="28">
        <v>0</v>
      </c>
      <c r="P124" s="28">
        <v>0</v>
      </c>
      <c r="Q124" s="28">
        <v>0</v>
      </c>
      <c r="R124" s="28">
        <v>0</v>
      </c>
      <c r="S124" s="28">
        <v>0</v>
      </c>
      <c r="T124" s="28">
        <v>0</v>
      </c>
      <c r="U124" s="28">
        <v>0</v>
      </c>
      <c r="V124" s="28">
        <v>0</v>
      </c>
      <c r="W124" s="28">
        <v>0</v>
      </c>
      <c r="X124" s="28">
        <v>0</v>
      </c>
      <c r="Y124" s="40">
        <v>0</v>
      </c>
      <c r="AA124" s="52"/>
    </row>
    <row r="125" spans="2:27" ht="11.25">
      <c r="B125" s="39" t="s">
        <v>563</v>
      </c>
      <c r="C125" s="82" t="s">
        <v>522</v>
      </c>
      <c r="D125" s="83"/>
      <c r="E125" s="50" t="s">
        <v>123</v>
      </c>
      <c r="F125" s="28">
        <v>0</v>
      </c>
      <c r="G125" s="28">
        <v>0</v>
      </c>
      <c r="H125" s="28">
        <v>0</v>
      </c>
      <c r="I125" s="28">
        <v>137.68709418242383</v>
      </c>
      <c r="J125" s="28">
        <v>240.87829607297246</v>
      </c>
      <c r="K125" s="28">
        <v>284.3152037864609</v>
      </c>
      <c r="L125" s="28">
        <v>303.28963579113037</v>
      </c>
      <c r="M125" s="28">
        <v>323.0230450759866</v>
      </c>
      <c r="N125" s="28">
        <v>343.54579073223704</v>
      </c>
      <c r="O125" s="28">
        <v>364.8894462147375</v>
      </c>
      <c r="P125" s="28">
        <v>387.08684791653815</v>
      </c>
      <c r="Q125" s="28">
        <v>410.17214568641066</v>
      </c>
      <c r="R125" s="28">
        <v>434.18085536707815</v>
      </c>
      <c r="S125" s="28">
        <v>459.1499134349723</v>
      </c>
      <c r="T125" s="28">
        <v>485.11773382558215</v>
      </c>
      <c r="U125" s="28">
        <v>512.1242670318164</v>
      </c>
      <c r="V125" s="28">
        <v>540.2110615663001</v>
      </c>
      <c r="W125" s="28">
        <v>569.4213278821632</v>
      </c>
      <c r="X125" s="28">
        <v>599.8000048506607</v>
      </c>
      <c r="Y125" s="40">
        <v>631.3938288978981</v>
      </c>
      <c r="AA125" s="52"/>
    </row>
    <row r="126" spans="2:27" ht="11.25">
      <c r="B126" s="39" t="s">
        <v>158</v>
      </c>
      <c r="C126" s="82" t="s">
        <v>564</v>
      </c>
      <c r="D126" s="83"/>
      <c r="E126" s="50" t="s">
        <v>123</v>
      </c>
      <c r="F126" s="28">
        <v>0</v>
      </c>
      <c r="G126" s="28">
        <v>0</v>
      </c>
      <c r="H126" s="28">
        <v>93.07786898628795</v>
      </c>
      <c r="I126" s="28">
        <v>390.00219945946264</v>
      </c>
      <c r="J126" s="28">
        <v>2125.7711969410125</v>
      </c>
      <c r="K126" s="28">
        <v>3017.1052294993224</v>
      </c>
      <c r="L126" s="28">
        <v>3822.634163429451</v>
      </c>
      <c r="M126" s="28">
        <v>3983.005774170716</v>
      </c>
      <c r="N126" s="28">
        <v>4112.57720240321</v>
      </c>
      <c r="O126" s="28">
        <v>4206.203138458486</v>
      </c>
      <c r="P126" s="28">
        <v>4228.627093317544</v>
      </c>
      <c r="Q126" s="28">
        <v>4251.712391087416</v>
      </c>
      <c r="R126" s="28">
        <v>4275.7211007680835</v>
      </c>
      <c r="S126" s="28">
        <v>4300.690158835978</v>
      </c>
      <c r="T126" s="28">
        <v>4326.6579792265875</v>
      </c>
      <c r="U126" s="28">
        <v>4353.6645124328215</v>
      </c>
      <c r="V126" s="28">
        <v>4381.751306967306</v>
      </c>
      <c r="W126" s="28">
        <v>4410.961573283169</v>
      </c>
      <c r="X126" s="28">
        <v>4441.3402502516665</v>
      </c>
      <c r="Y126" s="40">
        <v>4472.934074298903</v>
      </c>
      <c r="AA126" s="52"/>
    </row>
    <row r="127" spans="2:27" ht="11.25">
      <c r="B127" s="42" t="s">
        <v>159</v>
      </c>
      <c r="C127" s="84" t="s">
        <v>565</v>
      </c>
      <c r="D127" s="85"/>
      <c r="E127" s="50" t="s">
        <v>123</v>
      </c>
      <c r="F127" s="28">
        <v>0</v>
      </c>
      <c r="G127" s="28">
        <v>-569.153565</v>
      </c>
      <c r="H127" s="28">
        <v>-5457.398947841158</v>
      </c>
      <c r="I127" s="28">
        <v>-2554.9938087661894</v>
      </c>
      <c r="J127" s="28">
        <v>1540.0975899175387</v>
      </c>
      <c r="K127" s="28">
        <v>2825.228603294835</v>
      </c>
      <c r="L127" s="28">
        <v>3630.7575372249635</v>
      </c>
      <c r="M127" s="28">
        <v>3791.1291479662286</v>
      </c>
      <c r="N127" s="28">
        <v>3920.700576198723</v>
      </c>
      <c r="O127" s="28">
        <v>4014.3265122539988</v>
      </c>
      <c r="P127" s="28">
        <v>4036.7504671130564</v>
      </c>
      <c r="Q127" s="28">
        <v>4059.8357648829287</v>
      </c>
      <c r="R127" s="28">
        <v>4083.844474563596</v>
      </c>
      <c r="S127" s="28">
        <v>4108.8135326314905</v>
      </c>
      <c r="T127" s="28">
        <v>4134.7813530221</v>
      </c>
      <c r="U127" s="28">
        <v>4161.787886228334</v>
      </c>
      <c r="V127" s="28">
        <v>4189.874680762819</v>
      </c>
      <c r="W127" s="28">
        <v>4219.084947078682</v>
      </c>
      <c r="X127" s="28">
        <v>4249.463624047179</v>
      </c>
      <c r="Y127" s="40">
        <v>4281.057448094416</v>
      </c>
      <c r="AA127" s="52"/>
    </row>
    <row r="128" spans="2:27" ht="11.25">
      <c r="B128" s="96" t="s">
        <v>160</v>
      </c>
      <c r="C128" s="91" t="s">
        <v>121</v>
      </c>
      <c r="D128" s="78">
        <f>+AA122</f>
        <v>15473.524472614425</v>
      </c>
      <c r="E128" s="94"/>
      <c r="F128" s="73"/>
      <c r="G128" s="73"/>
      <c r="H128" s="73"/>
      <c r="I128" s="73"/>
      <c r="J128" s="73"/>
      <c r="K128" s="73"/>
      <c r="L128" s="73"/>
      <c r="M128" s="73"/>
      <c r="N128" s="73"/>
      <c r="O128" s="73"/>
      <c r="P128" s="73"/>
      <c r="Q128" s="73"/>
      <c r="R128" s="73"/>
      <c r="S128" s="73"/>
      <c r="T128" s="73"/>
      <c r="U128" s="73"/>
      <c r="V128" s="73"/>
      <c r="W128" s="73"/>
      <c r="X128" s="73"/>
      <c r="Y128" s="74"/>
      <c r="AA128" s="52"/>
    </row>
    <row r="129" spans="2:27" ht="11.25">
      <c r="B129" s="96" t="s">
        <v>161</v>
      </c>
      <c r="C129" s="92" t="s">
        <v>596</v>
      </c>
      <c r="D129" s="113">
        <f>+AA120</f>
        <v>109.78</v>
      </c>
      <c r="E129" s="95"/>
      <c r="F129" s="54"/>
      <c r="G129" s="54"/>
      <c r="H129" s="54"/>
      <c r="I129" s="54"/>
      <c r="J129" s="54"/>
      <c r="K129" s="54"/>
      <c r="L129" s="54"/>
      <c r="M129" s="54"/>
      <c r="N129" s="54"/>
      <c r="O129" s="54"/>
      <c r="P129" s="54"/>
      <c r="Q129" s="54"/>
      <c r="R129" s="54"/>
      <c r="S129" s="54"/>
      <c r="T129" s="54"/>
      <c r="U129" s="54"/>
      <c r="V129" s="54"/>
      <c r="W129" s="54"/>
      <c r="X129" s="54"/>
      <c r="Y129" s="75"/>
      <c r="AA129" s="52"/>
    </row>
    <row r="130" spans="2:27" ht="11.25">
      <c r="B130" s="96" t="s">
        <v>566</v>
      </c>
      <c r="C130" s="92" t="s">
        <v>57</v>
      </c>
      <c r="D130" s="79">
        <f>+IRR(F127:Y127)</f>
        <v>0.29435860166973654</v>
      </c>
      <c r="E130" s="95"/>
      <c r="F130" s="88"/>
      <c r="G130" s="54"/>
      <c r="H130" s="54"/>
      <c r="I130" s="54"/>
      <c r="J130" s="54"/>
      <c r="K130" s="54"/>
      <c r="L130" s="54"/>
      <c r="M130" s="54"/>
      <c r="N130" s="54"/>
      <c r="O130" s="54"/>
      <c r="P130" s="54"/>
      <c r="Q130" s="54"/>
      <c r="R130" s="54"/>
      <c r="S130" s="54"/>
      <c r="T130" s="54"/>
      <c r="U130" s="54"/>
      <c r="V130" s="54"/>
      <c r="W130" s="54"/>
      <c r="X130" s="54"/>
      <c r="Y130" s="75"/>
      <c r="AA130" s="52"/>
    </row>
    <row r="131" spans="2:27" ht="12" thickBot="1">
      <c r="B131" s="107" t="s">
        <v>620</v>
      </c>
      <c r="C131" s="102" t="s">
        <v>120</v>
      </c>
      <c r="D131" s="103">
        <f>+NPV('Assumptions and Basic Info'!$C$20,F127:Y127)</f>
        <v>12865.437217773828</v>
      </c>
      <c r="E131" s="108"/>
      <c r="F131" s="105"/>
      <c r="G131" s="127"/>
      <c r="H131" s="105"/>
      <c r="I131" s="105"/>
      <c r="J131" s="105"/>
      <c r="K131" s="105"/>
      <c r="L131" s="105"/>
      <c r="M131" s="105"/>
      <c r="N131" s="105"/>
      <c r="O131" s="105"/>
      <c r="P131" s="105"/>
      <c r="Q131" s="105"/>
      <c r="R131" s="105"/>
      <c r="S131" s="105"/>
      <c r="T131" s="105"/>
      <c r="U131" s="105"/>
      <c r="V131" s="105"/>
      <c r="W131" s="105"/>
      <c r="X131" s="105"/>
      <c r="Y131" s="106"/>
      <c r="AA131" s="52"/>
    </row>
    <row r="132" spans="2:27" ht="11.25">
      <c r="B132" s="44" t="s">
        <v>163</v>
      </c>
      <c r="C132" s="23" t="s">
        <v>200</v>
      </c>
      <c r="D132" s="23"/>
      <c r="E132" s="51"/>
      <c r="F132" s="24"/>
      <c r="G132" s="24"/>
      <c r="H132" s="24"/>
      <c r="I132" s="24"/>
      <c r="J132" s="24"/>
      <c r="K132" s="24"/>
      <c r="L132" s="24"/>
      <c r="M132" s="24"/>
      <c r="N132" s="24"/>
      <c r="O132" s="24"/>
      <c r="P132" s="24"/>
      <c r="Q132" s="24"/>
      <c r="R132" s="24"/>
      <c r="S132" s="24"/>
      <c r="T132" s="24"/>
      <c r="U132" s="24"/>
      <c r="V132" s="24"/>
      <c r="W132" s="24"/>
      <c r="X132" s="24"/>
      <c r="Y132" s="45"/>
      <c r="AA132" s="52"/>
    </row>
    <row r="133" spans="2:29" ht="11.25">
      <c r="B133" s="37" t="s">
        <v>164</v>
      </c>
      <c r="C133" s="80" t="s">
        <v>124</v>
      </c>
      <c r="D133" s="81"/>
      <c r="E133" s="49" t="s">
        <v>54</v>
      </c>
      <c r="F133" s="27">
        <v>1710</v>
      </c>
      <c r="G133" s="27">
        <v>1566.4666666666672</v>
      </c>
      <c r="H133" s="27">
        <v>1423.1373333333336</v>
      </c>
      <c r="I133" s="27">
        <v>1280.00792</v>
      </c>
      <c r="J133" s="27">
        <v>1137.0744282666665</v>
      </c>
      <c r="K133" s="27">
        <v>994.3329397013331</v>
      </c>
      <c r="L133" s="27">
        <v>851.7796142406401</v>
      </c>
      <c r="M133" s="27">
        <v>709.4106886224936</v>
      </c>
      <c r="N133" s="27">
        <v>567.2224748500439</v>
      </c>
      <c r="O133" s="27">
        <v>425.21135868637646</v>
      </c>
      <c r="P133" s="27">
        <v>416.70713151264886</v>
      </c>
      <c r="Q133" s="27">
        <v>408.37298888239593</v>
      </c>
      <c r="R133" s="27">
        <v>400.20552910474794</v>
      </c>
      <c r="S133" s="27">
        <v>392.20141852265306</v>
      </c>
      <c r="T133" s="27">
        <v>384.35739015219997</v>
      </c>
      <c r="U133" s="27">
        <v>376.67024234915584</v>
      </c>
      <c r="V133" s="27">
        <v>369.13683750217274</v>
      </c>
      <c r="W133" s="27">
        <v>361.75410075212926</v>
      </c>
      <c r="X133" s="27">
        <v>354.51901873708675</v>
      </c>
      <c r="Y133" s="38">
        <v>347.42863836234505</v>
      </c>
      <c r="AA133" s="52">
        <v>1710</v>
      </c>
      <c r="AC133" s="52"/>
    </row>
    <row r="134" spans="2:27" ht="11.25">
      <c r="B134" s="39" t="s">
        <v>165</v>
      </c>
      <c r="C134" s="82" t="s">
        <v>125</v>
      </c>
      <c r="D134" s="83"/>
      <c r="E134" s="50" t="s">
        <v>54</v>
      </c>
      <c r="F134" s="28">
        <v>1710</v>
      </c>
      <c r="G134" s="28">
        <v>1566.4666666666672</v>
      </c>
      <c r="H134" s="28">
        <v>1458.9041156703133</v>
      </c>
      <c r="I134" s="28">
        <v>1351.5414846739595</v>
      </c>
      <c r="J134" s="28">
        <v>2816.967013677606</v>
      </c>
      <c r="K134" s="28">
        <v>5249</v>
      </c>
      <c r="L134" s="28">
        <v>5249</v>
      </c>
      <c r="M134" s="28">
        <v>5249</v>
      </c>
      <c r="N134" s="28">
        <v>5249</v>
      </c>
      <c r="O134" s="28">
        <v>5249</v>
      </c>
      <c r="P134" s="28">
        <v>5249</v>
      </c>
      <c r="Q134" s="28">
        <v>5249</v>
      </c>
      <c r="R134" s="28">
        <v>5249</v>
      </c>
      <c r="S134" s="28">
        <v>5249</v>
      </c>
      <c r="T134" s="28">
        <v>5249</v>
      </c>
      <c r="U134" s="28">
        <v>5249</v>
      </c>
      <c r="V134" s="28">
        <v>5249</v>
      </c>
      <c r="W134" s="28">
        <v>5249</v>
      </c>
      <c r="X134" s="28">
        <v>5249</v>
      </c>
      <c r="Y134" s="40">
        <v>5249</v>
      </c>
      <c r="AA134" s="52">
        <v>5249</v>
      </c>
    </row>
    <row r="135" spans="2:27" ht="11.25">
      <c r="B135" s="39" t="s">
        <v>166</v>
      </c>
      <c r="C135" s="82" t="s">
        <v>81</v>
      </c>
      <c r="D135" s="83"/>
      <c r="E135" s="50" t="s">
        <v>54</v>
      </c>
      <c r="F135" s="28">
        <v>0</v>
      </c>
      <c r="G135" s="28">
        <v>0</v>
      </c>
      <c r="H135" s="28">
        <v>35.76678233697976</v>
      </c>
      <c r="I135" s="28">
        <v>71.53356467395952</v>
      </c>
      <c r="J135" s="28">
        <v>1679.8925854109393</v>
      </c>
      <c r="K135" s="28">
        <v>4254.667060298667</v>
      </c>
      <c r="L135" s="28">
        <v>4397.2203857593595</v>
      </c>
      <c r="M135" s="28">
        <v>4539.589311377506</v>
      </c>
      <c r="N135" s="28">
        <v>4681.777525149956</v>
      </c>
      <c r="O135" s="28">
        <v>4823.788641313624</v>
      </c>
      <c r="P135" s="28">
        <v>4832.292868487351</v>
      </c>
      <c r="Q135" s="28">
        <v>4840.627011117604</v>
      </c>
      <c r="R135" s="28">
        <v>4848.794470895252</v>
      </c>
      <c r="S135" s="28">
        <v>4856.798581477347</v>
      </c>
      <c r="T135" s="28">
        <v>4864.6426098478005</v>
      </c>
      <c r="U135" s="28">
        <v>4872.329757650844</v>
      </c>
      <c r="V135" s="28">
        <v>4879.863162497827</v>
      </c>
      <c r="W135" s="28">
        <v>4887.2458992478705</v>
      </c>
      <c r="X135" s="28">
        <v>4894.480981262914</v>
      </c>
      <c r="Y135" s="40">
        <v>4901.571361637655</v>
      </c>
      <c r="AA135" s="52">
        <v>3539</v>
      </c>
    </row>
    <row r="136" spans="2:27" ht="11.25">
      <c r="B136" s="39" t="s">
        <v>167</v>
      </c>
      <c r="C136" s="82" t="s">
        <v>65</v>
      </c>
      <c r="D136" s="83"/>
      <c r="E136" s="50" t="s">
        <v>119</v>
      </c>
      <c r="F136" s="28">
        <v>0</v>
      </c>
      <c r="G136" s="28">
        <v>0</v>
      </c>
      <c r="H136" s="28">
        <v>0</v>
      </c>
      <c r="I136" s="28">
        <v>0</v>
      </c>
      <c r="J136" s="28">
        <v>0</v>
      </c>
      <c r="K136" s="28">
        <v>1866.6666666666672</v>
      </c>
      <c r="L136" s="28">
        <v>1400</v>
      </c>
      <c r="M136" s="28">
        <v>933.3333333333337</v>
      </c>
      <c r="N136" s="28">
        <v>466.666666666667</v>
      </c>
      <c r="O136" s="28">
        <v>0</v>
      </c>
      <c r="P136" s="28">
        <v>0</v>
      </c>
      <c r="Q136" s="28">
        <v>0</v>
      </c>
      <c r="R136" s="28">
        <v>0</v>
      </c>
      <c r="S136" s="28">
        <v>0</v>
      </c>
      <c r="T136" s="28">
        <v>0</v>
      </c>
      <c r="U136" s="28">
        <v>0</v>
      </c>
      <c r="V136" s="28">
        <v>0</v>
      </c>
      <c r="W136" s="28">
        <v>0</v>
      </c>
      <c r="X136" s="28">
        <v>0</v>
      </c>
      <c r="Y136" s="40">
        <v>0</v>
      </c>
      <c r="AA136" s="54">
        <v>4200</v>
      </c>
    </row>
    <row r="137" spans="2:27" ht="11.25">
      <c r="B137" s="39" t="s">
        <v>168</v>
      </c>
      <c r="C137" s="82" t="s">
        <v>58</v>
      </c>
      <c r="D137" s="83"/>
      <c r="E137" s="50" t="s">
        <v>123</v>
      </c>
      <c r="F137" s="28">
        <v>0</v>
      </c>
      <c r="G137" s="28">
        <v>97.3913043478261</v>
      </c>
      <c r="H137" s="28">
        <v>1249.97185770751</v>
      </c>
      <c r="I137" s="28">
        <v>1990.9881422924902</v>
      </c>
      <c r="J137" s="28">
        <v>851.2404502521742</v>
      </c>
      <c r="K137" s="28">
        <v>0</v>
      </c>
      <c r="L137" s="31">
        <v>0</v>
      </c>
      <c r="M137" s="31">
        <v>0</v>
      </c>
      <c r="N137" s="31">
        <v>0</v>
      </c>
      <c r="O137" s="31">
        <v>0</v>
      </c>
      <c r="P137" s="31">
        <v>0</v>
      </c>
      <c r="Q137" s="31">
        <v>0</v>
      </c>
      <c r="R137" s="31">
        <v>0</v>
      </c>
      <c r="S137" s="31">
        <v>0</v>
      </c>
      <c r="T137" s="31">
        <v>0</v>
      </c>
      <c r="U137" s="31">
        <v>0</v>
      </c>
      <c r="V137" s="31">
        <v>0</v>
      </c>
      <c r="W137" s="31">
        <v>0</v>
      </c>
      <c r="X137" s="31">
        <v>0</v>
      </c>
      <c r="Y137" s="46">
        <v>0</v>
      </c>
      <c r="AA137" s="54">
        <v>4189.5917546</v>
      </c>
    </row>
    <row r="138" spans="2:27" ht="11.25">
      <c r="B138" s="39" t="s">
        <v>169</v>
      </c>
      <c r="C138" s="82" t="s">
        <v>24</v>
      </c>
      <c r="D138" s="83"/>
      <c r="E138" s="50" t="s">
        <v>123</v>
      </c>
      <c r="F138" s="28">
        <v>0</v>
      </c>
      <c r="G138" s="28">
        <v>14.608695652173914</v>
      </c>
      <c r="H138" s="28">
        <v>187.49577865612648</v>
      </c>
      <c r="I138" s="28">
        <v>298.64822134387356</v>
      </c>
      <c r="J138" s="28">
        <v>127.68606753782615</v>
      </c>
      <c r="K138" s="28">
        <v>0</v>
      </c>
      <c r="L138" s="28">
        <v>0</v>
      </c>
      <c r="M138" s="28">
        <v>0</v>
      </c>
      <c r="N138" s="28">
        <v>0</v>
      </c>
      <c r="O138" s="28">
        <v>0</v>
      </c>
      <c r="P138" s="28">
        <v>0</v>
      </c>
      <c r="Q138" s="28">
        <v>0</v>
      </c>
      <c r="R138" s="28">
        <v>0</v>
      </c>
      <c r="S138" s="28">
        <v>0</v>
      </c>
      <c r="T138" s="28">
        <v>0</v>
      </c>
      <c r="U138" s="28">
        <v>0</v>
      </c>
      <c r="V138" s="31">
        <v>0</v>
      </c>
      <c r="W138" s="31">
        <v>0</v>
      </c>
      <c r="X138" s="31">
        <v>0</v>
      </c>
      <c r="Y138" s="46">
        <v>0</v>
      </c>
      <c r="AA138" s="54">
        <f>+AA137*'Assumptions and Basic Info'!$C$4</f>
        <v>4189.5917546</v>
      </c>
    </row>
    <row r="139" spans="2:27" ht="11.25">
      <c r="B139" s="39" t="s">
        <v>170</v>
      </c>
      <c r="C139" s="82" t="s">
        <v>83</v>
      </c>
      <c r="D139" s="83"/>
      <c r="E139" s="50" t="s">
        <v>123</v>
      </c>
      <c r="F139" s="28">
        <v>0</v>
      </c>
      <c r="G139" s="28">
        <v>60.53660543969999</v>
      </c>
      <c r="H139" s="28">
        <v>138.93591526581557</v>
      </c>
      <c r="I139" s="28">
        <v>185.62058962254022</v>
      </c>
      <c r="J139" s="28">
        <v>79.02422712104425</v>
      </c>
      <c r="K139" s="28">
        <v>0</v>
      </c>
      <c r="L139" s="28">
        <v>0</v>
      </c>
      <c r="M139" s="28">
        <v>0</v>
      </c>
      <c r="N139" s="28">
        <v>0</v>
      </c>
      <c r="O139" s="28">
        <v>0</v>
      </c>
      <c r="P139" s="28">
        <v>0</v>
      </c>
      <c r="Q139" s="28">
        <v>0</v>
      </c>
      <c r="R139" s="28">
        <v>0</v>
      </c>
      <c r="S139" s="28">
        <v>0</v>
      </c>
      <c r="T139" s="28">
        <v>0</v>
      </c>
      <c r="U139" s="28">
        <v>0</v>
      </c>
      <c r="V139" s="31">
        <v>0</v>
      </c>
      <c r="W139" s="31">
        <v>0</v>
      </c>
      <c r="X139" s="31">
        <v>0</v>
      </c>
      <c r="Y139" s="46">
        <v>0</v>
      </c>
      <c r="AA139" s="54">
        <v>464.1173374491</v>
      </c>
    </row>
    <row r="140" spans="2:27" ht="11.25">
      <c r="B140" s="39" t="s">
        <v>171</v>
      </c>
      <c r="C140" s="82" t="s">
        <v>82</v>
      </c>
      <c r="D140" s="83"/>
      <c r="E140" s="50" t="s">
        <v>123</v>
      </c>
      <c r="F140" s="28">
        <v>0</v>
      </c>
      <c r="G140" s="28">
        <v>0</v>
      </c>
      <c r="H140" s="28">
        <v>3.450732108794</v>
      </c>
      <c r="I140" s="28">
        <v>43.04553308306299</v>
      </c>
      <c r="J140" s="28">
        <v>87.41067214824108</v>
      </c>
      <c r="K140" s="28">
        <v>108.56968704646198</v>
      </c>
      <c r="L140" s="28">
        <v>108.56968704646198</v>
      </c>
      <c r="M140" s="28">
        <v>108.56968704646198</v>
      </c>
      <c r="N140" s="28">
        <v>108.56968704646198</v>
      </c>
      <c r="O140" s="28">
        <v>108.56968704646198</v>
      </c>
      <c r="P140" s="28">
        <v>108.56968704646198</v>
      </c>
      <c r="Q140" s="28">
        <v>108.56968704646198</v>
      </c>
      <c r="R140" s="28">
        <v>108.56968704646198</v>
      </c>
      <c r="S140" s="28">
        <v>108.56968704646198</v>
      </c>
      <c r="T140" s="28">
        <v>108.56968704646198</v>
      </c>
      <c r="U140" s="28">
        <v>108.56968704646198</v>
      </c>
      <c r="V140" s="28">
        <v>108.56968704646198</v>
      </c>
      <c r="W140" s="28">
        <v>108.56968704646198</v>
      </c>
      <c r="X140" s="28">
        <v>108.56968704646198</v>
      </c>
      <c r="Y140" s="40">
        <v>108.56968704646198</v>
      </c>
      <c r="AA140" s="52"/>
    </row>
    <row r="141" spans="2:27" ht="11.25">
      <c r="B141" s="39" t="s">
        <v>621</v>
      </c>
      <c r="C141" s="82" t="s">
        <v>578</v>
      </c>
      <c r="D141" s="83"/>
      <c r="E141" s="50" t="s">
        <v>118</v>
      </c>
      <c r="F141" s="28">
        <v>0</v>
      </c>
      <c r="G141" s="28">
        <v>425.81</v>
      </c>
      <c r="H141" s="28">
        <v>0</v>
      </c>
      <c r="I141" s="28">
        <v>0</v>
      </c>
      <c r="J141" s="28">
        <v>0</v>
      </c>
      <c r="K141" s="28">
        <v>0</v>
      </c>
      <c r="L141" s="28">
        <v>0</v>
      </c>
      <c r="M141" s="28">
        <v>0</v>
      </c>
      <c r="N141" s="28">
        <v>0</v>
      </c>
      <c r="O141" s="28">
        <v>0</v>
      </c>
      <c r="P141" s="28">
        <v>0</v>
      </c>
      <c r="Q141" s="28">
        <v>0</v>
      </c>
      <c r="R141" s="28">
        <v>0</v>
      </c>
      <c r="S141" s="28">
        <v>0</v>
      </c>
      <c r="T141" s="28">
        <v>0</v>
      </c>
      <c r="U141" s="28">
        <v>0</v>
      </c>
      <c r="V141" s="28">
        <v>0</v>
      </c>
      <c r="W141" s="28">
        <v>0</v>
      </c>
      <c r="X141" s="28">
        <v>0</v>
      </c>
      <c r="Y141" s="40">
        <v>0</v>
      </c>
      <c r="AA141" s="52">
        <v>425.81</v>
      </c>
    </row>
    <row r="142" spans="2:27" ht="11.25">
      <c r="B142" s="39" t="s">
        <v>703</v>
      </c>
      <c r="C142" s="82" t="s">
        <v>691</v>
      </c>
      <c r="D142" s="83"/>
      <c r="E142" s="50" t="s">
        <v>123</v>
      </c>
      <c r="F142" s="28">
        <v>0</v>
      </c>
      <c r="G142" s="28">
        <v>0</v>
      </c>
      <c r="H142" s="28">
        <v>0</v>
      </c>
      <c r="I142" s="28">
        <v>0</v>
      </c>
      <c r="J142" s="28">
        <v>0</v>
      </c>
      <c r="K142" s="28">
        <v>0</v>
      </c>
      <c r="L142" s="28">
        <v>0</v>
      </c>
      <c r="M142" s="28">
        <v>0</v>
      </c>
      <c r="N142" s="28">
        <v>0</v>
      </c>
      <c r="O142" s="28">
        <v>0</v>
      </c>
      <c r="P142" s="28">
        <v>0</v>
      </c>
      <c r="Q142" s="28">
        <v>0</v>
      </c>
      <c r="R142" s="28">
        <v>0</v>
      </c>
      <c r="S142" s="28">
        <v>0</v>
      </c>
      <c r="T142" s="28">
        <v>0</v>
      </c>
      <c r="U142" s="28">
        <v>0</v>
      </c>
      <c r="V142" s="28">
        <v>0</v>
      </c>
      <c r="W142" s="28">
        <v>0</v>
      </c>
      <c r="X142" s="28">
        <v>0</v>
      </c>
      <c r="Y142" s="40">
        <v>0</v>
      </c>
      <c r="AA142" s="52"/>
    </row>
    <row r="143" spans="2:27" ht="11.25">
      <c r="B143" s="39" t="s">
        <v>172</v>
      </c>
      <c r="C143" s="82" t="s">
        <v>704</v>
      </c>
      <c r="D143" s="83"/>
      <c r="E143" s="50" t="s">
        <v>123</v>
      </c>
      <c r="F143" s="28">
        <v>0</v>
      </c>
      <c r="G143" s="28">
        <v>598.3466054396999</v>
      </c>
      <c r="H143" s="28">
        <v>1579.854283738246</v>
      </c>
      <c r="I143" s="28">
        <v>2518.302486341967</v>
      </c>
      <c r="J143" s="28">
        <v>1145.3614170592857</v>
      </c>
      <c r="K143" s="28">
        <v>108.56968704646198</v>
      </c>
      <c r="L143" s="28">
        <v>108.56968704646198</v>
      </c>
      <c r="M143" s="28">
        <v>108.56968704646198</v>
      </c>
      <c r="N143" s="28">
        <v>108.56968704646198</v>
      </c>
      <c r="O143" s="28">
        <v>108.56968704646198</v>
      </c>
      <c r="P143" s="28">
        <v>108.56968704646198</v>
      </c>
      <c r="Q143" s="28">
        <v>108.56968704646198</v>
      </c>
      <c r="R143" s="28">
        <v>108.56968704646198</v>
      </c>
      <c r="S143" s="28">
        <v>108.56968704646198</v>
      </c>
      <c r="T143" s="28">
        <v>108.56968704646198</v>
      </c>
      <c r="U143" s="28">
        <v>108.56968704646198</v>
      </c>
      <c r="V143" s="28">
        <v>108.56968704646198</v>
      </c>
      <c r="W143" s="28">
        <v>108.56968704646198</v>
      </c>
      <c r="X143" s="28">
        <v>108.56968704646198</v>
      </c>
      <c r="Y143" s="40">
        <v>108.56968704646198</v>
      </c>
      <c r="AA143" s="52">
        <f>+AA137+AA138+AA139</f>
        <v>8843.300846649101</v>
      </c>
    </row>
    <row r="144" spans="2:27" ht="11.25">
      <c r="B144" s="39" t="s">
        <v>173</v>
      </c>
      <c r="C144" s="82" t="s">
        <v>128</v>
      </c>
      <c r="D144" s="83"/>
      <c r="E144" s="50" t="s">
        <v>123</v>
      </c>
      <c r="F144" s="28">
        <v>0</v>
      </c>
      <c r="G144" s="28">
        <v>0</v>
      </c>
      <c r="H144" s="28">
        <v>10.495944043029116</v>
      </c>
      <c r="I144" s="28">
        <v>28.452362038810104</v>
      </c>
      <c r="J144" s="28">
        <v>54.04030712166471</v>
      </c>
      <c r="K144" s="28">
        <v>1121.1450012756652</v>
      </c>
      <c r="L144" s="28">
        <v>1624.5855669664927</v>
      </c>
      <c r="M144" s="28">
        <v>2129.5278587007087</v>
      </c>
      <c r="N144" s="28">
        <v>2251.3736018320656</v>
      </c>
      <c r="O144" s="28">
        <v>2374.798923343394</v>
      </c>
      <c r="P144" s="28">
        <v>2377.601935667109</v>
      </c>
      <c r="Q144" s="28">
        <v>2377.601935667109</v>
      </c>
      <c r="R144" s="28">
        <v>2377.601935667109</v>
      </c>
      <c r="S144" s="28">
        <v>2377.601935667109</v>
      </c>
      <c r="T144" s="28">
        <v>2377.601935667109</v>
      </c>
      <c r="U144" s="28">
        <v>2377.601935667109</v>
      </c>
      <c r="V144" s="28">
        <v>2377.601935667109</v>
      </c>
      <c r="W144" s="28">
        <v>2377.601935667109</v>
      </c>
      <c r="X144" s="28">
        <v>2377.601935667109</v>
      </c>
      <c r="Y144" s="40">
        <v>2377.601935667109</v>
      </c>
      <c r="AA144" s="52"/>
    </row>
    <row r="145" spans="2:27" ht="11.25">
      <c r="B145" s="39" t="s">
        <v>174</v>
      </c>
      <c r="C145" s="82" t="s">
        <v>63</v>
      </c>
      <c r="D145" s="83"/>
      <c r="E145" s="50" t="s">
        <v>123</v>
      </c>
      <c r="F145" s="28">
        <v>0</v>
      </c>
      <c r="G145" s="28">
        <v>0</v>
      </c>
      <c r="H145" s="28">
        <v>0</v>
      </c>
      <c r="I145" s="28">
        <v>0</v>
      </c>
      <c r="J145" s="28">
        <v>0</v>
      </c>
      <c r="K145" s="28">
        <v>78.77333333333335</v>
      </c>
      <c r="L145" s="28">
        <v>59.08</v>
      </c>
      <c r="M145" s="28">
        <v>39.386666666666684</v>
      </c>
      <c r="N145" s="28">
        <v>19.69333333333335</v>
      </c>
      <c r="O145" s="28">
        <v>0</v>
      </c>
      <c r="P145" s="28">
        <v>0</v>
      </c>
      <c r="Q145" s="28">
        <v>0</v>
      </c>
      <c r="R145" s="28">
        <v>0</v>
      </c>
      <c r="S145" s="28">
        <v>0</v>
      </c>
      <c r="T145" s="28">
        <v>0</v>
      </c>
      <c r="U145" s="28">
        <v>0</v>
      </c>
      <c r="V145" s="28">
        <v>0</v>
      </c>
      <c r="W145" s="28">
        <v>0</v>
      </c>
      <c r="X145" s="28">
        <v>0</v>
      </c>
      <c r="Y145" s="40">
        <v>0</v>
      </c>
      <c r="AA145" s="52"/>
    </row>
    <row r="146" spans="2:27" ht="11.25">
      <c r="B146" s="39" t="s">
        <v>175</v>
      </c>
      <c r="C146" s="82" t="s">
        <v>176</v>
      </c>
      <c r="D146" s="83"/>
      <c r="E146" s="50" t="s">
        <v>123</v>
      </c>
      <c r="F146" s="28">
        <v>0</v>
      </c>
      <c r="G146" s="28">
        <v>0</v>
      </c>
      <c r="H146" s="28">
        <v>10.495944043029116</v>
      </c>
      <c r="I146" s="28">
        <v>28.452362038810104</v>
      </c>
      <c r="J146" s="28">
        <v>54.04030712166471</v>
      </c>
      <c r="K146" s="28">
        <v>1199.9183346089985</v>
      </c>
      <c r="L146" s="28">
        <v>1683.6655669664926</v>
      </c>
      <c r="M146" s="28">
        <v>2168.9145253673755</v>
      </c>
      <c r="N146" s="28">
        <v>2271.0669351653987</v>
      </c>
      <c r="O146" s="28">
        <v>2374.798923343394</v>
      </c>
      <c r="P146" s="28">
        <v>2377.601935667109</v>
      </c>
      <c r="Q146" s="28">
        <v>2377.601935667109</v>
      </c>
      <c r="R146" s="28">
        <v>2377.601935667109</v>
      </c>
      <c r="S146" s="28">
        <v>2377.601935667109</v>
      </c>
      <c r="T146" s="28">
        <v>2377.601935667109</v>
      </c>
      <c r="U146" s="28">
        <v>2377.601935667109</v>
      </c>
      <c r="V146" s="28">
        <v>2377.601935667109</v>
      </c>
      <c r="W146" s="28">
        <v>2377.601935667109</v>
      </c>
      <c r="X146" s="28">
        <v>2377.601935667109</v>
      </c>
      <c r="Y146" s="40">
        <v>2377.601935667109</v>
      </c>
      <c r="AA146" s="52"/>
    </row>
    <row r="147" spans="2:27" ht="11.25">
      <c r="B147" s="39" t="s">
        <v>177</v>
      </c>
      <c r="C147" s="84" t="s">
        <v>178</v>
      </c>
      <c r="D147" s="85"/>
      <c r="E147" s="50" t="s">
        <v>123</v>
      </c>
      <c r="F147" s="28">
        <v>0</v>
      </c>
      <c r="G147" s="28">
        <v>-598.3466054396999</v>
      </c>
      <c r="H147" s="28">
        <v>-1569.358339695217</v>
      </c>
      <c r="I147" s="28">
        <v>-2489.850124303157</v>
      </c>
      <c r="J147" s="28">
        <v>-1091.321109937621</v>
      </c>
      <c r="K147" s="28">
        <v>1091.3486475625366</v>
      </c>
      <c r="L147" s="28">
        <v>1575.0958799200307</v>
      </c>
      <c r="M147" s="28">
        <v>2060.3448383209134</v>
      </c>
      <c r="N147" s="28">
        <v>2162.4972481189366</v>
      </c>
      <c r="O147" s="28">
        <v>2266.229236296932</v>
      </c>
      <c r="P147" s="28">
        <v>2269.032248620647</v>
      </c>
      <c r="Q147" s="28">
        <v>2269.032248620647</v>
      </c>
      <c r="R147" s="28">
        <v>2269.032248620647</v>
      </c>
      <c r="S147" s="28">
        <v>2269.032248620647</v>
      </c>
      <c r="T147" s="28">
        <v>2269.032248620647</v>
      </c>
      <c r="U147" s="28">
        <v>2269.032248620647</v>
      </c>
      <c r="V147" s="28">
        <v>2269.032248620647</v>
      </c>
      <c r="W147" s="28">
        <v>2269.032248620647</v>
      </c>
      <c r="X147" s="28">
        <v>2269.032248620647</v>
      </c>
      <c r="Y147" s="40">
        <v>2269.032248620647</v>
      </c>
      <c r="AA147" s="52"/>
    </row>
    <row r="148" spans="2:27" ht="11.25">
      <c r="B148" s="114" t="s">
        <v>179</v>
      </c>
      <c r="C148" s="91" t="s">
        <v>121</v>
      </c>
      <c r="D148" s="78">
        <f>+AA143</f>
        <v>8843.300846649101</v>
      </c>
      <c r="E148" s="94"/>
      <c r="F148" s="73"/>
      <c r="G148" s="73"/>
      <c r="H148" s="73"/>
      <c r="I148" s="73"/>
      <c r="J148" s="73"/>
      <c r="K148" s="73"/>
      <c r="L148" s="73"/>
      <c r="M148" s="73"/>
      <c r="N148" s="73"/>
      <c r="O148" s="73"/>
      <c r="P148" s="73"/>
      <c r="Q148" s="73"/>
      <c r="R148" s="73"/>
      <c r="S148" s="73"/>
      <c r="T148" s="73"/>
      <c r="U148" s="73"/>
      <c r="V148" s="73"/>
      <c r="W148" s="73"/>
      <c r="X148" s="73"/>
      <c r="Y148" s="74"/>
      <c r="AA148" s="52"/>
    </row>
    <row r="149" spans="2:27" ht="11.25">
      <c r="B149" s="90" t="s">
        <v>180</v>
      </c>
      <c r="C149" s="92" t="s">
        <v>596</v>
      </c>
      <c r="D149" s="113">
        <f>+AA141</f>
        <v>425.81</v>
      </c>
      <c r="E149" s="95"/>
      <c r="F149" s="54"/>
      <c r="G149" s="54"/>
      <c r="H149" s="54"/>
      <c r="I149" s="54"/>
      <c r="J149" s="54"/>
      <c r="K149" s="54"/>
      <c r="L149" s="54"/>
      <c r="M149" s="54"/>
      <c r="N149" s="54"/>
      <c r="O149" s="54"/>
      <c r="P149" s="54"/>
      <c r="Q149" s="54"/>
      <c r="R149" s="54"/>
      <c r="S149" s="54"/>
      <c r="T149" s="54"/>
      <c r="U149" s="54"/>
      <c r="V149" s="54"/>
      <c r="W149" s="54"/>
      <c r="X149" s="54"/>
      <c r="Y149" s="75"/>
      <c r="AA149" s="52"/>
    </row>
    <row r="150" spans="2:27" ht="11.25">
      <c r="B150" s="90" t="s">
        <v>181</v>
      </c>
      <c r="C150" s="92" t="s">
        <v>57</v>
      </c>
      <c r="D150" s="79">
        <f>+IRR(F147:Y147)</f>
        <v>0.2348841767002498</v>
      </c>
      <c r="E150" s="95"/>
      <c r="F150" s="88"/>
      <c r="G150" s="54"/>
      <c r="H150" s="54"/>
      <c r="I150" s="54"/>
      <c r="J150" s="54"/>
      <c r="K150" s="54"/>
      <c r="L150" s="54"/>
      <c r="M150" s="54"/>
      <c r="N150" s="54"/>
      <c r="O150" s="54"/>
      <c r="P150" s="54"/>
      <c r="Q150" s="54"/>
      <c r="R150" s="54"/>
      <c r="S150" s="54"/>
      <c r="T150" s="54"/>
      <c r="U150" s="54"/>
      <c r="V150" s="54"/>
      <c r="W150" s="54"/>
      <c r="X150" s="54"/>
      <c r="Y150" s="75"/>
      <c r="AA150" s="52"/>
    </row>
    <row r="151" spans="2:27" ht="12" thickBot="1">
      <c r="B151" s="122" t="s">
        <v>622</v>
      </c>
      <c r="C151" s="102" t="s">
        <v>120</v>
      </c>
      <c r="D151" s="103">
        <f>+NPV('Assumptions and Basic Info'!$C$20,F147:Y147)</f>
        <v>5499.837132416576</v>
      </c>
      <c r="E151" s="108"/>
      <c r="F151" s="105"/>
      <c r="G151" s="127"/>
      <c r="H151" s="105"/>
      <c r="I151" s="105"/>
      <c r="J151" s="105"/>
      <c r="K151" s="105"/>
      <c r="L151" s="105"/>
      <c r="M151" s="105"/>
      <c r="N151" s="105"/>
      <c r="O151" s="105"/>
      <c r="P151" s="105"/>
      <c r="Q151" s="105"/>
      <c r="R151" s="105"/>
      <c r="S151" s="105"/>
      <c r="T151" s="105"/>
      <c r="U151" s="105"/>
      <c r="V151" s="105"/>
      <c r="W151" s="105"/>
      <c r="X151" s="105"/>
      <c r="Y151" s="106"/>
      <c r="AA151" s="52"/>
    </row>
    <row r="152" spans="2:27" ht="11.25">
      <c r="B152" s="44" t="s">
        <v>182</v>
      </c>
      <c r="C152" s="23" t="s">
        <v>201</v>
      </c>
      <c r="D152" s="23"/>
      <c r="E152" s="51"/>
      <c r="F152" s="24"/>
      <c r="G152" s="24"/>
      <c r="H152" s="24"/>
      <c r="I152" s="24"/>
      <c r="J152" s="24"/>
      <c r="K152" s="24"/>
      <c r="L152" s="24"/>
      <c r="M152" s="24"/>
      <c r="N152" s="24"/>
      <c r="O152" s="24"/>
      <c r="P152" s="24"/>
      <c r="Q152" s="24"/>
      <c r="R152" s="24"/>
      <c r="S152" s="24"/>
      <c r="T152" s="24"/>
      <c r="U152" s="24"/>
      <c r="V152" s="24"/>
      <c r="W152" s="24"/>
      <c r="X152" s="24"/>
      <c r="Y152" s="45"/>
      <c r="AA152" s="52"/>
    </row>
    <row r="153" spans="2:28" ht="11.25">
      <c r="B153" s="37" t="s">
        <v>183</v>
      </c>
      <c r="C153" s="80" t="s">
        <v>124</v>
      </c>
      <c r="D153" s="81"/>
      <c r="E153" s="49" t="s">
        <v>54</v>
      </c>
      <c r="F153" s="27">
        <v>112</v>
      </c>
      <c r="G153" s="27">
        <v>99.55555555555554</v>
      </c>
      <c r="H153" s="27">
        <v>87.11111111111111</v>
      </c>
      <c r="I153" s="27">
        <v>74.66666666666669</v>
      </c>
      <c r="J153" s="27">
        <v>62.22222222222223</v>
      </c>
      <c r="K153" s="27">
        <v>49.77777777777777</v>
      </c>
      <c r="L153" s="27">
        <v>37.33333333333334</v>
      </c>
      <c r="M153" s="27">
        <v>24.888888888888914</v>
      </c>
      <c r="N153" s="27">
        <v>12.444444444444457</v>
      </c>
      <c r="O153" s="27">
        <v>0</v>
      </c>
      <c r="P153" s="27">
        <v>0</v>
      </c>
      <c r="Q153" s="27">
        <v>0</v>
      </c>
      <c r="R153" s="27">
        <v>0</v>
      </c>
      <c r="S153" s="27">
        <v>0</v>
      </c>
      <c r="T153" s="27">
        <v>0</v>
      </c>
      <c r="U153" s="27">
        <v>0</v>
      </c>
      <c r="V153" s="27">
        <v>0</v>
      </c>
      <c r="W153" s="27">
        <v>0</v>
      </c>
      <c r="X153" s="27">
        <v>0</v>
      </c>
      <c r="Y153" s="38">
        <v>0</v>
      </c>
      <c r="AA153" s="123">
        <v>112</v>
      </c>
      <c r="AB153" s="116" t="s">
        <v>126</v>
      </c>
    </row>
    <row r="154" spans="2:28" ht="11.25">
      <c r="B154" s="39" t="s">
        <v>184</v>
      </c>
      <c r="C154" s="82" t="s">
        <v>125</v>
      </c>
      <c r="D154" s="83"/>
      <c r="E154" s="50" t="s">
        <v>54</v>
      </c>
      <c r="F154" s="28">
        <v>112</v>
      </c>
      <c r="G154" s="28">
        <v>99.55555555555554</v>
      </c>
      <c r="H154" s="28">
        <v>265.25217515134347</v>
      </c>
      <c r="I154" s="28">
        <v>430.9487947471314</v>
      </c>
      <c r="J154" s="28">
        <v>984.4231921206971</v>
      </c>
      <c r="K154" s="28">
        <v>1070</v>
      </c>
      <c r="L154" s="28">
        <v>1070</v>
      </c>
      <c r="M154" s="28">
        <v>1070</v>
      </c>
      <c r="N154" s="28">
        <v>1070</v>
      </c>
      <c r="O154" s="28">
        <v>1070</v>
      </c>
      <c r="P154" s="28">
        <v>1070</v>
      </c>
      <c r="Q154" s="28">
        <v>1070</v>
      </c>
      <c r="R154" s="28">
        <v>1070</v>
      </c>
      <c r="S154" s="28">
        <v>1070</v>
      </c>
      <c r="T154" s="28">
        <v>1070</v>
      </c>
      <c r="U154" s="28">
        <v>1070</v>
      </c>
      <c r="V154" s="28">
        <v>1070</v>
      </c>
      <c r="W154" s="28">
        <v>1070</v>
      </c>
      <c r="X154" s="28">
        <v>1070</v>
      </c>
      <c r="Y154" s="40">
        <v>1070</v>
      </c>
      <c r="AA154" s="123">
        <v>1070</v>
      </c>
      <c r="AB154" s="116" t="s">
        <v>127</v>
      </c>
    </row>
    <row r="155" spans="2:29" ht="11.25">
      <c r="B155" s="39" t="s">
        <v>185</v>
      </c>
      <c r="C155" s="82" t="s">
        <v>81</v>
      </c>
      <c r="D155" s="83"/>
      <c r="E155" s="50" t="s">
        <v>54</v>
      </c>
      <c r="F155" s="28">
        <v>0</v>
      </c>
      <c r="G155" s="28">
        <v>0</v>
      </c>
      <c r="H155" s="28">
        <v>178.14106404023235</v>
      </c>
      <c r="I155" s="28">
        <v>356.2821280804647</v>
      </c>
      <c r="J155" s="28">
        <v>922.2009698984748</v>
      </c>
      <c r="K155" s="28">
        <v>1020.2222222222222</v>
      </c>
      <c r="L155" s="28">
        <v>1032.6666666666667</v>
      </c>
      <c r="M155" s="28">
        <v>1045.111111111111</v>
      </c>
      <c r="N155" s="28">
        <v>1057.5555555555557</v>
      </c>
      <c r="O155" s="28">
        <v>1070</v>
      </c>
      <c r="P155" s="28">
        <v>1070</v>
      </c>
      <c r="Q155" s="28">
        <v>1070</v>
      </c>
      <c r="R155" s="28">
        <v>1070</v>
      </c>
      <c r="S155" s="28">
        <v>1070</v>
      </c>
      <c r="T155" s="28">
        <v>1070</v>
      </c>
      <c r="U155" s="28">
        <v>1070</v>
      </c>
      <c r="V155" s="28">
        <v>1070</v>
      </c>
      <c r="W155" s="28">
        <v>1070</v>
      </c>
      <c r="X155" s="28">
        <v>1070</v>
      </c>
      <c r="Y155" s="40">
        <v>1070</v>
      </c>
      <c r="AA155" s="123">
        <v>958</v>
      </c>
      <c r="AB155" s="116" t="s">
        <v>127</v>
      </c>
      <c r="AC155" s="52"/>
    </row>
    <row r="156" spans="2:28" ht="11.25">
      <c r="B156" s="39" t="s">
        <v>186</v>
      </c>
      <c r="C156" s="82" t="s">
        <v>65</v>
      </c>
      <c r="D156" s="83"/>
      <c r="E156" s="50" t="s">
        <v>138</v>
      </c>
      <c r="F156" s="28">
        <v>0</v>
      </c>
      <c r="G156" s="28">
        <v>0</v>
      </c>
      <c r="H156" s="28">
        <v>0</v>
      </c>
      <c r="I156" s="28">
        <v>0</v>
      </c>
      <c r="J156" s="28">
        <v>566.6666666666665</v>
      </c>
      <c r="K156" s="28">
        <v>453.3333333333332</v>
      </c>
      <c r="L156" s="28">
        <v>340</v>
      </c>
      <c r="M156" s="28">
        <v>226.66666666666657</v>
      </c>
      <c r="N156" s="28">
        <v>113.33333333333324</v>
      </c>
      <c r="O156" s="28">
        <v>0</v>
      </c>
      <c r="P156" s="28">
        <v>0</v>
      </c>
      <c r="Q156" s="28">
        <v>0</v>
      </c>
      <c r="R156" s="28">
        <v>0</v>
      </c>
      <c r="S156" s="28">
        <v>0</v>
      </c>
      <c r="T156" s="28">
        <v>0</v>
      </c>
      <c r="U156" s="28">
        <v>0</v>
      </c>
      <c r="V156" s="28">
        <v>0</v>
      </c>
      <c r="W156" s="28">
        <v>0</v>
      </c>
      <c r="X156" s="28">
        <v>0</v>
      </c>
      <c r="Y156" s="40">
        <v>0</v>
      </c>
      <c r="AA156" s="123">
        <v>1020</v>
      </c>
      <c r="AB156" s="116" t="s">
        <v>127</v>
      </c>
    </row>
    <row r="157" spans="2:28" ht="11.25">
      <c r="B157" s="39" t="s">
        <v>187</v>
      </c>
      <c r="C157" s="82" t="s">
        <v>58</v>
      </c>
      <c r="D157" s="83"/>
      <c r="E157" s="50" t="s">
        <v>123</v>
      </c>
      <c r="F157" s="28">
        <v>0</v>
      </c>
      <c r="G157" s="28">
        <v>114.78260869565219</v>
      </c>
      <c r="H157" s="28">
        <v>471.304347826087</v>
      </c>
      <c r="I157" s="28">
        <v>1323.0108695652175</v>
      </c>
      <c r="J157" s="28">
        <v>55.14017391304344</v>
      </c>
      <c r="K157" s="28">
        <v>0</v>
      </c>
      <c r="L157" s="31">
        <v>0</v>
      </c>
      <c r="M157" s="31">
        <v>0</v>
      </c>
      <c r="N157" s="31">
        <v>0</v>
      </c>
      <c r="O157" s="31">
        <v>0</v>
      </c>
      <c r="P157" s="31">
        <v>0</v>
      </c>
      <c r="Q157" s="31">
        <v>0</v>
      </c>
      <c r="R157" s="31">
        <v>0</v>
      </c>
      <c r="S157" s="31">
        <v>0</v>
      </c>
      <c r="T157" s="31">
        <v>0</v>
      </c>
      <c r="U157" s="31">
        <v>0</v>
      </c>
      <c r="V157" s="31">
        <v>0</v>
      </c>
      <c r="W157" s="31">
        <v>0</v>
      </c>
      <c r="X157" s="31">
        <v>0</v>
      </c>
      <c r="Y157" s="46">
        <v>0</v>
      </c>
      <c r="AA157" s="52">
        <v>1964.238</v>
      </c>
      <c r="AB157" s="116"/>
    </row>
    <row r="158" spans="2:28" ht="11.25">
      <c r="B158" s="39" t="s">
        <v>188</v>
      </c>
      <c r="C158" s="82" t="s">
        <v>24</v>
      </c>
      <c r="D158" s="83"/>
      <c r="E158" s="50" t="s">
        <v>123</v>
      </c>
      <c r="F158" s="28">
        <v>0</v>
      </c>
      <c r="G158" s="28">
        <v>17.217391304347828</v>
      </c>
      <c r="H158" s="28">
        <v>70.69565217391305</v>
      </c>
      <c r="I158" s="28">
        <v>198.4516304347826</v>
      </c>
      <c r="J158" s="28">
        <v>8.271026086956516</v>
      </c>
      <c r="K158" s="28">
        <v>0</v>
      </c>
      <c r="L158" s="28">
        <v>0</v>
      </c>
      <c r="M158" s="28">
        <v>0</v>
      </c>
      <c r="N158" s="28">
        <v>0</v>
      </c>
      <c r="O158" s="28">
        <v>0</v>
      </c>
      <c r="P158" s="28">
        <v>0</v>
      </c>
      <c r="Q158" s="28">
        <v>0</v>
      </c>
      <c r="R158" s="28">
        <v>0</v>
      </c>
      <c r="S158" s="28">
        <v>0</v>
      </c>
      <c r="T158" s="28">
        <v>0</v>
      </c>
      <c r="U158" s="28">
        <v>0</v>
      </c>
      <c r="V158" s="31">
        <v>0</v>
      </c>
      <c r="W158" s="31">
        <v>0</v>
      </c>
      <c r="X158" s="31">
        <v>0</v>
      </c>
      <c r="Y158" s="46">
        <v>0</v>
      </c>
      <c r="AA158" s="54">
        <f>+AA157*'Assumptions and Basic Info'!$C$4</f>
        <v>1964.238</v>
      </c>
      <c r="AB158" s="116"/>
    </row>
    <row r="159" spans="2:28" ht="11.25">
      <c r="B159" s="39" t="s">
        <v>189</v>
      </c>
      <c r="C159" s="82" t="s">
        <v>83</v>
      </c>
      <c r="D159" s="83"/>
      <c r="E159" s="50" t="s">
        <v>123</v>
      </c>
      <c r="F159" s="28">
        <v>0</v>
      </c>
      <c r="G159" s="28">
        <v>11.88</v>
      </c>
      <c r="H159" s="28">
        <v>106.17573626</v>
      </c>
      <c r="I159" s="28">
        <v>106.17573626</v>
      </c>
      <c r="J159" s="28">
        <v>5.707007999999996</v>
      </c>
      <c r="K159" s="28">
        <v>0</v>
      </c>
      <c r="L159" s="28">
        <v>0</v>
      </c>
      <c r="M159" s="28">
        <v>0</v>
      </c>
      <c r="N159" s="28">
        <v>0</v>
      </c>
      <c r="O159" s="28">
        <v>0</v>
      </c>
      <c r="P159" s="28">
        <v>0</v>
      </c>
      <c r="Q159" s="28">
        <v>0</v>
      </c>
      <c r="R159" s="28">
        <v>0</v>
      </c>
      <c r="S159" s="28">
        <v>0</v>
      </c>
      <c r="T159" s="28">
        <v>0</v>
      </c>
      <c r="U159" s="28">
        <v>0</v>
      </c>
      <c r="V159" s="31">
        <v>0</v>
      </c>
      <c r="W159" s="31">
        <v>0</v>
      </c>
      <c r="X159" s="31">
        <v>0</v>
      </c>
      <c r="Y159" s="46">
        <v>0</v>
      </c>
      <c r="AA159" s="54">
        <v>229.93848051999998</v>
      </c>
      <c r="AB159" s="116"/>
    </row>
    <row r="160" spans="2:28" ht="11.25">
      <c r="B160" s="39" t="s">
        <v>190</v>
      </c>
      <c r="C160" s="82" t="s">
        <v>82</v>
      </c>
      <c r="D160" s="83"/>
      <c r="E160" s="50" t="s">
        <v>123</v>
      </c>
      <c r="F160" s="28">
        <v>0</v>
      </c>
      <c r="G160" s="28">
        <v>0</v>
      </c>
      <c r="H160" s="28">
        <v>2.8776</v>
      </c>
      <c r="I160" s="28">
        <v>15.8411147252</v>
      </c>
      <c r="J160" s="28">
        <v>48.39387945040001</v>
      </c>
      <c r="K160" s="28">
        <v>49.7762436104</v>
      </c>
      <c r="L160" s="28">
        <v>49.7762436104</v>
      </c>
      <c r="M160" s="28">
        <v>49.7762436104</v>
      </c>
      <c r="N160" s="28">
        <v>49.7762436104</v>
      </c>
      <c r="O160" s="28">
        <v>49.7762436104</v>
      </c>
      <c r="P160" s="28">
        <v>49.7762436104</v>
      </c>
      <c r="Q160" s="28">
        <v>49.7762436104</v>
      </c>
      <c r="R160" s="28">
        <v>49.7762436104</v>
      </c>
      <c r="S160" s="28">
        <v>49.7762436104</v>
      </c>
      <c r="T160" s="28">
        <v>49.7762436104</v>
      </c>
      <c r="U160" s="28">
        <v>49.7762436104</v>
      </c>
      <c r="V160" s="28">
        <v>49.7762436104</v>
      </c>
      <c r="W160" s="28">
        <v>49.7762436104</v>
      </c>
      <c r="X160" s="28">
        <v>49.7762436104</v>
      </c>
      <c r="Y160" s="40">
        <v>49.7762436104</v>
      </c>
      <c r="AA160" s="52"/>
      <c r="AB160" s="116"/>
    </row>
    <row r="161" spans="2:28" ht="11.25">
      <c r="B161" s="39" t="s">
        <v>600</v>
      </c>
      <c r="C161" s="82" t="s">
        <v>578</v>
      </c>
      <c r="D161" s="83"/>
      <c r="E161" s="50" t="s">
        <v>118</v>
      </c>
      <c r="F161" s="28">
        <v>0</v>
      </c>
      <c r="G161" s="28">
        <v>0</v>
      </c>
      <c r="H161" s="28">
        <v>425.81</v>
      </c>
      <c r="I161" s="28">
        <v>0</v>
      </c>
      <c r="J161" s="28">
        <v>0</v>
      </c>
      <c r="K161" s="28">
        <v>0</v>
      </c>
      <c r="L161" s="28">
        <v>0</v>
      </c>
      <c r="M161" s="28">
        <v>0</v>
      </c>
      <c r="N161" s="28">
        <v>0</v>
      </c>
      <c r="O161" s="28">
        <v>0</v>
      </c>
      <c r="P161" s="28">
        <v>0</v>
      </c>
      <c r="Q161" s="28">
        <v>0</v>
      </c>
      <c r="R161" s="28">
        <v>0</v>
      </c>
      <c r="S161" s="28">
        <v>0</v>
      </c>
      <c r="T161" s="28">
        <v>0</v>
      </c>
      <c r="U161" s="28">
        <v>0</v>
      </c>
      <c r="V161" s="28">
        <v>0</v>
      </c>
      <c r="W161" s="28">
        <v>0</v>
      </c>
      <c r="X161" s="28">
        <v>0</v>
      </c>
      <c r="Y161" s="40">
        <v>0</v>
      </c>
      <c r="AA161" s="52">
        <v>425.81</v>
      </c>
      <c r="AB161" s="116"/>
    </row>
    <row r="162" spans="2:28" ht="11.25">
      <c r="B162" s="39" t="s">
        <v>705</v>
      </c>
      <c r="C162" s="82" t="s">
        <v>691</v>
      </c>
      <c r="D162" s="83"/>
      <c r="E162" s="50" t="s">
        <v>118</v>
      </c>
      <c r="F162" s="28">
        <v>0</v>
      </c>
      <c r="G162" s="28">
        <v>0</v>
      </c>
      <c r="H162" s="28">
        <v>61.28052602983993</v>
      </c>
      <c r="I162" s="28">
        <v>61.28052602983993</v>
      </c>
      <c r="J162" s="28">
        <v>177.55252602983995</v>
      </c>
      <c r="K162" s="28">
        <v>29.438421910480166</v>
      </c>
      <c r="L162" s="28">
        <v>0</v>
      </c>
      <c r="M162" s="28">
        <v>0</v>
      </c>
      <c r="N162" s="28">
        <v>0</v>
      </c>
      <c r="O162" s="28">
        <v>0</v>
      </c>
      <c r="P162" s="28">
        <v>0</v>
      </c>
      <c r="Q162" s="28">
        <v>0</v>
      </c>
      <c r="R162" s="28">
        <v>0</v>
      </c>
      <c r="S162" s="28">
        <v>0</v>
      </c>
      <c r="T162" s="28">
        <v>0</v>
      </c>
      <c r="U162" s="28">
        <v>0</v>
      </c>
      <c r="V162" s="28">
        <v>0</v>
      </c>
      <c r="W162" s="28">
        <v>0</v>
      </c>
      <c r="X162" s="28">
        <v>0</v>
      </c>
      <c r="Y162" s="40">
        <v>0</v>
      </c>
      <c r="AA162" s="52"/>
      <c r="AB162" s="116"/>
    </row>
    <row r="163" spans="2:28" ht="11.25">
      <c r="B163" s="39" t="s">
        <v>191</v>
      </c>
      <c r="C163" s="82" t="s">
        <v>706</v>
      </c>
      <c r="D163" s="83"/>
      <c r="E163" s="50" t="s">
        <v>123</v>
      </c>
      <c r="F163" s="28">
        <v>0</v>
      </c>
      <c r="G163" s="28">
        <v>143.88</v>
      </c>
      <c r="H163" s="28">
        <v>1138.14386228984</v>
      </c>
      <c r="I163" s="28">
        <v>1704.7598770150398</v>
      </c>
      <c r="J163" s="28">
        <v>295.0646134802399</v>
      </c>
      <c r="K163" s="28">
        <v>79.21466552088017</v>
      </c>
      <c r="L163" s="28">
        <v>49.7762436104</v>
      </c>
      <c r="M163" s="28">
        <v>49.7762436104</v>
      </c>
      <c r="N163" s="28">
        <v>49.7762436104</v>
      </c>
      <c r="O163" s="28">
        <v>49.7762436104</v>
      </c>
      <c r="P163" s="28">
        <v>49.7762436104</v>
      </c>
      <c r="Q163" s="28">
        <v>49.7762436104</v>
      </c>
      <c r="R163" s="28">
        <v>49.7762436104</v>
      </c>
      <c r="S163" s="28">
        <v>49.7762436104</v>
      </c>
      <c r="T163" s="28">
        <v>49.7762436104</v>
      </c>
      <c r="U163" s="28">
        <v>49.7762436104</v>
      </c>
      <c r="V163" s="28">
        <v>49.7762436104</v>
      </c>
      <c r="W163" s="28">
        <v>49.7762436104</v>
      </c>
      <c r="X163" s="28">
        <v>49.7762436104</v>
      </c>
      <c r="Y163" s="40">
        <v>49.7762436104</v>
      </c>
      <c r="AA163" s="52">
        <f>+AA157+AA158+AA159</f>
        <v>4158.41448052</v>
      </c>
      <c r="AB163" s="116"/>
    </row>
    <row r="164" spans="2:27" ht="11.25">
      <c r="B164" s="39" t="s">
        <v>192</v>
      </c>
      <c r="C164" s="82" t="s">
        <v>128</v>
      </c>
      <c r="D164" s="83"/>
      <c r="E164" s="50" t="s">
        <v>123</v>
      </c>
      <c r="F164" s="28">
        <v>0</v>
      </c>
      <c r="G164" s="28">
        <v>0</v>
      </c>
      <c r="H164" s="28">
        <v>11.481998317312145</v>
      </c>
      <c r="I164" s="28">
        <v>-11.20461380238725</v>
      </c>
      <c r="J164" s="28">
        <v>42.887176969619645</v>
      </c>
      <c r="K164" s="28">
        <v>65.35782258298303</v>
      </c>
      <c r="L164" s="28">
        <v>249.54087402680636</v>
      </c>
      <c r="M164" s="28">
        <v>636.5062983035883</v>
      </c>
      <c r="N164" s="28">
        <v>921.2477195809284</v>
      </c>
      <c r="O164" s="28">
        <v>1023.1695663620055</v>
      </c>
      <c r="P164" s="28">
        <v>1032.388353663846</v>
      </c>
      <c r="Q164" s="28">
        <v>1032.388353663846</v>
      </c>
      <c r="R164" s="28">
        <v>1032.388353663846</v>
      </c>
      <c r="S164" s="28">
        <v>1032.388353663846</v>
      </c>
      <c r="T164" s="28">
        <v>1032.388353663846</v>
      </c>
      <c r="U164" s="28">
        <v>1032.388353663846</v>
      </c>
      <c r="V164" s="28">
        <v>1032.388353663846</v>
      </c>
      <c r="W164" s="28">
        <v>1032.388353663846</v>
      </c>
      <c r="X164" s="28">
        <v>1032.388353663846</v>
      </c>
      <c r="Y164" s="40">
        <v>1032.388353663846</v>
      </c>
      <c r="AA164" s="52"/>
    </row>
    <row r="165" spans="2:27" ht="11.25">
      <c r="B165" s="39" t="s">
        <v>193</v>
      </c>
      <c r="C165" s="82" t="s">
        <v>63</v>
      </c>
      <c r="D165" s="83"/>
      <c r="E165" s="50" t="s">
        <v>123</v>
      </c>
      <c r="F165" s="28">
        <v>0</v>
      </c>
      <c r="G165" s="28">
        <v>0</v>
      </c>
      <c r="H165" s="28">
        <v>0</v>
      </c>
      <c r="I165" s="28">
        <v>0</v>
      </c>
      <c r="J165" s="28">
        <v>23.913333333333327</v>
      </c>
      <c r="K165" s="28">
        <v>19.13066666666666</v>
      </c>
      <c r="L165" s="28">
        <v>14.347999999999997</v>
      </c>
      <c r="M165" s="28">
        <v>9.56533333333333</v>
      </c>
      <c r="N165" s="28">
        <v>4.782666666666663</v>
      </c>
      <c r="O165" s="28">
        <v>0</v>
      </c>
      <c r="P165" s="28">
        <v>0</v>
      </c>
      <c r="Q165" s="28">
        <v>0</v>
      </c>
      <c r="R165" s="28">
        <v>0</v>
      </c>
      <c r="S165" s="28">
        <v>0</v>
      </c>
      <c r="T165" s="28">
        <v>0</v>
      </c>
      <c r="U165" s="28">
        <v>0</v>
      </c>
      <c r="V165" s="28">
        <v>0</v>
      </c>
      <c r="W165" s="28">
        <v>0</v>
      </c>
      <c r="X165" s="28">
        <v>0</v>
      </c>
      <c r="Y165" s="40">
        <v>0</v>
      </c>
      <c r="AA165" s="52"/>
    </row>
    <row r="166" spans="2:27" ht="11.25">
      <c r="B166" s="39" t="s">
        <v>194</v>
      </c>
      <c r="C166" s="82" t="s">
        <v>195</v>
      </c>
      <c r="D166" s="83"/>
      <c r="E166" s="50" t="s">
        <v>123</v>
      </c>
      <c r="F166" s="28">
        <v>0</v>
      </c>
      <c r="G166" s="28">
        <v>0</v>
      </c>
      <c r="H166" s="28">
        <v>11.481998317312145</v>
      </c>
      <c r="I166" s="28">
        <v>-11.20461380238725</v>
      </c>
      <c r="J166" s="28">
        <v>66.80051030295297</v>
      </c>
      <c r="K166" s="28">
        <v>84.48848924964969</v>
      </c>
      <c r="L166" s="28">
        <v>263.8888740268064</v>
      </c>
      <c r="M166" s="28">
        <v>646.0716316369217</v>
      </c>
      <c r="N166" s="28">
        <v>926.0303862475951</v>
      </c>
      <c r="O166" s="28">
        <v>1023.1695663620055</v>
      </c>
      <c r="P166" s="28">
        <v>1032.388353663846</v>
      </c>
      <c r="Q166" s="28">
        <v>1032.388353663846</v>
      </c>
      <c r="R166" s="28">
        <v>1032.388353663846</v>
      </c>
      <c r="S166" s="28">
        <v>1032.388353663846</v>
      </c>
      <c r="T166" s="28">
        <v>1032.388353663846</v>
      </c>
      <c r="U166" s="28">
        <v>1032.388353663846</v>
      </c>
      <c r="V166" s="28">
        <v>1032.388353663846</v>
      </c>
      <c r="W166" s="28">
        <v>1032.388353663846</v>
      </c>
      <c r="X166" s="28">
        <v>1032.388353663846</v>
      </c>
      <c r="Y166" s="40">
        <v>1032.388353663846</v>
      </c>
      <c r="AA166" s="52"/>
    </row>
    <row r="167" spans="2:27" ht="11.25">
      <c r="B167" s="39" t="s">
        <v>196</v>
      </c>
      <c r="C167" s="84" t="s">
        <v>483</v>
      </c>
      <c r="D167" s="85"/>
      <c r="E167" s="50" t="s">
        <v>123</v>
      </c>
      <c r="F167" s="28">
        <v>0</v>
      </c>
      <c r="G167" s="28">
        <v>-143.88</v>
      </c>
      <c r="H167" s="28">
        <v>-1126.6618639725277</v>
      </c>
      <c r="I167" s="28">
        <v>-1715.964490817427</v>
      </c>
      <c r="J167" s="28">
        <v>-228.26410317728696</v>
      </c>
      <c r="K167" s="28">
        <v>5.273823728769514</v>
      </c>
      <c r="L167" s="28">
        <v>214.11263041640638</v>
      </c>
      <c r="M167" s="28">
        <v>596.2953880265217</v>
      </c>
      <c r="N167" s="28">
        <v>876.2541426371951</v>
      </c>
      <c r="O167" s="28">
        <v>973.3933227516055</v>
      </c>
      <c r="P167" s="28">
        <v>982.6121100534459</v>
      </c>
      <c r="Q167" s="28">
        <v>982.6121100534459</v>
      </c>
      <c r="R167" s="28">
        <v>982.6121100534459</v>
      </c>
      <c r="S167" s="28">
        <v>982.6121100534459</v>
      </c>
      <c r="T167" s="28">
        <v>982.6121100534459</v>
      </c>
      <c r="U167" s="28">
        <v>982.6121100534459</v>
      </c>
      <c r="V167" s="28">
        <v>982.6121100534459</v>
      </c>
      <c r="W167" s="28">
        <v>982.6121100534459</v>
      </c>
      <c r="X167" s="28">
        <v>982.6121100534459</v>
      </c>
      <c r="Y167" s="40">
        <v>982.6121100534459</v>
      </c>
      <c r="AA167" s="52"/>
    </row>
    <row r="168" spans="2:27" ht="11.25">
      <c r="B168" s="114" t="s">
        <v>197</v>
      </c>
      <c r="C168" s="91" t="s">
        <v>121</v>
      </c>
      <c r="D168" s="78">
        <f>+AA163</f>
        <v>4158.41448052</v>
      </c>
      <c r="E168" s="94"/>
      <c r="F168" s="73"/>
      <c r="G168" s="73"/>
      <c r="H168" s="73"/>
      <c r="I168" s="73"/>
      <c r="J168" s="73"/>
      <c r="K168" s="73"/>
      <c r="L168" s="73"/>
      <c r="M168" s="73"/>
      <c r="N168" s="73"/>
      <c r="O168" s="73"/>
      <c r="P168" s="73"/>
      <c r="Q168" s="73"/>
      <c r="R168" s="73"/>
      <c r="S168" s="73"/>
      <c r="T168" s="73"/>
      <c r="U168" s="73"/>
      <c r="V168" s="73"/>
      <c r="W168" s="73"/>
      <c r="X168" s="73"/>
      <c r="Y168" s="74"/>
      <c r="AA168" s="52"/>
    </row>
    <row r="169" spans="2:27" ht="11.25">
      <c r="B169" s="90" t="s">
        <v>198</v>
      </c>
      <c r="C169" s="92" t="s">
        <v>596</v>
      </c>
      <c r="D169" s="113">
        <f>+AA161</f>
        <v>425.81</v>
      </c>
      <c r="E169" s="95"/>
      <c r="F169" s="54"/>
      <c r="G169" s="54"/>
      <c r="H169" s="54"/>
      <c r="I169" s="54"/>
      <c r="J169" s="54"/>
      <c r="K169" s="54"/>
      <c r="L169" s="54"/>
      <c r="M169" s="54"/>
      <c r="N169" s="54"/>
      <c r="O169" s="54"/>
      <c r="P169" s="54"/>
      <c r="Q169" s="54"/>
      <c r="R169" s="54"/>
      <c r="S169" s="54"/>
      <c r="T169" s="54"/>
      <c r="U169" s="54"/>
      <c r="V169" s="54"/>
      <c r="W169" s="54"/>
      <c r="X169" s="54"/>
      <c r="Y169" s="75"/>
      <c r="AA169" s="52"/>
    </row>
    <row r="170" spans="2:27" ht="11.25">
      <c r="B170" s="90" t="s">
        <v>199</v>
      </c>
      <c r="C170" s="92" t="s">
        <v>57</v>
      </c>
      <c r="D170" s="79">
        <f>+IRR(F167:Y167)</f>
        <v>0.15285448728448586</v>
      </c>
      <c r="E170" s="95"/>
      <c r="F170" s="88"/>
      <c r="G170" s="54"/>
      <c r="H170" s="54"/>
      <c r="I170" s="54"/>
      <c r="J170" s="54"/>
      <c r="K170" s="54"/>
      <c r="L170" s="54"/>
      <c r="M170" s="54"/>
      <c r="N170" s="54"/>
      <c r="O170" s="54"/>
      <c r="P170" s="54"/>
      <c r="Q170" s="54"/>
      <c r="R170" s="54"/>
      <c r="S170" s="54"/>
      <c r="T170" s="54"/>
      <c r="U170" s="54"/>
      <c r="V170" s="54"/>
      <c r="W170" s="54"/>
      <c r="X170" s="54"/>
      <c r="Y170" s="75"/>
      <c r="AA170" s="52"/>
    </row>
    <row r="171" spans="2:27" ht="12" thickBot="1">
      <c r="B171" s="122" t="s">
        <v>601</v>
      </c>
      <c r="C171" s="102" t="s">
        <v>120</v>
      </c>
      <c r="D171" s="210">
        <f>+NPV('Assumptions and Basic Info'!$C$20,F167:Y167)</f>
        <v>1186.586379976963</v>
      </c>
      <c r="E171" s="108"/>
      <c r="F171" s="105"/>
      <c r="G171" s="127"/>
      <c r="H171" s="105"/>
      <c r="I171" s="105"/>
      <c r="J171" s="105"/>
      <c r="K171" s="105"/>
      <c r="L171" s="105"/>
      <c r="M171" s="105"/>
      <c r="N171" s="105"/>
      <c r="O171" s="105"/>
      <c r="P171" s="105"/>
      <c r="Q171" s="105"/>
      <c r="R171" s="105"/>
      <c r="S171" s="105"/>
      <c r="T171" s="105"/>
      <c r="U171" s="105"/>
      <c r="V171" s="105"/>
      <c r="W171" s="105"/>
      <c r="X171" s="105"/>
      <c r="Y171" s="106"/>
      <c r="AA171" s="52"/>
    </row>
    <row r="172" spans="2:27" ht="11.25">
      <c r="B172" s="44" t="s">
        <v>202</v>
      </c>
      <c r="C172" s="23" t="s">
        <v>221</v>
      </c>
      <c r="D172" s="23"/>
      <c r="E172" s="51"/>
      <c r="F172" s="24"/>
      <c r="G172" s="24"/>
      <c r="H172" s="24"/>
      <c r="I172" s="24"/>
      <c r="J172" s="24"/>
      <c r="K172" s="24"/>
      <c r="L172" s="24"/>
      <c r="M172" s="24"/>
      <c r="N172" s="24"/>
      <c r="O172" s="24"/>
      <c r="P172" s="24"/>
      <c r="Q172" s="24"/>
      <c r="R172" s="24"/>
      <c r="S172" s="24"/>
      <c r="T172" s="24"/>
      <c r="U172" s="24"/>
      <c r="V172" s="24"/>
      <c r="W172" s="24"/>
      <c r="X172" s="24"/>
      <c r="Y172" s="45"/>
      <c r="AA172" s="52"/>
    </row>
    <row r="173" spans="2:28" ht="11.25">
      <c r="B173" s="37" t="s">
        <v>203</v>
      </c>
      <c r="C173" s="80" t="s">
        <v>124</v>
      </c>
      <c r="D173" s="81"/>
      <c r="E173" s="49" t="s">
        <v>54</v>
      </c>
      <c r="F173" s="27">
        <v>430</v>
      </c>
      <c r="G173" s="27">
        <v>382.2222222222222</v>
      </c>
      <c r="H173" s="27">
        <v>334.44444444444446</v>
      </c>
      <c r="I173" s="27">
        <v>286.66666666666674</v>
      </c>
      <c r="J173" s="27">
        <v>238.8888888888889</v>
      </c>
      <c r="K173" s="27">
        <v>191.1111111111111</v>
      </c>
      <c r="L173" s="27">
        <v>143.33333333333337</v>
      </c>
      <c r="M173" s="27">
        <v>95.55555555555566</v>
      </c>
      <c r="N173" s="27">
        <v>47.77777777777783</v>
      </c>
      <c r="O173" s="27">
        <v>0</v>
      </c>
      <c r="P173" s="27">
        <v>0</v>
      </c>
      <c r="Q173" s="27">
        <v>0</v>
      </c>
      <c r="R173" s="27">
        <v>0</v>
      </c>
      <c r="S173" s="27">
        <v>0</v>
      </c>
      <c r="T173" s="27">
        <v>0</v>
      </c>
      <c r="U173" s="27">
        <v>0</v>
      </c>
      <c r="V173" s="27">
        <v>0</v>
      </c>
      <c r="W173" s="27">
        <v>0</v>
      </c>
      <c r="X173" s="27">
        <v>0</v>
      </c>
      <c r="Y173" s="38">
        <v>0</v>
      </c>
      <c r="AA173" s="52">
        <v>430</v>
      </c>
      <c r="AB173" s="116" t="s">
        <v>126</v>
      </c>
    </row>
    <row r="174" spans="2:28" ht="11.25">
      <c r="B174" s="39" t="s">
        <v>204</v>
      </c>
      <c r="C174" s="82" t="s">
        <v>125</v>
      </c>
      <c r="D174" s="83"/>
      <c r="E174" s="50" t="s">
        <v>54</v>
      </c>
      <c r="F174" s="28">
        <v>430</v>
      </c>
      <c r="G174" s="28">
        <v>382.2222222222222</v>
      </c>
      <c r="H174" s="28">
        <v>351.6684398592342</v>
      </c>
      <c r="I174" s="28">
        <v>321.1146574962462</v>
      </c>
      <c r="J174" s="28">
        <v>2241.6719862443692</v>
      </c>
      <c r="K174" s="28">
        <v>2250</v>
      </c>
      <c r="L174" s="28">
        <v>2250</v>
      </c>
      <c r="M174" s="28">
        <v>2250</v>
      </c>
      <c r="N174" s="28">
        <v>2250</v>
      </c>
      <c r="O174" s="28">
        <v>2250</v>
      </c>
      <c r="P174" s="28">
        <v>2250</v>
      </c>
      <c r="Q174" s="28">
        <v>2250</v>
      </c>
      <c r="R174" s="28">
        <v>2250</v>
      </c>
      <c r="S174" s="28">
        <v>2250</v>
      </c>
      <c r="T174" s="28">
        <v>2250</v>
      </c>
      <c r="U174" s="28">
        <v>2250</v>
      </c>
      <c r="V174" s="28">
        <v>2250</v>
      </c>
      <c r="W174" s="28">
        <v>2250</v>
      </c>
      <c r="X174" s="28">
        <v>2250</v>
      </c>
      <c r="Y174" s="40">
        <v>2250</v>
      </c>
      <c r="AA174" s="52">
        <v>2250</v>
      </c>
      <c r="AB174" s="116" t="s">
        <v>127</v>
      </c>
    </row>
    <row r="175" spans="2:29" ht="11.25">
      <c r="B175" s="39" t="s">
        <v>205</v>
      </c>
      <c r="C175" s="82" t="s">
        <v>81</v>
      </c>
      <c r="D175" s="83"/>
      <c r="E175" s="50" t="s">
        <v>54</v>
      </c>
      <c r="F175" s="28">
        <v>0</v>
      </c>
      <c r="G175" s="28">
        <v>0</v>
      </c>
      <c r="H175" s="28">
        <v>17.223995414789727</v>
      </c>
      <c r="I175" s="28">
        <v>34.44799082957945</v>
      </c>
      <c r="J175" s="28">
        <v>2002.7830973554803</v>
      </c>
      <c r="K175" s="28">
        <v>2058.8888888888887</v>
      </c>
      <c r="L175" s="28">
        <v>2106.6666666666665</v>
      </c>
      <c r="M175" s="28">
        <v>2154.4444444444443</v>
      </c>
      <c r="N175" s="28">
        <v>2202.222222222222</v>
      </c>
      <c r="O175" s="28">
        <v>2250</v>
      </c>
      <c r="P175" s="28">
        <v>2250</v>
      </c>
      <c r="Q175" s="28">
        <v>2250</v>
      </c>
      <c r="R175" s="28">
        <v>2250</v>
      </c>
      <c r="S175" s="28">
        <v>2250</v>
      </c>
      <c r="T175" s="28">
        <v>2250</v>
      </c>
      <c r="U175" s="28">
        <v>2250</v>
      </c>
      <c r="V175" s="28">
        <v>2250</v>
      </c>
      <c r="W175" s="28">
        <v>2250</v>
      </c>
      <c r="X175" s="28">
        <v>2250</v>
      </c>
      <c r="Y175" s="40">
        <v>2250</v>
      </c>
      <c r="AA175" s="52">
        <v>1820</v>
      </c>
      <c r="AB175" s="116" t="s">
        <v>127</v>
      </c>
      <c r="AC175" s="52">
        <v>1820</v>
      </c>
    </row>
    <row r="176" spans="2:28" ht="11.25">
      <c r="B176" s="39" t="s">
        <v>206</v>
      </c>
      <c r="C176" s="82" t="s">
        <v>65</v>
      </c>
      <c r="D176" s="83"/>
      <c r="E176" s="50" t="s">
        <v>119</v>
      </c>
      <c r="F176" s="28">
        <v>0</v>
      </c>
      <c r="G176" s="28">
        <v>0</v>
      </c>
      <c r="H176" s="28">
        <v>0</v>
      </c>
      <c r="I176" s="28">
        <v>0</v>
      </c>
      <c r="J176" s="28">
        <v>1333.3333333333333</v>
      </c>
      <c r="K176" s="28">
        <v>1066.6666666666665</v>
      </c>
      <c r="L176" s="28">
        <v>800</v>
      </c>
      <c r="M176" s="28">
        <v>533.333333333333</v>
      </c>
      <c r="N176" s="28">
        <v>266.66666666666634</v>
      </c>
      <c r="O176" s="28">
        <v>0</v>
      </c>
      <c r="P176" s="28">
        <v>0</v>
      </c>
      <c r="Q176" s="28">
        <v>0</v>
      </c>
      <c r="R176" s="28">
        <v>0</v>
      </c>
      <c r="S176" s="28">
        <v>0</v>
      </c>
      <c r="T176" s="28">
        <v>0</v>
      </c>
      <c r="U176" s="28">
        <v>0</v>
      </c>
      <c r="V176" s="28">
        <v>0</v>
      </c>
      <c r="W176" s="28">
        <v>0</v>
      </c>
      <c r="X176" s="28">
        <v>0</v>
      </c>
      <c r="Y176" s="40">
        <v>0</v>
      </c>
      <c r="AA176" s="52">
        <v>2400</v>
      </c>
      <c r="AB176" s="116" t="s">
        <v>127</v>
      </c>
    </row>
    <row r="177" spans="2:27" ht="11.25">
      <c r="B177" s="39" t="s">
        <v>207</v>
      </c>
      <c r="C177" s="82" t="s">
        <v>58</v>
      </c>
      <c r="D177" s="83"/>
      <c r="E177" s="50" t="s">
        <v>123</v>
      </c>
      <c r="F177" s="28">
        <v>0</v>
      </c>
      <c r="G177" s="28">
        <v>38.2608695652174</v>
      </c>
      <c r="H177" s="28">
        <v>1219.1304347826087</v>
      </c>
      <c r="I177" s="28">
        <v>588.4813043478262</v>
      </c>
      <c r="J177" s="28">
        <v>18.49960130434782</v>
      </c>
      <c r="K177" s="28">
        <v>0</v>
      </c>
      <c r="L177" s="31">
        <v>0</v>
      </c>
      <c r="M177" s="31">
        <v>0</v>
      </c>
      <c r="N177" s="31">
        <v>0</v>
      </c>
      <c r="O177" s="31">
        <v>0</v>
      </c>
      <c r="P177" s="31">
        <v>0</v>
      </c>
      <c r="Q177" s="31">
        <v>0</v>
      </c>
      <c r="R177" s="31">
        <v>0</v>
      </c>
      <c r="S177" s="31">
        <v>0</v>
      </c>
      <c r="T177" s="31">
        <v>0</v>
      </c>
      <c r="U177" s="31">
        <v>0</v>
      </c>
      <c r="V177" s="31">
        <v>0</v>
      </c>
      <c r="W177" s="31">
        <v>0</v>
      </c>
      <c r="X177" s="31">
        <v>0</v>
      </c>
      <c r="Y177" s="46">
        <v>0</v>
      </c>
      <c r="AA177" s="52">
        <v>1864.3722100000002</v>
      </c>
    </row>
    <row r="178" spans="2:27" ht="11.25">
      <c r="B178" s="39" t="s">
        <v>208</v>
      </c>
      <c r="C178" s="82" t="s">
        <v>24</v>
      </c>
      <c r="D178" s="83"/>
      <c r="E178" s="50" t="s">
        <v>123</v>
      </c>
      <c r="F178" s="28">
        <v>0</v>
      </c>
      <c r="G178" s="28">
        <v>5.739130434782609</v>
      </c>
      <c r="H178" s="28">
        <v>182.8695652173913</v>
      </c>
      <c r="I178" s="28">
        <v>88.27219565217392</v>
      </c>
      <c r="J178" s="28">
        <v>2.774940195652173</v>
      </c>
      <c r="K178" s="28">
        <v>0</v>
      </c>
      <c r="L178" s="28">
        <v>0</v>
      </c>
      <c r="M178" s="28">
        <v>0</v>
      </c>
      <c r="N178" s="28">
        <v>0</v>
      </c>
      <c r="O178" s="28">
        <v>0</v>
      </c>
      <c r="P178" s="28">
        <v>0</v>
      </c>
      <c r="Q178" s="28">
        <v>0</v>
      </c>
      <c r="R178" s="28">
        <v>0</v>
      </c>
      <c r="S178" s="28">
        <v>0</v>
      </c>
      <c r="T178" s="28">
        <v>0</v>
      </c>
      <c r="U178" s="28">
        <v>0</v>
      </c>
      <c r="V178" s="31">
        <v>0</v>
      </c>
      <c r="W178" s="31">
        <v>0</v>
      </c>
      <c r="X178" s="31">
        <v>0</v>
      </c>
      <c r="Y178" s="46">
        <v>0</v>
      </c>
      <c r="AA178" s="54">
        <f>+AA177*'Assumptions and Basic Info'!$C$4</f>
        <v>1864.3722100000002</v>
      </c>
    </row>
    <row r="179" spans="2:27" ht="11.25">
      <c r="B179" s="39" t="s">
        <v>209</v>
      </c>
      <c r="C179" s="82" t="s">
        <v>83</v>
      </c>
      <c r="D179" s="83"/>
      <c r="E179" s="50" t="s">
        <v>123</v>
      </c>
      <c r="F179" s="28">
        <v>0</v>
      </c>
      <c r="G179" s="28">
        <v>97.610874404</v>
      </c>
      <c r="H179" s="28">
        <v>66.4183184</v>
      </c>
      <c r="I179" s="28">
        <v>35.152556004000004</v>
      </c>
      <c r="J179" s="28">
        <v>1.9147087349999994</v>
      </c>
      <c r="K179" s="28">
        <v>0</v>
      </c>
      <c r="L179" s="28">
        <v>0</v>
      </c>
      <c r="M179" s="28">
        <v>0</v>
      </c>
      <c r="N179" s="28">
        <v>0</v>
      </c>
      <c r="O179" s="28">
        <v>0</v>
      </c>
      <c r="P179" s="28">
        <v>0</v>
      </c>
      <c r="Q179" s="28">
        <v>0</v>
      </c>
      <c r="R179" s="28">
        <v>0</v>
      </c>
      <c r="S179" s="28">
        <v>0</v>
      </c>
      <c r="T179" s="28">
        <v>0</v>
      </c>
      <c r="U179" s="28">
        <v>0</v>
      </c>
      <c r="V179" s="31">
        <v>0</v>
      </c>
      <c r="W179" s="31">
        <v>0</v>
      </c>
      <c r="X179" s="31">
        <v>0</v>
      </c>
      <c r="Y179" s="46">
        <v>0</v>
      </c>
      <c r="AA179" s="54">
        <v>201.096457543</v>
      </c>
    </row>
    <row r="180" spans="2:27" ht="11.25">
      <c r="B180" s="39" t="s">
        <v>210</v>
      </c>
      <c r="C180" s="82" t="s">
        <v>82</v>
      </c>
      <c r="D180" s="83"/>
      <c r="E180" s="50" t="s">
        <v>123</v>
      </c>
      <c r="F180" s="28">
        <v>0</v>
      </c>
      <c r="G180" s="28">
        <v>0</v>
      </c>
      <c r="H180" s="28">
        <v>3.50273706308</v>
      </c>
      <c r="I180" s="28">
        <v>45.50386979908001</v>
      </c>
      <c r="J180" s="28">
        <v>62.85654549416001</v>
      </c>
      <c r="K180" s="28">
        <v>63.32033049886001</v>
      </c>
      <c r="L180" s="28">
        <v>63.32033049886001</v>
      </c>
      <c r="M180" s="28">
        <v>63.32033049886001</v>
      </c>
      <c r="N180" s="28">
        <v>63.32033049886001</v>
      </c>
      <c r="O180" s="28">
        <v>63.32033049886001</v>
      </c>
      <c r="P180" s="28">
        <v>63.32033049886001</v>
      </c>
      <c r="Q180" s="28">
        <v>63.32033049886001</v>
      </c>
      <c r="R180" s="28">
        <v>63.32033049886001</v>
      </c>
      <c r="S180" s="28">
        <v>63.32033049886001</v>
      </c>
      <c r="T180" s="28">
        <v>63.32033049886001</v>
      </c>
      <c r="U180" s="28">
        <v>63.32033049886001</v>
      </c>
      <c r="V180" s="28">
        <v>63.32033049886001</v>
      </c>
      <c r="W180" s="28">
        <v>63.32033049886001</v>
      </c>
      <c r="X180" s="28">
        <v>63.32033049886001</v>
      </c>
      <c r="Y180" s="40">
        <v>63.32033049886001</v>
      </c>
      <c r="AA180" s="52"/>
    </row>
    <row r="181" spans="2:27" ht="11.25">
      <c r="B181" s="39" t="s">
        <v>623</v>
      </c>
      <c r="C181" s="82" t="s">
        <v>578</v>
      </c>
      <c r="D181" s="83"/>
      <c r="E181" s="50" t="s">
        <v>118</v>
      </c>
      <c r="F181" s="28">
        <v>0</v>
      </c>
      <c r="G181" s="28">
        <v>212.905</v>
      </c>
      <c r="H181" s="28">
        <v>212.905</v>
      </c>
      <c r="I181" s="28">
        <v>0</v>
      </c>
      <c r="J181" s="28">
        <v>0</v>
      </c>
      <c r="K181" s="28">
        <v>0</v>
      </c>
      <c r="L181" s="28">
        <v>0</v>
      </c>
      <c r="M181" s="28">
        <v>0</v>
      </c>
      <c r="N181" s="28">
        <v>0</v>
      </c>
      <c r="O181" s="28">
        <v>0</v>
      </c>
      <c r="P181" s="28">
        <v>0</v>
      </c>
      <c r="Q181" s="28">
        <v>0</v>
      </c>
      <c r="R181" s="28">
        <v>0</v>
      </c>
      <c r="S181" s="28">
        <v>0</v>
      </c>
      <c r="T181" s="28">
        <v>0</v>
      </c>
      <c r="U181" s="28">
        <v>0</v>
      </c>
      <c r="V181" s="28">
        <v>0</v>
      </c>
      <c r="W181" s="28">
        <v>0</v>
      </c>
      <c r="X181" s="28">
        <v>0</v>
      </c>
      <c r="Y181" s="40">
        <v>0</v>
      </c>
      <c r="AA181" s="52">
        <v>425.81</v>
      </c>
    </row>
    <row r="182" spans="2:27" ht="11.25">
      <c r="B182" s="39" t="s">
        <v>707</v>
      </c>
      <c r="C182" s="82" t="s">
        <v>691</v>
      </c>
      <c r="D182" s="83"/>
      <c r="E182" s="50"/>
      <c r="F182" s="28">
        <v>0</v>
      </c>
      <c r="G182" s="28">
        <v>0</v>
      </c>
      <c r="H182" s="28">
        <v>0.2928079220514256</v>
      </c>
      <c r="I182" s="28">
        <v>0.2928079220514256</v>
      </c>
      <c r="J182" s="28">
        <v>30.21280792205143</v>
      </c>
      <c r="K182" s="28">
        <v>0.1415762338457231</v>
      </c>
      <c r="L182" s="28">
        <v>0</v>
      </c>
      <c r="M182" s="28">
        <v>0</v>
      </c>
      <c r="N182" s="28">
        <v>0</v>
      </c>
      <c r="O182" s="28">
        <v>0</v>
      </c>
      <c r="P182" s="28">
        <v>0</v>
      </c>
      <c r="Q182" s="28">
        <v>0</v>
      </c>
      <c r="R182" s="28">
        <v>0</v>
      </c>
      <c r="S182" s="28">
        <v>0</v>
      </c>
      <c r="T182" s="28">
        <v>0</v>
      </c>
      <c r="U182" s="28">
        <v>0</v>
      </c>
      <c r="V182" s="28">
        <v>0</v>
      </c>
      <c r="W182" s="28">
        <v>0</v>
      </c>
      <c r="X182" s="28">
        <v>0</v>
      </c>
      <c r="Y182" s="40">
        <v>0</v>
      </c>
      <c r="AA182" s="52"/>
    </row>
    <row r="183" spans="2:27" ht="11.25">
      <c r="B183" s="39" t="s">
        <v>211</v>
      </c>
      <c r="C183" s="82" t="s">
        <v>708</v>
      </c>
      <c r="D183" s="83"/>
      <c r="E183" s="50" t="s">
        <v>123</v>
      </c>
      <c r="F183" s="28">
        <v>0</v>
      </c>
      <c r="G183" s="28">
        <v>354.515874404</v>
      </c>
      <c r="H183" s="28">
        <v>1685.1188633851316</v>
      </c>
      <c r="I183" s="28">
        <v>757.7027337251315</v>
      </c>
      <c r="J183" s="28">
        <v>116.25860365121143</v>
      </c>
      <c r="K183" s="28">
        <v>63.461906732705735</v>
      </c>
      <c r="L183" s="28">
        <v>63.32033049886001</v>
      </c>
      <c r="M183" s="28">
        <v>63.32033049886001</v>
      </c>
      <c r="N183" s="28">
        <v>63.32033049886001</v>
      </c>
      <c r="O183" s="28">
        <v>63.32033049886001</v>
      </c>
      <c r="P183" s="28">
        <v>63.32033049886001</v>
      </c>
      <c r="Q183" s="28">
        <v>63.32033049886001</v>
      </c>
      <c r="R183" s="28">
        <v>63.32033049886001</v>
      </c>
      <c r="S183" s="28">
        <v>63.32033049886001</v>
      </c>
      <c r="T183" s="28">
        <v>63.32033049886001</v>
      </c>
      <c r="U183" s="28">
        <v>63.32033049886001</v>
      </c>
      <c r="V183" s="28">
        <v>63.32033049886001</v>
      </c>
      <c r="W183" s="28">
        <v>63.32033049886001</v>
      </c>
      <c r="X183" s="28">
        <v>63.32033049886001</v>
      </c>
      <c r="Y183" s="40">
        <v>63.32033049886001</v>
      </c>
      <c r="AA183" s="52">
        <f>+AA177+AA178+AA179</f>
        <v>3929.8408775430003</v>
      </c>
    </row>
    <row r="184" spans="2:27" ht="11.25">
      <c r="B184" s="39" t="s">
        <v>212</v>
      </c>
      <c r="C184" s="82" t="s">
        <v>128</v>
      </c>
      <c r="D184" s="83"/>
      <c r="E184" s="50" t="s">
        <v>123</v>
      </c>
      <c r="F184" s="28">
        <v>0</v>
      </c>
      <c r="G184" s="28">
        <v>0</v>
      </c>
      <c r="H184" s="28">
        <v>5.054468986552082</v>
      </c>
      <c r="I184" s="28">
        <v>13.701633786322434</v>
      </c>
      <c r="J184" s="28">
        <v>684.2347392708867</v>
      </c>
      <c r="K184" s="28">
        <v>1096.695076151378</v>
      </c>
      <c r="L184" s="28">
        <v>1513.495228918503</v>
      </c>
      <c r="M184" s="28">
        <v>1571.966164493707</v>
      </c>
      <c r="N184" s="28">
        <v>1630.4468144764585</v>
      </c>
      <c r="O184" s="28">
        <v>1668.6103989855403</v>
      </c>
      <c r="P184" s="28">
        <v>1668.6226934656875</v>
      </c>
      <c r="Q184" s="28">
        <v>1668.6226934656875</v>
      </c>
      <c r="R184" s="28">
        <v>1668.6226934656875</v>
      </c>
      <c r="S184" s="28">
        <v>1668.6226934656875</v>
      </c>
      <c r="T184" s="28">
        <v>1668.6226934656875</v>
      </c>
      <c r="U184" s="28">
        <v>1668.6226934656875</v>
      </c>
      <c r="V184" s="28">
        <v>1668.6226934656875</v>
      </c>
      <c r="W184" s="28">
        <v>1668.6226934656875</v>
      </c>
      <c r="X184" s="28">
        <v>1668.6226934656875</v>
      </c>
      <c r="Y184" s="40">
        <v>1668.6226934656875</v>
      </c>
      <c r="AA184" s="52"/>
    </row>
    <row r="185" spans="2:27" ht="11.25">
      <c r="B185" s="39" t="s">
        <v>213</v>
      </c>
      <c r="C185" s="82" t="s">
        <v>63</v>
      </c>
      <c r="D185" s="83"/>
      <c r="E185" s="50" t="s">
        <v>123</v>
      </c>
      <c r="F185" s="28">
        <v>0</v>
      </c>
      <c r="G185" s="28">
        <v>0</v>
      </c>
      <c r="H185" s="28">
        <v>0</v>
      </c>
      <c r="I185" s="28">
        <v>0</v>
      </c>
      <c r="J185" s="28">
        <v>56.266666666666666</v>
      </c>
      <c r="K185" s="28">
        <v>45.01333333333333</v>
      </c>
      <c r="L185" s="28">
        <v>33.76</v>
      </c>
      <c r="M185" s="28">
        <v>22.506666666666657</v>
      </c>
      <c r="N185" s="28">
        <v>11.253333333333321</v>
      </c>
      <c r="O185" s="28">
        <v>0</v>
      </c>
      <c r="P185" s="28">
        <v>0</v>
      </c>
      <c r="Q185" s="28">
        <v>0</v>
      </c>
      <c r="R185" s="28">
        <v>0</v>
      </c>
      <c r="S185" s="28">
        <v>0</v>
      </c>
      <c r="T185" s="28">
        <v>0</v>
      </c>
      <c r="U185" s="28">
        <v>0</v>
      </c>
      <c r="V185" s="28">
        <v>0</v>
      </c>
      <c r="W185" s="28">
        <v>0</v>
      </c>
      <c r="X185" s="28">
        <v>0</v>
      </c>
      <c r="Y185" s="40">
        <v>0</v>
      </c>
      <c r="AA185" s="52"/>
    </row>
    <row r="186" spans="2:27" ht="11.25">
      <c r="B186" s="39" t="s">
        <v>214</v>
      </c>
      <c r="C186" s="82" t="s">
        <v>215</v>
      </c>
      <c r="D186" s="83"/>
      <c r="E186" s="50" t="s">
        <v>123</v>
      </c>
      <c r="F186" s="28">
        <v>0</v>
      </c>
      <c r="G186" s="28">
        <v>0</v>
      </c>
      <c r="H186" s="28">
        <v>5.054468986552082</v>
      </c>
      <c r="I186" s="28">
        <v>13.701633786322434</v>
      </c>
      <c r="J186" s="28">
        <v>740.5014059375534</v>
      </c>
      <c r="K186" s="28">
        <v>1141.7084094847114</v>
      </c>
      <c r="L186" s="28">
        <v>1547.255228918503</v>
      </c>
      <c r="M186" s="28">
        <v>1594.4728311603737</v>
      </c>
      <c r="N186" s="28">
        <v>1641.7001478097918</v>
      </c>
      <c r="O186" s="28">
        <v>1668.6103989855403</v>
      </c>
      <c r="P186" s="28">
        <v>1668.6226934656875</v>
      </c>
      <c r="Q186" s="28">
        <v>1668.6226934656875</v>
      </c>
      <c r="R186" s="28">
        <v>1668.6226934656875</v>
      </c>
      <c r="S186" s="28">
        <v>1668.6226934656875</v>
      </c>
      <c r="T186" s="28">
        <v>1668.6226934656875</v>
      </c>
      <c r="U186" s="28">
        <v>1668.6226934656875</v>
      </c>
      <c r="V186" s="28">
        <v>1668.6226934656875</v>
      </c>
      <c r="W186" s="28">
        <v>1668.6226934656875</v>
      </c>
      <c r="X186" s="28">
        <v>1668.6226934656875</v>
      </c>
      <c r="Y186" s="40">
        <v>1668.6226934656875</v>
      </c>
      <c r="AA186" s="52"/>
    </row>
    <row r="187" spans="2:27" ht="11.25">
      <c r="B187" s="39" t="s">
        <v>216</v>
      </c>
      <c r="C187" s="82" t="s">
        <v>217</v>
      </c>
      <c r="D187" s="83"/>
      <c r="E187" s="50" t="s">
        <v>123</v>
      </c>
      <c r="F187" s="28">
        <v>0</v>
      </c>
      <c r="G187" s="28">
        <v>-354.515874404</v>
      </c>
      <c r="H187" s="28">
        <v>-1680.0643943985795</v>
      </c>
      <c r="I187" s="28">
        <v>-744.001099938809</v>
      </c>
      <c r="J187" s="28">
        <v>624.242802286342</v>
      </c>
      <c r="K187" s="28">
        <v>1078.2465027520057</v>
      </c>
      <c r="L187" s="28">
        <v>1483.934898419643</v>
      </c>
      <c r="M187" s="28">
        <v>1531.1525006615138</v>
      </c>
      <c r="N187" s="28">
        <v>1578.379817310932</v>
      </c>
      <c r="O187" s="28">
        <v>1605.2900684866804</v>
      </c>
      <c r="P187" s="28">
        <v>1605.3023629668276</v>
      </c>
      <c r="Q187" s="28">
        <v>1605.3023629668276</v>
      </c>
      <c r="R187" s="28">
        <v>1605.3023629668276</v>
      </c>
      <c r="S187" s="28">
        <v>1605.3023629668276</v>
      </c>
      <c r="T187" s="28">
        <v>1605.3023629668276</v>
      </c>
      <c r="U187" s="28">
        <v>1605.3023629668276</v>
      </c>
      <c r="V187" s="28">
        <v>1605.3023629668276</v>
      </c>
      <c r="W187" s="28">
        <v>1605.3023629668276</v>
      </c>
      <c r="X187" s="28">
        <v>1605.3023629668276</v>
      </c>
      <c r="Y187" s="40">
        <v>1605.3023629668276</v>
      </c>
      <c r="AA187" s="52"/>
    </row>
    <row r="188" spans="2:27" ht="11.25">
      <c r="B188" s="114" t="s">
        <v>218</v>
      </c>
      <c r="C188" s="91" t="s">
        <v>121</v>
      </c>
      <c r="D188" s="78">
        <f>+AA183</f>
        <v>3929.8408775430003</v>
      </c>
      <c r="E188" s="94"/>
      <c r="F188" s="73"/>
      <c r="G188" s="73"/>
      <c r="H188" s="73"/>
      <c r="I188" s="73"/>
      <c r="J188" s="73"/>
      <c r="K188" s="73"/>
      <c r="L188" s="73"/>
      <c r="M188" s="73"/>
      <c r="N188" s="73"/>
      <c r="O188" s="73"/>
      <c r="P188" s="73"/>
      <c r="Q188" s="73"/>
      <c r="R188" s="73"/>
      <c r="S188" s="73"/>
      <c r="T188" s="73"/>
      <c r="U188" s="73"/>
      <c r="V188" s="73"/>
      <c r="W188" s="73"/>
      <c r="X188" s="73"/>
      <c r="Y188" s="74"/>
      <c r="AA188" s="52"/>
    </row>
    <row r="189" spans="2:27" ht="11.25">
      <c r="B189" s="90" t="s">
        <v>219</v>
      </c>
      <c r="C189" s="92" t="s">
        <v>596</v>
      </c>
      <c r="D189" s="113">
        <f>+AA181</f>
        <v>425.81</v>
      </c>
      <c r="E189" s="95"/>
      <c r="F189" s="54"/>
      <c r="G189" s="54"/>
      <c r="H189" s="54"/>
      <c r="I189" s="54"/>
      <c r="J189" s="54"/>
      <c r="K189" s="54"/>
      <c r="L189" s="54"/>
      <c r="M189" s="54"/>
      <c r="N189" s="54"/>
      <c r="O189" s="54"/>
      <c r="P189" s="54"/>
      <c r="Q189" s="54"/>
      <c r="R189" s="54"/>
      <c r="S189" s="54"/>
      <c r="T189" s="54"/>
      <c r="U189" s="54"/>
      <c r="V189" s="54"/>
      <c r="W189" s="54"/>
      <c r="X189" s="54"/>
      <c r="Y189" s="75"/>
      <c r="AA189" s="52"/>
    </row>
    <row r="190" spans="2:27" ht="11.25">
      <c r="B190" s="90" t="s">
        <v>220</v>
      </c>
      <c r="C190" s="92" t="s">
        <v>57</v>
      </c>
      <c r="D190" s="79">
        <f>+IRR(F187:Y187)</f>
        <v>0.3359903385369495</v>
      </c>
      <c r="E190" s="95"/>
      <c r="F190" s="88"/>
      <c r="G190" s="54"/>
      <c r="H190" s="54"/>
      <c r="I190" s="54"/>
      <c r="J190" s="54"/>
      <c r="K190" s="54"/>
      <c r="L190" s="54"/>
      <c r="M190" s="54"/>
      <c r="N190" s="54"/>
      <c r="O190" s="54"/>
      <c r="P190" s="54"/>
      <c r="Q190" s="54"/>
      <c r="R190" s="54"/>
      <c r="S190" s="54"/>
      <c r="T190" s="54"/>
      <c r="U190" s="54"/>
      <c r="V190" s="54"/>
      <c r="W190" s="54"/>
      <c r="X190" s="54"/>
      <c r="Y190" s="75"/>
      <c r="AA190" s="52"/>
    </row>
    <row r="191" spans="2:27" ht="12" thickBot="1">
      <c r="B191" s="122" t="s">
        <v>624</v>
      </c>
      <c r="C191" s="102" t="s">
        <v>120</v>
      </c>
      <c r="D191" s="103">
        <f>+NPV('Assumptions and Basic Info'!$C$20,F187:Y187)</f>
        <v>5499.8783528210815</v>
      </c>
      <c r="E191" s="108"/>
      <c r="F191" s="105"/>
      <c r="G191" s="127"/>
      <c r="H191" s="105"/>
      <c r="I191" s="105"/>
      <c r="J191" s="105"/>
      <c r="K191" s="105"/>
      <c r="L191" s="105"/>
      <c r="M191" s="105"/>
      <c r="N191" s="105"/>
      <c r="O191" s="105"/>
      <c r="P191" s="105"/>
      <c r="Q191" s="105"/>
      <c r="R191" s="105"/>
      <c r="S191" s="105"/>
      <c r="T191" s="105"/>
      <c r="U191" s="105"/>
      <c r="V191" s="105"/>
      <c r="W191" s="105"/>
      <c r="X191" s="105"/>
      <c r="Y191" s="106"/>
      <c r="AA191" s="52"/>
    </row>
    <row r="192" spans="2:27" ht="11.25">
      <c r="B192" s="44" t="s">
        <v>222</v>
      </c>
      <c r="C192" s="23" t="s">
        <v>241</v>
      </c>
      <c r="D192" s="23"/>
      <c r="E192" s="51"/>
      <c r="F192" s="24"/>
      <c r="G192" s="24"/>
      <c r="H192" s="24"/>
      <c r="I192" s="24"/>
      <c r="J192" s="24"/>
      <c r="K192" s="24"/>
      <c r="L192" s="24"/>
      <c r="M192" s="24"/>
      <c r="N192" s="24"/>
      <c r="O192" s="24"/>
      <c r="P192" s="24"/>
      <c r="Q192" s="24"/>
      <c r="R192" s="24"/>
      <c r="S192" s="24"/>
      <c r="T192" s="24"/>
      <c r="U192" s="24"/>
      <c r="V192" s="24"/>
      <c r="W192" s="24"/>
      <c r="X192" s="24"/>
      <c r="Y192" s="45"/>
      <c r="AA192" s="52"/>
    </row>
    <row r="193" spans="2:28" ht="11.25">
      <c r="B193" s="37" t="s">
        <v>223</v>
      </c>
      <c r="C193" s="120" t="s">
        <v>124</v>
      </c>
      <c r="D193" s="81"/>
      <c r="E193" s="49" t="s">
        <v>54</v>
      </c>
      <c r="F193" s="27">
        <v>1012</v>
      </c>
      <c r="G193" s="27">
        <v>923.7333333333335</v>
      </c>
      <c r="H193" s="27">
        <v>835.4986666666667</v>
      </c>
      <c r="I193" s="27">
        <v>747.29536</v>
      </c>
      <c r="J193" s="27">
        <v>659.1227861333335</v>
      </c>
      <c r="K193" s="27">
        <v>570.9803304106667</v>
      </c>
      <c r="L193" s="27">
        <v>482.86739046912</v>
      </c>
      <c r="M193" s="27">
        <v>394.7833759930711</v>
      </c>
      <c r="N193" s="27">
        <v>306.7277084732096</v>
      </c>
      <c r="O193" s="27">
        <v>218.69982097041202</v>
      </c>
      <c r="P193" s="27">
        <v>217.36582455100375</v>
      </c>
      <c r="Q193" s="27">
        <v>216.0585080599837</v>
      </c>
      <c r="R193" s="27">
        <v>214.77733789878403</v>
      </c>
      <c r="S193" s="27">
        <v>213.52179114080832</v>
      </c>
      <c r="T193" s="27">
        <v>212.29135531799216</v>
      </c>
      <c r="U193" s="27">
        <v>211.08552821163232</v>
      </c>
      <c r="V193" s="27">
        <v>209.90381764739965</v>
      </c>
      <c r="W193" s="27">
        <v>208.7457412944517</v>
      </c>
      <c r="X193" s="27">
        <v>207.61082646856266</v>
      </c>
      <c r="Y193" s="38">
        <v>206.4986099391914</v>
      </c>
      <c r="AA193" s="52">
        <v>1012</v>
      </c>
      <c r="AB193" s="116" t="s">
        <v>126</v>
      </c>
    </row>
    <row r="194" spans="2:29" ht="11.25">
      <c r="B194" s="39" t="s">
        <v>224</v>
      </c>
      <c r="C194" s="121" t="s">
        <v>125</v>
      </c>
      <c r="D194" s="83"/>
      <c r="E194" s="50" t="s">
        <v>54</v>
      </c>
      <c r="F194" s="28">
        <v>1012</v>
      </c>
      <c r="G194" s="28">
        <v>923.7333333333335</v>
      </c>
      <c r="H194" s="28">
        <v>864.7949587448395</v>
      </c>
      <c r="I194" s="28">
        <v>805.8879441563455</v>
      </c>
      <c r="J194" s="28">
        <v>823.2222095678518</v>
      </c>
      <c r="K194" s="28">
        <v>1322</v>
      </c>
      <c r="L194" s="28">
        <v>1322</v>
      </c>
      <c r="M194" s="28">
        <v>1322</v>
      </c>
      <c r="N194" s="28">
        <v>1322</v>
      </c>
      <c r="O194" s="28">
        <v>1322</v>
      </c>
      <c r="P194" s="28">
        <v>1322</v>
      </c>
      <c r="Q194" s="28">
        <v>1322</v>
      </c>
      <c r="R194" s="28">
        <v>1322</v>
      </c>
      <c r="S194" s="28">
        <v>1322</v>
      </c>
      <c r="T194" s="28">
        <v>1322</v>
      </c>
      <c r="U194" s="28">
        <v>1322</v>
      </c>
      <c r="V194" s="28">
        <v>1322</v>
      </c>
      <c r="W194" s="28">
        <v>1322</v>
      </c>
      <c r="X194" s="28">
        <v>1322</v>
      </c>
      <c r="Y194" s="40">
        <v>1322</v>
      </c>
      <c r="AA194" s="52">
        <v>1322</v>
      </c>
      <c r="AB194" s="116" t="s">
        <v>127</v>
      </c>
      <c r="AC194" s="52">
        <v>310</v>
      </c>
    </row>
    <row r="195" spans="2:28" ht="11.25">
      <c r="B195" s="39" t="s">
        <v>225</v>
      </c>
      <c r="C195" s="82" t="s">
        <v>81</v>
      </c>
      <c r="D195" s="83"/>
      <c r="E195" s="50" t="s">
        <v>54</v>
      </c>
      <c r="F195" s="28">
        <v>0</v>
      </c>
      <c r="G195" s="28">
        <v>0</v>
      </c>
      <c r="H195" s="28">
        <v>29.29629207817277</v>
      </c>
      <c r="I195" s="28">
        <v>58.59258415634554</v>
      </c>
      <c r="J195" s="28">
        <v>164.09942343451826</v>
      </c>
      <c r="K195" s="28">
        <v>751.0196695893333</v>
      </c>
      <c r="L195" s="28">
        <v>839.13260953088</v>
      </c>
      <c r="M195" s="28">
        <v>927.2166240069289</v>
      </c>
      <c r="N195" s="28">
        <v>1015.2722915267905</v>
      </c>
      <c r="O195" s="28">
        <v>1103.300179029588</v>
      </c>
      <c r="P195" s="28">
        <v>1104.6341754489963</v>
      </c>
      <c r="Q195" s="28">
        <v>1105.9414919400162</v>
      </c>
      <c r="R195" s="28">
        <v>1107.222662101216</v>
      </c>
      <c r="S195" s="28">
        <v>1108.4782088591917</v>
      </c>
      <c r="T195" s="28">
        <v>1109.7086446820078</v>
      </c>
      <c r="U195" s="28">
        <v>1110.9144717883678</v>
      </c>
      <c r="V195" s="28">
        <v>1112.0961823526004</v>
      </c>
      <c r="W195" s="28">
        <v>1113.2542587055482</v>
      </c>
      <c r="X195" s="28">
        <v>1114.3891735314373</v>
      </c>
      <c r="Y195" s="40">
        <v>1115.5013900608087</v>
      </c>
      <c r="AA195" s="52">
        <v>310</v>
      </c>
      <c r="AB195" s="116" t="s">
        <v>127</v>
      </c>
    </row>
    <row r="196" spans="2:28" ht="11.25">
      <c r="B196" s="39" t="s">
        <v>226</v>
      </c>
      <c r="C196" s="82" t="s">
        <v>65</v>
      </c>
      <c r="D196" s="83"/>
      <c r="E196" s="50" t="s">
        <v>119</v>
      </c>
      <c r="F196" s="28">
        <v>0</v>
      </c>
      <c r="G196" s="28">
        <v>0</v>
      </c>
      <c r="H196" s="28">
        <v>0</v>
      </c>
      <c r="I196" s="28">
        <v>0</v>
      </c>
      <c r="J196" s="28">
        <v>0</v>
      </c>
      <c r="K196" s="28">
        <v>2577.7777777777783</v>
      </c>
      <c r="L196" s="28">
        <v>1933.333333333334</v>
      </c>
      <c r="M196" s="28">
        <v>1288.8888888888896</v>
      </c>
      <c r="N196" s="28">
        <v>644.4444444444451</v>
      </c>
      <c r="O196" s="28">
        <v>0</v>
      </c>
      <c r="P196" s="28">
        <v>0</v>
      </c>
      <c r="Q196" s="28">
        <v>0</v>
      </c>
      <c r="R196" s="28">
        <v>0</v>
      </c>
      <c r="S196" s="28">
        <v>0</v>
      </c>
      <c r="T196" s="28">
        <v>0</v>
      </c>
      <c r="U196" s="28">
        <v>0</v>
      </c>
      <c r="V196" s="28">
        <v>0</v>
      </c>
      <c r="W196" s="28">
        <v>0</v>
      </c>
      <c r="X196" s="28">
        <v>0</v>
      </c>
      <c r="Y196" s="40">
        <v>0</v>
      </c>
      <c r="AA196" s="52">
        <v>5800</v>
      </c>
      <c r="AB196" s="116"/>
    </row>
    <row r="197" spans="2:27" ht="11.25">
      <c r="B197" s="39" t="s">
        <v>227</v>
      </c>
      <c r="C197" s="82" t="s">
        <v>58</v>
      </c>
      <c r="D197" s="83"/>
      <c r="E197" s="50" t="s">
        <v>123</v>
      </c>
      <c r="F197" s="28">
        <v>0</v>
      </c>
      <c r="G197" s="28">
        <v>34.78260869565218</v>
      </c>
      <c r="H197" s="28">
        <v>823.8628458498022</v>
      </c>
      <c r="I197" s="28">
        <v>1501.9762845849802</v>
      </c>
      <c r="J197" s="28">
        <v>362.2052608695652</v>
      </c>
      <c r="K197" s="28">
        <v>0</v>
      </c>
      <c r="L197" s="31">
        <v>0</v>
      </c>
      <c r="M197" s="31">
        <v>0</v>
      </c>
      <c r="N197" s="31">
        <v>0</v>
      </c>
      <c r="O197" s="31">
        <v>0</v>
      </c>
      <c r="P197" s="31">
        <v>0</v>
      </c>
      <c r="Q197" s="31">
        <v>0</v>
      </c>
      <c r="R197" s="31">
        <v>0</v>
      </c>
      <c r="S197" s="31">
        <v>0</v>
      </c>
      <c r="T197" s="31">
        <v>0</v>
      </c>
      <c r="U197" s="31">
        <v>0</v>
      </c>
      <c r="V197" s="31">
        <v>0</v>
      </c>
      <c r="W197" s="31">
        <v>0</v>
      </c>
      <c r="X197" s="31">
        <v>0</v>
      </c>
      <c r="Y197" s="46">
        <v>0</v>
      </c>
      <c r="AA197" s="52">
        <v>2722.8269999999998</v>
      </c>
    </row>
    <row r="198" spans="2:27" ht="11.25">
      <c r="B198" s="39" t="s">
        <v>228</v>
      </c>
      <c r="C198" s="82" t="s">
        <v>24</v>
      </c>
      <c r="D198" s="83"/>
      <c r="E198" s="50" t="s">
        <v>123</v>
      </c>
      <c r="F198" s="28">
        <v>0</v>
      </c>
      <c r="G198" s="28">
        <v>5.217391304347827</v>
      </c>
      <c r="H198" s="28">
        <v>123.57942687747034</v>
      </c>
      <c r="I198" s="28">
        <v>225.296442687747</v>
      </c>
      <c r="J198" s="28">
        <v>54.33078913043478</v>
      </c>
      <c r="K198" s="28">
        <v>0</v>
      </c>
      <c r="L198" s="28">
        <v>0</v>
      </c>
      <c r="M198" s="28">
        <v>0</v>
      </c>
      <c r="N198" s="28">
        <v>0</v>
      </c>
      <c r="O198" s="28">
        <v>0</v>
      </c>
      <c r="P198" s="28">
        <v>0</v>
      </c>
      <c r="Q198" s="28">
        <v>0</v>
      </c>
      <c r="R198" s="28">
        <v>0</v>
      </c>
      <c r="S198" s="28">
        <v>0</v>
      </c>
      <c r="T198" s="28">
        <v>0</v>
      </c>
      <c r="U198" s="28">
        <v>0</v>
      </c>
      <c r="V198" s="31">
        <v>0</v>
      </c>
      <c r="W198" s="31">
        <v>0</v>
      </c>
      <c r="X198" s="31">
        <v>0</v>
      </c>
      <c r="Y198" s="46">
        <v>0</v>
      </c>
      <c r="AA198" s="54">
        <f>+AA197*'Assumptions and Basic Info'!$C$4</f>
        <v>2722.8269999999998</v>
      </c>
    </row>
    <row r="199" spans="2:27" ht="11.25">
      <c r="B199" s="39" t="s">
        <v>229</v>
      </c>
      <c r="C199" s="82" t="s">
        <v>83</v>
      </c>
      <c r="D199" s="83"/>
      <c r="E199" s="50" t="s">
        <v>123</v>
      </c>
      <c r="F199" s="28">
        <v>0</v>
      </c>
      <c r="G199" s="28">
        <v>53.99622</v>
      </c>
      <c r="H199" s="28">
        <v>71.95010727272725</v>
      </c>
      <c r="I199" s="28">
        <v>127.52727272727273</v>
      </c>
      <c r="J199" s="28">
        <v>30.288244499999998</v>
      </c>
      <c r="K199" s="28">
        <v>0</v>
      </c>
      <c r="L199" s="28">
        <v>0</v>
      </c>
      <c r="M199" s="28">
        <v>0</v>
      </c>
      <c r="N199" s="28">
        <v>0</v>
      </c>
      <c r="O199" s="28">
        <v>0</v>
      </c>
      <c r="P199" s="28">
        <v>0</v>
      </c>
      <c r="Q199" s="28">
        <v>0</v>
      </c>
      <c r="R199" s="28">
        <v>0</v>
      </c>
      <c r="S199" s="28">
        <v>0</v>
      </c>
      <c r="T199" s="28">
        <v>0</v>
      </c>
      <c r="U199" s="28">
        <v>0</v>
      </c>
      <c r="V199" s="31">
        <v>0</v>
      </c>
      <c r="W199" s="31">
        <v>0</v>
      </c>
      <c r="X199" s="31">
        <v>0</v>
      </c>
      <c r="Y199" s="46">
        <v>0</v>
      </c>
      <c r="AA199" s="54">
        <v>283.7618445</v>
      </c>
    </row>
    <row r="200" spans="2:27" ht="11.25">
      <c r="B200" s="39" t="s">
        <v>230</v>
      </c>
      <c r="C200" s="82" t="s">
        <v>82</v>
      </c>
      <c r="D200" s="83"/>
      <c r="E200" s="50" t="s">
        <v>123</v>
      </c>
      <c r="F200" s="28">
        <v>0</v>
      </c>
      <c r="G200" s="28">
        <v>0</v>
      </c>
      <c r="H200" s="28">
        <v>1.8799244000000002</v>
      </c>
      <c r="I200" s="28">
        <v>23.451946999999997</v>
      </c>
      <c r="J200" s="28">
        <v>61.507946999999994</v>
      </c>
      <c r="K200" s="28">
        <v>70.44443289000002</v>
      </c>
      <c r="L200" s="28">
        <v>70.44443289000002</v>
      </c>
      <c r="M200" s="28">
        <v>70.44443289000002</v>
      </c>
      <c r="N200" s="28">
        <v>70.44443289000002</v>
      </c>
      <c r="O200" s="28">
        <v>70.44443289000002</v>
      </c>
      <c r="P200" s="28">
        <v>70.44443289000002</v>
      </c>
      <c r="Q200" s="28">
        <v>70.44443289000002</v>
      </c>
      <c r="R200" s="28">
        <v>70.44443289000002</v>
      </c>
      <c r="S200" s="28">
        <v>70.44443289000002</v>
      </c>
      <c r="T200" s="28">
        <v>70.44443289000002</v>
      </c>
      <c r="U200" s="28">
        <v>70.44443289000002</v>
      </c>
      <c r="V200" s="28">
        <v>70.44443289000002</v>
      </c>
      <c r="W200" s="28">
        <v>70.44443289000002</v>
      </c>
      <c r="X200" s="28">
        <v>70.44443289000002</v>
      </c>
      <c r="Y200" s="40">
        <v>70.44443289000002</v>
      </c>
      <c r="AA200" s="52"/>
    </row>
    <row r="201" spans="2:27" ht="11.25">
      <c r="B201" s="39" t="s">
        <v>602</v>
      </c>
      <c r="C201" s="82" t="s">
        <v>578</v>
      </c>
      <c r="D201" s="83"/>
      <c r="E201" s="50" t="s">
        <v>118</v>
      </c>
      <c r="F201" s="28">
        <v>0</v>
      </c>
      <c r="G201" s="28">
        <v>9.533333333333333</v>
      </c>
      <c r="H201" s="28">
        <v>4.766666666666667</v>
      </c>
      <c r="I201" s="28">
        <v>0</v>
      </c>
      <c r="J201" s="28">
        <v>0</v>
      </c>
      <c r="K201" s="28">
        <v>0</v>
      </c>
      <c r="L201" s="28">
        <v>0</v>
      </c>
      <c r="M201" s="28">
        <v>0</v>
      </c>
      <c r="N201" s="28">
        <v>0</v>
      </c>
      <c r="O201" s="28">
        <v>0</v>
      </c>
      <c r="P201" s="28">
        <v>0</v>
      </c>
      <c r="Q201" s="28">
        <v>0</v>
      </c>
      <c r="R201" s="28">
        <v>0</v>
      </c>
      <c r="S201" s="28">
        <v>0</v>
      </c>
      <c r="T201" s="28">
        <v>0</v>
      </c>
      <c r="U201" s="28">
        <v>0</v>
      </c>
      <c r="V201" s="28">
        <v>0</v>
      </c>
      <c r="W201" s="28">
        <v>0</v>
      </c>
      <c r="X201" s="28">
        <v>0</v>
      </c>
      <c r="Y201" s="40">
        <v>0</v>
      </c>
      <c r="AA201" s="52">
        <v>14.3</v>
      </c>
    </row>
    <row r="202" spans="2:27" ht="11.25">
      <c r="B202" s="39" t="s">
        <v>709</v>
      </c>
      <c r="C202" s="82" t="s">
        <v>691</v>
      </c>
      <c r="D202" s="83"/>
      <c r="E202" s="50" t="s">
        <v>118</v>
      </c>
      <c r="F202" s="28">
        <v>0</v>
      </c>
      <c r="G202" s="28">
        <v>0</v>
      </c>
      <c r="H202" s="28">
        <v>10.077924474891434</v>
      </c>
      <c r="I202" s="28">
        <v>34.15792447489143</v>
      </c>
      <c r="J202" s="28">
        <v>10.077924474891436</v>
      </c>
      <c r="K202" s="28">
        <v>52.326226575325705</v>
      </c>
      <c r="L202" s="28">
        <v>0</v>
      </c>
      <c r="M202" s="28">
        <v>0</v>
      </c>
      <c r="N202" s="28">
        <v>0</v>
      </c>
      <c r="O202" s="28">
        <v>0</v>
      </c>
      <c r="P202" s="28">
        <v>0</v>
      </c>
      <c r="Q202" s="28">
        <v>0</v>
      </c>
      <c r="R202" s="28">
        <v>0</v>
      </c>
      <c r="S202" s="28">
        <v>0</v>
      </c>
      <c r="T202" s="28">
        <v>0</v>
      </c>
      <c r="U202" s="28">
        <v>0</v>
      </c>
      <c r="V202" s="28">
        <v>0</v>
      </c>
      <c r="W202" s="28">
        <v>0</v>
      </c>
      <c r="X202" s="28">
        <v>0</v>
      </c>
      <c r="Y202" s="40">
        <v>0</v>
      </c>
      <c r="AA202" s="52"/>
    </row>
    <row r="203" spans="2:27" ht="11.25">
      <c r="B203" s="39" t="s">
        <v>231</v>
      </c>
      <c r="C203" s="82" t="s">
        <v>710</v>
      </c>
      <c r="D203" s="83"/>
      <c r="E203" s="50" t="s">
        <v>123</v>
      </c>
      <c r="F203" s="28">
        <v>0</v>
      </c>
      <c r="G203" s="28">
        <v>103.52955333333334</v>
      </c>
      <c r="H203" s="28">
        <v>1036.116895541558</v>
      </c>
      <c r="I203" s="28">
        <v>1912.4098714748914</v>
      </c>
      <c r="J203" s="28">
        <v>518.4101659748915</v>
      </c>
      <c r="K203" s="28">
        <v>122.77065946532572</v>
      </c>
      <c r="L203" s="28">
        <v>70.44443289000002</v>
      </c>
      <c r="M203" s="28">
        <v>70.44443289000002</v>
      </c>
      <c r="N203" s="28">
        <v>70.44443289000002</v>
      </c>
      <c r="O203" s="28">
        <v>70.44443289000002</v>
      </c>
      <c r="P203" s="28">
        <v>70.44443289000002</v>
      </c>
      <c r="Q203" s="28">
        <v>70.44443289000002</v>
      </c>
      <c r="R203" s="28">
        <v>70.44443289000002</v>
      </c>
      <c r="S203" s="28">
        <v>70.44443289000002</v>
      </c>
      <c r="T203" s="28">
        <v>70.44443289000002</v>
      </c>
      <c r="U203" s="28">
        <v>70.44443289000002</v>
      </c>
      <c r="V203" s="28">
        <v>70.44443289000002</v>
      </c>
      <c r="W203" s="28">
        <v>70.44443289000002</v>
      </c>
      <c r="X203" s="28">
        <v>70.44443289000002</v>
      </c>
      <c r="Y203" s="40">
        <v>70.44443289000002</v>
      </c>
      <c r="AA203" s="52">
        <f>+AA197+AA198+AA199</f>
        <v>5729.415844499999</v>
      </c>
    </row>
    <row r="204" spans="2:27" ht="11.25">
      <c r="B204" s="39" t="s">
        <v>232</v>
      </c>
      <c r="C204" s="82" t="s">
        <v>128</v>
      </c>
      <c r="D204" s="83"/>
      <c r="E204" s="50" t="s">
        <v>123</v>
      </c>
      <c r="F204" s="28">
        <v>0</v>
      </c>
      <c r="G204" s="28">
        <v>0</v>
      </c>
      <c r="H204" s="28">
        <v>1.8882786973198669</v>
      </c>
      <c r="I204" s="28">
        <v>-1.8426612659264696</v>
      </c>
      <c r="J204" s="28">
        <v>6.075845396479189</v>
      </c>
      <c r="K204" s="28">
        <v>433.45420808775543</v>
      </c>
      <c r="L204" s="28">
        <v>520.8722412084529</v>
      </c>
      <c r="M204" s="28">
        <v>680.7680058668351</v>
      </c>
      <c r="N204" s="28">
        <v>891.5100607142857</v>
      </c>
      <c r="O204" s="28">
        <v>1048.1317792836833</v>
      </c>
      <c r="P204" s="28">
        <v>1065.8051007407562</v>
      </c>
      <c r="Q204" s="28">
        <v>1067.0664636565336</v>
      </c>
      <c r="R204" s="28">
        <v>1068.3025993139954</v>
      </c>
      <c r="S204" s="28">
        <v>1069.514012258308</v>
      </c>
      <c r="T204" s="28">
        <v>1070.7011969437344</v>
      </c>
      <c r="U204" s="28">
        <v>1071.8646379354523</v>
      </c>
      <c r="V204" s="28">
        <v>1073.0048101073357</v>
      </c>
      <c r="W204" s="28">
        <v>1074.1221788357816</v>
      </c>
      <c r="X204" s="28">
        <v>1075.2172001896583</v>
      </c>
      <c r="Y204" s="40">
        <v>1076.2903211164578</v>
      </c>
      <c r="AA204" s="52"/>
    </row>
    <row r="205" spans="2:27" ht="11.25">
      <c r="B205" s="39" t="s">
        <v>233</v>
      </c>
      <c r="C205" s="82" t="s">
        <v>63</v>
      </c>
      <c r="D205" s="83"/>
      <c r="E205" s="50" t="s">
        <v>123</v>
      </c>
      <c r="F205" s="28">
        <v>0</v>
      </c>
      <c r="G205" s="28">
        <v>0</v>
      </c>
      <c r="H205" s="28">
        <v>0</v>
      </c>
      <c r="I205" s="28">
        <v>0</v>
      </c>
      <c r="J205" s="28">
        <v>0</v>
      </c>
      <c r="K205" s="28">
        <v>108.78222222222225</v>
      </c>
      <c r="L205" s="28">
        <v>81.5866666666667</v>
      </c>
      <c r="M205" s="28">
        <v>54.391111111111144</v>
      </c>
      <c r="N205" s="28">
        <v>27.195555555555586</v>
      </c>
      <c r="O205" s="28">
        <v>0</v>
      </c>
      <c r="P205" s="28">
        <v>0</v>
      </c>
      <c r="Q205" s="28">
        <v>0</v>
      </c>
      <c r="R205" s="28">
        <v>0</v>
      </c>
      <c r="S205" s="28">
        <v>0</v>
      </c>
      <c r="T205" s="28">
        <v>0</v>
      </c>
      <c r="U205" s="28">
        <v>0</v>
      </c>
      <c r="V205" s="28">
        <v>0</v>
      </c>
      <c r="W205" s="28">
        <v>0</v>
      </c>
      <c r="X205" s="28">
        <v>0</v>
      </c>
      <c r="Y205" s="40">
        <v>0</v>
      </c>
      <c r="AA205" s="52"/>
    </row>
    <row r="206" spans="2:27" ht="11.25">
      <c r="B206" s="39" t="s">
        <v>234</v>
      </c>
      <c r="C206" s="82" t="s">
        <v>235</v>
      </c>
      <c r="D206" s="83"/>
      <c r="E206" s="50" t="s">
        <v>123</v>
      </c>
      <c r="F206" s="28">
        <v>0</v>
      </c>
      <c r="G206" s="28">
        <v>0</v>
      </c>
      <c r="H206" s="28">
        <v>1.8882786973198669</v>
      </c>
      <c r="I206" s="28">
        <v>-1.8426612659264696</v>
      </c>
      <c r="J206" s="28">
        <v>6.075845396479189</v>
      </c>
      <c r="K206" s="28">
        <v>542.2364303099777</v>
      </c>
      <c r="L206" s="28">
        <v>602.4589078751196</v>
      </c>
      <c r="M206" s="28">
        <v>735.1591169779463</v>
      </c>
      <c r="N206" s="28">
        <v>918.7056162698414</v>
      </c>
      <c r="O206" s="28">
        <v>1048.1317792836833</v>
      </c>
      <c r="P206" s="28">
        <v>1065.8051007407562</v>
      </c>
      <c r="Q206" s="28">
        <v>1067.0664636565336</v>
      </c>
      <c r="R206" s="28">
        <v>1068.3025993139954</v>
      </c>
      <c r="S206" s="28">
        <v>1069.514012258308</v>
      </c>
      <c r="T206" s="28">
        <v>1070.7011969437344</v>
      </c>
      <c r="U206" s="28">
        <v>1071.8646379354523</v>
      </c>
      <c r="V206" s="28">
        <v>1073.0048101073357</v>
      </c>
      <c r="W206" s="28">
        <v>1074.1221788357816</v>
      </c>
      <c r="X206" s="28">
        <v>1075.2172001896583</v>
      </c>
      <c r="Y206" s="40">
        <v>1076.2903211164578</v>
      </c>
      <c r="AA206" s="52"/>
    </row>
    <row r="207" spans="2:27" ht="11.25">
      <c r="B207" s="39" t="s">
        <v>236</v>
      </c>
      <c r="C207" s="84" t="s">
        <v>237</v>
      </c>
      <c r="D207" s="85"/>
      <c r="E207" s="50" t="s">
        <v>123</v>
      </c>
      <c r="F207" s="28">
        <v>0</v>
      </c>
      <c r="G207" s="28">
        <v>-103.52955333333334</v>
      </c>
      <c r="H207" s="28">
        <v>-1034.228616844238</v>
      </c>
      <c r="I207" s="28">
        <v>-1914.2525327408177</v>
      </c>
      <c r="J207" s="28">
        <v>-512.3343205784123</v>
      </c>
      <c r="K207" s="28">
        <v>419.46577084465196</v>
      </c>
      <c r="L207" s="28">
        <v>532.0144749851196</v>
      </c>
      <c r="M207" s="28">
        <v>664.7146840879462</v>
      </c>
      <c r="N207" s="28">
        <v>848.2611833798413</v>
      </c>
      <c r="O207" s="28">
        <v>977.6873463936832</v>
      </c>
      <c r="P207" s="28">
        <v>995.3606678507562</v>
      </c>
      <c r="Q207" s="28">
        <v>996.6220307665336</v>
      </c>
      <c r="R207" s="28">
        <v>997.8581664239954</v>
      </c>
      <c r="S207" s="28">
        <v>999.0695793683079</v>
      </c>
      <c r="T207" s="28">
        <v>1000.2567640537344</v>
      </c>
      <c r="U207" s="28">
        <v>1001.4202050454522</v>
      </c>
      <c r="V207" s="28">
        <v>1002.5603772173357</v>
      </c>
      <c r="W207" s="28">
        <v>1003.6777459457816</v>
      </c>
      <c r="X207" s="28">
        <v>1004.7727672996583</v>
      </c>
      <c r="Y207" s="40">
        <v>1005.8458882264578</v>
      </c>
      <c r="AA207" s="52"/>
    </row>
    <row r="208" spans="2:27" ht="11.25">
      <c r="B208" s="114" t="s">
        <v>238</v>
      </c>
      <c r="C208" s="91" t="s">
        <v>121</v>
      </c>
      <c r="D208" s="78">
        <f>+AA203</f>
        <v>5729.415844499999</v>
      </c>
      <c r="E208" s="94"/>
      <c r="F208" s="73"/>
      <c r="G208" s="73"/>
      <c r="H208" s="73"/>
      <c r="I208" s="73"/>
      <c r="J208" s="73"/>
      <c r="K208" s="73"/>
      <c r="L208" s="73"/>
      <c r="M208" s="73"/>
      <c r="N208" s="73"/>
      <c r="O208" s="73"/>
      <c r="P208" s="73"/>
      <c r="Q208" s="73"/>
      <c r="R208" s="73"/>
      <c r="S208" s="73"/>
      <c r="T208" s="73"/>
      <c r="U208" s="73"/>
      <c r="V208" s="73"/>
      <c r="W208" s="73"/>
      <c r="X208" s="73"/>
      <c r="Y208" s="74"/>
      <c r="AA208" s="52"/>
    </row>
    <row r="209" spans="2:27" ht="11.25">
      <c r="B209" s="90" t="s">
        <v>239</v>
      </c>
      <c r="C209" s="92" t="s">
        <v>596</v>
      </c>
      <c r="D209" s="113">
        <f>+AA201</f>
        <v>14.3</v>
      </c>
      <c r="E209" s="95"/>
      <c r="F209" s="54"/>
      <c r="G209" s="54"/>
      <c r="H209" s="54"/>
      <c r="I209" s="54"/>
      <c r="J209" s="54"/>
      <c r="K209" s="54"/>
      <c r="L209" s="54"/>
      <c r="M209" s="54"/>
      <c r="N209" s="54"/>
      <c r="O209" s="54"/>
      <c r="P209" s="54"/>
      <c r="Q209" s="54"/>
      <c r="R209" s="54"/>
      <c r="S209" s="54"/>
      <c r="T209" s="54"/>
      <c r="U209" s="54"/>
      <c r="V209" s="54"/>
      <c r="W209" s="54"/>
      <c r="X209" s="54"/>
      <c r="Y209" s="75"/>
      <c r="AA209" s="52"/>
    </row>
    <row r="210" spans="2:27" ht="11.25">
      <c r="B210" s="90" t="s">
        <v>240</v>
      </c>
      <c r="C210" s="92" t="s">
        <v>57</v>
      </c>
      <c r="D210" s="79">
        <f>+IRR(F207:Y207)</f>
        <v>0.16457582826394943</v>
      </c>
      <c r="E210" s="95"/>
      <c r="F210" s="88"/>
      <c r="G210" s="54"/>
      <c r="H210" s="54"/>
      <c r="I210" s="54"/>
      <c r="J210" s="54"/>
      <c r="K210" s="54"/>
      <c r="L210" s="54"/>
      <c r="M210" s="54"/>
      <c r="N210" s="54"/>
      <c r="O210" s="54"/>
      <c r="P210" s="54"/>
      <c r="Q210" s="54"/>
      <c r="R210" s="54"/>
      <c r="S210" s="54"/>
      <c r="T210" s="54"/>
      <c r="U210" s="54"/>
      <c r="V210" s="54"/>
      <c r="W210" s="54"/>
      <c r="X210" s="54"/>
      <c r="Y210" s="75"/>
      <c r="AA210" s="52"/>
    </row>
    <row r="211" spans="2:27" ht="12" thickBot="1">
      <c r="B211" s="122" t="s">
        <v>603</v>
      </c>
      <c r="C211" s="102" t="s">
        <v>120</v>
      </c>
      <c r="D211" s="210">
        <f>+NPV('Assumptions and Basic Info'!$C$20,F207:Y207)</f>
        <v>1437.0099918393023</v>
      </c>
      <c r="E211" s="108"/>
      <c r="F211" s="105"/>
      <c r="G211" s="127"/>
      <c r="H211" s="105"/>
      <c r="I211" s="105"/>
      <c r="J211" s="105"/>
      <c r="K211" s="105"/>
      <c r="L211" s="105"/>
      <c r="M211" s="105"/>
      <c r="N211" s="105"/>
      <c r="O211" s="105"/>
      <c r="P211" s="105"/>
      <c r="Q211" s="105"/>
      <c r="R211" s="105"/>
      <c r="S211" s="105"/>
      <c r="T211" s="105"/>
      <c r="U211" s="105"/>
      <c r="V211" s="105"/>
      <c r="W211" s="105"/>
      <c r="X211" s="105"/>
      <c r="Y211" s="106"/>
      <c r="AA211" s="52"/>
    </row>
    <row r="212" spans="2:27" ht="11.25">
      <c r="B212" s="44" t="s">
        <v>242</v>
      </c>
      <c r="C212" s="23" t="s">
        <v>261</v>
      </c>
      <c r="D212" s="23"/>
      <c r="E212" s="51"/>
      <c r="F212" s="24"/>
      <c r="G212" s="24"/>
      <c r="H212" s="24"/>
      <c r="I212" s="24"/>
      <c r="J212" s="24"/>
      <c r="K212" s="24"/>
      <c r="L212" s="24"/>
      <c r="M212" s="24"/>
      <c r="N212" s="24"/>
      <c r="O212" s="24"/>
      <c r="P212" s="24"/>
      <c r="Q212" s="24"/>
      <c r="R212" s="24"/>
      <c r="S212" s="24"/>
      <c r="T212" s="24"/>
      <c r="U212" s="24"/>
      <c r="V212" s="24"/>
      <c r="W212" s="24"/>
      <c r="X212" s="24"/>
      <c r="Y212" s="45"/>
      <c r="AA212" s="52"/>
    </row>
    <row r="213" spans="2:28" ht="11.25">
      <c r="B213" s="37" t="s">
        <v>243</v>
      </c>
      <c r="C213" s="80" t="s">
        <v>124</v>
      </c>
      <c r="D213" s="81"/>
      <c r="E213" s="49" t="s">
        <v>54</v>
      </c>
      <c r="F213" s="27">
        <v>496</v>
      </c>
      <c r="G213" s="27">
        <v>440.8888888888889</v>
      </c>
      <c r="H213" s="27">
        <v>385.7777777777778</v>
      </c>
      <c r="I213" s="27">
        <v>330.66666666666674</v>
      </c>
      <c r="J213" s="27">
        <v>275.55555555555566</v>
      </c>
      <c r="K213" s="27">
        <v>220.44444444444457</v>
      </c>
      <c r="L213" s="27">
        <v>165.33333333333348</v>
      </c>
      <c r="M213" s="27">
        <v>110.22222222222229</v>
      </c>
      <c r="N213" s="27">
        <v>55.1111111111112</v>
      </c>
      <c r="O213" s="27">
        <v>0</v>
      </c>
      <c r="P213" s="27">
        <v>0</v>
      </c>
      <c r="Q213" s="27">
        <v>0</v>
      </c>
      <c r="R213" s="27">
        <v>0</v>
      </c>
      <c r="S213" s="27">
        <v>0</v>
      </c>
      <c r="T213" s="27">
        <v>0</v>
      </c>
      <c r="U213" s="27">
        <v>0</v>
      </c>
      <c r="V213" s="27">
        <v>0</v>
      </c>
      <c r="W213" s="27">
        <v>0</v>
      </c>
      <c r="X213" s="27">
        <v>0</v>
      </c>
      <c r="Y213" s="38">
        <v>0</v>
      </c>
      <c r="AA213" s="52">
        <v>496</v>
      </c>
      <c r="AB213" s="116" t="s">
        <v>126</v>
      </c>
    </row>
    <row r="214" spans="2:28" ht="11.25">
      <c r="B214" s="39" t="s">
        <v>244</v>
      </c>
      <c r="C214" s="82" t="s">
        <v>125</v>
      </c>
      <c r="D214" s="83"/>
      <c r="E214" s="50" t="s">
        <v>54</v>
      </c>
      <c r="F214" s="28">
        <v>496</v>
      </c>
      <c r="G214" s="28">
        <v>440.8888888888889</v>
      </c>
      <c r="H214" s="28">
        <v>394.13061556740814</v>
      </c>
      <c r="I214" s="28">
        <v>347.37234224592737</v>
      </c>
      <c r="J214" s="28">
        <v>300.61406892444654</v>
      </c>
      <c r="K214" s="28">
        <v>1205</v>
      </c>
      <c r="L214" s="28">
        <v>1205</v>
      </c>
      <c r="M214" s="28">
        <v>1205</v>
      </c>
      <c r="N214" s="28">
        <v>1205</v>
      </c>
      <c r="O214" s="28">
        <v>1205</v>
      </c>
      <c r="P214" s="28">
        <v>1205</v>
      </c>
      <c r="Q214" s="28">
        <v>1205</v>
      </c>
      <c r="R214" s="28">
        <v>1205</v>
      </c>
      <c r="S214" s="28">
        <v>1205</v>
      </c>
      <c r="T214" s="28">
        <v>1205</v>
      </c>
      <c r="U214" s="28">
        <v>1205</v>
      </c>
      <c r="V214" s="28">
        <v>1205</v>
      </c>
      <c r="W214" s="28">
        <v>1205</v>
      </c>
      <c r="X214" s="28">
        <v>1205</v>
      </c>
      <c r="Y214" s="40">
        <v>1205</v>
      </c>
      <c r="AA214" s="52">
        <v>1205</v>
      </c>
      <c r="AB214" s="116" t="s">
        <v>127</v>
      </c>
    </row>
    <row r="215" spans="2:28" ht="11.25">
      <c r="B215" s="39" t="s">
        <v>245</v>
      </c>
      <c r="C215" s="82" t="s">
        <v>81</v>
      </c>
      <c r="D215" s="83"/>
      <c r="E215" s="50" t="s">
        <v>54</v>
      </c>
      <c r="F215" s="28">
        <v>0</v>
      </c>
      <c r="G215" s="28">
        <v>0</v>
      </c>
      <c r="H215" s="28">
        <v>8.352837789630314</v>
      </c>
      <c r="I215" s="28">
        <v>16.705675579260628</v>
      </c>
      <c r="J215" s="28">
        <v>25.058513368890885</v>
      </c>
      <c r="K215" s="28">
        <v>984.5555555555554</v>
      </c>
      <c r="L215" s="28">
        <v>1039.6666666666665</v>
      </c>
      <c r="M215" s="28">
        <v>1094.7777777777778</v>
      </c>
      <c r="N215" s="28">
        <v>1149.8888888888887</v>
      </c>
      <c r="O215" s="28">
        <v>1205</v>
      </c>
      <c r="P215" s="28">
        <v>1205</v>
      </c>
      <c r="Q215" s="28">
        <v>1205</v>
      </c>
      <c r="R215" s="28">
        <v>1205</v>
      </c>
      <c r="S215" s="28">
        <v>1205</v>
      </c>
      <c r="T215" s="28">
        <v>1205</v>
      </c>
      <c r="U215" s="28">
        <v>1205</v>
      </c>
      <c r="V215" s="28">
        <v>1205</v>
      </c>
      <c r="W215" s="28">
        <v>1205</v>
      </c>
      <c r="X215" s="28">
        <v>1205</v>
      </c>
      <c r="Y215" s="40">
        <v>1205</v>
      </c>
      <c r="AA215" s="52">
        <v>709</v>
      </c>
      <c r="AB215" s="116" t="s">
        <v>127</v>
      </c>
    </row>
    <row r="216" spans="2:28" ht="11.25">
      <c r="B216" s="39" t="s">
        <v>246</v>
      </c>
      <c r="C216" s="82" t="s">
        <v>65</v>
      </c>
      <c r="D216" s="83"/>
      <c r="E216" s="50" t="s">
        <v>119</v>
      </c>
      <c r="F216" s="28">
        <v>0</v>
      </c>
      <c r="G216" s="28">
        <v>0</v>
      </c>
      <c r="H216" s="28">
        <v>0</v>
      </c>
      <c r="I216" s="28">
        <v>0</v>
      </c>
      <c r="J216" s="28">
        <v>0</v>
      </c>
      <c r="K216" s="28">
        <v>2000</v>
      </c>
      <c r="L216" s="28">
        <v>1500</v>
      </c>
      <c r="M216" s="28">
        <v>1000</v>
      </c>
      <c r="N216" s="28">
        <v>500</v>
      </c>
      <c r="O216" s="28">
        <v>0</v>
      </c>
      <c r="P216" s="28">
        <v>0</v>
      </c>
      <c r="Q216" s="28">
        <v>0</v>
      </c>
      <c r="R216" s="28">
        <v>0</v>
      </c>
      <c r="S216" s="28">
        <v>0</v>
      </c>
      <c r="T216" s="28">
        <v>0</v>
      </c>
      <c r="U216" s="28">
        <v>0</v>
      </c>
      <c r="V216" s="28">
        <v>0</v>
      </c>
      <c r="W216" s="28">
        <v>0</v>
      </c>
      <c r="X216" s="28">
        <v>0</v>
      </c>
      <c r="Y216" s="40">
        <v>0</v>
      </c>
      <c r="AA216" s="54">
        <v>4500</v>
      </c>
      <c r="AB216" s="116" t="s">
        <v>127</v>
      </c>
    </row>
    <row r="217" spans="2:27" ht="11.25">
      <c r="B217" s="39" t="s">
        <v>247</v>
      </c>
      <c r="C217" s="82" t="s">
        <v>58</v>
      </c>
      <c r="D217" s="83"/>
      <c r="E217" s="50" t="s">
        <v>123</v>
      </c>
      <c r="F217" s="28">
        <v>0</v>
      </c>
      <c r="G217" s="28">
        <v>55.652173913043484</v>
      </c>
      <c r="H217" s="28">
        <v>2069.5652173913045</v>
      </c>
      <c r="I217" s="28">
        <v>2740.8695652173915</v>
      </c>
      <c r="J217" s="28">
        <v>704.0930434782607</v>
      </c>
      <c r="K217" s="28">
        <v>0</v>
      </c>
      <c r="L217" s="31">
        <v>0</v>
      </c>
      <c r="M217" s="31">
        <v>0</v>
      </c>
      <c r="N217" s="31">
        <v>0</v>
      </c>
      <c r="O217" s="31">
        <v>0</v>
      </c>
      <c r="P217" s="31">
        <v>0</v>
      </c>
      <c r="Q217" s="31">
        <v>0</v>
      </c>
      <c r="R217" s="31">
        <v>0</v>
      </c>
      <c r="S217" s="31">
        <v>0</v>
      </c>
      <c r="T217" s="31">
        <v>0</v>
      </c>
      <c r="U217" s="31">
        <v>0</v>
      </c>
      <c r="V217" s="31">
        <v>0</v>
      </c>
      <c r="W217" s="31">
        <v>0</v>
      </c>
      <c r="X217" s="31">
        <v>0</v>
      </c>
      <c r="Y217" s="46">
        <v>0</v>
      </c>
      <c r="AA217" s="54">
        <v>5570.18</v>
      </c>
    </row>
    <row r="218" spans="2:27" ht="11.25">
      <c r="B218" s="39" t="s">
        <v>248</v>
      </c>
      <c r="C218" s="82" t="s">
        <v>24</v>
      </c>
      <c r="D218" s="83"/>
      <c r="E218" s="50" t="s">
        <v>123</v>
      </c>
      <c r="F218" s="28">
        <v>0</v>
      </c>
      <c r="G218" s="28">
        <v>8.347826086956522</v>
      </c>
      <c r="H218" s="28">
        <v>310.4347826086956</v>
      </c>
      <c r="I218" s="28">
        <v>411.1304347826087</v>
      </c>
      <c r="J218" s="28">
        <v>105.61395652173911</v>
      </c>
      <c r="K218" s="28">
        <v>0</v>
      </c>
      <c r="L218" s="28">
        <v>0</v>
      </c>
      <c r="M218" s="28">
        <v>0</v>
      </c>
      <c r="N218" s="28">
        <v>0</v>
      </c>
      <c r="O218" s="28">
        <v>0</v>
      </c>
      <c r="P218" s="28">
        <v>0</v>
      </c>
      <c r="Q218" s="28">
        <v>0</v>
      </c>
      <c r="R218" s="28">
        <v>0</v>
      </c>
      <c r="S218" s="28">
        <v>0</v>
      </c>
      <c r="T218" s="28">
        <v>0</v>
      </c>
      <c r="U218" s="28">
        <v>0</v>
      </c>
      <c r="V218" s="31">
        <v>0</v>
      </c>
      <c r="W218" s="31">
        <v>0</v>
      </c>
      <c r="X218" s="31">
        <v>0</v>
      </c>
      <c r="Y218" s="46">
        <v>0</v>
      </c>
      <c r="AA218" s="54">
        <f>+AA217*'Assumptions and Basic Info'!$C$4</f>
        <v>5570.18</v>
      </c>
    </row>
    <row r="219" spans="2:27" ht="11.25">
      <c r="B219" s="39" t="s">
        <v>249</v>
      </c>
      <c r="C219" s="82" t="s">
        <v>83</v>
      </c>
      <c r="D219" s="83"/>
      <c r="E219" s="50" t="s">
        <v>123</v>
      </c>
      <c r="F219" s="28">
        <v>0</v>
      </c>
      <c r="G219" s="28">
        <v>98.89266651</v>
      </c>
      <c r="H219" s="28">
        <v>203.67188335802467</v>
      </c>
      <c r="I219" s="28">
        <v>269.6425111440329</v>
      </c>
      <c r="J219" s="28">
        <v>69.36496238794237</v>
      </c>
      <c r="K219" s="28">
        <v>0</v>
      </c>
      <c r="L219" s="28">
        <v>0</v>
      </c>
      <c r="M219" s="28">
        <v>0</v>
      </c>
      <c r="N219" s="28">
        <v>0</v>
      </c>
      <c r="O219" s="28">
        <v>0</v>
      </c>
      <c r="P219" s="28">
        <v>0</v>
      </c>
      <c r="Q219" s="28">
        <v>0</v>
      </c>
      <c r="R219" s="28">
        <v>0</v>
      </c>
      <c r="S219" s="28">
        <v>0</v>
      </c>
      <c r="T219" s="28">
        <v>0</v>
      </c>
      <c r="U219" s="28">
        <v>0</v>
      </c>
      <c r="V219" s="31">
        <v>0</v>
      </c>
      <c r="W219" s="31">
        <v>0</v>
      </c>
      <c r="X219" s="31">
        <v>0</v>
      </c>
      <c r="Y219" s="46">
        <v>0</v>
      </c>
      <c r="AA219" s="54">
        <v>641.5720234</v>
      </c>
    </row>
    <row r="220" spans="2:27" ht="11.25">
      <c r="B220" s="39" t="s">
        <v>250</v>
      </c>
      <c r="C220" s="82" t="s">
        <v>82</v>
      </c>
      <c r="D220" s="83"/>
      <c r="E220" s="50" t="s">
        <v>123</v>
      </c>
      <c r="F220" s="28">
        <v>0</v>
      </c>
      <c r="G220" s="28">
        <v>0</v>
      </c>
      <c r="H220" s="28">
        <v>3.2578533302</v>
      </c>
      <c r="I220" s="28">
        <v>58.88952866452099</v>
      </c>
      <c r="J220" s="28">
        <v>127.32237888740163</v>
      </c>
      <c r="K220" s="28">
        <v>144.90381813516052</v>
      </c>
      <c r="L220" s="28">
        <v>144.90381813516052</v>
      </c>
      <c r="M220" s="28">
        <v>144.90381813516052</v>
      </c>
      <c r="N220" s="28">
        <v>144.90381813516052</v>
      </c>
      <c r="O220" s="28">
        <v>144.90381813516052</v>
      </c>
      <c r="P220" s="28">
        <v>144.90381813516052</v>
      </c>
      <c r="Q220" s="28">
        <v>144.90381813516052</v>
      </c>
      <c r="R220" s="28">
        <v>144.90381813516052</v>
      </c>
      <c r="S220" s="28">
        <v>144.90381813516052</v>
      </c>
      <c r="T220" s="28">
        <v>144.90381813516052</v>
      </c>
      <c r="U220" s="28">
        <v>144.90381813516052</v>
      </c>
      <c r="V220" s="28">
        <v>144.90381813516052</v>
      </c>
      <c r="W220" s="28">
        <v>144.90381813516052</v>
      </c>
      <c r="X220" s="28">
        <v>144.90381813516052</v>
      </c>
      <c r="Y220" s="40">
        <v>144.90381813516052</v>
      </c>
      <c r="AA220" s="52"/>
    </row>
    <row r="221" spans="2:27" ht="11.25">
      <c r="B221" s="39" t="s">
        <v>631</v>
      </c>
      <c r="C221" s="82" t="s">
        <v>578</v>
      </c>
      <c r="D221" s="83"/>
      <c r="E221" s="50" t="s">
        <v>118</v>
      </c>
      <c r="F221" s="28">
        <v>0</v>
      </c>
      <c r="G221" s="28">
        <v>425.81</v>
      </c>
      <c r="H221" s="28">
        <v>0</v>
      </c>
      <c r="I221" s="28">
        <v>0</v>
      </c>
      <c r="J221" s="28">
        <v>0</v>
      </c>
      <c r="K221" s="28">
        <v>0</v>
      </c>
      <c r="L221" s="28">
        <v>0</v>
      </c>
      <c r="M221" s="28">
        <v>0</v>
      </c>
      <c r="N221" s="28">
        <v>0</v>
      </c>
      <c r="O221" s="28">
        <v>0</v>
      </c>
      <c r="P221" s="28">
        <v>0</v>
      </c>
      <c r="Q221" s="28">
        <v>0</v>
      </c>
      <c r="R221" s="28">
        <v>0</v>
      </c>
      <c r="S221" s="28">
        <v>0</v>
      </c>
      <c r="T221" s="28">
        <v>0</v>
      </c>
      <c r="U221" s="28">
        <v>0</v>
      </c>
      <c r="V221" s="28">
        <v>0</v>
      </c>
      <c r="W221" s="28">
        <v>0</v>
      </c>
      <c r="X221" s="28">
        <v>0</v>
      </c>
      <c r="Y221" s="40">
        <v>0</v>
      </c>
      <c r="AA221" s="52">
        <v>425.81</v>
      </c>
    </row>
    <row r="222" spans="2:27" ht="11.25">
      <c r="B222" s="39" t="s">
        <v>711</v>
      </c>
      <c r="C222" s="82" t="s">
        <v>691</v>
      </c>
      <c r="D222" s="83"/>
      <c r="E222" s="50" t="s">
        <v>118</v>
      </c>
      <c r="F222" s="28">
        <v>0</v>
      </c>
      <c r="G222" s="28">
        <v>0</v>
      </c>
      <c r="H222" s="28">
        <v>6.08208553750218</v>
      </c>
      <c r="I222" s="28">
        <v>6.08208553750218</v>
      </c>
      <c r="J222" s="28">
        <v>6.082085537502181</v>
      </c>
      <c r="K222" s="28">
        <v>498.0092669225559</v>
      </c>
      <c r="L222" s="28">
        <v>0</v>
      </c>
      <c r="M222" s="28">
        <v>0</v>
      </c>
      <c r="N222" s="28">
        <v>0</v>
      </c>
      <c r="O222" s="28">
        <v>0</v>
      </c>
      <c r="P222" s="28">
        <v>0</v>
      </c>
      <c r="Q222" s="28">
        <v>0</v>
      </c>
      <c r="R222" s="28">
        <v>0</v>
      </c>
      <c r="S222" s="28">
        <v>0</v>
      </c>
      <c r="T222" s="28">
        <v>0</v>
      </c>
      <c r="U222" s="28">
        <v>0</v>
      </c>
      <c r="V222" s="28">
        <v>0</v>
      </c>
      <c r="W222" s="28">
        <v>0</v>
      </c>
      <c r="X222" s="28">
        <v>0</v>
      </c>
      <c r="Y222" s="40">
        <v>0</v>
      </c>
      <c r="AA222" s="52"/>
    </row>
    <row r="223" spans="2:27" ht="11.25">
      <c r="B223" s="39" t="s">
        <v>251</v>
      </c>
      <c r="C223" s="82" t="s">
        <v>712</v>
      </c>
      <c r="D223" s="83"/>
      <c r="E223" s="50" t="s">
        <v>123</v>
      </c>
      <c r="F223" s="28">
        <v>0</v>
      </c>
      <c r="G223" s="28">
        <v>588.70266651</v>
      </c>
      <c r="H223" s="28">
        <v>2593.011822225727</v>
      </c>
      <c r="I223" s="28">
        <v>3486.6141253460564</v>
      </c>
      <c r="J223" s="28">
        <v>1012.4764268128461</v>
      </c>
      <c r="K223" s="28">
        <v>642.9130850577164</v>
      </c>
      <c r="L223" s="28">
        <v>144.90381813516052</v>
      </c>
      <c r="M223" s="28">
        <v>144.90381813516052</v>
      </c>
      <c r="N223" s="28">
        <v>144.90381813516052</v>
      </c>
      <c r="O223" s="28">
        <v>144.90381813516052</v>
      </c>
      <c r="P223" s="28">
        <v>144.90381813516052</v>
      </c>
      <c r="Q223" s="28">
        <v>144.90381813516052</v>
      </c>
      <c r="R223" s="28">
        <v>144.90381813516052</v>
      </c>
      <c r="S223" s="28">
        <v>144.90381813516052</v>
      </c>
      <c r="T223" s="28">
        <v>144.90381813516052</v>
      </c>
      <c r="U223" s="28">
        <v>144.90381813516052</v>
      </c>
      <c r="V223" s="28">
        <v>144.90381813516052</v>
      </c>
      <c r="W223" s="28">
        <v>144.90381813516052</v>
      </c>
      <c r="X223" s="28">
        <v>144.90381813516052</v>
      </c>
      <c r="Y223" s="40">
        <v>144.90381813516052</v>
      </c>
      <c r="AA223" s="52">
        <f>+AA217+AA218+AA219</f>
        <v>11781.9320234</v>
      </c>
    </row>
    <row r="224" spans="2:27" ht="11.25">
      <c r="B224" s="39" t="s">
        <v>252</v>
      </c>
      <c r="C224" s="82" t="s">
        <v>128</v>
      </c>
      <c r="D224" s="83"/>
      <c r="E224" s="50" t="s">
        <v>123</v>
      </c>
      <c r="F224" s="28">
        <v>0</v>
      </c>
      <c r="G224" s="28">
        <v>0</v>
      </c>
      <c r="H224" s="28">
        <v>0.43276793330434243</v>
      </c>
      <c r="I224" s="28">
        <v>-3.7413272637575283</v>
      </c>
      <c r="J224" s="28">
        <v>-6.6172111400913645</v>
      </c>
      <c r="K224" s="28">
        <v>853.1617206321883</v>
      </c>
      <c r="L224" s="28">
        <v>665.221761531207</v>
      </c>
      <c r="M224" s="28">
        <v>961.7966984273004</v>
      </c>
      <c r="N224" s="28">
        <v>2323.117783518638</v>
      </c>
      <c r="O224" s="28">
        <v>3377.6644111116566</v>
      </c>
      <c r="P224" s="28">
        <v>3565.8067495185073</v>
      </c>
      <c r="Q224" s="28">
        <v>3565.8067495185073</v>
      </c>
      <c r="R224" s="28">
        <v>3565.8067495185073</v>
      </c>
      <c r="S224" s="28">
        <v>3565.8067495185073</v>
      </c>
      <c r="T224" s="28">
        <v>3565.8067495185073</v>
      </c>
      <c r="U224" s="28">
        <v>3565.8067495185073</v>
      </c>
      <c r="V224" s="28">
        <v>3565.8067495185073</v>
      </c>
      <c r="W224" s="28">
        <v>3565.8067495185073</v>
      </c>
      <c r="X224" s="28">
        <v>3565.8067495185073</v>
      </c>
      <c r="Y224" s="40">
        <v>3565.8067495185073</v>
      </c>
      <c r="AA224" s="52"/>
    </row>
    <row r="225" spans="2:27" ht="11.25">
      <c r="B225" s="39" t="s">
        <v>253</v>
      </c>
      <c r="C225" s="82" t="s">
        <v>63</v>
      </c>
      <c r="D225" s="83"/>
      <c r="E225" s="50" t="s">
        <v>123</v>
      </c>
      <c r="F225" s="28">
        <v>0</v>
      </c>
      <c r="G225" s="28">
        <v>0</v>
      </c>
      <c r="H225" s="28">
        <v>0</v>
      </c>
      <c r="I225" s="28">
        <v>0</v>
      </c>
      <c r="J225" s="28">
        <v>0</v>
      </c>
      <c r="K225" s="28">
        <v>84.4</v>
      </c>
      <c r="L225" s="28">
        <v>63.3</v>
      </c>
      <c r="M225" s="28">
        <v>42.2</v>
      </c>
      <c r="N225" s="28">
        <v>21.1</v>
      </c>
      <c r="O225" s="28">
        <v>0</v>
      </c>
      <c r="P225" s="28">
        <v>0</v>
      </c>
      <c r="Q225" s="28">
        <v>0</v>
      </c>
      <c r="R225" s="28">
        <v>0</v>
      </c>
      <c r="S225" s="28">
        <v>0</v>
      </c>
      <c r="T225" s="28">
        <v>0</v>
      </c>
      <c r="U225" s="28">
        <v>0</v>
      </c>
      <c r="V225" s="28">
        <v>0</v>
      </c>
      <c r="W225" s="28">
        <v>0</v>
      </c>
      <c r="X225" s="28">
        <v>0</v>
      </c>
      <c r="Y225" s="40">
        <v>0</v>
      </c>
      <c r="AA225" s="52"/>
    </row>
    <row r="226" spans="2:27" ht="11.25">
      <c r="B226" s="39" t="s">
        <v>254</v>
      </c>
      <c r="C226" s="82" t="s">
        <v>255</v>
      </c>
      <c r="D226" s="83"/>
      <c r="E226" s="50" t="s">
        <v>123</v>
      </c>
      <c r="F226" s="28">
        <v>0</v>
      </c>
      <c r="G226" s="28">
        <v>0</v>
      </c>
      <c r="H226" s="28">
        <v>0.43276793330434243</v>
      </c>
      <c r="I226" s="28">
        <v>-3.7413272637575283</v>
      </c>
      <c r="J226" s="28">
        <v>-6.6172111400913645</v>
      </c>
      <c r="K226" s="28">
        <v>937.5617206321883</v>
      </c>
      <c r="L226" s="28">
        <v>728.521761531207</v>
      </c>
      <c r="M226" s="28">
        <v>1003.9966984273004</v>
      </c>
      <c r="N226" s="28">
        <v>2344.217783518638</v>
      </c>
      <c r="O226" s="28">
        <v>3377.6644111116566</v>
      </c>
      <c r="P226" s="28">
        <v>3565.8067495185073</v>
      </c>
      <c r="Q226" s="28">
        <v>3565.8067495185073</v>
      </c>
      <c r="R226" s="28">
        <v>3565.8067495185073</v>
      </c>
      <c r="S226" s="28">
        <v>3565.8067495185073</v>
      </c>
      <c r="T226" s="28">
        <v>3565.8067495185073</v>
      </c>
      <c r="U226" s="28">
        <v>3565.8067495185073</v>
      </c>
      <c r="V226" s="28">
        <v>3565.8067495185073</v>
      </c>
      <c r="W226" s="28">
        <v>3565.8067495185073</v>
      </c>
      <c r="X226" s="28">
        <v>3565.8067495185073</v>
      </c>
      <c r="Y226" s="40">
        <v>3565.8067495185073</v>
      </c>
      <c r="AA226" s="52"/>
    </row>
    <row r="227" spans="2:27" ht="11.25">
      <c r="B227" s="39" t="s">
        <v>256</v>
      </c>
      <c r="C227" s="82" t="s">
        <v>257</v>
      </c>
      <c r="D227" s="83"/>
      <c r="E227" s="50" t="s">
        <v>123</v>
      </c>
      <c r="F227" s="28">
        <v>0</v>
      </c>
      <c r="G227" s="28">
        <v>-588.70266651</v>
      </c>
      <c r="H227" s="28">
        <v>-2592.579054292423</v>
      </c>
      <c r="I227" s="28">
        <v>-3490.355452609814</v>
      </c>
      <c r="J227" s="28">
        <v>-1019.0936379529375</v>
      </c>
      <c r="K227" s="28">
        <v>294.6486355744719</v>
      </c>
      <c r="L227" s="28">
        <v>583.6179433960465</v>
      </c>
      <c r="M227" s="28">
        <v>859.0928802921399</v>
      </c>
      <c r="N227" s="28">
        <v>2199.3139653834774</v>
      </c>
      <c r="O227" s="28">
        <v>3232.760592976496</v>
      </c>
      <c r="P227" s="28">
        <v>3420.9029313833466</v>
      </c>
      <c r="Q227" s="28">
        <v>3420.9029313833466</v>
      </c>
      <c r="R227" s="28">
        <v>3420.9029313833466</v>
      </c>
      <c r="S227" s="28">
        <v>3420.9029313833466</v>
      </c>
      <c r="T227" s="28">
        <v>3420.9029313833466</v>
      </c>
      <c r="U227" s="28">
        <v>3420.9029313833466</v>
      </c>
      <c r="V227" s="28">
        <v>3420.9029313833466</v>
      </c>
      <c r="W227" s="28">
        <v>3420.9029313833466</v>
      </c>
      <c r="X227" s="28">
        <v>3420.9029313833466</v>
      </c>
      <c r="Y227" s="40">
        <v>3420.9029313833466</v>
      </c>
      <c r="AA227" s="52"/>
    </row>
    <row r="228" spans="2:27" ht="11.25">
      <c r="B228" s="114" t="s">
        <v>258</v>
      </c>
      <c r="C228" s="91" t="s">
        <v>121</v>
      </c>
      <c r="D228" s="78">
        <f>+AA223</f>
        <v>11781.9320234</v>
      </c>
      <c r="E228" s="94"/>
      <c r="F228" s="73"/>
      <c r="G228" s="73"/>
      <c r="H228" s="73"/>
      <c r="I228" s="73"/>
      <c r="J228" s="73"/>
      <c r="K228" s="73"/>
      <c r="L228" s="73"/>
      <c r="M228" s="73"/>
      <c r="N228" s="73"/>
      <c r="O228" s="73"/>
      <c r="P228" s="73"/>
      <c r="Q228" s="73"/>
      <c r="R228" s="73"/>
      <c r="S228" s="73"/>
      <c r="T228" s="73"/>
      <c r="U228" s="73"/>
      <c r="V228" s="73"/>
      <c r="W228" s="73"/>
      <c r="X228" s="73"/>
      <c r="Y228" s="74"/>
      <c r="AA228" s="52"/>
    </row>
    <row r="229" spans="2:27" ht="11.25">
      <c r="B229" s="90" t="s">
        <v>259</v>
      </c>
      <c r="C229" s="92" t="s">
        <v>596</v>
      </c>
      <c r="D229" s="113">
        <f>+AA221</f>
        <v>425.81</v>
      </c>
      <c r="E229" s="95"/>
      <c r="F229" s="54"/>
      <c r="G229" s="54"/>
      <c r="H229" s="54"/>
      <c r="I229" s="54"/>
      <c r="J229" s="54"/>
      <c r="K229" s="54"/>
      <c r="L229" s="54"/>
      <c r="M229" s="54"/>
      <c r="N229" s="54"/>
      <c r="O229" s="54"/>
      <c r="P229" s="54"/>
      <c r="Q229" s="54"/>
      <c r="R229" s="54"/>
      <c r="S229" s="54"/>
      <c r="T229" s="54"/>
      <c r="U229" s="54"/>
      <c r="V229" s="54"/>
      <c r="W229" s="54"/>
      <c r="X229" s="54"/>
      <c r="Y229" s="75"/>
      <c r="AA229" s="52"/>
    </row>
    <row r="230" spans="2:27" ht="11.25">
      <c r="B230" s="90" t="s">
        <v>260</v>
      </c>
      <c r="C230" s="92" t="s">
        <v>57</v>
      </c>
      <c r="D230" s="79">
        <f>+IRR(F227:Y227)</f>
        <v>0.19006865102621928</v>
      </c>
      <c r="E230" s="95"/>
      <c r="F230" s="88"/>
      <c r="G230" s="54"/>
      <c r="H230" s="54"/>
      <c r="I230" s="54"/>
      <c r="J230" s="54"/>
      <c r="K230" s="54"/>
      <c r="L230" s="54"/>
      <c r="M230" s="54"/>
      <c r="N230" s="54"/>
      <c r="O230" s="54"/>
      <c r="P230" s="54"/>
      <c r="Q230" s="54"/>
      <c r="R230" s="54"/>
      <c r="S230" s="54"/>
      <c r="T230" s="54"/>
      <c r="U230" s="54"/>
      <c r="V230" s="54"/>
      <c r="W230" s="54"/>
      <c r="X230" s="54"/>
      <c r="Y230" s="75"/>
      <c r="AA230" s="52"/>
    </row>
    <row r="231" spans="2:27" ht="12" thickBot="1">
      <c r="B231" s="122" t="s">
        <v>632</v>
      </c>
      <c r="C231" s="102" t="s">
        <v>120</v>
      </c>
      <c r="D231" s="103">
        <f>+NPV('Assumptions and Basic Info'!$C$20,F227:Y227)</f>
        <v>5698.672503546678</v>
      </c>
      <c r="E231" s="108"/>
      <c r="F231" s="105"/>
      <c r="G231" s="127"/>
      <c r="H231" s="105"/>
      <c r="I231" s="105"/>
      <c r="J231" s="105"/>
      <c r="K231" s="105"/>
      <c r="L231" s="105"/>
      <c r="M231" s="105"/>
      <c r="N231" s="105"/>
      <c r="O231" s="105"/>
      <c r="P231" s="105"/>
      <c r="Q231" s="105"/>
      <c r="R231" s="105"/>
      <c r="S231" s="105"/>
      <c r="T231" s="105"/>
      <c r="U231" s="105"/>
      <c r="V231" s="105"/>
      <c r="W231" s="105"/>
      <c r="X231" s="105"/>
      <c r="Y231" s="106"/>
      <c r="AA231" s="52"/>
    </row>
    <row r="232" spans="2:27" ht="11.25">
      <c r="B232" s="44" t="s">
        <v>262</v>
      </c>
      <c r="C232" s="23" t="s">
        <v>281</v>
      </c>
      <c r="D232" s="23"/>
      <c r="E232" s="51"/>
      <c r="F232" s="24"/>
      <c r="G232" s="24"/>
      <c r="H232" s="24"/>
      <c r="I232" s="24"/>
      <c r="J232" s="24"/>
      <c r="K232" s="24"/>
      <c r="L232" s="24"/>
      <c r="M232" s="24"/>
      <c r="N232" s="24"/>
      <c r="O232" s="24"/>
      <c r="P232" s="24"/>
      <c r="Q232" s="24"/>
      <c r="R232" s="24"/>
      <c r="S232" s="24"/>
      <c r="T232" s="24"/>
      <c r="U232" s="24"/>
      <c r="V232" s="24"/>
      <c r="W232" s="24"/>
      <c r="X232" s="24"/>
      <c r="Y232" s="45"/>
      <c r="AA232" s="52"/>
    </row>
    <row r="233" spans="2:28" ht="11.25">
      <c r="B233" s="37" t="s">
        <v>263</v>
      </c>
      <c r="C233" s="80" t="s">
        <v>124</v>
      </c>
      <c r="D233" s="81"/>
      <c r="E233" s="49" t="s">
        <v>54</v>
      </c>
      <c r="F233" s="27">
        <v>1357</v>
      </c>
      <c r="G233" s="27">
        <v>1206.2222222222222</v>
      </c>
      <c r="H233" s="27">
        <v>1055.4444444444443</v>
      </c>
      <c r="I233" s="27">
        <v>904.6666666666665</v>
      </c>
      <c r="J233" s="27">
        <v>753.8888888888887</v>
      </c>
      <c r="K233" s="27">
        <v>603.1111111111109</v>
      </c>
      <c r="L233" s="27">
        <v>452.33333333333303</v>
      </c>
      <c r="M233" s="27">
        <v>301.5555555555552</v>
      </c>
      <c r="N233" s="27">
        <v>150.7777777777776</v>
      </c>
      <c r="O233" s="27">
        <v>0</v>
      </c>
      <c r="P233" s="27">
        <v>0</v>
      </c>
      <c r="Q233" s="27">
        <v>0</v>
      </c>
      <c r="R233" s="27">
        <v>0</v>
      </c>
      <c r="S233" s="27">
        <v>0</v>
      </c>
      <c r="T233" s="27">
        <v>0</v>
      </c>
      <c r="U233" s="27">
        <v>0</v>
      </c>
      <c r="V233" s="27">
        <v>0</v>
      </c>
      <c r="W233" s="27">
        <v>0</v>
      </c>
      <c r="X233" s="27">
        <v>0</v>
      </c>
      <c r="Y233" s="38">
        <v>0</v>
      </c>
      <c r="AA233" s="52">
        <v>1357</v>
      </c>
      <c r="AB233" s="116" t="s">
        <v>126</v>
      </c>
    </row>
    <row r="234" spans="2:28" ht="11.25">
      <c r="B234" s="39" t="s">
        <v>264</v>
      </c>
      <c r="C234" s="82" t="s">
        <v>125</v>
      </c>
      <c r="D234" s="83"/>
      <c r="E234" s="50" t="s">
        <v>54</v>
      </c>
      <c r="F234" s="28">
        <v>1357</v>
      </c>
      <c r="G234" s="28">
        <v>1206.2222222222222</v>
      </c>
      <c r="H234" s="28">
        <v>1067.8372978989523</v>
      </c>
      <c r="I234" s="28">
        <v>929.4523735756824</v>
      </c>
      <c r="J234" s="28">
        <v>2204.1785603635235</v>
      </c>
      <c r="K234" s="28">
        <v>2812</v>
      </c>
      <c r="L234" s="28">
        <v>2812</v>
      </c>
      <c r="M234" s="28">
        <v>2812</v>
      </c>
      <c r="N234" s="28">
        <v>2812</v>
      </c>
      <c r="O234" s="28">
        <v>2812</v>
      </c>
      <c r="P234" s="28">
        <v>2812</v>
      </c>
      <c r="Q234" s="28">
        <v>2812</v>
      </c>
      <c r="R234" s="28">
        <v>2812</v>
      </c>
      <c r="S234" s="28">
        <v>2812</v>
      </c>
      <c r="T234" s="28">
        <v>2812</v>
      </c>
      <c r="U234" s="28">
        <v>2812</v>
      </c>
      <c r="V234" s="28">
        <v>2812</v>
      </c>
      <c r="W234" s="28">
        <v>2812</v>
      </c>
      <c r="X234" s="28">
        <v>2812</v>
      </c>
      <c r="Y234" s="40">
        <v>2812</v>
      </c>
      <c r="AA234" s="52">
        <v>2812</v>
      </c>
      <c r="AB234" s="116" t="s">
        <v>127</v>
      </c>
    </row>
    <row r="235" spans="2:29" ht="11.25">
      <c r="B235" s="39" t="s">
        <v>265</v>
      </c>
      <c r="C235" s="82" t="s">
        <v>81</v>
      </c>
      <c r="D235" s="83"/>
      <c r="E235" s="50" t="s">
        <v>54</v>
      </c>
      <c r="F235" s="28">
        <v>0</v>
      </c>
      <c r="G235" s="28">
        <v>0</v>
      </c>
      <c r="H235" s="28">
        <v>12.392853454507986</v>
      </c>
      <c r="I235" s="28">
        <v>24.785706909015857</v>
      </c>
      <c r="J235" s="28">
        <v>1450.2896714746348</v>
      </c>
      <c r="K235" s="28">
        <v>2208.888888888889</v>
      </c>
      <c r="L235" s="28">
        <v>2359.666666666667</v>
      </c>
      <c r="M235" s="28">
        <v>2510.444444444445</v>
      </c>
      <c r="N235" s="28">
        <v>2661.2222222222226</v>
      </c>
      <c r="O235" s="28">
        <v>2812</v>
      </c>
      <c r="P235" s="28">
        <v>2812</v>
      </c>
      <c r="Q235" s="28">
        <v>2812</v>
      </c>
      <c r="R235" s="28">
        <v>2812</v>
      </c>
      <c r="S235" s="28">
        <v>2812</v>
      </c>
      <c r="T235" s="28">
        <v>2812</v>
      </c>
      <c r="U235" s="28">
        <v>2812</v>
      </c>
      <c r="V235" s="28">
        <v>2812</v>
      </c>
      <c r="W235" s="28">
        <v>2812</v>
      </c>
      <c r="X235" s="28">
        <v>2812</v>
      </c>
      <c r="Y235" s="40">
        <v>2812</v>
      </c>
      <c r="AA235" s="52">
        <v>1455</v>
      </c>
      <c r="AB235" s="116" t="s">
        <v>127</v>
      </c>
      <c r="AC235" s="52">
        <v>1455</v>
      </c>
    </row>
    <row r="236" spans="2:28" ht="11.25">
      <c r="B236" s="39" t="s">
        <v>266</v>
      </c>
      <c r="C236" s="82" t="s">
        <v>65</v>
      </c>
      <c r="D236" s="83"/>
      <c r="E236" s="50" t="s">
        <v>119</v>
      </c>
      <c r="F236" s="28">
        <v>0</v>
      </c>
      <c r="G236" s="28">
        <v>0</v>
      </c>
      <c r="H236" s="28">
        <v>0</v>
      </c>
      <c r="I236" s="28">
        <v>0</v>
      </c>
      <c r="J236" s="28">
        <v>444.44444444444434</v>
      </c>
      <c r="K236" s="28">
        <v>355.55555555555543</v>
      </c>
      <c r="L236" s="28">
        <v>266.6666666666665</v>
      </c>
      <c r="M236" s="28">
        <v>177.77777777777763</v>
      </c>
      <c r="N236" s="28">
        <v>88.88888888888874</v>
      </c>
      <c r="O236" s="28">
        <v>0</v>
      </c>
      <c r="P236" s="28">
        <v>0</v>
      </c>
      <c r="Q236" s="28">
        <v>0</v>
      </c>
      <c r="R236" s="28">
        <v>0</v>
      </c>
      <c r="S236" s="28">
        <v>0</v>
      </c>
      <c r="T236" s="28">
        <v>0</v>
      </c>
      <c r="U236" s="28">
        <v>0</v>
      </c>
      <c r="V236" s="28">
        <v>0</v>
      </c>
      <c r="W236" s="28">
        <v>0</v>
      </c>
      <c r="X236" s="28">
        <v>0</v>
      </c>
      <c r="Y236" s="40">
        <v>0</v>
      </c>
      <c r="AA236" s="52">
        <v>800</v>
      </c>
      <c r="AB236" s="116" t="s">
        <v>127</v>
      </c>
    </row>
    <row r="237" spans="2:27" ht="11.25">
      <c r="B237" s="39" t="s">
        <v>267</v>
      </c>
      <c r="C237" s="82" t="s">
        <v>58</v>
      </c>
      <c r="D237" s="83"/>
      <c r="E237" s="50" t="s">
        <v>123</v>
      </c>
      <c r="F237" s="28">
        <v>0</v>
      </c>
      <c r="G237" s="28">
        <v>105.21739130434784</v>
      </c>
      <c r="H237" s="28">
        <v>1237.3913043478262</v>
      </c>
      <c r="I237" s="28">
        <v>806.1921739130433</v>
      </c>
      <c r="J237" s="28">
        <v>158.1991304347825</v>
      </c>
      <c r="K237" s="28">
        <v>0</v>
      </c>
      <c r="L237" s="31">
        <v>0</v>
      </c>
      <c r="M237" s="31">
        <v>0</v>
      </c>
      <c r="N237" s="31">
        <v>0</v>
      </c>
      <c r="O237" s="31">
        <v>0</v>
      </c>
      <c r="P237" s="31">
        <v>0</v>
      </c>
      <c r="Q237" s="31">
        <v>0</v>
      </c>
      <c r="R237" s="31">
        <v>0</v>
      </c>
      <c r="S237" s="31">
        <v>0</v>
      </c>
      <c r="T237" s="31">
        <v>0</v>
      </c>
      <c r="U237" s="31">
        <v>0</v>
      </c>
      <c r="V237" s="31">
        <v>0</v>
      </c>
      <c r="W237" s="31">
        <v>0</v>
      </c>
      <c r="X237" s="31">
        <v>0</v>
      </c>
      <c r="Y237" s="46">
        <v>0</v>
      </c>
      <c r="AA237" s="52">
        <v>2307</v>
      </c>
    </row>
    <row r="238" spans="2:27" ht="11.25">
      <c r="B238" s="39" t="s">
        <v>268</v>
      </c>
      <c r="C238" s="82" t="s">
        <v>24</v>
      </c>
      <c r="D238" s="83"/>
      <c r="E238" s="50" t="s">
        <v>123</v>
      </c>
      <c r="F238" s="28">
        <v>0</v>
      </c>
      <c r="G238" s="28">
        <v>15.782608695652176</v>
      </c>
      <c r="H238" s="28">
        <v>185.6086956521739</v>
      </c>
      <c r="I238" s="28">
        <v>120.9288260869565</v>
      </c>
      <c r="J238" s="28">
        <v>23.729869565217374</v>
      </c>
      <c r="K238" s="28">
        <v>0</v>
      </c>
      <c r="L238" s="28">
        <v>0</v>
      </c>
      <c r="M238" s="28">
        <v>0</v>
      </c>
      <c r="N238" s="28">
        <v>0</v>
      </c>
      <c r="O238" s="28">
        <v>0</v>
      </c>
      <c r="P238" s="28">
        <v>0</v>
      </c>
      <c r="Q238" s="28">
        <v>0</v>
      </c>
      <c r="R238" s="28">
        <v>0</v>
      </c>
      <c r="S238" s="28">
        <v>0</v>
      </c>
      <c r="T238" s="28">
        <v>0</v>
      </c>
      <c r="U238" s="28">
        <v>0</v>
      </c>
      <c r="V238" s="31">
        <v>0</v>
      </c>
      <c r="W238" s="31">
        <v>0</v>
      </c>
      <c r="X238" s="31">
        <v>0</v>
      </c>
      <c r="Y238" s="46">
        <v>0</v>
      </c>
      <c r="AA238" s="54">
        <f>+AA237*'Assumptions and Basic Info'!$C$4</f>
        <v>2307</v>
      </c>
    </row>
    <row r="239" spans="2:27" ht="11.25">
      <c r="B239" s="39" t="s">
        <v>269</v>
      </c>
      <c r="C239" s="82" t="s">
        <v>83</v>
      </c>
      <c r="D239" s="83"/>
      <c r="E239" s="50" t="s">
        <v>123</v>
      </c>
      <c r="F239" s="28">
        <v>0</v>
      </c>
      <c r="G239" s="28">
        <v>118.28528322599999</v>
      </c>
      <c r="H239" s="28">
        <v>69.06175366890997</v>
      </c>
      <c r="I239" s="28">
        <v>45.48194733109002</v>
      </c>
      <c r="J239" s="28">
        <v>9.613632225999993</v>
      </c>
      <c r="K239" s="28">
        <v>0</v>
      </c>
      <c r="L239" s="28">
        <v>0</v>
      </c>
      <c r="M239" s="28">
        <v>0</v>
      </c>
      <c r="N239" s="28">
        <v>0</v>
      </c>
      <c r="O239" s="28">
        <v>0</v>
      </c>
      <c r="P239" s="28">
        <v>0</v>
      </c>
      <c r="Q239" s="28">
        <v>0</v>
      </c>
      <c r="R239" s="28">
        <v>0</v>
      </c>
      <c r="S239" s="28">
        <v>0</v>
      </c>
      <c r="T239" s="28">
        <v>0</v>
      </c>
      <c r="U239" s="28">
        <v>0</v>
      </c>
      <c r="V239" s="31">
        <v>0</v>
      </c>
      <c r="W239" s="31">
        <v>0</v>
      </c>
      <c r="X239" s="31">
        <v>0</v>
      </c>
      <c r="Y239" s="46">
        <v>0</v>
      </c>
      <c r="AA239" s="54">
        <v>242.44261645199998</v>
      </c>
    </row>
    <row r="240" spans="2:27" ht="11.25">
      <c r="B240" s="39" t="s">
        <v>270</v>
      </c>
      <c r="C240" s="82" t="s">
        <v>82</v>
      </c>
      <c r="D240" s="83"/>
      <c r="E240" s="50" t="s">
        <v>123</v>
      </c>
      <c r="F240" s="28">
        <v>0</v>
      </c>
      <c r="G240" s="28">
        <v>0</v>
      </c>
      <c r="H240" s="28">
        <v>4.785705664520001</v>
      </c>
      <c r="I240" s="28">
        <v>35.9361758112764</v>
      </c>
      <c r="J240" s="28">
        <v>55.3882347578982</v>
      </c>
      <c r="K240" s="28">
        <v>59.2190874024182</v>
      </c>
      <c r="L240" s="28">
        <v>59.2190874024182</v>
      </c>
      <c r="M240" s="28">
        <v>59.2190874024182</v>
      </c>
      <c r="N240" s="28">
        <v>59.2190874024182</v>
      </c>
      <c r="O240" s="28">
        <v>59.2190874024182</v>
      </c>
      <c r="P240" s="28">
        <v>59.2190874024182</v>
      </c>
      <c r="Q240" s="28">
        <v>59.2190874024182</v>
      </c>
      <c r="R240" s="28">
        <v>59.2190874024182</v>
      </c>
      <c r="S240" s="28">
        <v>59.2190874024182</v>
      </c>
      <c r="T240" s="28">
        <v>59.2190874024182</v>
      </c>
      <c r="U240" s="28">
        <v>59.2190874024182</v>
      </c>
      <c r="V240" s="28">
        <v>59.2190874024182</v>
      </c>
      <c r="W240" s="28">
        <v>59.2190874024182</v>
      </c>
      <c r="X240" s="28">
        <v>59.2190874024182</v>
      </c>
      <c r="Y240" s="40">
        <v>59.2190874024182</v>
      </c>
      <c r="AA240" s="52"/>
    </row>
    <row r="241" spans="2:27" ht="11.25">
      <c r="B241" s="39" t="s">
        <v>625</v>
      </c>
      <c r="C241" s="82" t="s">
        <v>578</v>
      </c>
      <c r="D241" s="83"/>
      <c r="E241" s="50" t="s">
        <v>118</v>
      </c>
      <c r="F241" s="28">
        <v>0</v>
      </c>
      <c r="G241" s="28">
        <v>109.78</v>
      </c>
      <c r="H241" s="28">
        <v>0</v>
      </c>
      <c r="I241" s="28">
        <v>0</v>
      </c>
      <c r="J241" s="28">
        <v>0</v>
      </c>
      <c r="K241" s="28">
        <v>0</v>
      </c>
      <c r="L241" s="28">
        <v>0</v>
      </c>
      <c r="M241" s="28">
        <v>0</v>
      </c>
      <c r="N241" s="28">
        <v>0</v>
      </c>
      <c r="O241" s="28">
        <v>0</v>
      </c>
      <c r="P241" s="28">
        <v>0</v>
      </c>
      <c r="Q241" s="28">
        <v>0</v>
      </c>
      <c r="R241" s="28">
        <v>0</v>
      </c>
      <c r="S241" s="28">
        <v>0</v>
      </c>
      <c r="T241" s="28">
        <v>0</v>
      </c>
      <c r="U241" s="28">
        <v>0</v>
      </c>
      <c r="V241" s="28">
        <v>0</v>
      </c>
      <c r="W241" s="28">
        <v>0</v>
      </c>
      <c r="X241" s="28">
        <v>0</v>
      </c>
      <c r="Y241" s="40">
        <v>0</v>
      </c>
      <c r="AA241" s="52">
        <v>109.78</v>
      </c>
    </row>
    <row r="242" spans="2:27" ht="11.25">
      <c r="B242" s="39" t="s">
        <v>713</v>
      </c>
      <c r="C242" s="82" t="s">
        <v>691</v>
      </c>
      <c r="D242" s="83"/>
      <c r="E242" s="50" t="s">
        <v>118</v>
      </c>
      <c r="F242" s="28">
        <v>0</v>
      </c>
      <c r="G242" s="28">
        <v>0</v>
      </c>
      <c r="H242" s="28">
        <v>0.21067850872663435</v>
      </c>
      <c r="I242" s="28">
        <v>0.21067850872663435</v>
      </c>
      <c r="J242" s="28">
        <v>13.980678508726633</v>
      </c>
      <c r="K242" s="28">
        <v>10.332964473820097</v>
      </c>
      <c r="L242" s="28">
        <v>0</v>
      </c>
      <c r="M242" s="28">
        <v>0</v>
      </c>
      <c r="N242" s="28">
        <v>0</v>
      </c>
      <c r="O242" s="28">
        <v>0</v>
      </c>
      <c r="P242" s="28">
        <v>0</v>
      </c>
      <c r="Q242" s="28">
        <v>0</v>
      </c>
      <c r="R242" s="28">
        <v>0</v>
      </c>
      <c r="S242" s="28">
        <v>0</v>
      </c>
      <c r="T242" s="28">
        <v>0</v>
      </c>
      <c r="U242" s="28">
        <v>0</v>
      </c>
      <c r="V242" s="28">
        <v>0</v>
      </c>
      <c r="W242" s="28">
        <v>0</v>
      </c>
      <c r="X242" s="28">
        <v>0</v>
      </c>
      <c r="Y242" s="40">
        <v>0</v>
      </c>
      <c r="AA242" s="52"/>
    </row>
    <row r="243" spans="2:27" ht="11.25">
      <c r="B243" s="39" t="s">
        <v>271</v>
      </c>
      <c r="C243" s="82" t="s">
        <v>714</v>
      </c>
      <c r="D243" s="83"/>
      <c r="E243" s="50" t="s">
        <v>123</v>
      </c>
      <c r="F243" s="28">
        <v>0</v>
      </c>
      <c r="G243" s="28">
        <v>349.065283226</v>
      </c>
      <c r="H243" s="28">
        <v>1497.0581378421568</v>
      </c>
      <c r="I243" s="28">
        <v>1008.749801651093</v>
      </c>
      <c r="J243" s="28">
        <v>260.91154549262467</v>
      </c>
      <c r="K243" s="28">
        <v>69.5520518762383</v>
      </c>
      <c r="L243" s="28">
        <v>59.2190874024182</v>
      </c>
      <c r="M243" s="28">
        <v>59.2190874024182</v>
      </c>
      <c r="N243" s="28">
        <v>59.2190874024182</v>
      </c>
      <c r="O243" s="28">
        <v>59.2190874024182</v>
      </c>
      <c r="P243" s="28">
        <v>59.2190874024182</v>
      </c>
      <c r="Q243" s="28">
        <v>59.2190874024182</v>
      </c>
      <c r="R243" s="28">
        <v>59.2190874024182</v>
      </c>
      <c r="S243" s="28">
        <v>59.2190874024182</v>
      </c>
      <c r="T243" s="28">
        <v>59.2190874024182</v>
      </c>
      <c r="U243" s="28">
        <v>59.2190874024182</v>
      </c>
      <c r="V243" s="28">
        <v>59.2190874024182</v>
      </c>
      <c r="W243" s="28">
        <v>59.2190874024182</v>
      </c>
      <c r="X243" s="28">
        <v>59.2190874024182</v>
      </c>
      <c r="Y243" s="40">
        <v>59.2190874024182</v>
      </c>
      <c r="AA243" s="52">
        <f>+AA237+AA238+AA239</f>
        <v>4856.442616452</v>
      </c>
    </row>
    <row r="244" spans="2:27" ht="11.25">
      <c r="B244" s="39" t="s">
        <v>272</v>
      </c>
      <c r="C244" s="82" t="s">
        <v>128</v>
      </c>
      <c r="D244" s="83"/>
      <c r="E244" s="50" t="s">
        <v>123</v>
      </c>
      <c r="F244" s="28">
        <v>0</v>
      </c>
      <c r="G244" s="28">
        <v>0</v>
      </c>
      <c r="H244" s="28">
        <v>3.6367458265176094</v>
      </c>
      <c r="I244" s="28">
        <v>9.858475662123313</v>
      </c>
      <c r="J244" s="28">
        <v>703.6963571850804</v>
      </c>
      <c r="K244" s="28">
        <v>1168.213938950556</v>
      </c>
      <c r="L244" s="28">
        <v>1582.5953405443497</v>
      </c>
      <c r="M244" s="28">
        <v>1834.0061216961672</v>
      </c>
      <c r="N244" s="28">
        <v>1963.6376041659898</v>
      </c>
      <c r="O244" s="28">
        <v>2084.5102471542104</v>
      </c>
      <c r="P244" s="28">
        <v>2085.407561789117</v>
      </c>
      <c r="Q244" s="28">
        <v>2085.407561789117</v>
      </c>
      <c r="R244" s="28">
        <v>2085.407561789117</v>
      </c>
      <c r="S244" s="28">
        <v>2085.407561789117</v>
      </c>
      <c r="T244" s="28">
        <v>2085.407561789117</v>
      </c>
      <c r="U244" s="28">
        <v>2085.407561789117</v>
      </c>
      <c r="V244" s="28">
        <v>2085.407561789117</v>
      </c>
      <c r="W244" s="28">
        <v>2085.407561789117</v>
      </c>
      <c r="X244" s="28">
        <v>2085.407561789117</v>
      </c>
      <c r="Y244" s="40">
        <v>2085.407561789117</v>
      </c>
      <c r="AA244" s="52"/>
    </row>
    <row r="245" spans="2:27" ht="11.25">
      <c r="B245" s="39" t="s">
        <v>273</v>
      </c>
      <c r="C245" s="82" t="s">
        <v>63</v>
      </c>
      <c r="D245" s="83"/>
      <c r="E245" s="50" t="s">
        <v>123</v>
      </c>
      <c r="F245" s="28">
        <v>0</v>
      </c>
      <c r="G245" s="28">
        <v>0</v>
      </c>
      <c r="H245" s="28">
        <v>0</v>
      </c>
      <c r="I245" s="28">
        <v>0</v>
      </c>
      <c r="J245" s="28">
        <v>18.755555555555553</v>
      </c>
      <c r="K245" s="28">
        <v>15.00444444444444</v>
      </c>
      <c r="L245" s="28">
        <v>11.253333333333329</v>
      </c>
      <c r="M245" s="28">
        <v>7.502222222222216</v>
      </c>
      <c r="N245" s="28">
        <v>3.7511111111111055</v>
      </c>
      <c r="O245" s="28">
        <v>0</v>
      </c>
      <c r="P245" s="28">
        <v>0</v>
      </c>
      <c r="Q245" s="28">
        <v>0</v>
      </c>
      <c r="R245" s="28">
        <v>0</v>
      </c>
      <c r="S245" s="28">
        <v>0</v>
      </c>
      <c r="T245" s="28">
        <v>0</v>
      </c>
      <c r="U245" s="28">
        <v>0</v>
      </c>
      <c r="V245" s="28">
        <v>0</v>
      </c>
      <c r="W245" s="28">
        <v>0</v>
      </c>
      <c r="X245" s="28">
        <v>0</v>
      </c>
      <c r="Y245" s="40">
        <v>0</v>
      </c>
      <c r="AA245" s="52"/>
    </row>
    <row r="246" spans="2:27" ht="11.25">
      <c r="B246" s="39" t="s">
        <v>274</v>
      </c>
      <c r="C246" s="82" t="s">
        <v>275</v>
      </c>
      <c r="D246" s="83"/>
      <c r="E246" s="50" t="s">
        <v>123</v>
      </c>
      <c r="F246" s="28">
        <v>0</v>
      </c>
      <c r="G246" s="28">
        <v>0</v>
      </c>
      <c r="H246" s="28">
        <v>3.6367458265176094</v>
      </c>
      <c r="I246" s="28">
        <v>9.858475662123313</v>
      </c>
      <c r="J246" s="28">
        <v>722.451912740636</v>
      </c>
      <c r="K246" s="28">
        <v>1183.2183833950005</v>
      </c>
      <c r="L246" s="28">
        <v>1593.848673877683</v>
      </c>
      <c r="M246" s="28">
        <v>1841.5083439183893</v>
      </c>
      <c r="N246" s="28">
        <v>1967.388715277101</v>
      </c>
      <c r="O246" s="28">
        <v>2084.5102471542104</v>
      </c>
      <c r="P246" s="28">
        <v>2085.407561789117</v>
      </c>
      <c r="Q246" s="28">
        <v>2085.407561789117</v>
      </c>
      <c r="R246" s="28">
        <v>2085.407561789117</v>
      </c>
      <c r="S246" s="28">
        <v>2085.407561789117</v>
      </c>
      <c r="T246" s="28">
        <v>2085.407561789117</v>
      </c>
      <c r="U246" s="28">
        <v>2085.407561789117</v>
      </c>
      <c r="V246" s="28">
        <v>2085.407561789117</v>
      </c>
      <c r="W246" s="28">
        <v>2085.407561789117</v>
      </c>
      <c r="X246" s="28">
        <v>2085.407561789117</v>
      </c>
      <c r="Y246" s="40">
        <v>2085.407561789117</v>
      </c>
      <c r="AA246" s="52"/>
    </row>
    <row r="247" spans="2:27" ht="11.25">
      <c r="B247" s="39" t="s">
        <v>276</v>
      </c>
      <c r="C247" s="82" t="s">
        <v>277</v>
      </c>
      <c r="D247" s="83"/>
      <c r="E247" s="50" t="s">
        <v>123</v>
      </c>
      <c r="F247" s="28">
        <v>0</v>
      </c>
      <c r="G247" s="28">
        <v>-349.065283226</v>
      </c>
      <c r="H247" s="28">
        <v>-1493.4213920156392</v>
      </c>
      <c r="I247" s="28">
        <v>-998.8913259889697</v>
      </c>
      <c r="J247" s="28">
        <v>461.5403672480113</v>
      </c>
      <c r="K247" s="28">
        <v>1113.6663315187623</v>
      </c>
      <c r="L247" s="28">
        <v>1534.629586475265</v>
      </c>
      <c r="M247" s="28">
        <v>1782.2892565159711</v>
      </c>
      <c r="N247" s="28">
        <v>1908.1696278746829</v>
      </c>
      <c r="O247" s="28">
        <v>2025.2911597517923</v>
      </c>
      <c r="P247" s="28">
        <v>2026.188474386699</v>
      </c>
      <c r="Q247" s="28">
        <v>2026.188474386699</v>
      </c>
      <c r="R247" s="28">
        <v>2026.188474386699</v>
      </c>
      <c r="S247" s="28">
        <v>2026.188474386699</v>
      </c>
      <c r="T247" s="28">
        <v>2026.188474386699</v>
      </c>
      <c r="U247" s="28">
        <v>2026.188474386699</v>
      </c>
      <c r="V247" s="28">
        <v>2026.188474386699</v>
      </c>
      <c r="W247" s="28">
        <v>2026.188474386699</v>
      </c>
      <c r="X247" s="28">
        <v>2026.188474386699</v>
      </c>
      <c r="Y247" s="40">
        <v>2026.188474386699</v>
      </c>
      <c r="AA247" s="52"/>
    </row>
    <row r="248" spans="2:27" ht="11.25">
      <c r="B248" s="114" t="s">
        <v>278</v>
      </c>
      <c r="C248" s="91" t="s">
        <v>121</v>
      </c>
      <c r="D248" s="78">
        <f>+AA243</f>
        <v>4856.442616452</v>
      </c>
      <c r="E248" s="94"/>
      <c r="F248" s="73"/>
      <c r="G248" s="73"/>
      <c r="H248" s="73"/>
      <c r="I248" s="73"/>
      <c r="J248" s="73"/>
      <c r="K248" s="73"/>
      <c r="L248" s="73"/>
      <c r="M248" s="73"/>
      <c r="N248" s="73"/>
      <c r="O248" s="73"/>
      <c r="P248" s="73"/>
      <c r="Q248" s="73"/>
      <c r="R248" s="73"/>
      <c r="S248" s="73"/>
      <c r="T248" s="73"/>
      <c r="U248" s="73"/>
      <c r="V248" s="73"/>
      <c r="W248" s="73"/>
      <c r="X248" s="73"/>
      <c r="Y248" s="74"/>
      <c r="AA248" s="52"/>
    </row>
    <row r="249" spans="2:27" ht="11.25">
      <c r="B249" s="90" t="s">
        <v>279</v>
      </c>
      <c r="C249" s="92" t="s">
        <v>596</v>
      </c>
      <c r="D249" s="113">
        <f>+AA241</f>
        <v>109.78</v>
      </c>
      <c r="E249" s="95"/>
      <c r="F249" s="54"/>
      <c r="G249" s="54"/>
      <c r="H249" s="54"/>
      <c r="I249" s="54"/>
      <c r="J249" s="54"/>
      <c r="K249" s="54"/>
      <c r="L249" s="54"/>
      <c r="M249" s="54"/>
      <c r="N249" s="54"/>
      <c r="O249" s="54"/>
      <c r="P249" s="54"/>
      <c r="Q249" s="54"/>
      <c r="R249" s="54"/>
      <c r="S249" s="54"/>
      <c r="T249" s="54"/>
      <c r="U249" s="54"/>
      <c r="V249" s="54"/>
      <c r="W249" s="54"/>
      <c r="X249" s="54"/>
      <c r="Y249" s="75"/>
      <c r="AA249" s="52"/>
    </row>
    <row r="250" spans="2:27" ht="11.25">
      <c r="B250" s="90" t="s">
        <v>280</v>
      </c>
      <c r="C250" s="92" t="s">
        <v>57</v>
      </c>
      <c r="D250" s="79">
        <f>+IRR(F247:Y247)</f>
        <v>0.3583965347256483</v>
      </c>
      <c r="E250" s="95"/>
      <c r="F250" s="88"/>
      <c r="G250" s="54"/>
      <c r="H250" s="54"/>
      <c r="I250" s="54"/>
      <c r="J250" s="54"/>
      <c r="K250" s="54"/>
      <c r="L250" s="54"/>
      <c r="M250" s="54"/>
      <c r="N250" s="54"/>
      <c r="O250" s="54"/>
      <c r="P250" s="54"/>
      <c r="Q250" s="54"/>
      <c r="R250" s="54"/>
      <c r="S250" s="54"/>
      <c r="T250" s="54"/>
      <c r="U250" s="54"/>
      <c r="V250" s="54"/>
      <c r="W250" s="54"/>
      <c r="X250" s="54"/>
      <c r="Y250" s="75"/>
      <c r="AA250" s="52"/>
    </row>
    <row r="251" spans="2:27" ht="12" thickBot="1">
      <c r="B251" s="122" t="s">
        <v>626</v>
      </c>
      <c r="C251" s="102" t="s">
        <v>120</v>
      </c>
      <c r="D251" s="103">
        <f>+NPV('Assumptions and Basic Info'!$C$20,F247:Y247)</f>
        <v>6831.5263176327835</v>
      </c>
      <c r="E251" s="108"/>
      <c r="F251" s="105"/>
      <c r="G251" s="128"/>
      <c r="H251" s="105"/>
      <c r="I251" s="105"/>
      <c r="J251" s="105"/>
      <c r="K251" s="105"/>
      <c r="L251" s="105"/>
      <c r="M251" s="105"/>
      <c r="N251" s="105"/>
      <c r="O251" s="105"/>
      <c r="P251" s="105"/>
      <c r="Q251" s="105"/>
      <c r="R251" s="105"/>
      <c r="S251" s="105"/>
      <c r="T251" s="105"/>
      <c r="U251" s="105"/>
      <c r="V251" s="105"/>
      <c r="W251" s="105"/>
      <c r="X251" s="105"/>
      <c r="Y251" s="106"/>
      <c r="AA251" s="52"/>
    </row>
    <row r="252" spans="2:27" ht="11.25">
      <c r="B252" s="44" t="s">
        <v>282</v>
      </c>
      <c r="C252" s="23" t="s">
        <v>298</v>
      </c>
      <c r="D252" s="23"/>
      <c r="E252" s="51"/>
      <c r="F252" s="24"/>
      <c r="G252" s="24"/>
      <c r="H252" s="24"/>
      <c r="I252" s="24"/>
      <c r="J252" s="24"/>
      <c r="K252" s="24"/>
      <c r="L252" s="24"/>
      <c r="M252" s="24"/>
      <c r="N252" s="24"/>
      <c r="O252" s="24"/>
      <c r="P252" s="24"/>
      <c r="Q252" s="24"/>
      <c r="R252" s="24"/>
      <c r="S252" s="24"/>
      <c r="T252" s="24"/>
      <c r="U252" s="24"/>
      <c r="V252" s="24"/>
      <c r="W252" s="24"/>
      <c r="X252" s="24"/>
      <c r="Y252" s="45"/>
      <c r="AA252" s="52"/>
    </row>
    <row r="253" spans="2:27" ht="11.25">
      <c r="B253" s="37" t="s">
        <v>283</v>
      </c>
      <c r="C253" s="80" t="s">
        <v>124</v>
      </c>
      <c r="D253" s="81"/>
      <c r="E253" s="49" t="s">
        <v>54</v>
      </c>
      <c r="F253" s="27">
        <v>302</v>
      </c>
      <c r="G253" s="27">
        <v>302</v>
      </c>
      <c r="H253" s="27">
        <v>302</v>
      </c>
      <c r="I253" s="27">
        <v>302</v>
      </c>
      <c r="J253" s="27">
        <v>302</v>
      </c>
      <c r="K253" s="27">
        <v>302</v>
      </c>
      <c r="L253" s="27">
        <v>302</v>
      </c>
      <c r="M253" s="27">
        <v>302</v>
      </c>
      <c r="N253" s="27">
        <v>302</v>
      </c>
      <c r="O253" s="27">
        <v>302</v>
      </c>
      <c r="P253" s="27">
        <v>302</v>
      </c>
      <c r="Q253" s="27">
        <v>302</v>
      </c>
      <c r="R253" s="27">
        <v>302</v>
      </c>
      <c r="S253" s="27">
        <v>302</v>
      </c>
      <c r="T253" s="27">
        <v>302</v>
      </c>
      <c r="U253" s="27">
        <v>302</v>
      </c>
      <c r="V253" s="27">
        <v>302</v>
      </c>
      <c r="W253" s="27">
        <v>302</v>
      </c>
      <c r="X253" s="27">
        <v>302</v>
      </c>
      <c r="Y253" s="38">
        <v>302</v>
      </c>
      <c r="AA253" s="52">
        <v>302</v>
      </c>
    </row>
    <row r="254" spans="2:27" ht="11.25">
      <c r="B254" s="39" t="s">
        <v>284</v>
      </c>
      <c r="C254" s="82" t="s">
        <v>125</v>
      </c>
      <c r="D254" s="83"/>
      <c r="E254" s="50" t="s">
        <v>54</v>
      </c>
      <c r="F254" s="28">
        <v>302</v>
      </c>
      <c r="G254" s="28">
        <v>302</v>
      </c>
      <c r="H254" s="28">
        <v>310.24476650563605</v>
      </c>
      <c r="I254" s="28">
        <v>318.48953301127216</v>
      </c>
      <c r="J254" s="28">
        <v>326.7342995169082</v>
      </c>
      <c r="K254" s="28">
        <v>1400</v>
      </c>
      <c r="L254" s="28">
        <v>1400</v>
      </c>
      <c r="M254" s="28">
        <v>1400</v>
      </c>
      <c r="N254" s="28">
        <v>1400</v>
      </c>
      <c r="O254" s="28">
        <v>1400</v>
      </c>
      <c r="P254" s="28">
        <v>1400</v>
      </c>
      <c r="Q254" s="28">
        <v>1400</v>
      </c>
      <c r="R254" s="28">
        <v>1400</v>
      </c>
      <c r="S254" s="28">
        <v>1400</v>
      </c>
      <c r="T254" s="28">
        <v>1400</v>
      </c>
      <c r="U254" s="28">
        <v>1400</v>
      </c>
      <c r="V254" s="28">
        <v>1400</v>
      </c>
      <c r="W254" s="28">
        <v>1400</v>
      </c>
      <c r="X254" s="28">
        <v>1400</v>
      </c>
      <c r="Y254" s="40">
        <v>1400</v>
      </c>
      <c r="AA254" s="52">
        <v>1400</v>
      </c>
    </row>
    <row r="255" spans="2:28" ht="11.25">
      <c r="B255" s="39" t="s">
        <v>285</v>
      </c>
      <c r="C255" s="82" t="s">
        <v>81</v>
      </c>
      <c r="D255" s="83"/>
      <c r="E255" s="50" t="s">
        <v>54</v>
      </c>
      <c r="F255" s="28">
        <v>0</v>
      </c>
      <c r="G255" s="28">
        <v>0</v>
      </c>
      <c r="H255" s="28">
        <v>8.24476650563605</v>
      </c>
      <c r="I255" s="28">
        <v>16.489533011272158</v>
      </c>
      <c r="J255" s="28">
        <v>24.73429951690821</v>
      </c>
      <c r="K255" s="28">
        <v>1098</v>
      </c>
      <c r="L255" s="28">
        <v>1098</v>
      </c>
      <c r="M255" s="28">
        <v>1098</v>
      </c>
      <c r="N255" s="28">
        <v>1098</v>
      </c>
      <c r="O255" s="28">
        <v>1098</v>
      </c>
      <c r="P255" s="28">
        <v>1098</v>
      </c>
      <c r="Q255" s="28">
        <v>1098</v>
      </c>
      <c r="R255" s="28">
        <v>1098</v>
      </c>
      <c r="S255" s="28">
        <v>1098</v>
      </c>
      <c r="T255" s="28">
        <v>1098</v>
      </c>
      <c r="U255" s="28">
        <v>1098</v>
      </c>
      <c r="V255" s="28">
        <v>1098</v>
      </c>
      <c r="W255" s="28">
        <v>1098</v>
      </c>
      <c r="X255" s="28">
        <v>1098</v>
      </c>
      <c r="Y255" s="40">
        <v>1098</v>
      </c>
      <c r="AA255" s="52">
        <v>1098</v>
      </c>
      <c r="AB255" s="52">
        <v>1098</v>
      </c>
    </row>
    <row r="256" spans="2:27" ht="11.25">
      <c r="B256" s="39" t="s">
        <v>286</v>
      </c>
      <c r="C256" s="82" t="s">
        <v>58</v>
      </c>
      <c r="D256" s="83"/>
      <c r="E256" s="50" t="s">
        <v>123</v>
      </c>
      <c r="F256" s="28">
        <v>0</v>
      </c>
      <c r="G256" s="28">
        <v>13.913043478260871</v>
      </c>
      <c r="H256" s="28">
        <v>437.80614280015925</v>
      </c>
      <c r="I256" s="28">
        <v>859.1304347826087</v>
      </c>
      <c r="J256" s="28">
        <v>223.56521739130434</v>
      </c>
      <c r="K256" s="28">
        <v>0</v>
      </c>
      <c r="L256" s="31">
        <v>0</v>
      </c>
      <c r="M256" s="31">
        <v>0</v>
      </c>
      <c r="N256" s="31">
        <v>0</v>
      </c>
      <c r="O256" s="31">
        <v>0</v>
      </c>
      <c r="P256" s="31">
        <v>0</v>
      </c>
      <c r="Q256" s="31">
        <v>0</v>
      </c>
      <c r="R256" s="31">
        <v>0</v>
      </c>
      <c r="S256" s="31">
        <v>0</v>
      </c>
      <c r="T256" s="31">
        <v>0</v>
      </c>
      <c r="U256" s="31">
        <v>0</v>
      </c>
      <c r="V256" s="31">
        <v>0</v>
      </c>
      <c r="W256" s="31">
        <v>0</v>
      </c>
      <c r="X256" s="31">
        <v>0</v>
      </c>
      <c r="Y256" s="46">
        <v>0</v>
      </c>
      <c r="AA256" s="52">
        <v>1534.4148384523332</v>
      </c>
    </row>
    <row r="257" spans="2:27" ht="11.25">
      <c r="B257" s="39" t="s">
        <v>287</v>
      </c>
      <c r="C257" s="82" t="s">
        <v>24</v>
      </c>
      <c r="D257" s="83"/>
      <c r="E257" s="50" t="s">
        <v>123</v>
      </c>
      <c r="F257" s="28">
        <v>0</v>
      </c>
      <c r="G257" s="28">
        <v>2.0869565217391304</v>
      </c>
      <c r="H257" s="28">
        <v>65.67092142002389</v>
      </c>
      <c r="I257" s="28">
        <v>128.8695652173913</v>
      </c>
      <c r="J257" s="28">
        <v>33.53478260869565</v>
      </c>
      <c r="K257" s="28">
        <v>0</v>
      </c>
      <c r="L257" s="28">
        <v>0</v>
      </c>
      <c r="M257" s="28">
        <v>0</v>
      </c>
      <c r="N257" s="28">
        <v>0</v>
      </c>
      <c r="O257" s="28">
        <v>0</v>
      </c>
      <c r="P257" s="28">
        <v>0</v>
      </c>
      <c r="Q257" s="28">
        <v>0</v>
      </c>
      <c r="R257" s="28">
        <v>0</v>
      </c>
      <c r="S257" s="28">
        <v>0</v>
      </c>
      <c r="T257" s="28">
        <v>0</v>
      </c>
      <c r="U257" s="28">
        <v>0</v>
      </c>
      <c r="V257" s="31">
        <v>0</v>
      </c>
      <c r="W257" s="31">
        <v>0</v>
      </c>
      <c r="X257" s="31">
        <v>0</v>
      </c>
      <c r="Y257" s="46">
        <v>0</v>
      </c>
      <c r="AA257" s="54">
        <f>+AA256*'Assumptions and Basic Info'!$C$4</f>
        <v>1534.4148384523332</v>
      </c>
    </row>
    <row r="258" spans="2:27" ht="11.25">
      <c r="B258" s="39" t="s">
        <v>288</v>
      </c>
      <c r="C258" s="82" t="s">
        <v>83</v>
      </c>
      <c r="D258" s="83"/>
      <c r="E258" s="50" t="s">
        <v>123</v>
      </c>
      <c r="F258" s="28">
        <v>0</v>
      </c>
      <c r="G258" s="28">
        <v>1.44</v>
      </c>
      <c r="H258" s="28">
        <v>45.312935779816485</v>
      </c>
      <c r="I258" s="28">
        <v>88.92</v>
      </c>
      <c r="J258" s="28">
        <v>23.138999999999996</v>
      </c>
      <c r="K258" s="28">
        <v>0</v>
      </c>
      <c r="L258" s="28">
        <v>0</v>
      </c>
      <c r="M258" s="28">
        <v>0</v>
      </c>
      <c r="N258" s="28">
        <v>0</v>
      </c>
      <c r="O258" s="28">
        <v>0</v>
      </c>
      <c r="P258" s="28">
        <v>0</v>
      </c>
      <c r="Q258" s="28">
        <v>0</v>
      </c>
      <c r="R258" s="28">
        <v>0</v>
      </c>
      <c r="S258" s="28">
        <v>0</v>
      </c>
      <c r="T258" s="28">
        <v>0</v>
      </c>
      <c r="U258" s="28">
        <v>0</v>
      </c>
      <c r="V258" s="31">
        <v>0</v>
      </c>
      <c r="W258" s="31">
        <v>0</v>
      </c>
      <c r="X258" s="31">
        <v>0</v>
      </c>
      <c r="Y258" s="46">
        <v>0</v>
      </c>
      <c r="AA258" s="54">
        <v>158.81193577981648</v>
      </c>
    </row>
    <row r="259" spans="2:27" ht="11.25">
      <c r="B259" s="39" t="s">
        <v>289</v>
      </c>
      <c r="C259" s="82" t="s">
        <v>82</v>
      </c>
      <c r="D259" s="83"/>
      <c r="E259" s="50" t="s">
        <v>123</v>
      </c>
      <c r="F259" s="28">
        <v>0</v>
      </c>
      <c r="G259" s="28">
        <v>0</v>
      </c>
      <c r="H259" s="28">
        <v>0.34880000000000005</v>
      </c>
      <c r="I259" s="28">
        <v>11.324599999999993</v>
      </c>
      <c r="J259" s="28">
        <v>32.86299999999999</v>
      </c>
      <c r="K259" s="28">
        <v>38.46777999999999</v>
      </c>
      <c r="L259" s="28">
        <v>38.46777999999999</v>
      </c>
      <c r="M259" s="28">
        <v>38.46777999999999</v>
      </c>
      <c r="N259" s="28">
        <v>38.46777999999999</v>
      </c>
      <c r="O259" s="28">
        <v>38.46777999999999</v>
      </c>
      <c r="P259" s="28">
        <v>38.46777999999999</v>
      </c>
      <c r="Q259" s="28">
        <v>38.46777999999999</v>
      </c>
      <c r="R259" s="28">
        <v>38.46777999999999</v>
      </c>
      <c r="S259" s="28">
        <v>38.46777999999999</v>
      </c>
      <c r="T259" s="28">
        <v>38.46777999999999</v>
      </c>
      <c r="U259" s="28">
        <v>38.46777999999999</v>
      </c>
      <c r="V259" s="28">
        <v>38.46777999999999</v>
      </c>
      <c r="W259" s="28">
        <v>38.46777999999999</v>
      </c>
      <c r="X259" s="28">
        <v>38.46777999999999</v>
      </c>
      <c r="Y259" s="40">
        <v>38.46777999999999</v>
      </c>
      <c r="AA259" s="52"/>
    </row>
    <row r="260" spans="2:27" ht="11.25">
      <c r="B260" s="39" t="s">
        <v>604</v>
      </c>
      <c r="C260" s="82" t="s">
        <v>578</v>
      </c>
      <c r="D260" s="83"/>
      <c r="E260" s="50" t="s">
        <v>118</v>
      </c>
      <c r="F260" s="28">
        <v>0</v>
      </c>
      <c r="G260" s="28">
        <v>0</v>
      </c>
      <c r="H260" s="28">
        <v>109.78</v>
      </c>
      <c r="I260" s="28">
        <v>0</v>
      </c>
      <c r="J260" s="28">
        <v>0</v>
      </c>
      <c r="K260" s="28">
        <v>0</v>
      </c>
      <c r="L260" s="28">
        <v>0</v>
      </c>
      <c r="M260" s="28">
        <v>0</v>
      </c>
      <c r="N260" s="28">
        <v>0</v>
      </c>
      <c r="O260" s="28">
        <v>0</v>
      </c>
      <c r="P260" s="28">
        <v>0</v>
      </c>
      <c r="Q260" s="28">
        <v>0</v>
      </c>
      <c r="R260" s="28">
        <v>0</v>
      </c>
      <c r="S260" s="28">
        <v>0</v>
      </c>
      <c r="T260" s="28">
        <v>0</v>
      </c>
      <c r="U260" s="28">
        <v>0</v>
      </c>
      <c r="V260" s="28">
        <v>0</v>
      </c>
      <c r="W260" s="28">
        <v>0</v>
      </c>
      <c r="X260" s="28">
        <v>0</v>
      </c>
      <c r="Y260" s="40">
        <v>0</v>
      </c>
      <c r="AA260" s="52">
        <v>109.78</v>
      </c>
    </row>
    <row r="261" spans="2:27" ht="11.25">
      <c r="B261" s="39" t="s">
        <v>715</v>
      </c>
      <c r="C261" s="82" t="s">
        <v>691</v>
      </c>
      <c r="D261" s="83"/>
      <c r="E261" s="50" t="s">
        <v>118</v>
      </c>
      <c r="F261" s="28">
        <v>0</v>
      </c>
      <c r="G261" s="28">
        <v>0</v>
      </c>
      <c r="H261" s="28">
        <v>2.8361996779388083</v>
      </c>
      <c r="I261" s="28">
        <v>2.8361996779388083</v>
      </c>
      <c r="J261" s="28">
        <v>2.8361996779388075</v>
      </c>
      <c r="K261" s="28">
        <v>369.2034009661836</v>
      </c>
      <c r="L261" s="28">
        <v>0</v>
      </c>
      <c r="M261" s="28">
        <v>0</v>
      </c>
      <c r="N261" s="28">
        <v>0</v>
      </c>
      <c r="O261" s="28">
        <v>0</v>
      </c>
      <c r="P261" s="28">
        <v>0</v>
      </c>
      <c r="Q261" s="28">
        <v>0</v>
      </c>
      <c r="R261" s="28">
        <v>0</v>
      </c>
      <c r="S261" s="28">
        <v>0</v>
      </c>
      <c r="T261" s="28">
        <v>0</v>
      </c>
      <c r="U261" s="28">
        <v>0</v>
      </c>
      <c r="V261" s="28">
        <v>0</v>
      </c>
      <c r="W261" s="28">
        <v>0</v>
      </c>
      <c r="X261" s="28">
        <v>0</v>
      </c>
      <c r="Y261" s="40">
        <v>0</v>
      </c>
      <c r="AA261" s="52"/>
    </row>
    <row r="262" spans="2:27" ht="11.25">
      <c r="B262" s="39" t="s">
        <v>290</v>
      </c>
      <c r="C262" s="82" t="s">
        <v>716</v>
      </c>
      <c r="D262" s="83"/>
      <c r="E262" s="50" t="s">
        <v>123</v>
      </c>
      <c r="F262" s="28">
        <v>0</v>
      </c>
      <c r="G262" s="28">
        <v>17.44</v>
      </c>
      <c r="H262" s="28">
        <v>661.7549996779384</v>
      </c>
      <c r="I262" s="28">
        <v>1091.0807996779388</v>
      </c>
      <c r="J262" s="28">
        <v>315.9381996779388</v>
      </c>
      <c r="K262" s="28">
        <v>407.6711809661836</v>
      </c>
      <c r="L262" s="28">
        <v>38.46777999999999</v>
      </c>
      <c r="M262" s="28">
        <v>38.46777999999999</v>
      </c>
      <c r="N262" s="28">
        <v>38.46777999999999</v>
      </c>
      <c r="O262" s="28">
        <v>38.46777999999999</v>
      </c>
      <c r="P262" s="28">
        <v>38.46777999999999</v>
      </c>
      <c r="Q262" s="28">
        <v>38.46777999999999</v>
      </c>
      <c r="R262" s="28">
        <v>38.46777999999999</v>
      </c>
      <c r="S262" s="28">
        <v>38.46777999999999</v>
      </c>
      <c r="T262" s="28">
        <v>38.46777999999999</v>
      </c>
      <c r="U262" s="28">
        <v>38.46777999999999</v>
      </c>
      <c r="V262" s="28">
        <v>38.46777999999999</v>
      </c>
      <c r="W262" s="28">
        <v>38.46777999999999</v>
      </c>
      <c r="X262" s="28">
        <v>38.46777999999999</v>
      </c>
      <c r="Y262" s="40">
        <v>38.46777999999999</v>
      </c>
      <c r="AA262" s="52">
        <f>+AA256+AA257+AA258</f>
        <v>3227.641612684483</v>
      </c>
    </row>
    <row r="263" spans="2:27" ht="11.25">
      <c r="B263" s="39" t="s">
        <v>291</v>
      </c>
      <c r="C263" s="82" t="s">
        <v>128</v>
      </c>
      <c r="D263" s="83"/>
      <c r="E263" s="50" t="s">
        <v>123</v>
      </c>
      <c r="F263" s="28">
        <v>0</v>
      </c>
      <c r="G263" s="28">
        <v>0</v>
      </c>
      <c r="H263" s="28">
        <v>0.5314125390143898</v>
      </c>
      <c r="I263" s="28">
        <v>-0.5185745638391749</v>
      </c>
      <c r="J263" s="28">
        <v>-1.2462180918135126</v>
      </c>
      <c r="K263" s="28">
        <v>71.16011768623225</v>
      </c>
      <c r="L263" s="28">
        <v>-126.58242714056321</v>
      </c>
      <c r="M263" s="28">
        <v>-75.93862870722992</v>
      </c>
      <c r="N263" s="28">
        <v>512.5550722274884</v>
      </c>
      <c r="O263" s="28">
        <v>943.7862541020133</v>
      </c>
      <c r="P263" s="28">
        <v>1059.4041236662645</v>
      </c>
      <c r="Q263" s="28">
        <v>1059.4041236662645</v>
      </c>
      <c r="R263" s="28">
        <v>1059.4041236662645</v>
      </c>
      <c r="S263" s="28">
        <v>1059.4041236662645</v>
      </c>
      <c r="T263" s="28">
        <v>1059.4041236662645</v>
      </c>
      <c r="U263" s="28">
        <v>1059.4041236662645</v>
      </c>
      <c r="V263" s="28">
        <v>1059.4041236662645</v>
      </c>
      <c r="W263" s="28">
        <v>1059.4041236662645</v>
      </c>
      <c r="X263" s="28">
        <v>1059.4041236662645</v>
      </c>
      <c r="Y263" s="40">
        <v>1059.4041236662645</v>
      </c>
      <c r="AA263" s="52"/>
    </row>
    <row r="264" spans="2:27" ht="11.25">
      <c r="B264" s="39" t="s">
        <v>292</v>
      </c>
      <c r="C264" s="82" t="s">
        <v>293</v>
      </c>
      <c r="D264" s="83"/>
      <c r="E264" s="50" t="s">
        <v>123</v>
      </c>
      <c r="F264" s="28">
        <v>0</v>
      </c>
      <c r="G264" s="28">
        <v>0</v>
      </c>
      <c r="H264" s="28">
        <v>0.5314125390143898</v>
      </c>
      <c r="I264" s="28">
        <v>-0.5185745638391749</v>
      </c>
      <c r="J264" s="28">
        <v>-1.2462180918135126</v>
      </c>
      <c r="K264" s="28">
        <v>71.16011768623225</v>
      </c>
      <c r="L264" s="28">
        <v>-126.58242714056321</v>
      </c>
      <c r="M264" s="28">
        <v>-75.93862870722992</v>
      </c>
      <c r="N264" s="28">
        <v>512.5550722274884</v>
      </c>
      <c r="O264" s="28">
        <v>943.7862541020133</v>
      </c>
      <c r="P264" s="28">
        <v>1059.4041236662645</v>
      </c>
      <c r="Q264" s="28">
        <v>1059.4041236662645</v>
      </c>
      <c r="R264" s="28">
        <v>1059.4041236662645</v>
      </c>
      <c r="S264" s="28">
        <v>1059.4041236662645</v>
      </c>
      <c r="T264" s="28">
        <v>1059.4041236662645</v>
      </c>
      <c r="U264" s="28">
        <v>1059.4041236662645</v>
      </c>
      <c r="V264" s="28">
        <v>1059.4041236662645</v>
      </c>
      <c r="W264" s="28">
        <v>1059.4041236662645</v>
      </c>
      <c r="X264" s="28">
        <v>1059.4041236662645</v>
      </c>
      <c r="Y264" s="40">
        <v>1059.4041236662645</v>
      </c>
      <c r="AA264" s="52"/>
    </row>
    <row r="265" spans="2:27" ht="11.25">
      <c r="B265" s="39" t="s">
        <v>294</v>
      </c>
      <c r="C265" s="84" t="s">
        <v>484</v>
      </c>
      <c r="D265" s="85"/>
      <c r="E265" s="50" t="s">
        <v>123</v>
      </c>
      <c r="F265" s="28">
        <v>0</v>
      </c>
      <c r="G265" s="28">
        <v>-17.44</v>
      </c>
      <c r="H265" s="28">
        <v>-661.223587138924</v>
      </c>
      <c r="I265" s="28">
        <v>-1091.599374241778</v>
      </c>
      <c r="J265" s="28">
        <v>-317.1844177697523</v>
      </c>
      <c r="K265" s="28">
        <v>-336.5110632799514</v>
      </c>
      <c r="L265" s="28">
        <v>-165.0502071405632</v>
      </c>
      <c r="M265" s="28">
        <v>-114.40640870722991</v>
      </c>
      <c r="N265" s="28">
        <v>474.0872922274884</v>
      </c>
      <c r="O265" s="28">
        <v>905.3184741020134</v>
      </c>
      <c r="P265" s="28">
        <v>1020.9363436662645</v>
      </c>
      <c r="Q265" s="28">
        <v>1020.9363436662645</v>
      </c>
      <c r="R265" s="28">
        <v>1020.9363436662645</v>
      </c>
      <c r="S265" s="28">
        <v>1020.9363436662645</v>
      </c>
      <c r="T265" s="28">
        <v>1020.9363436662645</v>
      </c>
      <c r="U265" s="28">
        <v>1020.9363436662645</v>
      </c>
      <c r="V265" s="28">
        <v>1020.9363436662645</v>
      </c>
      <c r="W265" s="28">
        <v>1020.9363436662645</v>
      </c>
      <c r="X265" s="28">
        <v>1020.9363436662645</v>
      </c>
      <c r="Y265" s="40">
        <v>1020.9363436662645</v>
      </c>
      <c r="AA265" s="52"/>
    </row>
    <row r="266" spans="2:27" ht="11.25">
      <c r="B266" s="114" t="s">
        <v>295</v>
      </c>
      <c r="C266" s="91" t="s">
        <v>121</v>
      </c>
      <c r="D266" s="78">
        <f>+AA262</f>
        <v>3227.641612684483</v>
      </c>
      <c r="E266" s="94"/>
      <c r="F266" s="73"/>
      <c r="G266" s="73"/>
      <c r="H266" s="73"/>
      <c r="I266" s="73"/>
      <c r="J266" s="73"/>
      <c r="K266" s="73"/>
      <c r="L266" s="73"/>
      <c r="M266" s="73"/>
      <c r="N266" s="73"/>
      <c r="O266" s="73"/>
      <c r="P266" s="73"/>
      <c r="Q266" s="73"/>
      <c r="R266" s="73"/>
      <c r="S266" s="73"/>
      <c r="T266" s="73"/>
      <c r="U266" s="73"/>
      <c r="V266" s="73"/>
      <c r="W266" s="73"/>
      <c r="X266" s="73"/>
      <c r="Y266" s="74"/>
      <c r="AA266" s="52"/>
    </row>
    <row r="267" spans="2:27" ht="11.25">
      <c r="B267" s="90" t="s">
        <v>296</v>
      </c>
      <c r="C267" s="92" t="s">
        <v>596</v>
      </c>
      <c r="D267" s="113">
        <f>+AA260</f>
        <v>109.78</v>
      </c>
      <c r="E267" s="95"/>
      <c r="F267" s="54"/>
      <c r="G267" s="54"/>
      <c r="H267" s="54"/>
      <c r="I267" s="54"/>
      <c r="J267" s="54"/>
      <c r="K267" s="54"/>
      <c r="L267" s="54"/>
      <c r="M267" s="54"/>
      <c r="N267" s="54"/>
      <c r="O267" s="54"/>
      <c r="P267" s="54"/>
      <c r="Q267" s="54"/>
      <c r="R267" s="54"/>
      <c r="S267" s="54"/>
      <c r="T267" s="54"/>
      <c r="U267" s="54"/>
      <c r="V267" s="54"/>
      <c r="W267" s="54"/>
      <c r="X267" s="54"/>
      <c r="Y267" s="75"/>
      <c r="AA267" s="52"/>
    </row>
    <row r="268" spans="2:27" ht="11.25">
      <c r="B268" s="90" t="s">
        <v>297</v>
      </c>
      <c r="C268" s="92" t="s">
        <v>57</v>
      </c>
      <c r="D268" s="79">
        <f>+IRR(F265:Y265)</f>
        <v>0.1623772290005184</v>
      </c>
      <c r="E268" s="95"/>
      <c r="F268" s="88"/>
      <c r="G268" s="54"/>
      <c r="H268" s="54"/>
      <c r="I268" s="54"/>
      <c r="J268" s="54"/>
      <c r="K268" s="54"/>
      <c r="L268" s="54"/>
      <c r="M268" s="54"/>
      <c r="N268" s="54"/>
      <c r="O268" s="54"/>
      <c r="P268" s="54"/>
      <c r="Q268" s="54"/>
      <c r="R268" s="54"/>
      <c r="S268" s="54"/>
      <c r="T268" s="54"/>
      <c r="U268" s="54"/>
      <c r="V268" s="54"/>
      <c r="W268" s="54"/>
      <c r="X268" s="54"/>
      <c r="Y268" s="75"/>
      <c r="AA268" s="52"/>
    </row>
    <row r="269" spans="2:27" ht="12" thickBot="1">
      <c r="B269" s="122" t="s">
        <v>605</v>
      </c>
      <c r="C269" s="102" t="s">
        <v>120</v>
      </c>
      <c r="D269" s="103">
        <f>+NPV('Assumptions and Basic Info'!$C$20,F265:Y265)</f>
        <v>1186.9495655458445</v>
      </c>
      <c r="E269" s="108"/>
      <c r="F269" s="105"/>
      <c r="G269" s="127"/>
      <c r="H269" s="105"/>
      <c r="I269" s="105"/>
      <c r="J269" s="105"/>
      <c r="K269" s="105"/>
      <c r="L269" s="105"/>
      <c r="M269" s="105"/>
      <c r="N269" s="105"/>
      <c r="O269" s="105"/>
      <c r="P269" s="105"/>
      <c r="Q269" s="105"/>
      <c r="R269" s="105"/>
      <c r="S269" s="105"/>
      <c r="T269" s="105"/>
      <c r="U269" s="105"/>
      <c r="V269" s="105"/>
      <c r="W269" s="105"/>
      <c r="X269" s="105"/>
      <c r="Y269" s="106"/>
      <c r="AA269" s="52"/>
    </row>
    <row r="270" spans="2:27" ht="11.25">
      <c r="B270" s="44" t="s">
        <v>299</v>
      </c>
      <c r="C270" s="23" t="s">
        <v>318</v>
      </c>
      <c r="D270" s="23"/>
      <c r="E270" s="51"/>
      <c r="F270" s="24"/>
      <c r="G270" s="24"/>
      <c r="H270" s="24"/>
      <c r="I270" s="24"/>
      <c r="J270" s="24"/>
      <c r="K270" s="24"/>
      <c r="L270" s="24"/>
      <c r="M270" s="24"/>
      <c r="N270" s="24"/>
      <c r="O270" s="24"/>
      <c r="P270" s="24"/>
      <c r="Q270" s="24"/>
      <c r="R270" s="24"/>
      <c r="S270" s="24"/>
      <c r="T270" s="24"/>
      <c r="U270" s="24"/>
      <c r="V270" s="24"/>
      <c r="W270" s="24"/>
      <c r="X270" s="24"/>
      <c r="Y270" s="45"/>
      <c r="AA270" s="52"/>
    </row>
    <row r="271" spans="2:28" ht="11.25">
      <c r="B271" s="37" t="s">
        <v>300</v>
      </c>
      <c r="C271" s="80" t="s">
        <v>124</v>
      </c>
      <c r="D271" s="81"/>
      <c r="E271" s="49" t="s">
        <v>54</v>
      </c>
      <c r="F271" s="27">
        <v>76</v>
      </c>
      <c r="G271" s="27">
        <v>67.55555555555557</v>
      </c>
      <c r="H271" s="27">
        <v>59.111111111111114</v>
      </c>
      <c r="I271" s="27">
        <v>50.66666666666666</v>
      </c>
      <c r="J271" s="27">
        <v>42.22222222222223</v>
      </c>
      <c r="K271" s="27">
        <v>33.77777777777777</v>
      </c>
      <c r="L271" s="27">
        <v>25.33333333333333</v>
      </c>
      <c r="M271" s="27">
        <v>16.88888888888888</v>
      </c>
      <c r="N271" s="27">
        <v>8.444444444444443</v>
      </c>
      <c r="O271" s="27">
        <v>0</v>
      </c>
      <c r="P271" s="27">
        <v>0</v>
      </c>
      <c r="Q271" s="27">
        <v>0</v>
      </c>
      <c r="R271" s="27">
        <v>0</v>
      </c>
      <c r="S271" s="27">
        <v>0</v>
      </c>
      <c r="T271" s="27">
        <v>0</v>
      </c>
      <c r="U271" s="27">
        <v>0</v>
      </c>
      <c r="V271" s="27">
        <v>0</v>
      </c>
      <c r="W271" s="27">
        <v>0</v>
      </c>
      <c r="X271" s="27">
        <v>0</v>
      </c>
      <c r="Y271" s="38">
        <v>0</v>
      </c>
      <c r="AA271" s="52">
        <v>76</v>
      </c>
      <c r="AB271" s="116" t="s">
        <v>126</v>
      </c>
    </row>
    <row r="272" spans="2:28" ht="11.25">
      <c r="B272" s="39" t="s">
        <v>301</v>
      </c>
      <c r="C272" s="82" t="s">
        <v>125</v>
      </c>
      <c r="D272" s="83"/>
      <c r="E272" s="50" t="s">
        <v>54</v>
      </c>
      <c r="F272" s="28">
        <v>76</v>
      </c>
      <c r="G272" s="28">
        <v>67.55555555555557</v>
      </c>
      <c r="H272" s="28">
        <v>66.30511977142801</v>
      </c>
      <c r="I272" s="28">
        <v>65.05468398730045</v>
      </c>
      <c r="J272" s="28">
        <v>359.5820259809507</v>
      </c>
      <c r="K272" s="28">
        <v>363</v>
      </c>
      <c r="L272" s="28">
        <v>363</v>
      </c>
      <c r="M272" s="28">
        <v>363</v>
      </c>
      <c r="N272" s="28">
        <v>363</v>
      </c>
      <c r="O272" s="28">
        <v>363</v>
      </c>
      <c r="P272" s="28">
        <v>363</v>
      </c>
      <c r="Q272" s="28">
        <v>363</v>
      </c>
      <c r="R272" s="28">
        <v>363</v>
      </c>
      <c r="S272" s="28">
        <v>363</v>
      </c>
      <c r="T272" s="28">
        <v>363</v>
      </c>
      <c r="U272" s="28">
        <v>363</v>
      </c>
      <c r="V272" s="28">
        <v>363</v>
      </c>
      <c r="W272" s="28">
        <v>363</v>
      </c>
      <c r="X272" s="28">
        <v>363</v>
      </c>
      <c r="Y272" s="40">
        <v>363</v>
      </c>
      <c r="AA272" s="52">
        <v>363</v>
      </c>
      <c r="AB272" s="116" t="s">
        <v>127</v>
      </c>
    </row>
    <row r="273" spans="2:29" ht="11.25">
      <c r="B273" s="39" t="s">
        <v>302</v>
      </c>
      <c r="C273" s="82" t="s">
        <v>81</v>
      </c>
      <c r="D273" s="83"/>
      <c r="E273" s="50" t="s">
        <v>54</v>
      </c>
      <c r="F273" s="28">
        <v>0</v>
      </c>
      <c r="G273" s="28">
        <v>0</v>
      </c>
      <c r="H273" s="28">
        <v>7.1940086603168965</v>
      </c>
      <c r="I273" s="28">
        <v>14.388017320633793</v>
      </c>
      <c r="J273" s="28">
        <v>317.35980375872845</v>
      </c>
      <c r="K273" s="28">
        <v>329.22222222222223</v>
      </c>
      <c r="L273" s="28">
        <v>337.6666666666667</v>
      </c>
      <c r="M273" s="28">
        <v>346.11111111111114</v>
      </c>
      <c r="N273" s="28">
        <v>354.55555555555554</v>
      </c>
      <c r="O273" s="28">
        <v>363</v>
      </c>
      <c r="P273" s="28">
        <v>363</v>
      </c>
      <c r="Q273" s="28">
        <v>363</v>
      </c>
      <c r="R273" s="28">
        <v>363</v>
      </c>
      <c r="S273" s="28">
        <v>363</v>
      </c>
      <c r="T273" s="28">
        <v>363</v>
      </c>
      <c r="U273" s="28">
        <v>363</v>
      </c>
      <c r="V273" s="28">
        <v>363</v>
      </c>
      <c r="W273" s="28">
        <v>363</v>
      </c>
      <c r="X273" s="28">
        <v>363</v>
      </c>
      <c r="Y273" s="40">
        <v>363</v>
      </c>
      <c r="AA273" s="52">
        <v>287</v>
      </c>
      <c r="AB273" s="116" t="s">
        <v>127</v>
      </c>
      <c r="AC273" s="52">
        <v>287</v>
      </c>
    </row>
    <row r="274" spans="2:28" ht="11.25">
      <c r="B274" s="39" t="s">
        <v>303</v>
      </c>
      <c r="C274" s="82" t="s">
        <v>65</v>
      </c>
      <c r="D274" s="83"/>
      <c r="E274" s="50" t="s">
        <v>119</v>
      </c>
      <c r="F274" s="28">
        <v>0</v>
      </c>
      <c r="G274" s="28">
        <v>0</v>
      </c>
      <c r="H274" s="28">
        <v>0</v>
      </c>
      <c r="I274" s="28">
        <v>0</v>
      </c>
      <c r="J274" s="28">
        <v>1333.3333333333333</v>
      </c>
      <c r="K274" s="28">
        <v>1066.6666666666665</v>
      </c>
      <c r="L274" s="28">
        <v>800</v>
      </c>
      <c r="M274" s="28">
        <v>533.3333333333334</v>
      </c>
      <c r="N274" s="28">
        <v>266.6666666666667</v>
      </c>
      <c r="O274" s="28">
        <v>0</v>
      </c>
      <c r="P274" s="28">
        <v>0</v>
      </c>
      <c r="Q274" s="28">
        <v>0</v>
      </c>
      <c r="R274" s="28">
        <v>0</v>
      </c>
      <c r="S274" s="28">
        <v>0</v>
      </c>
      <c r="T274" s="28">
        <v>0</v>
      </c>
      <c r="U274" s="28">
        <v>0</v>
      </c>
      <c r="V274" s="28">
        <v>0</v>
      </c>
      <c r="W274" s="28">
        <v>0</v>
      </c>
      <c r="X274" s="28">
        <v>0</v>
      </c>
      <c r="Y274" s="40">
        <v>0</v>
      </c>
      <c r="AA274" s="52">
        <v>1400</v>
      </c>
      <c r="AB274" s="116" t="s">
        <v>127</v>
      </c>
    </row>
    <row r="275" spans="2:27" ht="11.25">
      <c r="B275" s="39" t="s">
        <v>304</v>
      </c>
      <c r="C275" s="82" t="s">
        <v>58</v>
      </c>
      <c r="D275" s="83"/>
      <c r="E275" s="50" t="s">
        <v>123</v>
      </c>
      <c r="F275" s="28">
        <v>0</v>
      </c>
      <c r="G275" s="28">
        <v>11.82608695652174</v>
      </c>
      <c r="H275" s="28">
        <v>11.82608695652174</v>
      </c>
      <c r="I275" s="28">
        <v>692.9760869565217</v>
      </c>
      <c r="J275" s="28">
        <v>5.618739130434777</v>
      </c>
      <c r="K275" s="28">
        <v>0</v>
      </c>
      <c r="L275" s="31">
        <v>0</v>
      </c>
      <c r="M275" s="31">
        <v>0</v>
      </c>
      <c r="N275" s="31">
        <v>0</v>
      </c>
      <c r="O275" s="31">
        <v>0</v>
      </c>
      <c r="P275" s="31">
        <v>0</v>
      </c>
      <c r="Q275" s="31">
        <v>0</v>
      </c>
      <c r="R275" s="31">
        <v>0</v>
      </c>
      <c r="S275" s="31">
        <v>0</v>
      </c>
      <c r="T275" s="31">
        <v>0</v>
      </c>
      <c r="U275" s="31">
        <v>0</v>
      </c>
      <c r="V275" s="31">
        <v>0</v>
      </c>
      <c r="W275" s="31">
        <v>0</v>
      </c>
      <c r="X275" s="31">
        <v>0</v>
      </c>
      <c r="Y275" s="46">
        <v>0</v>
      </c>
      <c r="AA275" s="52">
        <v>722.247</v>
      </c>
    </row>
    <row r="276" spans="2:27" ht="11.25">
      <c r="B276" s="39" t="s">
        <v>305</v>
      </c>
      <c r="C276" s="82" t="s">
        <v>24</v>
      </c>
      <c r="D276" s="83"/>
      <c r="E276" s="50" t="s">
        <v>123</v>
      </c>
      <c r="F276" s="28">
        <v>0</v>
      </c>
      <c r="G276" s="28">
        <v>1.773913043478261</v>
      </c>
      <c r="H276" s="28">
        <v>1.773913043478261</v>
      </c>
      <c r="I276" s="28">
        <v>103.94641304347824</v>
      </c>
      <c r="J276" s="28">
        <v>0.8428108695652166</v>
      </c>
      <c r="K276" s="28">
        <v>0</v>
      </c>
      <c r="L276" s="28">
        <v>0</v>
      </c>
      <c r="M276" s="28">
        <v>0</v>
      </c>
      <c r="N276" s="28">
        <v>0</v>
      </c>
      <c r="O276" s="28">
        <v>0</v>
      </c>
      <c r="P276" s="28">
        <v>0</v>
      </c>
      <c r="Q276" s="28">
        <v>0</v>
      </c>
      <c r="R276" s="28">
        <v>0</v>
      </c>
      <c r="S276" s="28">
        <v>0</v>
      </c>
      <c r="T276" s="28">
        <v>0</v>
      </c>
      <c r="U276" s="28">
        <v>0</v>
      </c>
      <c r="V276" s="31">
        <v>0</v>
      </c>
      <c r="W276" s="31">
        <v>0</v>
      </c>
      <c r="X276" s="31">
        <v>0</v>
      </c>
      <c r="Y276" s="46">
        <v>0</v>
      </c>
      <c r="AA276" s="54">
        <f>+AA275*'Assumptions and Basic Info'!$C$4</f>
        <v>722.247</v>
      </c>
    </row>
    <row r="277" spans="2:27" ht="11.25">
      <c r="B277" s="39" t="s">
        <v>306</v>
      </c>
      <c r="C277" s="82" t="s">
        <v>83</v>
      </c>
      <c r="D277" s="83"/>
      <c r="E277" s="50" t="s">
        <v>123</v>
      </c>
      <c r="F277" s="28">
        <v>0</v>
      </c>
      <c r="G277" s="28">
        <v>1.224</v>
      </c>
      <c r="H277" s="28">
        <v>1.224</v>
      </c>
      <c r="I277" s="28">
        <v>71.72302499999999</v>
      </c>
      <c r="J277" s="28">
        <v>0.5815394999999994</v>
      </c>
      <c r="K277" s="28">
        <v>0</v>
      </c>
      <c r="L277" s="28">
        <v>0</v>
      </c>
      <c r="M277" s="28">
        <v>0</v>
      </c>
      <c r="N277" s="28">
        <v>0</v>
      </c>
      <c r="O277" s="28">
        <v>0</v>
      </c>
      <c r="P277" s="28">
        <v>0</v>
      </c>
      <c r="Q277" s="28">
        <v>0</v>
      </c>
      <c r="R277" s="28">
        <v>0</v>
      </c>
      <c r="S277" s="28">
        <v>0</v>
      </c>
      <c r="T277" s="28">
        <v>0</v>
      </c>
      <c r="U277" s="28">
        <v>0</v>
      </c>
      <c r="V277" s="31">
        <v>0</v>
      </c>
      <c r="W277" s="31">
        <v>0</v>
      </c>
      <c r="X277" s="31">
        <v>0</v>
      </c>
      <c r="Y277" s="46">
        <v>0</v>
      </c>
      <c r="AA277" s="54">
        <v>74.75256449999999</v>
      </c>
    </row>
    <row r="278" spans="2:27" ht="11.25">
      <c r="B278" s="39" t="s">
        <v>307</v>
      </c>
      <c r="C278" s="82" t="s">
        <v>82</v>
      </c>
      <c r="D278" s="83"/>
      <c r="E278" s="50" t="s">
        <v>123</v>
      </c>
      <c r="F278" s="28">
        <v>0</v>
      </c>
      <c r="G278" s="28">
        <v>0</v>
      </c>
      <c r="H278" s="28">
        <v>0.29648</v>
      </c>
      <c r="I278" s="28">
        <v>0.59296</v>
      </c>
      <c r="J278" s="28">
        <v>17.9658705</v>
      </c>
      <c r="K278" s="28">
        <v>18.10673229</v>
      </c>
      <c r="L278" s="28">
        <v>18.10673229</v>
      </c>
      <c r="M278" s="28">
        <v>18.10673229</v>
      </c>
      <c r="N278" s="28">
        <v>18.10673229</v>
      </c>
      <c r="O278" s="28">
        <v>18.10673229</v>
      </c>
      <c r="P278" s="28">
        <v>18.10673229</v>
      </c>
      <c r="Q278" s="28">
        <v>18.10673229</v>
      </c>
      <c r="R278" s="28">
        <v>18.10673229</v>
      </c>
      <c r="S278" s="28">
        <v>18.10673229</v>
      </c>
      <c r="T278" s="28">
        <v>18.10673229</v>
      </c>
      <c r="U278" s="28">
        <v>18.10673229</v>
      </c>
      <c r="V278" s="28">
        <v>18.10673229</v>
      </c>
      <c r="W278" s="28">
        <v>18.10673229</v>
      </c>
      <c r="X278" s="28">
        <v>18.10673229</v>
      </c>
      <c r="Y278" s="40">
        <v>18.10673229</v>
      </c>
      <c r="AA278" s="52"/>
    </row>
    <row r="279" spans="2:27" ht="11.25">
      <c r="B279" s="39" t="s">
        <v>606</v>
      </c>
      <c r="C279" s="82" t="s">
        <v>578</v>
      </c>
      <c r="D279" s="83"/>
      <c r="E279" s="50" t="s">
        <v>118</v>
      </c>
      <c r="F279" s="28">
        <v>0</v>
      </c>
      <c r="G279" s="28">
        <v>0</v>
      </c>
      <c r="H279" s="28">
        <v>0</v>
      </c>
      <c r="I279" s="28">
        <v>109.78</v>
      </c>
      <c r="J279" s="28">
        <v>0</v>
      </c>
      <c r="K279" s="28">
        <v>0</v>
      </c>
      <c r="L279" s="28">
        <v>0</v>
      </c>
      <c r="M279" s="28">
        <v>0</v>
      </c>
      <c r="N279" s="28">
        <v>0</v>
      </c>
      <c r="O279" s="28">
        <v>0</v>
      </c>
      <c r="P279" s="28">
        <v>0</v>
      </c>
      <c r="Q279" s="28">
        <v>0</v>
      </c>
      <c r="R279" s="28">
        <v>0</v>
      </c>
      <c r="S279" s="28">
        <v>0</v>
      </c>
      <c r="T279" s="28">
        <v>0</v>
      </c>
      <c r="U279" s="28">
        <v>0</v>
      </c>
      <c r="V279" s="28">
        <v>0</v>
      </c>
      <c r="W279" s="28">
        <v>0</v>
      </c>
      <c r="X279" s="28">
        <v>0</v>
      </c>
      <c r="Y279" s="40">
        <v>0</v>
      </c>
      <c r="AA279" s="52">
        <v>109.78</v>
      </c>
    </row>
    <row r="280" spans="2:27" ht="11.25">
      <c r="B280" s="39" t="s">
        <v>717</v>
      </c>
      <c r="C280" s="82" t="s">
        <v>691</v>
      </c>
      <c r="D280" s="83"/>
      <c r="E280" s="50" t="s">
        <v>118</v>
      </c>
      <c r="F280" s="28">
        <v>0</v>
      </c>
      <c r="G280" s="28">
        <v>0</v>
      </c>
      <c r="H280" s="28">
        <v>2.4747389791490124</v>
      </c>
      <c r="I280" s="28">
        <v>2.4747389791490124</v>
      </c>
      <c r="J280" s="28">
        <v>92.60273897914901</v>
      </c>
      <c r="K280" s="28">
        <v>1.1757830625529628</v>
      </c>
      <c r="L280" s="28">
        <v>0</v>
      </c>
      <c r="M280" s="28">
        <v>0</v>
      </c>
      <c r="N280" s="28">
        <v>0</v>
      </c>
      <c r="O280" s="28">
        <v>0</v>
      </c>
      <c r="P280" s="28">
        <v>0</v>
      </c>
      <c r="Q280" s="28">
        <v>0</v>
      </c>
      <c r="R280" s="28">
        <v>0</v>
      </c>
      <c r="S280" s="28">
        <v>0</v>
      </c>
      <c r="T280" s="28">
        <v>0</v>
      </c>
      <c r="U280" s="28">
        <v>0</v>
      </c>
      <c r="V280" s="28">
        <v>0</v>
      </c>
      <c r="W280" s="28">
        <v>0</v>
      </c>
      <c r="X280" s="28">
        <v>0</v>
      </c>
      <c r="Y280" s="40">
        <v>0</v>
      </c>
      <c r="AA280" s="52"/>
    </row>
    <row r="281" spans="2:27" ht="11.25">
      <c r="B281" s="39" t="s">
        <v>308</v>
      </c>
      <c r="C281" s="82" t="s">
        <v>718</v>
      </c>
      <c r="D281" s="83"/>
      <c r="E281" s="50" t="s">
        <v>123</v>
      </c>
      <c r="F281" s="28">
        <v>0</v>
      </c>
      <c r="G281" s="28">
        <v>14.824000000000002</v>
      </c>
      <c r="H281" s="28">
        <v>17.595218979149013</v>
      </c>
      <c r="I281" s="28">
        <v>981.493223979149</v>
      </c>
      <c r="J281" s="28">
        <v>117.611698979149</v>
      </c>
      <c r="K281" s="28">
        <v>19.282515352552963</v>
      </c>
      <c r="L281" s="28">
        <v>18.10673229</v>
      </c>
      <c r="M281" s="28">
        <v>18.10673229</v>
      </c>
      <c r="N281" s="28">
        <v>18.10673229</v>
      </c>
      <c r="O281" s="28">
        <v>18.10673229</v>
      </c>
      <c r="P281" s="28">
        <v>18.10673229</v>
      </c>
      <c r="Q281" s="28">
        <v>18.10673229</v>
      </c>
      <c r="R281" s="28">
        <v>18.10673229</v>
      </c>
      <c r="S281" s="28">
        <v>18.10673229</v>
      </c>
      <c r="T281" s="28">
        <v>18.10673229</v>
      </c>
      <c r="U281" s="28">
        <v>18.10673229</v>
      </c>
      <c r="V281" s="28">
        <v>18.10673229</v>
      </c>
      <c r="W281" s="28">
        <v>18.10673229</v>
      </c>
      <c r="X281" s="28">
        <v>18.10673229</v>
      </c>
      <c r="Y281" s="40">
        <v>18.10673229</v>
      </c>
      <c r="AA281" s="52">
        <f>+AA275+AA276+AA277</f>
        <v>1519.2465645</v>
      </c>
    </row>
    <row r="282" spans="2:27" ht="11.25">
      <c r="B282" s="39" t="s">
        <v>309</v>
      </c>
      <c r="C282" s="82" t="s">
        <v>128</v>
      </c>
      <c r="D282" s="83"/>
      <c r="E282" s="50" t="s">
        <v>123</v>
      </c>
      <c r="F282" s="28">
        <v>0</v>
      </c>
      <c r="G282" s="28">
        <v>0</v>
      </c>
      <c r="H282" s="28">
        <v>0.46368643736085696</v>
      </c>
      <c r="I282" s="28">
        <v>-0.4524846035031853</v>
      </c>
      <c r="J282" s="28">
        <v>48.390145923396766</v>
      </c>
      <c r="K282" s="28">
        <v>9.322681024525057</v>
      </c>
      <c r="L282" s="28">
        <v>34.14037898292278</v>
      </c>
      <c r="M282" s="28">
        <v>192.6338360054201</v>
      </c>
      <c r="N282" s="28">
        <v>311.35484907591626</v>
      </c>
      <c r="O282" s="28">
        <v>349.87195882618715</v>
      </c>
      <c r="P282" s="28">
        <v>350.2401611027814</v>
      </c>
      <c r="Q282" s="28">
        <v>350.2401611027814</v>
      </c>
      <c r="R282" s="28">
        <v>350.2401611027814</v>
      </c>
      <c r="S282" s="28">
        <v>350.2401611027814</v>
      </c>
      <c r="T282" s="28">
        <v>350.2401611027814</v>
      </c>
      <c r="U282" s="28">
        <v>350.2401611027814</v>
      </c>
      <c r="V282" s="28">
        <v>350.2401611027814</v>
      </c>
      <c r="W282" s="28">
        <v>350.2401611027814</v>
      </c>
      <c r="X282" s="28">
        <v>350.2401611027814</v>
      </c>
      <c r="Y282" s="40">
        <v>350.2401611027814</v>
      </c>
      <c r="AA282" s="52"/>
    </row>
    <row r="283" spans="2:27" ht="11.25">
      <c r="B283" s="39" t="s">
        <v>310</v>
      </c>
      <c r="C283" s="82" t="s">
        <v>63</v>
      </c>
      <c r="D283" s="83"/>
      <c r="E283" s="50" t="s">
        <v>123</v>
      </c>
      <c r="F283" s="28">
        <v>0</v>
      </c>
      <c r="G283" s="28">
        <v>0</v>
      </c>
      <c r="H283" s="28">
        <v>0</v>
      </c>
      <c r="I283" s="28">
        <v>0</v>
      </c>
      <c r="J283" s="28">
        <v>56.266666666666666</v>
      </c>
      <c r="K283" s="28">
        <v>45.013333333333335</v>
      </c>
      <c r="L283" s="28">
        <v>33.76</v>
      </c>
      <c r="M283" s="28">
        <v>22.506666666666668</v>
      </c>
      <c r="N283" s="28">
        <v>11.253333333333334</v>
      </c>
      <c r="O283" s="28">
        <v>0</v>
      </c>
      <c r="P283" s="28">
        <v>0</v>
      </c>
      <c r="Q283" s="28">
        <v>0</v>
      </c>
      <c r="R283" s="28">
        <v>0</v>
      </c>
      <c r="S283" s="28">
        <v>0</v>
      </c>
      <c r="T283" s="28">
        <v>0</v>
      </c>
      <c r="U283" s="28">
        <v>0</v>
      </c>
      <c r="V283" s="28">
        <v>0</v>
      </c>
      <c r="W283" s="28">
        <v>0</v>
      </c>
      <c r="X283" s="28">
        <v>0</v>
      </c>
      <c r="Y283" s="40">
        <v>0</v>
      </c>
      <c r="AA283" s="52"/>
    </row>
    <row r="284" spans="2:27" ht="11.25">
      <c r="B284" s="39" t="s">
        <v>311</v>
      </c>
      <c r="C284" s="82" t="s">
        <v>312</v>
      </c>
      <c r="D284" s="83"/>
      <c r="E284" s="50" t="s">
        <v>123</v>
      </c>
      <c r="F284" s="28">
        <v>0</v>
      </c>
      <c r="G284" s="28">
        <v>0</v>
      </c>
      <c r="H284" s="28">
        <v>0.46368643736085696</v>
      </c>
      <c r="I284" s="28">
        <v>-0.4524846035031853</v>
      </c>
      <c r="J284" s="28">
        <v>104.65681259006342</v>
      </c>
      <c r="K284" s="28">
        <v>54.33601435785839</v>
      </c>
      <c r="L284" s="28">
        <v>67.90037898292279</v>
      </c>
      <c r="M284" s="28">
        <v>215.14050267208677</v>
      </c>
      <c r="N284" s="28">
        <v>322.6081824092496</v>
      </c>
      <c r="O284" s="28">
        <v>349.87195882618715</v>
      </c>
      <c r="P284" s="28">
        <v>350.2401611027814</v>
      </c>
      <c r="Q284" s="28">
        <v>350.2401611027814</v>
      </c>
      <c r="R284" s="28">
        <v>350.2401611027814</v>
      </c>
      <c r="S284" s="28">
        <v>350.2401611027814</v>
      </c>
      <c r="T284" s="28">
        <v>350.2401611027814</v>
      </c>
      <c r="U284" s="28">
        <v>350.2401611027814</v>
      </c>
      <c r="V284" s="28">
        <v>350.2401611027814</v>
      </c>
      <c r="W284" s="28">
        <v>350.2401611027814</v>
      </c>
      <c r="X284" s="28">
        <v>350.2401611027814</v>
      </c>
      <c r="Y284" s="40">
        <v>350.2401611027814</v>
      </c>
      <c r="AA284" s="52"/>
    </row>
    <row r="285" spans="2:27" ht="11.25">
      <c r="B285" s="39" t="s">
        <v>313</v>
      </c>
      <c r="C285" s="84" t="s">
        <v>314</v>
      </c>
      <c r="D285" s="85"/>
      <c r="E285" s="50" t="s">
        <v>123</v>
      </c>
      <c r="F285" s="28">
        <v>0</v>
      </c>
      <c r="G285" s="28">
        <v>-14.824000000000002</v>
      </c>
      <c r="H285" s="28">
        <v>-17.131532541788157</v>
      </c>
      <c r="I285" s="28">
        <v>-981.9457085826522</v>
      </c>
      <c r="J285" s="28">
        <v>-12.954886389085573</v>
      </c>
      <c r="K285" s="28">
        <v>35.053499005305426</v>
      </c>
      <c r="L285" s="28">
        <v>49.79364669292279</v>
      </c>
      <c r="M285" s="28">
        <v>197.03377038208677</v>
      </c>
      <c r="N285" s="28">
        <v>304.50145011924957</v>
      </c>
      <c r="O285" s="28">
        <v>331.76522653618713</v>
      </c>
      <c r="P285" s="28">
        <v>332.1334288127814</v>
      </c>
      <c r="Q285" s="28">
        <v>332.1334288127814</v>
      </c>
      <c r="R285" s="28">
        <v>332.1334288127814</v>
      </c>
      <c r="S285" s="28">
        <v>332.1334288127814</v>
      </c>
      <c r="T285" s="28">
        <v>332.1334288127814</v>
      </c>
      <c r="U285" s="28">
        <v>332.1334288127814</v>
      </c>
      <c r="V285" s="28">
        <v>332.1334288127814</v>
      </c>
      <c r="W285" s="28">
        <v>332.1334288127814</v>
      </c>
      <c r="X285" s="28">
        <v>332.1334288127814</v>
      </c>
      <c r="Y285" s="40">
        <v>332.1334288127814</v>
      </c>
      <c r="AA285" s="52"/>
    </row>
    <row r="286" spans="2:27" ht="11.25">
      <c r="B286" s="114" t="s">
        <v>315</v>
      </c>
      <c r="C286" s="91" t="s">
        <v>121</v>
      </c>
      <c r="D286" s="78">
        <f>+AA281</f>
        <v>1519.2465645</v>
      </c>
      <c r="E286" s="94"/>
      <c r="F286" s="73"/>
      <c r="G286" s="73"/>
      <c r="H286" s="73"/>
      <c r="I286" s="73"/>
      <c r="J286" s="73"/>
      <c r="K286" s="73"/>
      <c r="L286" s="73"/>
      <c r="M286" s="73"/>
      <c r="N286" s="73"/>
      <c r="O286" s="73"/>
      <c r="P286" s="73"/>
      <c r="Q286" s="73"/>
      <c r="R286" s="73"/>
      <c r="S286" s="73"/>
      <c r="T286" s="73"/>
      <c r="U286" s="73"/>
      <c r="V286" s="73"/>
      <c r="W286" s="73"/>
      <c r="X286" s="73"/>
      <c r="Y286" s="74"/>
      <c r="AA286" s="52"/>
    </row>
    <row r="287" spans="2:27" ht="11.25">
      <c r="B287" s="90" t="s">
        <v>316</v>
      </c>
      <c r="C287" s="92" t="s">
        <v>596</v>
      </c>
      <c r="D287" s="113">
        <f>+AA279</f>
        <v>109.78</v>
      </c>
      <c r="E287" s="95"/>
      <c r="F287" s="54"/>
      <c r="G287" s="54"/>
      <c r="H287" s="54"/>
      <c r="I287" s="54"/>
      <c r="J287" s="54"/>
      <c r="K287" s="54"/>
      <c r="L287" s="54"/>
      <c r="M287" s="54"/>
      <c r="N287" s="54"/>
      <c r="O287" s="54"/>
      <c r="P287" s="54"/>
      <c r="Q287" s="54"/>
      <c r="R287" s="54"/>
      <c r="S287" s="54"/>
      <c r="T287" s="54"/>
      <c r="U287" s="54"/>
      <c r="V287" s="54"/>
      <c r="W287" s="54"/>
      <c r="X287" s="54"/>
      <c r="Y287" s="75"/>
      <c r="AA287" s="52"/>
    </row>
    <row r="288" spans="2:27" ht="11.25">
      <c r="B288" s="90" t="s">
        <v>317</v>
      </c>
      <c r="C288" s="92" t="s">
        <v>57</v>
      </c>
      <c r="D288" s="79">
        <f>+IRR(F285:Y285)</f>
        <v>0.16998573743489703</v>
      </c>
      <c r="E288" s="95"/>
      <c r="F288" s="88"/>
      <c r="G288" s="54"/>
      <c r="H288" s="54"/>
      <c r="I288" s="54"/>
      <c r="J288" s="54"/>
      <c r="K288" s="54"/>
      <c r="L288" s="54"/>
      <c r="M288" s="54"/>
      <c r="N288" s="54"/>
      <c r="O288" s="54"/>
      <c r="P288" s="54"/>
      <c r="Q288" s="54"/>
      <c r="R288" s="54"/>
      <c r="S288" s="54"/>
      <c r="T288" s="54"/>
      <c r="U288" s="54"/>
      <c r="V288" s="54"/>
      <c r="W288" s="54"/>
      <c r="X288" s="54"/>
      <c r="Y288" s="75"/>
      <c r="AA288" s="52"/>
    </row>
    <row r="289" spans="2:27" ht="12" thickBot="1">
      <c r="B289" s="122" t="s">
        <v>607</v>
      </c>
      <c r="C289" s="102" t="s">
        <v>120</v>
      </c>
      <c r="D289" s="103">
        <f>+NPV('Assumptions and Basic Info'!$C$20,F285:Y285)</f>
        <v>477.2791630045342</v>
      </c>
      <c r="E289" s="108"/>
      <c r="F289" s="105"/>
      <c r="G289" s="127"/>
      <c r="H289" s="105"/>
      <c r="I289" s="105"/>
      <c r="J289" s="105"/>
      <c r="K289" s="105"/>
      <c r="L289" s="105"/>
      <c r="M289" s="105"/>
      <c r="N289" s="105"/>
      <c r="O289" s="105"/>
      <c r="P289" s="105"/>
      <c r="Q289" s="105"/>
      <c r="R289" s="105"/>
      <c r="S289" s="105"/>
      <c r="T289" s="105"/>
      <c r="U289" s="105"/>
      <c r="V289" s="105"/>
      <c r="W289" s="105"/>
      <c r="X289" s="105"/>
      <c r="Y289" s="106"/>
      <c r="AA289" s="52"/>
    </row>
    <row r="290" spans="2:27" ht="11.25">
      <c r="B290" s="44" t="s">
        <v>319</v>
      </c>
      <c r="C290" s="23" t="s">
        <v>335</v>
      </c>
      <c r="D290" s="23"/>
      <c r="E290" s="51"/>
      <c r="F290" s="24"/>
      <c r="G290" s="24"/>
      <c r="H290" s="24"/>
      <c r="I290" s="24"/>
      <c r="J290" s="24"/>
      <c r="K290" s="24"/>
      <c r="L290" s="24"/>
      <c r="M290" s="24"/>
      <c r="N290" s="24"/>
      <c r="O290" s="24"/>
      <c r="P290" s="24"/>
      <c r="Q290" s="24"/>
      <c r="R290" s="24"/>
      <c r="S290" s="24"/>
      <c r="T290" s="24"/>
      <c r="U290" s="24"/>
      <c r="V290" s="24"/>
      <c r="W290" s="24"/>
      <c r="X290" s="24"/>
      <c r="Y290" s="45"/>
      <c r="AA290" s="52"/>
    </row>
    <row r="291" spans="2:27" ht="11.25">
      <c r="B291" s="37" t="s">
        <v>320</v>
      </c>
      <c r="C291" s="120" t="s">
        <v>124</v>
      </c>
      <c r="D291" s="81"/>
      <c r="E291" s="49" t="s">
        <v>54</v>
      </c>
      <c r="F291" s="27">
        <v>897</v>
      </c>
      <c r="G291" s="27">
        <v>879.06</v>
      </c>
      <c r="H291" s="27">
        <v>861.4787999999999</v>
      </c>
      <c r="I291" s="27">
        <v>844.2492239999999</v>
      </c>
      <c r="J291" s="27">
        <v>827.36423952</v>
      </c>
      <c r="K291" s="27">
        <v>810.8169547296</v>
      </c>
      <c r="L291" s="27">
        <v>794.6006156350079</v>
      </c>
      <c r="M291" s="27">
        <v>778.7086033223077</v>
      </c>
      <c r="N291" s="27">
        <v>763.1344312558615</v>
      </c>
      <c r="O291" s="27">
        <v>747.8717426307444</v>
      </c>
      <c r="P291" s="27">
        <v>732.9143077781293</v>
      </c>
      <c r="Q291" s="27">
        <v>718.2560216225668</v>
      </c>
      <c r="R291" s="27">
        <v>703.8909011901155</v>
      </c>
      <c r="S291" s="27">
        <v>689.8130831663129</v>
      </c>
      <c r="T291" s="27">
        <v>676.0168215029867</v>
      </c>
      <c r="U291" s="27">
        <v>662.496485072927</v>
      </c>
      <c r="V291" s="27">
        <v>649.2465553714685</v>
      </c>
      <c r="W291" s="27">
        <v>636.2616242640393</v>
      </c>
      <c r="X291" s="27">
        <v>623.5363917787583</v>
      </c>
      <c r="Y291" s="38">
        <v>611.0656639431832</v>
      </c>
      <c r="AA291" s="52">
        <v>897</v>
      </c>
    </row>
    <row r="292" spans="2:28" ht="11.25">
      <c r="B292" s="39" t="s">
        <v>321</v>
      </c>
      <c r="C292" s="121" t="s">
        <v>125</v>
      </c>
      <c r="D292" s="83"/>
      <c r="E292" s="50" t="s">
        <v>54</v>
      </c>
      <c r="F292" s="28">
        <v>897</v>
      </c>
      <c r="G292" s="28">
        <v>879.06</v>
      </c>
      <c r="H292" s="28">
        <v>879.7987662304769</v>
      </c>
      <c r="I292" s="28">
        <v>1512.639932460954</v>
      </c>
      <c r="J292" s="28">
        <v>1530.959898691431</v>
      </c>
      <c r="K292" s="28">
        <v>1538</v>
      </c>
      <c r="L292" s="28">
        <v>1538</v>
      </c>
      <c r="M292" s="28">
        <v>1538</v>
      </c>
      <c r="N292" s="28">
        <v>1538</v>
      </c>
      <c r="O292" s="28">
        <v>1538</v>
      </c>
      <c r="P292" s="28">
        <v>1538</v>
      </c>
      <c r="Q292" s="28">
        <v>1538</v>
      </c>
      <c r="R292" s="28">
        <v>1538</v>
      </c>
      <c r="S292" s="28">
        <v>1538</v>
      </c>
      <c r="T292" s="28">
        <v>1538</v>
      </c>
      <c r="U292" s="28">
        <v>1538</v>
      </c>
      <c r="V292" s="28">
        <v>1538</v>
      </c>
      <c r="W292" s="28">
        <v>1538</v>
      </c>
      <c r="X292" s="28">
        <v>1538</v>
      </c>
      <c r="Y292" s="40">
        <v>1538</v>
      </c>
      <c r="AA292" s="52">
        <v>1538</v>
      </c>
      <c r="AB292" s="52">
        <v>641</v>
      </c>
    </row>
    <row r="293" spans="2:27" ht="11.25">
      <c r="B293" s="39" t="s">
        <v>322</v>
      </c>
      <c r="C293" s="82" t="s">
        <v>81</v>
      </c>
      <c r="D293" s="83"/>
      <c r="E293" s="50" t="s">
        <v>54</v>
      </c>
      <c r="F293" s="28">
        <v>0</v>
      </c>
      <c r="G293" s="28">
        <v>0</v>
      </c>
      <c r="H293" s="28">
        <v>18.319966230477007</v>
      </c>
      <c r="I293" s="28">
        <v>668.3907084609541</v>
      </c>
      <c r="J293" s="28">
        <v>703.595659171431</v>
      </c>
      <c r="K293" s="28">
        <v>727.1830452704</v>
      </c>
      <c r="L293" s="28">
        <v>743.3993843649921</v>
      </c>
      <c r="M293" s="28">
        <v>759.2913966776923</v>
      </c>
      <c r="N293" s="28">
        <v>774.8655687441385</v>
      </c>
      <c r="O293" s="28">
        <v>790.1282573692556</v>
      </c>
      <c r="P293" s="28">
        <v>805.0856922218707</v>
      </c>
      <c r="Q293" s="28">
        <v>819.7439783774332</v>
      </c>
      <c r="R293" s="28">
        <v>834.1090988098845</v>
      </c>
      <c r="S293" s="28">
        <v>848.1869168336871</v>
      </c>
      <c r="T293" s="28">
        <v>861.9831784970133</v>
      </c>
      <c r="U293" s="28">
        <v>875.503514927073</v>
      </c>
      <c r="V293" s="28">
        <v>888.7534446285315</v>
      </c>
      <c r="W293" s="28">
        <v>901.7383757359607</v>
      </c>
      <c r="X293" s="28">
        <v>914.4636082212417</v>
      </c>
      <c r="Y293" s="40">
        <v>926.9343360568168</v>
      </c>
      <c r="AA293" s="52">
        <v>641</v>
      </c>
    </row>
    <row r="294" spans="2:27" ht="11.25">
      <c r="B294" s="39" t="s">
        <v>323</v>
      </c>
      <c r="C294" s="82" t="s">
        <v>58</v>
      </c>
      <c r="D294" s="83"/>
      <c r="E294" s="50" t="s">
        <v>123</v>
      </c>
      <c r="F294" s="28">
        <v>0</v>
      </c>
      <c r="G294" s="28">
        <v>406.3359683794466</v>
      </c>
      <c r="H294" s="28">
        <v>73.3596837944664</v>
      </c>
      <c r="I294" s="28">
        <v>24.347826086956523</v>
      </c>
      <c r="J294" s="28">
        <v>9.356521739130436</v>
      </c>
      <c r="K294" s="28">
        <v>0</v>
      </c>
      <c r="L294" s="31">
        <v>0</v>
      </c>
      <c r="M294" s="31">
        <v>0</v>
      </c>
      <c r="N294" s="31">
        <v>0</v>
      </c>
      <c r="O294" s="31">
        <v>0</v>
      </c>
      <c r="P294" s="31">
        <v>0</v>
      </c>
      <c r="Q294" s="31">
        <v>0</v>
      </c>
      <c r="R294" s="31">
        <v>0</v>
      </c>
      <c r="S294" s="31">
        <v>0</v>
      </c>
      <c r="T294" s="31">
        <v>0</v>
      </c>
      <c r="U294" s="31">
        <v>0</v>
      </c>
      <c r="V294" s="31">
        <v>0</v>
      </c>
      <c r="W294" s="31">
        <v>0</v>
      </c>
      <c r="X294" s="31">
        <v>0</v>
      </c>
      <c r="Y294" s="46">
        <v>0</v>
      </c>
      <c r="AA294" s="52">
        <v>513.4</v>
      </c>
    </row>
    <row r="295" spans="2:27" ht="11.25">
      <c r="B295" s="39" t="s">
        <v>324</v>
      </c>
      <c r="C295" s="82" t="s">
        <v>24</v>
      </c>
      <c r="D295" s="83"/>
      <c r="E295" s="50" t="s">
        <v>123</v>
      </c>
      <c r="F295" s="28">
        <v>0</v>
      </c>
      <c r="G295" s="28">
        <v>60.95039525691699</v>
      </c>
      <c r="H295" s="28">
        <v>11.003952569169961</v>
      </c>
      <c r="I295" s="28">
        <v>3.6521739130434785</v>
      </c>
      <c r="J295" s="28">
        <v>1.4034782608695653</v>
      </c>
      <c r="K295" s="28">
        <v>0</v>
      </c>
      <c r="L295" s="28">
        <v>0</v>
      </c>
      <c r="M295" s="28">
        <v>0</v>
      </c>
      <c r="N295" s="28">
        <v>0</v>
      </c>
      <c r="O295" s="28">
        <v>0</v>
      </c>
      <c r="P295" s="28">
        <v>0</v>
      </c>
      <c r="Q295" s="28">
        <v>0</v>
      </c>
      <c r="R295" s="28">
        <v>0</v>
      </c>
      <c r="S295" s="28">
        <v>0</v>
      </c>
      <c r="T295" s="28">
        <v>0</v>
      </c>
      <c r="U295" s="28">
        <v>0</v>
      </c>
      <c r="V295" s="31">
        <v>0</v>
      </c>
      <c r="W295" s="31">
        <v>0</v>
      </c>
      <c r="X295" s="31">
        <v>0</v>
      </c>
      <c r="Y295" s="46">
        <v>0</v>
      </c>
      <c r="AA295" s="54">
        <f>+AA294*'Assumptions and Basic Info'!$C$4</f>
        <v>513.4</v>
      </c>
    </row>
    <row r="296" spans="2:27" ht="11.25">
      <c r="B296" s="39" t="s">
        <v>325</v>
      </c>
      <c r="C296" s="82" t="s">
        <v>83</v>
      </c>
      <c r="D296" s="83"/>
      <c r="E296" s="50" t="s">
        <v>123</v>
      </c>
      <c r="F296" s="28">
        <v>0</v>
      </c>
      <c r="G296" s="28">
        <v>46.448636363636375</v>
      </c>
      <c r="H296" s="28">
        <v>8.156363636363636</v>
      </c>
      <c r="I296" s="28">
        <v>2.52</v>
      </c>
      <c r="J296" s="28">
        <v>0.9684000000000001</v>
      </c>
      <c r="K296" s="28">
        <v>0</v>
      </c>
      <c r="L296" s="28">
        <v>0</v>
      </c>
      <c r="M296" s="28">
        <v>0</v>
      </c>
      <c r="N296" s="28">
        <v>0</v>
      </c>
      <c r="O296" s="28">
        <v>0</v>
      </c>
      <c r="P296" s="28">
        <v>0</v>
      </c>
      <c r="Q296" s="28">
        <v>0</v>
      </c>
      <c r="R296" s="28">
        <v>0</v>
      </c>
      <c r="S296" s="28">
        <v>0</v>
      </c>
      <c r="T296" s="28">
        <v>0</v>
      </c>
      <c r="U296" s="28">
        <v>0</v>
      </c>
      <c r="V296" s="31">
        <v>0</v>
      </c>
      <c r="W296" s="31">
        <v>0</v>
      </c>
      <c r="X296" s="31">
        <v>0</v>
      </c>
      <c r="Y296" s="46">
        <v>0</v>
      </c>
      <c r="AA296" s="54">
        <v>58.093399999999995</v>
      </c>
    </row>
    <row r="297" spans="2:27" ht="11.25">
      <c r="B297" s="39" t="s">
        <v>326</v>
      </c>
      <c r="C297" s="82" t="s">
        <v>82</v>
      </c>
      <c r="D297" s="83"/>
      <c r="E297" s="50" t="s">
        <v>123</v>
      </c>
      <c r="F297" s="28">
        <v>0</v>
      </c>
      <c r="G297" s="28">
        <v>0</v>
      </c>
      <c r="H297" s="28">
        <v>15.106850000000001</v>
      </c>
      <c r="I297" s="28">
        <v>17.57725</v>
      </c>
      <c r="J297" s="28">
        <v>18.187649999999998</v>
      </c>
      <c r="K297" s="28">
        <v>18.422218</v>
      </c>
      <c r="L297" s="28">
        <v>18.422218</v>
      </c>
      <c r="M297" s="28">
        <v>18.422218</v>
      </c>
      <c r="N297" s="28">
        <v>18.422218</v>
      </c>
      <c r="O297" s="28">
        <v>18.422218</v>
      </c>
      <c r="P297" s="28">
        <v>18.422218</v>
      </c>
      <c r="Q297" s="28">
        <v>18.422218</v>
      </c>
      <c r="R297" s="28">
        <v>18.422218</v>
      </c>
      <c r="S297" s="28">
        <v>18.422218</v>
      </c>
      <c r="T297" s="28">
        <v>18.422218</v>
      </c>
      <c r="U297" s="28">
        <v>18.422218</v>
      </c>
      <c r="V297" s="28">
        <v>18.422218</v>
      </c>
      <c r="W297" s="28">
        <v>18.422218</v>
      </c>
      <c r="X297" s="28">
        <v>18.422218</v>
      </c>
      <c r="Y297" s="40">
        <v>18.422218</v>
      </c>
      <c r="AA297" s="52"/>
    </row>
    <row r="298" spans="2:27" ht="11.25">
      <c r="B298" s="39" t="s">
        <v>608</v>
      </c>
      <c r="C298" s="82" t="s">
        <v>578</v>
      </c>
      <c r="D298" s="83"/>
      <c r="E298" s="50" t="s">
        <v>118</v>
      </c>
      <c r="F298" s="28">
        <v>0</v>
      </c>
      <c r="G298" s="28">
        <v>14.3</v>
      </c>
      <c r="H298" s="28">
        <v>0</v>
      </c>
      <c r="I298" s="28">
        <v>0</v>
      </c>
      <c r="J298" s="28">
        <v>0</v>
      </c>
      <c r="K298" s="28">
        <v>0</v>
      </c>
      <c r="L298" s="28">
        <v>0</v>
      </c>
      <c r="M298" s="28">
        <v>0</v>
      </c>
      <c r="N298" s="28">
        <v>0</v>
      </c>
      <c r="O298" s="28">
        <v>0</v>
      </c>
      <c r="P298" s="28">
        <v>0</v>
      </c>
      <c r="Q298" s="28">
        <v>0</v>
      </c>
      <c r="R298" s="28">
        <v>0</v>
      </c>
      <c r="S298" s="28">
        <v>0</v>
      </c>
      <c r="T298" s="28">
        <v>0</v>
      </c>
      <c r="U298" s="28">
        <v>0</v>
      </c>
      <c r="V298" s="28">
        <v>0</v>
      </c>
      <c r="W298" s="28">
        <v>0</v>
      </c>
      <c r="X298" s="28">
        <v>0</v>
      </c>
      <c r="Y298" s="40">
        <v>0</v>
      </c>
      <c r="AA298" s="52">
        <v>14.3</v>
      </c>
    </row>
    <row r="299" spans="2:27" ht="11.25">
      <c r="B299" s="39" t="s">
        <v>719</v>
      </c>
      <c r="C299" s="82" t="s">
        <v>691</v>
      </c>
      <c r="D299" s="83"/>
      <c r="E299" s="50" t="s">
        <v>118</v>
      </c>
      <c r="F299" s="28">
        <v>0</v>
      </c>
      <c r="G299" s="28">
        <v>0</v>
      </c>
      <c r="H299" s="28">
        <v>6.302068383284086</v>
      </c>
      <c r="I299" s="28">
        <v>205.47806838328407</v>
      </c>
      <c r="J299" s="28">
        <v>6.302068383284086</v>
      </c>
      <c r="K299" s="28">
        <v>2.421794850147741</v>
      </c>
      <c r="L299" s="28">
        <v>0</v>
      </c>
      <c r="M299" s="28">
        <v>0</v>
      </c>
      <c r="N299" s="28">
        <v>0</v>
      </c>
      <c r="O299" s="28">
        <v>0</v>
      </c>
      <c r="P299" s="28">
        <v>0</v>
      </c>
      <c r="Q299" s="28">
        <v>0</v>
      </c>
      <c r="R299" s="28">
        <v>0</v>
      </c>
      <c r="S299" s="28">
        <v>0</v>
      </c>
      <c r="T299" s="28">
        <v>0</v>
      </c>
      <c r="U299" s="28">
        <v>0</v>
      </c>
      <c r="V299" s="28">
        <v>0</v>
      </c>
      <c r="W299" s="28">
        <v>0</v>
      </c>
      <c r="X299" s="28">
        <v>0</v>
      </c>
      <c r="Y299" s="40">
        <v>0</v>
      </c>
      <c r="AA299" s="52"/>
    </row>
    <row r="300" spans="2:27" ht="11.25">
      <c r="B300" s="39" t="s">
        <v>327</v>
      </c>
      <c r="C300" s="82" t="s">
        <v>720</v>
      </c>
      <c r="D300" s="83"/>
      <c r="E300" s="50" t="s">
        <v>123</v>
      </c>
      <c r="F300" s="28">
        <v>0</v>
      </c>
      <c r="G300" s="28">
        <v>528.035</v>
      </c>
      <c r="H300" s="28">
        <v>113.9289183832841</v>
      </c>
      <c r="I300" s="28">
        <v>253.57531838328407</v>
      </c>
      <c r="J300" s="28">
        <v>36.218118383284086</v>
      </c>
      <c r="K300" s="28">
        <v>20.84401285014774</v>
      </c>
      <c r="L300" s="28">
        <v>18.422218</v>
      </c>
      <c r="M300" s="28">
        <v>18.422218</v>
      </c>
      <c r="N300" s="28">
        <v>18.422218</v>
      </c>
      <c r="O300" s="28">
        <v>18.422218</v>
      </c>
      <c r="P300" s="28">
        <v>18.422218</v>
      </c>
      <c r="Q300" s="28">
        <v>18.422218</v>
      </c>
      <c r="R300" s="28">
        <v>18.422218</v>
      </c>
      <c r="S300" s="28">
        <v>18.422218</v>
      </c>
      <c r="T300" s="28">
        <v>18.422218</v>
      </c>
      <c r="U300" s="28">
        <v>18.422218</v>
      </c>
      <c r="V300" s="28">
        <v>18.422218</v>
      </c>
      <c r="W300" s="28">
        <v>18.422218</v>
      </c>
      <c r="X300" s="28">
        <v>18.422218</v>
      </c>
      <c r="Y300" s="40">
        <v>18.422218</v>
      </c>
      <c r="AA300" s="52">
        <f>+AA294+AA295+AA296</f>
        <v>1084.8934</v>
      </c>
    </row>
    <row r="301" spans="2:27" ht="11.25">
      <c r="B301" s="39" t="s">
        <v>328</v>
      </c>
      <c r="C301" s="82" t="s">
        <v>128</v>
      </c>
      <c r="D301" s="83"/>
      <c r="E301" s="50" t="s">
        <v>123</v>
      </c>
      <c r="F301" s="28">
        <v>0</v>
      </c>
      <c r="G301" s="28">
        <v>0</v>
      </c>
      <c r="H301" s="28">
        <v>1.1808047884122082</v>
      </c>
      <c r="I301" s="28">
        <v>87.06342314277167</v>
      </c>
      <c r="J301" s="28">
        <v>-9.317901899550039</v>
      </c>
      <c r="K301" s="28">
        <v>36.914501061381785</v>
      </c>
      <c r="L301" s="28">
        <v>384.46109252303967</v>
      </c>
      <c r="M301" s="28">
        <v>651.5218515967766</v>
      </c>
      <c r="N301" s="28">
        <v>742.0734519932469</v>
      </c>
      <c r="O301" s="28">
        <v>761.5960055994846</v>
      </c>
      <c r="P301" s="28">
        <v>776.786067617995</v>
      </c>
      <c r="Q301" s="28">
        <v>790.929099311149</v>
      </c>
      <c r="R301" s="28">
        <v>804.7892703704399</v>
      </c>
      <c r="S301" s="28">
        <v>818.3722380085451</v>
      </c>
      <c r="T301" s="28">
        <v>831.6835462938881</v>
      </c>
      <c r="U301" s="28">
        <v>844.7286284135242</v>
      </c>
      <c r="V301" s="28">
        <v>857.5128088907677</v>
      </c>
      <c r="W301" s="28">
        <v>870.0413057584663</v>
      </c>
      <c r="X301" s="28">
        <v>882.3192326888109</v>
      </c>
      <c r="Y301" s="40">
        <v>894.3516010805487</v>
      </c>
      <c r="AA301" s="52"/>
    </row>
    <row r="302" spans="2:27" ht="11.25">
      <c r="B302" s="39" t="s">
        <v>329</v>
      </c>
      <c r="C302" s="82" t="s">
        <v>330</v>
      </c>
      <c r="D302" s="83"/>
      <c r="E302" s="50" t="s">
        <v>123</v>
      </c>
      <c r="F302" s="28">
        <v>0</v>
      </c>
      <c r="G302" s="28">
        <v>0</v>
      </c>
      <c r="H302" s="28">
        <v>1.1808047884122082</v>
      </c>
      <c r="I302" s="28">
        <v>87.06342314277167</v>
      </c>
      <c r="J302" s="28">
        <v>-9.317901899550039</v>
      </c>
      <c r="K302" s="28">
        <v>36.914501061381785</v>
      </c>
      <c r="L302" s="28">
        <v>384.46109252303967</v>
      </c>
      <c r="M302" s="28">
        <v>651.5218515967766</v>
      </c>
      <c r="N302" s="28">
        <v>742.0734519932469</v>
      </c>
      <c r="O302" s="28">
        <v>761.5960055994846</v>
      </c>
      <c r="P302" s="28">
        <v>776.786067617995</v>
      </c>
      <c r="Q302" s="28">
        <v>790.929099311149</v>
      </c>
      <c r="R302" s="28">
        <v>804.7892703704399</v>
      </c>
      <c r="S302" s="28">
        <v>818.3722380085451</v>
      </c>
      <c r="T302" s="28">
        <v>831.6835462938881</v>
      </c>
      <c r="U302" s="28">
        <v>844.7286284135242</v>
      </c>
      <c r="V302" s="28">
        <v>857.5128088907677</v>
      </c>
      <c r="W302" s="28">
        <v>870.0413057584663</v>
      </c>
      <c r="X302" s="28">
        <v>882.3192326888109</v>
      </c>
      <c r="Y302" s="40">
        <v>894.3516010805487</v>
      </c>
      <c r="AA302" s="52"/>
    </row>
    <row r="303" spans="2:27" ht="11.25">
      <c r="B303" s="39" t="s">
        <v>331</v>
      </c>
      <c r="C303" s="84" t="s">
        <v>485</v>
      </c>
      <c r="D303" s="85"/>
      <c r="E303" s="50" t="s">
        <v>123</v>
      </c>
      <c r="F303" s="28">
        <v>0</v>
      </c>
      <c r="G303" s="28">
        <v>-528.035</v>
      </c>
      <c r="H303" s="28">
        <v>-112.7481135948719</v>
      </c>
      <c r="I303" s="28">
        <v>-166.5118952405124</v>
      </c>
      <c r="J303" s="28">
        <v>-45.53602028283412</v>
      </c>
      <c r="K303" s="28">
        <v>16.070488211234043</v>
      </c>
      <c r="L303" s="28">
        <v>366.0388745230397</v>
      </c>
      <c r="M303" s="28">
        <v>633.0996335967766</v>
      </c>
      <c r="N303" s="28">
        <v>723.6512339932468</v>
      </c>
      <c r="O303" s="28">
        <v>743.1737875994845</v>
      </c>
      <c r="P303" s="28">
        <v>758.3638496179949</v>
      </c>
      <c r="Q303" s="28">
        <v>772.506881311149</v>
      </c>
      <c r="R303" s="28">
        <v>786.3670523704399</v>
      </c>
      <c r="S303" s="28">
        <v>799.950020008545</v>
      </c>
      <c r="T303" s="28">
        <v>813.261328293888</v>
      </c>
      <c r="U303" s="28">
        <v>826.3064104135242</v>
      </c>
      <c r="V303" s="28">
        <v>839.0905908907677</v>
      </c>
      <c r="W303" s="28">
        <v>851.6190877584662</v>
      </c>
      <c r="X303" s="28">
        <v>863.8970146888108</v>
      </c>
      <c r="Y303" s="40">
        <v>875.9293830805486</v>
      </c>
      <c r="AA303" s="52"/>
    </row>
    <row r="304" spans="2:27" ht="11.25">
      <c r="B304" s="114" t="s">
        <v>332</v>
      </c>
      <c r="C304" s="91" t="s">
        <v>121</v>
      </c>
      <c r="D304" s="78">
        <f>+AA300</f>
        <v>1084.8934</v>
      </c>
      <c r="E304" s="94"/>
      <c r="F304" s="73"/>
      <c r="G304" s="73"/>
      <c r="H304" s="73"/>
      <c r="I304" s="73"/>
      <c r="J304" s="73"/>
      <c r="K304" s="73"/>
      <c r="L304" s="73"/>
      <c r="M304" s="73"/>
      <c r="N304" s="73"/>
      <c r="O304" s="73"/>
      <c r="P304" s="73"/>
      <c r="Q304" s="73"/>
      <c r="R304" s="73"/>
      <c r="S304" s="73"/>
      <c r="T304" s="73"/>
      <c r="U304" s="73"/>
      <c r="V304" s="73"/>
      <c r="W304" s="73"/>
      <c r="X304" s="73"/>
      <c r="Y304" s="74"/>
      <c r="AA304" s="52"/>
    </row>
    <row r="305" spans="2:27" ht="11.25">
      <c r="B305" s="90" t="s">
        <v>609</v>
      </c>
      <c r="C305" s="92" t="s">
        <v>596</v>
      </c>
      <c r="D305" s="113">
        <f>+AA298</f>
        <v>14.3</v>
      </c>
      <c r="E305" s="95"/>
      <c r="F305" s="54"/>
      <c r="G305" s="54"/>
      <c r="H305" s="54"/>
      <c r="I305" s="54"/>
      <c r="J305" s="54"/>
      <c r="K305" s="54"/>
      <c r="L305" s="54"/>
      <c r="M305" s="54"/>
      <c r="N305" s="54"/>
      <c r="O305" s="54"/>
      <c r="P305" s="54"/>
      <c r="Q305" s="54"/>
      <c r="R305" s="54"/>
      <c r="S305" s="54"/>
      <c r="T305" s="54"/>
      <c r="U305" s="54"/>
      <c r="V305" s="54"/>
      <c r="W305" s="54"/>
      <c r="X305" s="54"/>
      <c r="Y305" s="75"/>
      <c r="AA305" s="52"/>
    </row>
    <row r="306" spans="2:27" ht="11.25">
      <c r="B306" s="90" t="s">
        <v>334</v>
      </c>
      <c r="C306" s="92" t="s">
        <v>57</v>
      </c>
      <c r="D306" s="79">
        <f>+IRR(F303:Y303)</f>
        <v>0.30182607720944454</v>
      </c>
      <c r="E306" s="95"/>
      <c r="F306" s="88"/>
      <c r="G306" s="54"/>
      <c r="H306" s="54"/>
      <c r="I306" s="54"/>
      <c r="J306" s="54"/>
      <c r="K306" s="54"/>
      <c r="L306" s="54"/>
      <c r="M306" s="54"/>
      <c r="N306" s="54"/>
      <c r="O306" s="54"/>
      <c r="P306" s="54"/>
      <c r="Q306" s="54"/>
      <c r="R306" s="54"/>
      <c r="S306" s="54"/>
      <c r="T306" s="54"/>
      <c r="U306" s="54"/>
      <c r="V306" s="54"/>
      <c r="W306" s="54"/>
      <c r="X306" s="54"/>
      <c r="Y306" s="75"/>
      <c r="AA306" s="52"/>
    </row>
    <row r="307" spans="2:27" ht="12" thickBot="1">
      <c r="B307" s="122" t="s">
        <v>333</v>
      </c>
      <c r="C307" s="102" t="s">
        <v>120</v>
      </c>
      <c r="D307" s="103">
        <f>+NPV('Assumptions and Basic Info'!$C$20,F303:Y303)</f>
        <v>2338.1048154317014</v>
      </c>
      <c r="E307" s="108"/>
      <c r="F307" s="105"/>
      <c r="G307" s="127"/>
      <c r="H307" s="105"/>
      <c r="I307" s="105"/>
      <c r="J307" s="105"/>
      <c r="K307" s="105"/>
      <c r="L307" s="105"/>
      <c r="M307" s="105"/>
      <c r="N307" s="105"/>
      <c r="O307" s="105"/>
      <c r="P307" s="105"/>
      <c r="Q307" s="105"/>
      <c r="R307" s="105"/>
      <c r="S307" s="105"/>
      <c r="T307" s="105"/>
      <c r="U307" s="105"/>
      <c r="V307" s="105"/>
      <c r="W307" s="105"/>
      <c r="X307" s="105"/>
      <c r="Y307" s="106"/>
      <c r="AA307" s="52"/>
    </row>
    <row r="308" spans="2:27" ht="11.25">
      <c r="B308" s="44" t="s">
        <v>336</v>
      </c>
      <c r="C308" s="23" t="s">
        <v>355</v>
      </c>
      <c r="D308" s="23"/>
      <c r="E308" s="51"/>
      <c r="F308" s="24"/>
      <c r="G308" s="24"/>
      <c r="H308" s="24"/>
      <c r="I308" s="24"/>
      <c r="J308" s="24"/>
      <c r="K308" s="24"/>
      <c r="L308" s="24"/>
      <c r="M308" s="24"/>
      <c r="N308" s="24"/>
      <c r="O308" s="24"/>
      <c r="P308" s="24"/>
      <c r="Q308" s="24"/>
      <c r="R308" s="24"/>
      <c r="S308" s="24"/>
      <c r="T308" s="24"/>
      <c r="U308" s="24"/>
      <c r="V308" s="24"/>
      <c r="W308" s="24"/>
      <c r="X308" s="24"/>
      <c r="Y308" s="45"/>
      <c r="AA308" s="52"/>
    </row>
    <row r="309" spans="2:28" ht="11.25">
      <c r="B309" s="37" t="s">
        <v>337</v>
      </c>
      <c r="C309" s="80" t="s">
        <v>124</v>
      </c>
      <c r="D309" s="81"/>
      <c r="E309" s="49" t="s">
        <v>54</v>
      </c>
      <c r="F309" s="27">
        <v>724</v>
      </c>
      <c r="G309" s="27">
        <v>667.3333333333333</v>
      </c>
      <c r="H309" s="27">
        <v>610.6666666666665</v>
      </c>
      <c r="I309" s="27">
        <v>554</v>
      </c>
      <c r="J309" s="27">
        <v>497.33333333333326</v>
      </c>
      <c r="K309" s="27">
        <v>440.66666666666663</v>
      </c>
      <c r="L309" s="27">
        <v>384</v>
      </c>
      <c r="M309" s="27">
        <v>327.33333333333326</v>
      </c>
      <c r="N309" s="27">
        <v>270.66666666666663</v>
      </c>
      <c r="O309" s="27">
        <v>214</v>
      </c>
      <c r="P309" s="27">
        <v>214</v>
      </c>
      <c r="Q309" s="27">
        <v>214</v>
      </c>
      <c r="R309" s="27">
        <v>214</v>
      </c>
      <c r="S309" s="27">
        <v>214</v>
      </c>
      <c r="T309" s="27">
        <v>214</v>
      </c>
      <c r="U309" s="27">
        <v>214</v>
      </c>
      <c r="V309" s="27">
        <v>214</v>
      </c>
      <c r="W309" s="27">
        <v>214</v>
      </c>
      <c r="X309" s="27">
        <v>214</v>
      </c>
      <c r="Y309" s="38">
        <v>214</v>
      </c>
      <c r="AA309" s="52">
        <v>724</v>
      </c>
      <c r="AB309" s="116" t="s">
        <v>126</v>
      </c>
    </row>
    <row r="310" spans="2:28" ht="11.25">
      <c r="B310" s="39" t="s">
        <v>338</v>
      </c>
      <c r="C310" s="82" t="s">
        <v>125</v>
      </c>
      <c r="D310" s="83"/>
      <c r="E310" s="50" t="s">
        <v>54</v>
      </c>
      <c r="F310" s="28">
        <v>724</v>
      </c>
      <c r="G310" s="28">
        <v>667.3333333333333</v>
      </c>
      <c r="H310" s="28">
        <v>630.2112544400821</v>
      </c>
      <c r="I310" s="28">
        <v>593.0891755468311</v>
      </c>
      <c r="J310" s="28">
        <v>1540.6337633202468</v>
      </c>
      <c r="K310" s="28">
        <v>1548</v>
      </c>
      <c r="L310" s="28">
        <v>1548</v>
      </c>
      <c r="M310" s="28">
        <v>1548</v>
      </c>
      <c r="N310" s="28">
        <v>1548</v>
      </c>
      <c r="O310" s="28">
        <v>1548</v>
      </c>
      <c r="P310" s="28">
        <v>1548</v>
      </c>
      <c r="Q310" s="28">
        <v>1548</v>
      </c>
      <c r="R310" s="28">
        <v>1548</v>
      </c>
      <c r="S310" s="28">
        <v>1548</v>
      </c>
      <c r="T310" s="28">
        <v>1548</v>
      </c>
      <c r="U310" s="28">
        <v>1548</v>
      </c>
      <c r="V310" s="28">
        <v>1548</v>
      </c>
      <c r="W310" s="28">
        <v>1548</v>
      </c>
      <c r="X310" s="28">
        <v>1548</v>
      </c>
      <c r="Y310" s="40">
        <v>1548</v>
      </c>
      <c r="AA310" s="52">
        <v>1548</v>
      </c>
      <c r="AB310" s="116" t="s">
        <v>127</v>
      </c>
    </row>
    <row r="311" spans="2:29" ht="11.25">
      <c r="B311" s="39" t="s">
        <v>339</v>
      </c>
      <c r="C311" s="82" t="s">
        <v>81</v>
      </c>
      <c r="D311" s="83"/>
      <c r="E311" s="50" t="s">
        <v>54</v>
      </c>
      <c r="F311" s="28">
        <v>0</v>
      </c>
      <c r="G311" s="28">
        <v>0</v>
      </c>
      <c r="H311" s="28">
        <v>19.54458777341563</v>
      </c>
      <c r="I311" s="28">
        <v>39.08917554683114</v>
      </c>
      <c r="J311" s="28">
        <v>1043.3004299869135</v>
      </c>
      <c r="K311" s="28">
        <v>1107.3333333333335</v>
      </c>
      <c r="L311" s="28">
        <v>1164</v>
      </c>
      <c r="M311" s="28">
        <v>1220.6666666666667</v>
      </c>
      <c r="N311" s="28">
        <v>1277.3333333333335</v>
      </c>
      <c r="O311" s="28">
        <v>1334</v>
      </c>
      <c r="P311" s="28">
        <v>1334</v>
      </c>
      <c r="Q311" s="28">
        <v>1334</v>
      </c>
      <c r="R311" s="28">
        <v>1334</v>
      </c>
      <c r="S311" s="28">
        <v>1334</v>
      </c>
      <c r="T311" s="28">
        <v>1334</v>
      </c>
      <c r="U311" s="28">
        <v>1334</v>
      </c>
      <c r="V311" s="28">
        <v>1334</v>
      </c>
      <c r="W311" s="28">
        <v>1334</v>
      </c>
      <c r="X311" s="28">
        <v>1334</v>
      </c>
      <c r="Y311" s="40">
        <v>1334</v>
      </c>
      <c r="AA311" s="52">
        <v>824</v>
      </c>
      <c r="AB311" s="116" t="s">
        <v>127</v>
      </c>
      <c r="AC311" s="52">
        <v>824</v>
      </c>
    </row>
    <row r="312" spans="2:28" ht="11.25">
      <c r="B312" s="39" t="s">
        <v>340</v>
      </c>
      <c r="C312" s="82" t="s">
        <v>65</v>
      </c>
      <c r="D312" s="83"/>
      <c r="E312" s="50" t="s">
        <v>119</v>
      </c>
      <c r="F312" s="28">
        <v>0</v>
      </c>
      <c r="G312" s="28">
        <v>0</v>
      </c>
      <c r="H312" s="28">
        <v>0</v>
      </c>
      <c r="I312" s="28">
        <v>0</v>
      </c>
      <c r="J312" s="28">
        <v>1666.6666666666665</v>
      </c>
      <c r="K312" s="28">
        <v>1333.3333333333333</v>
      </c>
      <c r="L312" s="28">
        <v>1000</v>
      </c>
      <c r="M312" s="28">
        <v>666.6666666666667</v>
      </c>
      <c r="N312" s="28">
        <v>333.3333333333334</v>
      </c>
      <c r="O312" s="28">
        <v>0</v>
      </c>
      <c r="P312" s="28">
        <v>0</v>
      </c>
      <c r="Q312" s="28">
        <v>0</v>
      </c>
      <c r="R312" s="28">
        <v>0</v>
      </c>
      <c r="S312" s="28">
        <v>0</v>
      </c>
      <c r="T312" s="28">
        <v>0</v>
      </c>
      <c r="U312" s="28">
        <v>0</v>
      </c>
      <c r="V312" s="28">
        <v>0</v>
      </c>
      <c r="W312" s="28">
        <v>0</v>
      </c>
      <c r="X312" s="28">
        <v>0</v>
      </c>
      <c r="Y312" s="40">
        <v>0</v>
      </c>
      <c r="AA312" s="52">
        <v>3000</v>
      </c>
      <c r="AB312" s="116" t="s">
        <v>127</v>
      </c>
    </row>
    <row r="313" spans="2:27" ht="11.25">
      <c r="B313" s="39" t="s">
        <v>341</v>
      </c>
      <c r="C313" s="82" t="s">
        <v>58</v>
      </c>
      <c r="D313" s="83"/>
      <c r="E313" s="50" t="s">
        <v>123</v>
      </c>
      <c r="F313" s="28">
        <v>0</v>
      </c>
      <c r="G313" s="28">
        <v>245.21739130434787</v>
      </c>
      <c r="H313" s="28">
        <v>855.6521739130436</v>
      </c>
      <c r="I313" s="28">
        <v>450.4478260869563</v>
      </c>
      <c r="J313" s="28">
        <v>15.731225296442673</v>
      </c>
      <c r="K313" s="28">
        <v>0</v>
      </c>
      <c r="L313" s="28">
        <v>0</v>
      </c>
      <c r="M313" s="28">
        <v>0</v>
      </c>
      <c r="N313" s="28">
        <v>0</v>
      </c>
      <c r="O313" s="28">
        <v>0</v>
      </c>
      <c r="P313" s="28">
        <v>0</v>
      </c>
      <c r="Q313" s="28">
        <v>0</v>
      </c>
      <c r="R313" s="28">
        <v>0</v>
      </c>
      <c r="S313" s="31">
        <v>0</v>
      </c>
      <c r="T313" s="31">
        <v>0</v>
      </c>
      <c r="U313" s="31">
        <v>0</v>
      </c>
      <c r="V313" s="31">
        <v>0</v>
      </c>
      <c r="W313" s="31">
        <v>0</v>
      </c>
      <c r="X313" s="31">
        <v>0</v>
      </c>
      <c r="Y313" s="46">
        <v>0</v>
      </c>
      <c r="AA313" s="52">
        <v>1567.0486166007904</v>
      </c>
    </row>
    <row r="314" spans="2:27" ht="11.25">
      <c r="B314" s="39" t="s">
        <v>342</v>
      </c>
      <c r="C314" s="82" t="s">
        <v>24</v>
      </c>
      <c r="D314" s="83"/>
      <c r="E314" s="50" t="s">
        <v>123</v>
      </c>
      <c r="F314" s="28">
        <v>0</v>
      </c>
      <c r="G314" s="28">
        <v>36.78260869565218</v>
      </c>
      <c r="H314" s="28">
        <v>128.34782608695653</v>
      </c>
      <c r="I314" s="28">
        <v>67.56717391304345</v>
      </c>
      <c r="J314" s="28">
        <v>2.359683794466401</v>
      </c>
      <c r="K314" s="28">
        <v>0</v>
      </c>
      <c r="L314" s="28">
        <v>0</v>
      </c>
      <c r="M314" s="28">
        <v>0</v>
      </c>
      <c r="N314" s="28">
        <v>0</v>
      </c>
      <c r="O314" s="28">
        <v>0</v>
      </c>
      <c r="P314" s="28">
        <v>0</v>
      </c>
      <c r="Q314" s="28">
        <v>0</v>
      </c>
      <c r="R314" s="28">
        <v>0</v>
      </c>
      <c r="S314" s="28">
        <v>0</v>
      </c>
      <c r="T314" s="28">
        <v>0</v>
      </c>
      <c r="U314" s="28">
        <v>0</v>
      </c>
      <c r="V314" s="31">
        <v>0</v>
      </c>
      <c r="W314" s="31">
        <v>0</v>
      </c>
      <c r="X314" s="31">
        <v>0</v>
      </c>
      <c r="Y314" s="46">
        <v>0</v>
      </c>
      <c r="AA314" s="54">
        <f>+AA313*'Assumptions and Basic Info'!$C$4</f>
        <v>1567.0486166007904</v>
      </c>
    </row>
    <row r="315" spans="2:27" ht="11.25">
      <c r="B315" s="39" t="s">
        <v>343</v>
      </c>
      <c r="C315" s="82" t="s">
        <v>83</v>
      </c>
      <c r="D315" s="83"/>
      <c r="E315" s="50" t="s">
        <v>123</v>
      </c>
      <c r="F315" s="28">
        <v>73.800675</v>
      </c>
      <c r="G315" s="28">
        <v>14.85</v>
      </c>
      <c r="H315" s="28">
        <v>46.44</v>
      </c>
      <c r="I315" s="28">
        <v>25.47067499999999</v>
      </c>
      <c r="J315" s="28">
        <v>1.6281818181818168</v>
      </c>
      <c r="K315" s="28">
        <v>0</v>
      </c>
      <c r="L315" s="28">
        <v>0</v>
      </c>
      <c r="M315" s="28">
        <v>0</v>
      </c>
      <c r="N315" s="28">
        <v>0</v>
      </c>
      <c r="O315" s="28">
        <v>0</v>
      </c>
      <c r="P315" s="28">
        <v>0</v>
      </c>
      <c r="Q315" s="28">
        <v>0</v>
      </c>
      <c r="R315" s="28">
        <v>0</v>
      </c>
      <c r="S315" s="28">
        <v>0</v>
      </c>
      <c r="T315" s="28">
        <v>0</v>
      </c>
      <c r="U315" s="28">
        <v>0</v>
      </c>
      <c r="V315" s="31">
        <v>0</v>
      </c>
      <c r="W315" s="31">
        <v>0</v>
      </c>
      <c r="X315" s="31">
        <v>0</v>
      </c>
      <c r="Y315" s="46">
        <v>0</v>
      </c>
      <c r="AA315" s="54">
        <v>162.18953181818182</v>
      </c>
    </row>
    <row r="316" spans="2:27" ht="11.25">
      <c r="B316" s="39" t="s">
        <v>344</v>
      </c>
      <c r="C316" s="82" t="s">
        <v>82</v>
      </c>
      <c r="D316" s="83"/>
      <c r="E316" s="50" t="s">
        <v>123</v>
      </c>
      <c r="F316" s="28">
        <v>0</v>
      </c>
      <c r="G316" s="28">
        <v>1.4760135</v>
      </c>
      <c r="H316" s="28">
        <v>7.413013500000001</v>
      </c>
      <c r="I316" s="28">
        <v>28.02181350000001</v>
      </c>
      <c r="J316" s="28">
        <v>38.89152700000001</v>
      </c>
      <c r="K316" s="28">
        <v>39.285908818181824</v>
      </c>
      <c r="L316" s="28">
        <v>39.285908818181824</v>
      </c>
      <c r="M316" s="28">
        <v>39.285908818181824</v>
      </c>
      <c r="N316" s="28">
        <v>39.285908818181824</v>
      </c>
      <c r="O316" s="28">
        <v>39.285908818181824</v>
      </c>
      <c r="P316" s="28">
        <v>39.285908818181824</v>
      </c>
      <c r="Q316" s="28">
        <v>39.285908818181824</v>
      </c>
      <c r="R316" s="28">
        <v>39.285908818181824</v>
      </c>
      <c r="S316" s="28">
        <v>39.285908818181824</v>
      </c>
      <c r="T316" s="28">
        <v>39.285908818181824</v>
      </c>
      <c r="U316" s="28">
        <v>39.285908818181824</v>
      </c>
      <c r="V316" s="28">
        <v>39.285908818181824</v>
      </c>
      <c r="W316" s="28">
        <v>39.285908818181824</v>
      </c>
      <c r="X316" s="28">
        <v>39.285908818181824</v>
      </c>
      <c r="Y316" s="40">
        <v>39.285908818181824</v>
      </c>
      <c r="AA316" s="52"/>
    </row>
    <row r="317" spans="2:27" ht="11.25">
      <c r="B317" s="39" t="s">
        <v>627</v>
      </c>
      <c r="C317" s="82" t="s">
        <v>578</v>
      </c>
      <c r="D317" s="83"/>
      <c r="E317" s="50" t="s">
        <v>118</v>
      </c>
      <c r="F317" s="28">
        <v>109.78</v>
      </c>
      <c r="G317" s="28">
        <v>0</v>
      </c>
      <c r="H317" s="28">
        <v>0</v>
      </c>
      <c r="I317" s="28">
        <v>0</v>
      </c>
      <c r="J317" s="28">
        <v>0</v>
      </c>
      <c r="K317" s="28">
        <v>0</v>
      </c>
      <c r="L317" s="28">
        <v>0</v>
      </c>
      <c r="M317" s="28">
        <v>0</v>
      </c>
      <c r="N317" s="28">
        <v>0</v>
      </c>
      <c r="O317" s="28">
        <v>0</v>
      </c>
      <c r="P317" s="28">
        <v>0</v>
      </c>
      <c r="Q317" s="28">
        <v>0</v>
      </c>
      <c r="R317" s="28">
        <v>0</v>
      </c>
      <c r="S317" s="28">
        <v>0</v>
      </c>
      <c r="T317" s="28">
        <v>0</v>
      </c>
      <c r="U317" s="28">
        <v>0</v>
      </c>
      <c r="V317" s="28">
        <v>0</v>
      </c>
      <c r="W317" s="28">
        <v>0</v>
      </c>
      <c r="X317" s="28">
        <v>0</v>
      </c>
      <c r="Y317" s="40">
        <v>0</v>
      </c>
      <c r="AA317" s="52">
        <v>109.78</v>
      </c>
    </row>
    <row r="318" spans="2:27" ht="11.25">
      <c r="B318" s="39" t="s">
        <v>721</v>
      </c>
      <c r="C318" s="82" t="s">
        <v>691</v>
      </c>
      <c r="D318" s="83"/>
      <c r="E318" s="50" t="s">
        <v>118</v>
      </c>
      <c r="F318" s="28">
        <v>0</v>
      </c>
      <c r="G318" s="28">
        <v>0</v>
      </c>
      <c r="H318" s="28">
        <v>0.33225799214806506</v>
      </c>
      <c r="I318" s="28">
        <v>0.33225799214806506</v>
      </c>
      <c r="J318" s="28">
        <v>13.218257992148065</v>
      </c>
      <c r="K318" s="28">
        <v>0.12522602355580478</v>
      </c>
      <c r="L318" s="28">
        <v>0</v>
      </c>
      <c r="M318" s="28">
        <v>0</v>
      </c>
      <c r="N318" s="28">
        <v>0</v>
      </c>
      <c r="O318" s="28">
        <v>0</v>
      </c>
      <c r="P318" s="28">
        <v>0</v>
      </c>
      <c r="Q318" s="28">
        <v>0</v>
      </c>
      <c r="R318" s="28">
        <v>0</v>
      </c>
      <c r="S318" s="28">
        <v>0</v>
      </c>
      <c r="T318" s="28">
        <v>0</v>
      </c>
      <c r="U318" s="28">
        <v>0</v>
      </c>
      <c r="V318" s="28">
        <v>0</v>
      </c>
      <c r="W318" s="28">
        <v>0</v>
      </c>
      <c r="X318" s="28">
        <v>0</v>
      </c>
      <c r="Y318" s="40">
        <v>0</v>
      </c>
      <c r="AA318" s="52"/>
    </row>
    <row r="319" spans="2:27" ht="11.25">
      <c r="B319" s="39" t="s">
        <v>345</v>
      </c>
      <c r="C319" s="82" t="s">
        <v>722</v>
      </c>
      <c r="D319" s="83"/>
      <c r="E319" s="50" t="s">
        <v>123</v>
      </c>
      <c r="F319" s="28">
        <v>183.58067499999999</v>
      </c>
      <c r="G319" s="28">
        <v>298.3260135000001</v>
      </c>
      <c r="H319" s="28">
        <v>1038.185271492148</v>
      </c>
      <c r="I319" s="28">
        <v>571.8397464921478</v>
      </c>
      <c r="J319" s="28">
        <v>71.82887590123897</v>
      </c>
      <c r="K319" s="28">
        <v>39.41113484173763</v>
      </c>
      <c r="L319" s="28">
        <v>39.285908818181824</v>
      </c>
      <c r="M319" s="28">
        <v>39.285908818181824</v>
      </c>
      <c r="N319" s="28">
        <v>39.285908818181824</v>
      </c>
      <c r="O319" s="28">
        <v>39.285908818181824</v>
      </c>
      <c r="P319" s="28">
        <v>39.285908818181824</v>
      </c>
      <c r="Q319" s="28">
        <v>39.285908818181824</v>
      </c>
      <c r="R319" s="28">
        <v>39.285908818181824</v>
      </c>
      <c r="S319" s="28">
        <v>39.285908818181824</v>
      </c>
      <c r="T319" s="28">
        <v>39.285908818181824</v>
      </c>
      <c r="U319" s="28">
        <v>39.285908818181824</v>
      </c>
      <c r="V319" s="28">
        <v>39.285908818181824</v>
      </c>
      <c r="W319" s="28">
        <v>39.285908818181824</v>
      </c>
      <c r="X319" s="28">
        <v>39.285908818181824</v>
      </c>
      <c r="Y319" s="40">
        <v>39.285908818181824</v>
      </c>
      <c r="AA319" s="52">
        <f>+AA313+AA314+AA315</f>
        <v>3296.2867650197627</v>
      </c>
    </row>
    <row r="320" spans="2:27" ht="11.25">
      <c r="B320" s="39" t="s">
        <v>346</v>
      </c>
      <c r="C320" s="82" t="s">
        <v>128</v>
      </c>
      <c r="D320" s="83"/>
      <c r="E320" s="50" t="s">
        <v>123</v>
      </c>
      <c r="F320" s="28">
        <v>0</v>
      </c>
      <c r="G320" s="28">
        <v>0</v>
      </c>
      <c r="H320" s="28">
        <v>5.735458607405815</v>
      </c>
      <c r="I320" s="28">
        <v>15.547657655901931</v>
      </c>
      <c r="J320" s="28">
        <v>420.06730661662584</v>
      </c>
      <c r="K320" s="28">
        <v>630.8402795421509</v>
      </c>
      <c r="L320" s="28">
        <v>840.7885584406607</v>
      </c>
      <c r="M320" s="28">
        <v>893.8595098015037</v>
      </c>
      <c r="N320" s="28">
        <v>946.0295185149639</v>
      </c>
      <c r="O320" s="28">
        <v>989.2969800757709</v>
      </c>
      <c r="P320" s="28">
        <v>989.3078547036564</v>
      </c>
      <c r="Q320" s="28">
        <v>989.3078547036564</v>
      </c>
      <c r="R320" s="28">
        <v>989.3078547036564</v>
      </c>
      <c r="S320" s="28">
        <v>989.3078547036564</v>
      </c>
      <c r="T320" s="28">
        <v>989.3078547036564</v>
      </c>
      <c r="U320" s="28">
        <v>989.3078547036564</v>
      </c>
      <c r="V320" s="28">
        <v>989.3078547036564</v>
      </c>
      <c r="W320" s="28">
        <v>989.3078547036564</v>
      </c>
      <c r="X320" s="28">
        <v>989.3078547036564</v>
      </c>
      <c r="Y320" s="40">
        <v>989.3078547036564</v>
      </c>
      <c r="AA320" s="52"/>
    </row>
    <row r="321" spans="2:27" ht="11.25">
      <c r="B321" s="39" t="s">
        <v>347</v>
      </c>
      <c r="C321" s="82" t="s">
        <v>63</v>
      </c>
      <c r="D321" s="83"/>
      <c r="E321" s="50" t="s">
        <v>123</v>
      </c>
      <c r="F321" s="28">
        <v>0</v>
      </c>
      <c r="G321" s="28">
        <v>0</v>
      </c>
      <c r="H321" s="28">
        <v>0</v>
      </c>
      <c r="I321" s="28">
        <v>0</v>
      </c>
      <c r="J321" s="28">
        <v>70.33333333333333</v>
      </c>
      <c r="K321" s="28">
        <v>56.266666666666666</v>
      </c>
      <c r="L321" s="28">
        <v>42.2</v>
      </c>
      <c r="M321" s="28">
        <v>28.13333333333334</v>
      </c>
      <c r="N321" s="28">
        <v>14.066666666666672</v>
      </c>
      <c r="O321" s="28">
        <v>0</v>
      </c>
      <c r="P321" s="28">
        <v>0</v>
      </c>
      <c r="Q321" s="28">
        <v>0</v>
      </c>
      <c r="R321" s="28">
        <v>0</v>
      </c>
      <c r="S321" s="28">
        <v>0</v>
      </c>
      <c r="T321" s="28">
        <v>0</v>
      </c>
      <c r="U321" s="28">
        <v>0</v>
      </c>
      <c r="V321" s="28">
        <v>0</v>
      </c>
      <c r="W321" s="28">
        <v>0</v>
      </c>
      <c r="X321" s="28">
        <v>0</v>
      </c>
      <c r="Y321" s="40">
        <v>0</v>
      </c>
      <c r="AA321" s="52"/>
    </row>
    <row r="322" spans="2:27" ht="11.25">
      <c r="B322" s="39" t="s">
        <v>348</v>
      </c>
      <c r="C322" s="82" t="s">
        <v>349</v>
      </c>
      <c r="D322" s="83"/>
      <c r="E322" s="50" t="s">
        <v>123</v>
      </c>
      <c r="F322" s="28">
        <v>0</v>
      </c>
      <c r="G322" s="28">
        <v>0</v>
      </c>
      <c r="H322" s="28">
        <v>5.735458607405815</v>
      </c>
      <c r="I322" s="28">
        <v>15.547657655901931</v>
      </c>
      <c r="J322" s="28">
        <v>490.40063994995916</v>
      </c>
      <c r="K322" s="28">
        <v>687.1069462088176</v>
      </c>
      <c r="L322" s="28">
        <v>882.9885584406608</v>
      </c>
      <c r="M322" s="28">
        <v>921.992843134837</v>
      </c>
      <c r="N322" s="28">
        <v>960.0961851816306</v>
      </c>
      <c r="O322" s="28">
        <v>989.2969800757709</v>
      </c>
      <c r="P322" s="28">
        <v>989.3078547036564</v>
      </c>
      <c r="Q322" s="28">
        <v>989.3078547036564</v>
      </c>
      <c r="R322" s="28">
        <v>989.3078547036564</v>
      </c>
      <c r="S322" s="28">
        <v>989.3078547036564</v>
      </c>
      <c r="T322" s="28">
        <v>989.3078547036564</v>
      </c>
      <c r="U322" s="28">
        <v>989.3078547036564</v>
      </c>
      <c r="V322" s="28">
        <v>989.3078547036564</v>
      </c>
      <c r="W322" s="28">
        <v>989.3078547036564</v>
      </c>
      <c r="X322" s="28">
        <v>989.3078547036564</v>
      </c>
      <c r="Y322" s="40">
        <v>989.3078547036564</v>
      </c>
      <c r="AA322" s="52"/>
    </row>
    <row r="323" spans="2:27" ht="11.25">
      <c r="B323" s="39" t="s">
        <v>350</v>
      </c>
      <c r="C323" s="82" t="s">
        <v>351</v>
      </c>
      <c r="D323" s="83"/>
      <c r="E323" s="50" t="s">
        <v>123</v>
      </c>
      <c r="F323" s="28">
        <v>-183.58067499999999</v>
      </c>
      <c r="G323" s="28">
        <v>-298.3260135000001</v>
      </c>
      <c r="H323" s="28">
        <v>-1032.4498128847422</v>
      </c>
      <c r="I323" s="28">
        <v>-556.2920888362459</v>
      </c>
      <c r="J323" s="28">
        <v>418.5717640487202</v>
      </c>
      <c r="K323" s="28">
        <v>647.69581136708</v>
      </c>
      <c r="L323" s="28">
        <v>843.7026496224789</v>
      </c>
      <c r="M323" s="28">
        <v>882.7069343166552</v>
      </c>
      <c r="N323" s="28">
        <v>920.8102763634488</v>
      </c>
      <c r="O323" s="28">
        <v>950.011071257589</v>
      </c>
      <c r="P323" s="28">
        <v>950.0219458854746</v>
      </c>
      <c r="Q323" s="28">
        <v>950.0219458854746</v>
      </c>
      <c r="R323" s="28">
        <v>950.0219458854746</v>
      </c>
      <c r="S323" s="28">
        <v>950.0219458854746</v>
      </c>
      <c r="T323" s="28">
        <v>950.0219458854746</v>
      </c>
      <c r="U323" s="28">
        <v>950.0219458854746</v>
      </c>
      <c r="V323" s="28">
        <v>950.0219458854746</v>
      </c>
      <c r="W323" s="28">
        <v>950.0219458854746</v>
      </c>
      <c r="X323" s="28">
        <v>950.0219458854746</v>
      </c>
      <c r="Y323" s="40">
        <v>950.0219458854746</v>
      </c>
      <c r="AA323" s="52"/>
    </row>
    <row r="324" spans="2:27" ht="11.25">
      <c r="B324" s="114" t="s">
        <v>352</v>
      </c>
      <c r="C324" s="91" t="s">
        <v>121</v>
      </c>
      <c r="D324" s="78">
        <f>+AA319</f>
        <v>3296.2867650197627</v>
      </c>
      <c r="E324" s="94"/>
      <c r="F324" s="73"/>
      <c r="G324" s="73"/>
      <c r="H324" s="73"/>
      <c r="I324" s="73"/>
      <c r="J324" s="73"/>
      <c r="K324" s="73"/>
      <c r="L324" s="73"/>
      <c r="M324" s="73"/>
      <c r="N324" s="73"/>
      <c r="O324" s="73"/>
      <c r="P324" s="73"/>
      <c r="Q324" s="73"/>
      <c r="R324" s="73"/>
      <c r="S324" s="73"/>
      <c r="T324" s="73"/>
      <c r="U324" s="73"/>
      <c r="V324" s="73"/>
      <c r="W324" s="73"/>
      <c r="X324" s="73"/>
      <c r="Y324" s="74"/>
      <c r="AA324" s="52"/>
    </row>
    <row r="325" spans="2:27" ht="11.25">
      <c r="B325" s="90" t="s">
        <v>353</v>
      </c>
      <c r="C325" s="92" t="s">
        <v>596</v>
      </c>
      <c r="D325" s="113">
        <f>+AA317</f>
        <v>109.78</v>
      </c>
      <c r="E325" s="95"/>
      <c r="F325" s="54"/>
      <c r="G325" s="54"/>
      <c r="H325" s="54"/>
      <c r="I325" s="54"/>
      <c r="J325" s="54"/>
      <c r="K325" s="54"/>
      <c r="L325" s="54"/>
      <c r="M325" s="54"/>
      <c r="N325" s="54"/>
      <c r="O325" s="54"/>
      <c r="P325" s="54"/>
      <c r="Q325" s="54"/>
      <c r="R325" s="54"/>
      <c r="S325" s="54"/>
      <c r="T325" s="54"/>
      <c r="U325" s="54"/>
      <c r="V325" s="54"/>
      <c r="W325" s="54"/>
      <c r="X325" s="54"/>
      <c r="Y325" s="75"/>
      <c r="AA325" s="52"/>
    </row>
    <row r="326" spans="2:27" ht="11.25">
      <c r="B326" s="90" t="s">
        <v>354</v>
      </c>
      <c r="C326" s="92" t="s">
        <v>57</v>
      </c>
      <c r="D326" s="79">
        <f>+IRR(F323:Y323)</f>
        <v>0.2718124952951786</v>
      </c>
      <c r="E326" s="95"/>
      <c r="F326" s="88"/>
      <c r="G326" s="54"/>
      <c r="H326" s="54"/>
      <c r="I326" s="54"/>
      <c r="J326" s="54"/>
      <c r="K326" s="54"/>
      <c r="L326" s="54"/>
      <c r="M326" s="54"/>
      <c r="N326" s="54"/>
      <c r="O326" s="54"/>
      <c r="P326" s="54"/>
      <c r="Q326" s="54"/>
      <c r="R326" s="54"/>
      <c r="S326" s="54"/>
      <c r="T326" s="54"/>
      <c r="U326" s="54"/>
      <c r="V326" s="54"/>
      <c r="W326" s="54"/>
      <c r="X326" s="54"/>
      <c r="Y326" s="75"/>
      <c r="AA326" s="52"/>
    </row>
    <row r="327" spans="2:27" ht="12" thickBot="1">
      <c r="B327" s="122" t="s">
        <v>628</v>
      </c>
      <c r="C327" s="102" t="s">
        <v>120</v>
      </c>
      <c r="D327" s="103">
        <f>+NPV('Assumptions and Basic Info'!$C$20,F323:Y323)</f>
        <v>2908.5405542588715</v>
      </c>
      <c r="E327" s="108"/>
      <c r="F327" s="105"/>
      <c r="G327" s="127"/>
      <c r="H327" s="105"/>
      <c r="I327" s="105"/>
      <c r="J327" s="105"/>
      <c r="K327" s="105"/>
      <c r="L327" s="105"/>
      <c r="M327" s="105"/>
      <c r="N327" s="105"/>
      <c r="O327" s="105"/>
      <c r="P327" s="105"/>
      <c r="Q327" s="105"/>
      <c r="R327" s="105"/>
      <c r="S327" s="105"/>
      <c r="T327" s="105"/>
      <c r="U327" s="105"/>
      <c r="V327" s="105"/>
      <c r="W327" s="105"/>
      <c r="X327" s="105"/>
      <c r="Y327" s="106"/>
      <c r="AA327" s="52"/>
    </row>
    <row r="328" spans="2:27" ht="11.25">
      <c r="B328" s="44" t="s">
        <v>356</v>
      </c>
      <c r="C328" s="23" t="s">
        <v>375</v>
      </c>
      <c r="D328" s="23"/>
      <c r="E328" s="51"/>
      <c r="F328" s="24"/>
      <c r="G328" s="24"/>
      <c r="H328" s="24"/>
      <c r="I328" s="24"/>
      <c r="J328" s="24"/>
      <c r="K328" s="24"/>
      <c r="L328" s="24"/>
      <c r="M328" s="24"/>
      <c r="N328" s="24"/>
      <c r="O328" s="24"/>
      <c r="P328" s="24"/>
      <c r="Q328" s="24"/>
      <c r="R328" s="24"/>
      <c r="S328" s="24"/>
      <c r="T328" s="24"/>
      <c r="U328" s="24"/>
      <c r="V328" s="24"/>
      <c r="W328" s="24"/>
      <c r="X328" s="24"/>
      <c r="Y328" s="45"/>
      <c r="AA328" s="52"/>
    </row>
    <row r="329" spans="2:28" ht="11.25">
      <c r="B329" s="37" t="s">
        <v>357</v>
      </c>
      <c r="C329" s="80" t="s">
        <v>124</v>
      </c>
      <c r="D329" s="81"/>
      <c r="E329" s="49" t="s">
        <v>54</v>
      </c>
      <c r="F329" s="27">
        <v>530</v>
      </c>
      <c r="G329" s="27">
        <v>471.1111111111111</v>
      </c>
      <c r="H329" s="27">
        <v>412.2222222222222</v>
      </c>
      <c r="I329" s="27">
        <v>353.33333333333326</v>
      </c>
      <c r="J329" s="27">
        <v>294.44444444444434</v>
      </c>
      <c r="K329" s="27">
        <v>235.55555555555543</v>
      </c>
      <c r="L329" s="27">
        <v>176.66666666666652</v>
      </c>
      <c r="M329" s="27">
        <v>117.77777777777771</v>
      </c>
      <c r="N329" s="27">
        <v>58.8888888888888</v>
      </c>
      <c r="O329" s="27">
        <v>0</v>
      </c>
      <c r="P329" s="27">
        <v>0</v>
      </c>
      <c r="Q329" s="27">
        <v>0</v>
      </c>
      <c r="R329" s="27">
        <v>0</v>
      </c>
      <c r="S329" s="27">
        <v>0</v>
      </c>
      <c r="T329" s="27">
        <v>0</v>
      </c>
      <c r="U329" s="27">
        <v>0</v>
      </c>
      <c r="V329" s="27">
        <v>0</v>
      </c>
      <c r="W329" s="27">
        <v>0</v>
      </c>
      <c r="X329" s="27">
        <v>0</v>
      </c>
      <c r="Y329" s="38">
        <v>0</v>
      </c>
      <c r="AA329" s="52">
        <v>530</v>
      </c>
      <c r="AB329" s="116" t="s">
        <v>126</v>
      </c>
    </row>
    <row r="330" spans="2:28" ht="11.25">
      <c r="B330" s="39" t="s">
        <v>358</v>
      </c>
      <c r="C330" s="82" t="s">
        <v>125</v>
      </c>
      <c r="D330" s="83"/>
      <c r="E330" s="50" t="s">
        <v>54</v>
      </c>
      <c r="F330" s="28">
        <v>530</v>
      </c>
      <c r="G330" s="28">
        <v>471.1111111111111</v>
      </c>
      <c r="H330" s="28">
        <v>456.81531029357114</v>
      </c>
      <c r="I330" s="28">
        <v>442.51950947603115</v>
      </c>
      <c r="J330" s="28">
        <v>1673.7792642140469</v>
      </c>
      <c r="K330" s="28">
        <v>1690</v>
      </c>
      <c r="L330" s="28">
        <v>1690</v>
      </c>
      <c r="M330" s="28">
        <v>1690</v>
      </c>
      <c r="N330" s="28">
        <v>1690</v>
      </c>
      <c r="O330" s="28">
        <v>1690</v>
      </c>
      <c r="P330" s="28">
        <v>1690</v>
      </c>
      <c r="Q330" s="28">
        <v>1690</v>
      </c>
      <c r="R330" s="28">
        <v>1690</v>
      </c>
      <c r="S330" s="28">
        <v>1690</v>
      </c>
      <c r="T330" s="28">
        <v>1690</v>
      </c>
      <c r="U330" s="28">
        <v>1690</v>
      </c>
      <c r="V330" s="28">
        <v>1690</v>
      </c>
      <c r="W330" s="28">
        <v>1690</v>
      </c>
      <c r="X330" s="28">
        <v>1690</v>
      </c>
      <c r="Y330" s="40">
        <v>1690</v>
      </c>
      <c r="AA330" s="52">
        <v>1690</v>
      </c>
      <c r="AB330" s="116" t="s">
        <v>127</v>
      </c>
    </row>
    <row r="331" spans="2:29" ht="11.25">
      <c r="B331" s="39" t="s">
        <v>359</v>
      </c>
      <c r="C331" s="82" t="s">
        <v>81</v>
      </c>
      <c r="D331" s="83"/>
      <c r="E331" s="50" t="s">
        <v>54</v>
      </c>
      <c r="F331" s="28">
        <v>0</v>
      </c>
      <c r="G331" s="28">
        <v>0</v>
      </c>
      <c r="H331" s="28">
        <v>44.59308807134897</v>
      </c>
      <c r="I331" s="28">
        <v>89.18617614269789</v>
      </c>
      <c r="J331" s="28">
        <v>1379.3348197696025</v>
      </c>
      <c r="K331" s="28">
        <v>1454.4444444444446</v>
      </c>
      <c r="L331" s="28">
        <v>1513.3333333333335</v>
      </c>
      <c r="M331" s="28">
        <v>1572.2222222222222</v>
      </c>
      <c r="N331" s="28">
        <v>1631.1111111111113</v>
      </c>
      <c r="O331" s="28">
        <v>1690</v>
      </c>
      <c r="P331" s="28">
        <v>1690</v>
      </c>
      <c r="Q331" s="28">
        <v>1690</v>
      </c>
      <c r="R331" s="28">
        <v>1690</v>
      </c>
      <c r="S331" s="28">
        <v>1690</v>
      </c>
      <c r="T331" s="28">
        <v>1690</v>
      </c>
      <c r="U331" s="28">
        <v>1690</v>
      </c>
      <c r="V331" s="28">
        <v>1690</v>
      </c>
      <c r="W331" s="28">
        <v>1690</v>
      </c>
      <c r="X331" s="28">
        <v>1690</v>
      </c>
      <c r="Y331" s="40">
        <v>1690</v>
      </c>
      <c r="AA331" s="52">
        <v>1160</v>
      </c>
      <c r="AB331" s="116" t="s">
        <v>127</v>
      </c>
      <c r="AC331" s="52">
        <v>1160</v>
      </c>
    </row>
    <row r="332" spans="2:28" ht="11.25">
      <c r="B332" s="39" t="s">
        <v>360</v>
      </c>
      <c r="C332" s="82" t="s">
        <v>65</v>
      </c>
      <c r="D332" s="83"/>
      <c r="E332" s="50" t="s">
        <v>119</v>
      </c>
      <c r="F332" s="28">
        <v>0</v>
      </c>
      <c r="G332" s="28">
        <v>0</v>
      </c>
      <c r="H332" s="28">
        <v>0</v>
      </c>
      <c r="I332" s="28">
        <v>0</v>
      </c>
      <c r="J332" s="28">
        <v>500</v>
      </c>
      <c r="K332" s="28">
        <v>400</v>
      </c>
      <c r="L332" s="28">
        <v>300</v>
      </c>
      <c r="M332" s="28">
        <v>200</v>
      </c>
      <c r="N332" s="28">
        <v>100</v>
      </c>
      <c r="O332" s="28">
        <v>0</v>
      </c>
      <c r="P332" s="28">
        <v>0</v>
      </c>
      <c r="Q332" s="28">
        <v>0</v>
      </c>
      <c r="R332" s="28">
        <v>0</v>
      </c>
      <c r="S332" s="28">
        <v>0</v>
      </c>
      <c r="T332" s="28">
        <v>0</v>
      </c>
      <c r="U332" s="28">
        <v>0</v>
      </c>
      <c r="V332" s="28">
        <v>0</v>
      </c>
      <c r="W332" s="28">
        <v>0</v>
      </c>
      <c r="X332" s="28">
        <v>0</v>
      </c>
      <c r="Y332" s="40">
        <v>0</v>
      </c>
      <c r="AA332" s="52">
        <v>3000</v>
      </c>
      <c r="AB332" s="116" t="s">
        <v>127</v>
      </c>
    </row>
    <row r="333" spans="2:27" ht="11.25">
      <c r="B333" s="39" t="s">
        <v>361</v>
      </c>
      <c r="C333" s="82" t="s">
        <v>58</v>
      </c>
      <c r="D333" s="83"/>
      <c r="E333" s="50" t="s">
        <v>123</v>
      </c>
      <c r="F333" s="28">
        <v>0</v>
      </c>
      <c r="G333" s="28">
        <v>226.08695652173915</v>
      </c>
      <c r="H333" s="28">
        <v>789.5652173913044</v>
      </c>
      <c r="I333" s="28">
        <v>415.81027667984165</v>
      </c>
      <c r="J333" s="28">
        <v>13.917391304347788</v>
      </c>
      <c r="K333" s="28">
        <v>0</v>
      </c>
      <c r="L333" s="28">
        <v>0</v>
      </c>
      <c r="M333" s="28">
        <v>0</v>
      </c>
      <c r="N333" s="28">
        <v>0</v>
      </c>
      <c r="O333" s="28">
        <v>0</v>
      </c>
      <c r="P333" s="28">
        <v>0</v>
      </c>
      <c r="Q333" s="28">
        <v>0</v>
      </c>
      <c r="R333" s="28">
        <v>0</v>
      </c>
      <c r="S333" s="31">
        <v>0</v>
      </c>
      <c r="T333" s="31">
        <v>0</v>
      </c>
      <c r="U333" s="31">
        <v>0</v>
      </c>
      <c r="V333" s="31">
        <v>0</v>
      </c>
      <c r="W333" s="31">
        <v>0</v>
      </c>
      <c r="X333" s="31">
        <v>0</v>
      </c>
      <c r="Y333" s="46">
        <v>0</v>
      </c>
      <c r="AA333" s="52">
        <v>1445.379841897233</v>
      </c>
    </row>
    <row r="334" spans="2:27" ht="11.25">
      <c r="B334" s="39" t="s">
        <v>362</v>
      </c>
      <c r="C334" s="82" t="s">
        <v>24</v>
      </c>
      <c r="D334" s="83"/>
      <c r="E334" s="50" t="s">
        <v>123</v>
      </c>
      <c r="F334" s="28">
        <v>0</v>
      </c>
      <c r="G334" s="28">
        <v>33.913043478260875</v>
      </c>
      <c r="H334" s="28">
        <v>118.43478260869566</v>
      </c>
      <c r="I334" s="28">
        <v>62.371541501976246</v>
      </c>
      <c r="J334" s="28">
        <v>2.0876086956521682</v>
      </c>
      <c r="K334" s="28">
        <v>0</v>
      </c>
      <c r="L334" s="28">
        <v>0</v>
      </c>
      <c r="M334" s="28">
        <v>0</v>
      </c>
      <c r="N334" s="28">
        <v>0</v>
      </c>
      <c r="O334" s="28">
        <v>0</v>
      </c>
      <c r="P334" s="28">
        <v>0</v>
      </c>
      <c r="Q334" s="28">
        <v>0</v>
      </c>
      <c r="R334" s="28">
        <v>0</v>
      </c>
      <c r="S334" s="28">
        <v>0</v>
      </c>
      <c r="T334" s="28">
        <v>0</v>
      </c>
      <c r="U334" s="28">
        <v>0</v>
      </c>
      <c r="V334" s="31">
        <v>0</v>
      </c>
      <c r="W334" s="31">
        <v>0</v>
      </c>
      <c r="X334" s="31">
        <v>0</v>
      </c>
      <c r="Y334" s="46">
        <v>0</v>
      </c>
      <c r="AA334" s="54">
        <f>+AA333*'Assumptions and Basic Info'!$C$4</f>
        <v>1445.379841897233</v>
      </c>
    </row>
    <row r="335" spans="2:27" ht="11.25">
      <c r="B335" s="39" t="s">
        <v>363</v>
      </c>
      <c r="C335" s="82" t="s">
        <v>83</v>
      </c>
      <c r="D335" s="83"/>
      <c r="E335" s="50" t="s">
        <v>123</v>
      </c>
      <c r="F335" s="28">
        <v>68.1381818181818</v>
      </c>
      <c r="G335" s="28">
        <v>13.68</v>
      </c>
      <c r="H335" s="28">
        <v>42.84</v>
      </c>
      <c r="I335" s="28">
        <v>23.498181818181806</v>
      </c>
      <c r="J335" s="28">
        <v>1.440449999999996</v>
      </c>
      <c r="K335" s="28">
        <v>0</v>
      </c>
      <c r="L335" s="28">
        <v>0</v>
      </c>
      <c r="M335" s="28">
        <v>0</v>
      </c>
      <c r="N335" s="28">
        <v>0</v>
      </c>
      <c r="O335" s="28">
        <v>0</v>
      </c>
      <c r="P335" s="28">
        <v>0</v>
      </c>
      <c r="Q335" s="28">
        <v>0</v>
      </c>
      <c r="R335" s="28">
        <v>0</v>
      </c>
      <c r="S335" s="28">
        <v>0</v>
      </c>
      <c r="T335" s="28">
        <v>0</v>
      </c>
      <c r="U335" s="28">
        <v>0</v>
      </c>
      <c r="V335" s="31">
        <v>0</v>
      </c>
      <c r="W335" s="31">
        <v>0</v>
      </c>
      <c r="X335" s="31">
        <v>0</v>
      </c>
      <c r="Y335" s="46">
        <v>0</v>
      </c>
      <c r="AA335" s="54">
        <v>149.5968136363636</v>
      </c>
    </row>
    <row r="336" spans="2:27" ht="11.25">
      <c r="B336" s="39" t="s">
        <v>364</v>
      </c>
      <c r="C336" s="82" t="s">
        <v>82</v>
      </c>
      <c r="D336" s="83"/>
      <c r="E336" s="50" t="s">
        <v>123</v>
      </c>
      <c r="F336" s="28">
        <v>0</v>
      </c>
      <c r="G336" s="28">
        <v>1.3627636363636362</v>
      </c>
      <c r="H336" s="28">
        <v>6.836363636363637</v>
      </c>
      <c r="I336" s="28">
        <v>25.853163636363643</v>
      </c>
      <c r="J336" s="28">
        <v>35.88676363636364</v>
      </c>
      <c r="K336" s="28">
        <v>36.23567263636364</v>
      </c>
      <c r="L336" s="28">
        <v>36.23567263636364</v>
      </c>
      <c r="M336" s="28">
        <v>36.23567263636364</v>
      </c>
      <c r="N336" s="28">
        <v>36.23567263636364</v>
      </c>
      <c r="O336" s="28">
        <v>36.23567263636364</v>
      </c>
      <c r="P336" s="28">
        <v>36.23567263636364</v>
      </c>
      <c r="Q336" s="28">
        <v>36.23567263636364</v>
      </c>
      <c r="R336" s="28">
        <v>36.23567263636364</v>
      </c>
      <c r="S336" s="28">
        <v>36.23567263636364</v>
      </c>
      <c r="T336" s="28">
        <v>36.23567263636364</v>
      </c>
      <c r="U336" s="28">
        <v>36.23567263636364</v>
      </c>
      <c r="V336" s="28">
        <v>36.23567263636364</v>
      </c>
      <c r="W336" s="28">
        <v>36.23567263636364</v>
      </c>
      <c r="X336" s="28">
        <v>36.23567263636364</v>
      </c>
      <c r="Y336" s="40">
        <v>36.23567263636364</v>
      </c>
      <c r="AA336" s="52"/>
    </row>
    <row r="337" spans="2:27" ht="11.25">
      <c r="B337" s="39" t="s">
        <v>629</v>
      </c>
      <c r="C337" s="82" t="s">
        <v>578</v>
      </c>
      <c r="D337" s="83"/>
      <c r="E337" s="50" t="s">
        <v>118</v>
      </c>
      <c r="F337" s="28">
        <v>109.78</v>
      </c>
      <c r="G337" s="28">
        <v>0</v>
      </c>
      <c r="H337" s="28">
        <v>0</v>
      </c>
      <c r="I337" s="28">
        <v>0</v>
      </c>
      <c r="J337" s="28">
        <v>0</v>
      </c>
      <c r="K337" s="28">
        <v>0</v>
      </c>
      <c r="L337" s="28">
        <v>0</v>
      </c>
      <c r="M337" s="28">
        <v>0</v>
      </c>
      <c r="N337" s="28">
        <v>0</v>
      </c>
      <c r="O337" s="28">
        <v>0</v>
      </c>
      <c r="P337" s="28">
        <v>0</v>
      </c>
      <c r="Q337" s="28">
        <v>0</v>
      </c>
      <c r="R337" s="28">
        <v>0</v>
      </c>
      <c r="S337" s="28">
        <v>0</v>
      </c>
      <c r="T337" s="28">
        <v>0</v>
      </c>
      <c r="U337" s="28">
        <v>0</v>
      </c>
      <c r="V337" s="28">
        <v>0</v>
      </c>
      <c r="W337" s="28">
        <v>0</v>
      </c>
      <c r="X337" s="28">
        <v>0</v>
      </c>
      <c r="Y337" s="40">
        <v>0</v>
      </c>
      <c r="AA337" s="52">
        <v>109.78</v>
      </c>
    </row>
    <row r="338" spans="2:27" ht="11.25">
      <c r="B338" s="39" t="s">
        <v>723</v>
      </c>
      <c r="C338" s="82" t="s">
        <v>691</v>
      </c>
      <c r="D338" s="83"/>
      <c r="E338" s="50" t="s">
        <v>123</v>
      </c>
      <c r="F338" s="28">
        <v>0</v>
      </c>
      <c r="G338" s="28">
        <v>0</v>
      </c>
      <c r="H338" s="28">
        <v>0.7580824972129322</v>
      </c>
      <c r="I338" s="28">
        <v>0.7580824972129322</v>
      </c>
      <c r="J338" s="28">
        <v>17.928082497212934</v>
      </c>
      <c r="K338" s="28">
        <v>0.27575250836120335</v>
      </c>
      <c r="L338" s="28">
        <v>0</v>
      </c>
      <c r="M338" s="28">
        <v>0</v>
      </c>
      <c r="N338" s="28">
        <v>0</v>
      </c>
      <c r="O338" s="28">
        <v>0</v>
      </c>
      <c r="P338" s="28">
        <v>0</v>
      </c>
      <c r="Q338" s="28">
        <v>0</v>
      </c>
      <c r="R338" s="28">
        <v>0</v>
      </c>
      <c r="S338" s="28">
        <v>0</v>
      </c>
      <c r="T338" s="28">
        <v>0</v>
      </c>
      <c r="U338" s="28">
        <v>0</v>
      </c>
      <c r="V338" s="28">
        <v>0</v>
      </c>
      <c r="W338" s="28">
        <v>0</v>
      </c>
      <c r="X338" s="28">
        <v>0</v>
      </c>
      <c r="Y338" s="40">
        <v>0</v>
      </c>
      <c r="AA338" s="52"/>
    </row>
    <row r="339" spans="2:27" ht="11.25">
      <c r="B339" s="39" t="s">
        <v>365</v>
      </c>
      <c r="C339" s="82" t="s">
        <v>724</v>
      </c>
      <c r="D339" s="83"/>
      <c r="E339" s="50" t="s">
        <v>123</v>
      </c>
      <c r="F339" s="28">
        <v>177.9181818181818</v>
      </c>
      <c r="G339" s="28">
        <v>275.04276363636365</v>
      </c>
      <c r="H339" s="28">
        <v>958.4344461335767</v>
      </c>
      <c r="I339" s="28">
        <v>528.2912461335764</v>
      </c>
      <c r="J339" s="28">
        <v>71.26029613357653</v>
      </c>
      <c r="K339" s="28">
        <v>36.51142514472484</v>
      </c>
      <c r="L339" s="28">
        <v>36.23567263636364</v>
      </c>
      <c r="M339" s="28">
        <v>36.23567263636364</v>
      </c>
      <c r="N339" s="28">
        <v>36.23567263636364</v>
      </c>
      <c r="O339" s="28">
        <v>36.23567263636364</v>
      </c>
      <c r="P339" s="28">
        <v>36.23567263636364</v>
      </c>
      <c r="Q339" s="28">
        <v>36.23567263636364</v>
      </c>
      <c r="R339" s="28">
        <v>36.23567263636364</v>
      </c>
      <c r="S339" s="28">
        <v>36.23567263636364</v>
      </c>
      <c r="T339" s="28">
        <v>36.23567263636364</v>
      </c>
      <c r="U339" s="28">
        <v>36.23567263636364</v>
      </c>
      <c r="V339" s="28">
        <v>36.23567263636364</v>
      </c>
      <c r="W339" s="28">
        <v>36.23567263636364</v>
      </c>
      <c r="X339" s="28">
        <v>36.23567263636364</v>
      </c>
      <c r="Y339" s="40">
        <v>36.23567263636364</v>
      </c>
      <c r="AA339" s="52">
        <f>+AA333+AA334+AA335</f>
        <v>3040.3564974308297</v>
      </c>
    </row>
    <row r="340" spans="2:27" ht="11.25">
      <c r="B340" s="39" t="s">
        <v>366</v>
      </c>
      <c r="C340" s="82" t="s">
        <v>128</v>
      </c>
      <c r="D340" s="83"/>
      <c r="E340" s="50" t="s">
        <v>123</v>
      </c>
      <c r="F340" s="28">
        <v>0</v>
      </c>
      <c r="G340" s="28">
        <v>0</v>
      </c>
      <c r="H340" s="28">
        <v>13.086068315930882</v>
      </c>
      <c r="I340" s="28">
        <v>35.473660288495</v>
      </c>
      <c r="J340" s="28">
        <v>538.4560491028226</v>
      </c>
      <c r="K340" s="28">
        <v>816.9048160885224</v>
      </c>
      <c r="L340" s="28">
        <v>1090.0809165533544</v>
      </c>
      <c r="M340" s="28">
        <v>1150.325068502445</v>
      </c>
      <c r="N340" s="28">
        <v>1207.8584003566646</v>
      </c>
      <c r="O340" s="28">
        <v>1253.2970989664016</v>
      </c>
      <c r="P340" s="28">
        <v>1253.3210453142276</v>
      </c>
      <c r="Q340" s="28">
        <v>1253.3210453142276</v>
      </c>
      <c r="R340" s="28">
        <v>1253.3210453142276</v>
      </c>
      <c r="S340" s="28">
        <v>1253.3210453142276</v>
      </c>
      <c r="T340" s="28">
        <v>1253.3210453142276</v>
      </c>
      <c r="U340" s="28">
        <v>1253.3210453142276</v>
      </c>
      <c r="V340" s="28">
        <v>1253.3210453142276</v>
      </c>
      <c r="W340" s="28">
        <v>1253.3210453142276</v>
      </c>
      <c r="X340" s="28">
        <v>1253.3210453142276</v>
      </c>
      <c r="Y340" s="40">
        <v>1253.3210453142276</v>
      </c>
      <c r="AA340" s="52"/>
    </row>
    <row r="341" spans="2:27" ht="11.25">
      <c r="B341" s="39" t="s">
        <v>367</v>
      </c>
      <c r="C341" s="82" t="s">
        <v>63</v>
      </c>
      <c r="D341" s="83"/>
      <c r="E341" s="50" t="s">
        <v>123</v>
      </c>
      <c r="F341" s="28">
        <v>0</v>
      </c>
      <c r="G341" s="28">
        <v>0</v>
      </c>
      <c r="H341" s="28">
        <v>0</v>
      </c>
      <c r="I341" s="28">
        <v>0</v>
      </c>
      <c r="J341" s="28">
        <v>21.1</v>
      </c>
      <c r="K341" s="28">
        <v>16.88</v>
      </c>
      <c r="L341" s="28">
        <v>12.66</v>
      </c>
      <c r="M341" s="28">
        <v>8.44</v>
      </c>
      <c r="N341" s="28">
        <v>4.22</v>
      </c>
      <c r="O341" s="28">
        <v>0</v>
      </c>
      <c r="P341" s="28">
        <v>0</v>
      </c>
      <c r="Q341" s="28">
        <v>0</v>
      </c>
      <c r="R341" s="28">
        <v>0</v>
      </c>
      <c r="S341" s="28">
        <v>0</v>
      </c>
      <c r="T341" s="28">
        <v>0</v>
      </c>
      <c r="U341" s="28">
        <v>0</v>
      </c>
      <c r="V341" s="28">
        <v>0</v>
      </c>
      <c r="W341" s="28">
        <v>0</v>
      </c>
      <c r="X341" s="28">
        <v>0</v>
      </c>
      <c r="Y341" s="40">
        <v>0</v>
      </c>
      <c r="AA341" s="52"/>
    </row>
    <row r="342" spans="2:27" ht="11.25">
      <c r="B342" s="39" t="s">
        <v>368</v>
      </c>
      <c r="C342" s="82" t="s">
        <v>369</v>
      </c>
      <c r="D342" s="83"/>
      <c r="E342" s="50" t="s">
        <v>123</v>
      </c>
      <c r="F342" s="28">
        <v>0</v>
      </c>
      <c r="G342" s="28">
        <v>0</v>
      </c>
      <c r="H342" s="28">
        <v>13.086068315930882</v>
      </c>
      <c r="I342" s="28">
        <v>35.473660288495</v>
      </c>
      <c r="J342" s="28">
        <v>559.5560491028226</v>
      </c>
      <c r="K342" s="28">
        <v>833.7848160885223</v>
      </c>
      <c r="L342" s="28">
        <v>1102.7409165533545</v>
      </c>
      <c r="M342" s="28">
        <v>1158.765068502445</v>
      </c>
      <c r="N342" s="28">
        <v>1212.0784003566646</v>
      </c>
      <c r="O342" s="28">
        <v>1253.2970989664016</v>
      </c>
      <c r="P342" s="28">
        <v>1253.3210453142276</v>
      </c>
      <c r="Q342" s="28">
        <v>1253.3210453142276</v>
      </c>
      <c r="R342" s="28">
        <v>1253.3210453142276</v>
      </c>
      <c r="S342" s="28">
        <v>1253.3210453142276</v>
      </c>
      <c r="T342" s="28">
        <v>1253.3210453142276</v>
      </c>
      <c r="U342" s="28">
        <v>1253.3210453142276</v>
      </c>
      <c r="V342" s="28">
        <v>1253.3210453142276</v>
      </c>
      <c r="W342" s="28">
        <v>1253.3210453142276</v>
      </c>
      <c r="X342" s="28">
        <v>1253.3210453142276</v>
      </c>
      <c r="Y342" s="40">
        <v>1253.3210453142276</v>
      </c>
      <c r="AA342" s="52"/>
    </row>
    <row r="343" spans="2:27" ht="11.25">
      <c r="B343" s="39" t="s">
        <v>370</v>
      </c>
      <c r="C343" s="82" t="s">
        <v>371</v>
      </c>
      <c r="D343" s="83"/>
      <c r="E343" s="50" t="s">
        <v>123</v>
      </c>
      <c r="F343" s="28">
        <v>-177.9181818181818</v>
      </c>
      <c r="G343" s="28">
        <v>-275.04276363636365</v>
      </c>
      <c r="H343" s="28">
        <v>-945.3483778176458</v>
      </c>
      <c r="I343" s="28">
        <v>-492.81758584508134</v>
      </c>
      <c r="J343" s="28">
        <v>488.2957529692461</v>
      </c>
      <c r="K343" s="28">
        <v>797.2733909437975</v>
      </c>
      <c r="L343" s="28">
        <v>1066.5052439169908</v>
      </c>
      <c r="M343" s="28">
        <v>1122.5293958660814</v>
      </c>
      <c r="N343" s="28">
        <v>1175.842727720301</v>
      </c>
      <c r="O343" s="28">
        <v>1217.0614263300379</v>
      </c>
      <c r="P343" s="28">
        <v>1217.085372677864</v>
      </c>
      <c r="Q343" s="28">
        <v>1217.085372677864</v>
      </c>
      <c r="R343" s="28">
        <v>1217.085372677864</v>
      </c>
      <c r="S343" s="28">
        <v>1217.085372677864</v>
      </c>
      <c r="T343" s="28">
        <v>1217.085372677864</v>
      </c>
      <c r="U343" s="28">
        <v>1217.085372677864</v>
      </c>
      <c r="V343" s="28">
        <v>1217.085372677864</v>
      </c>
      <c r="W343" s="28">
        <v>1217.085372677864</v>
      </c>
      <c r="X343" s="28">
        <v>1217.085372677864</v>
      </c>
      <c r="Y343" s="40">
        <v>1217.085372677864</v>
      </c>
      <c r="AA343" s="52"/>
    </row>
    <row r="344" spans="2:27" ht="11.25">
      <c r="B344" s="114" t="s">
        <v>372</v>
      </c>
      <c r="C344" s="91" t="s">
        <v>121</v>
      </c>
      <c r="D344" s="78">
        <f>+AA339</f>
        <v>3040.3564974308297</v>
      </c>
      <c r="E344" s="94"/>
      <c r="F344" s="73"/>
      <c r="G344" s="73"/>
      <c r="H344" s="73"/>
      <c r="I344" s="73"/>
      <c r="J344" s="73"/>
      <c r="K344" s="73"/>
      <c r="L344" s="73"/>
      <c r="M344" s="73"/>
      <c r="N344" s="73"/>
      <c r="O344" s="73"/>
      <c r="P344" s="73"/>
      <c r="Q344" s="73"/>
      <c r="R344" s="73"/>
      <c r="S344" s="73"/>
      <c r="T344" s="73"/>
      <c r="U344" s="73"/>
      <c r="V344" s="73"/>
      <c r="W344" s="73"/>
      <c r="X344" s="73"/>
      <c r="Y344" s="74"/>
      <c r="AA344" s="52"/>
    </row>
    <row r="345" spans="2:27" ht="11.25">
      <c r="B345" s="90" t="s">
        <v>373</v>
      </c>
      <c r="C345" s="92" t="s">
        <v>596</v>
      </c>
      <c r="D345" s="113">
        <f>+AA337</f>
        <v>109.78</v>
      </c>
      <c r="E345" s="95"/>
      <c r="F345" s="54"/>
      <c r="G345" s="54"/>
      <c r="H345" s="54"/>
      <c r="I345" s="54"/>
      <c r="J345" s="54"/>
      <c r="K345" s="54"/>
      <c r="L345" s="54"/>
      <c r="M345" s="54"/>
      <c r="N345" s="54"/>
      <c r="O345" s="54"/>
      <c r="P345" s="54"/>
      <c r="Q345" s="54"/>
      <c r="R345" s="54"/>
      <c r="S345" s="54"/>
      <c r="T345" s="54"/>
      <c r="U345" s="54"/>
      <c r="V345" s="54"/>
      <c r="W345" s="54"/>
      <c r="X345" s="54"/>
      <c r="Y345" s="75"/>
      <c r="AA345" s="52"/>
    </row>
    <row r="346" spans="2:27" ht="11.25">
      <c r="B346" s="90" t="s">
        <v>374</v>
      </c>
      <c r="C346" s="92" t="s">
        <v>57</v>
      </c>
      <c r="D346" s="79">
        <f>+IRR(F343:Y343)</f>
        <v>0.3387905256428077</v>
      </c>
      <c r="E346" s="95"/>
      <c r="F346" s="88"/>
      <c r="G346" s="54"/>
      <c r="H346" s="54"/>
      <c r="I346" s="54"/>
      <c r="J346" s="54"/>
      <c r="K346" s="54"/>
      <c r="L346" s="54"/>
      <c r="M346" s="54"/>
      <c r="N346" s="54"/>
      <c r="O346" s="54"/>
      <c r="P346" s="54"/>
      <c r="Q346" s="54"/>
      <c r="R346" s="54"/>
      <c r="S346" s="54"/>
      <c r="T346" s="54"/>
      <c r="U346" s="54"/>
      <c r="V346" s="54"/>
      <c r="W346" s="54"/>
      <c r="X346" s="54"/>
      <c r="Y346" s="75"/>
      <c r="AA346" s="52"/>
    </row>
    <row r="347" spans="2:27" ht="12" thickBot="1">
      <c r="B347" s="122" t="s">
        <v>630</v>
      </c>
      <c r="C347" s="102" t="s">
        <v>120</v>
      </c>
      <c r="D347" s="103">
        <f>+NPV('Assumptions and Basic Info'!$C$20,F343:Y343)</f>
        <v>4239.453312847659</v>
      </c>
      <c r="E347" s="108"/>
      <c r="F347" s="105"/>
      <c r="G347" s="127"/>
      <c r="H347" s="105"/>
      <c r="I347" s="105"/>
      <c r="J347" s="105"/>
      <c r="K347" s="105"/>
      <c r="L347" s="105"/>
      <c r="M347" s="105"/>
      <c r="N347" s="105"/>
      <c r="O347" s="105"/>
      <c r="P347" s="105"/>
      <c r="Q347" s="105"/>
      <c r="R347" s="105"/>
      <c r="S347" s="105"/>
      <c r="T347" s="105"/>
      <c r="U347" s="105"/>
      <c r="V347" s="105"/>
      <c r="W347" s="105"/>
      <c r="X347" s="105"/>
      <c r="Y347" s="106"/>
      <c r="AA347" s="52"/>
    </row>
    <row r="348" spans="2:27" ht="11.25">
      <c r="B348" s="44" t="s">
        <v>376</v>
      </c>
      <c r="C348" s="23" t="s">
        <v>411</v>
      </c>
      <c r="D348" s="23"/>
      <c r="E348" s="51"/>
      <c r="F348" s="24"/>
      <c r="G348" s="24"/>
      <c r="H348" s="24"/>
      <c r="I348" s="24"/>
      <c r="J348" s="24"/>
      <c r="K348" s="24"/>
      <c r="L348" s="24"/>
      <c r="M348" s="24"/>
      <c r="N348" s="24"/>
      <c r="O348" s="24"/>
      <c r="P348" s="24"/>
      <c r="Q348" s="24"/>
      <c r="R348" s="24"/>
      <c r="S348" s="24"/>
      <c r="T348" s="24"/>
      <c r="U348" s="24"/>
      <c r="V348" s="24"/>
      <c r="W348" s="24"/>
      <c r="X348" s="24"/>
      <c r="Y348" s="45"/>
      <c r="AA348" s="52"/>
    </row>
    <row r="349" spans="2:27" ht="11.25">
      <c r="B349" s="37" t="s">
        <v>377</v>
      </c>
      <c r="C349" s="80" t="s">
        <v>124</v>
      </c>
      <c r="D349" s="81"/>
      <c r="E349" s="49" t="s">
        <v>54</v>
      </c>
      <c r="F349" s="27">
        <v>1163</v>
      </c>
      <c r="G349" s="27">
        <v>1139.74</v>
      </c>
      <c r="H349" s="27">
        <v>1116.9452</v>
      </c>
      <c r="I349" s="27">
        <v>1094.606296</v>
      </c>
      <c r="J349" s="27">
        <v>1072.7141700799998</v>
      </c>
      <c r="K349" s="27">
        <v>1051.2598866784</v>
      </c>
      <c r="L349" s="27">
        <v>1030.2346889448318</v>
      </c>
      <c r="M349" s="27">
        <v>1009.6299951659353</v>
      </c>
      <c r="N349" s="27">
        <v>989.4373952626165</v>
      </c>
      <c r="O349" s="27">
        <v>969.6486473573641</v>
      </c>
      <c r="P349" s="27">
        <v>950.2556744102167</v>
      </c>
      <c r="Q349" s="27">
        <v>931.2505609220125</v>
      </c>
      <c r="R349" s="27">
        <v>912.6255497035722</v>
      </c>
      <c r="S349" s="27">
        <v>894.3730387095006</v>
      </c>
      <c r="T349" s="27">
        <v>876.4855779353106</v>
      </c>
      <c r="U349" s="27">
        <v>858.9558663766045</v>
      </c>
      <c r="V349" s="27">
        <v>841.7767490490724</v>
      </c>
      <c r="W349" s="27">
        <v>824.9412140680909</v>
      </c>
      <c r="X349" s="27">
        <v>808.4423897867291</v>
      </c>
      <c r="Y349" s="38">
        <v>792.2735419909945</v>
      </c>
      <c r="AA349" s="52">
        <v>1163</v>
      </c>
    </row>
    <row r="350" spans="2:28" ht="11.25">
      <c r="B350" s="39" t="s">
        <v>378</v>
      </c>
      <c r="C350" s="82" t="s">
        <v>125</v>
      </c>
      <c r="D350" s="83"/>
      <c r="E350" s="50" t="s">
        <v>54</v>
      </c>
      <c r="F350" s="28">
        <v>1163</v>
      </c>
      <c r="G350" s="28">
        <v>1139.74</v>
      </c>
      <c r="H350" s="28">
        <v>1130.1622720514</v>
      </c>
      <c r="I350" s="28">
        <v>1121.0404401027995</v>
      </c>
      <c r="J350" s="28">
        <v>2220.651216154199</v>
      </c>
      <c r="K350" s="28">
        <v>2227</v>
      </c>
      <c r="L350" s="28">
        <v>2227</v>
      </c>
      <c r="M350" s="28">
        <v>2227</v>
      </c>
      <c r="N350" s="28">
        <v>2227</v>
      </c>
      <c r="O350" s="28">
        <v>2227</v>
      </c>
      <c r="P350" s="28">
        <v>2227</v>
      </c>
      <c r="Q350" s="28">
        <v>2227</v>
      </c>
      <c r="R350" s="28">
        <v>2227</v>
      </c>
      <c r="S350" s="28">
        <v>2227</v>
      </c>
      <c r="T350" s="28">
        <v>2227</v>
      </c>
      <c r="U350" s="28">
        <v>2227</v>
      </c>
      <c r="V350" s="28">
        <v>2227</v>
      </c>
      <c r="W350" s="28">
        <v>2227</v>
      </c>
      <c r="X350" s="28">
        <v>2227</v>
      </c>
      <c r="Y350" s="40">
        <v>2227</v>
      </c>
      <c r="AA350" s="52">
        <v>2227</v>
      </c>
      <c r="AB350" s="52">
        <v>1064</v>
      </c>
    </row>
    <row r="351" spans="2:27" ht="11.25">
      <c r="B351" s="39" t="s">
        <v>379</v>
      </c>
      <c r="C351" s="82" t="s">
        <v>81</v>
      </c>
      <c r="D351" s="83"/>
      <c r="E351" s="50" t="s">
        <v>54</v>
      </c>
      <c r="F351" s="28">
        <v>0</v>
      </c>
      <c r="G351" s="28">
        <v>0</v>
      </c>
      <c r="H351" s="28">
        <v>13.217072051399782</v>
      </c>
      <c r="I351" s="28">
        <v>26.434144102799564</v>
      </c>
      <c r="J351" s="28">
        <v>1147.9370460741993</v>
      </c>
      <c r="K351" s="28">
        <v>1175.7401133216</v>
      </c>
      <c r="L351" s="28">
        <v>1196.7653110551682</v>
      </c>
      <c r="M351" s="28">
        <v>1217.3700048340647</v>
      </c>
      <c r="N351" s="28">
        <v>1237.5626047373835</v>
      </c>
      <c r="O351" s="28">
        <v>1257.351352642636</v>
      </c>
      <c r="P351" s="28">
        <v>1276.7443255897833</v>
      </c>
      <c r="Q351" s="28">
        <v>1295.7494390779875</v>
      </c>
      <c r="R351" s="28">
        <v>1314.3744502964278</v>
      </c>
      <c r="S351" s="28">
        <v>1332.6269612904994</v>
      </c>
      <c r="T351" s="28">
        <v>1350.5144220646894</v>
      </c>
      <c r="U351" s="28">
        <v>1368.0441336233955</v>
      </c>
      <c r="V351" s="28">
        <v>1385.2232509509276</v>
      </c>
      <c r="W351" s="28">
        <v>1402.0587859319091</v>
      </c>
      <c r="X351" s="28">
        <v>1418.557610213271</v>
      </c>
      <c r="Y351" s="40">
        <v>1434.7264580090055</v>
      </c>
      <c r="AA351" s="52">
        <v>1064</v>
      </c>
    </row>
    <row r="352" spans="2:27" ht="11.25">
      <c r="B352" s="39" t="s">
        <v>380</v>
      </c>
      <c r="C352" s="82" t="s">
        <v>58</v>
      </c>
      <c r="D352" s="83"/>
      <c r="E352" s="50" t="s">
        <v>123</v>
      </c>
      <c r="F352" s="28">
        <v>0</v>
      </c>
      <c r="G352" s="28">
        <v>31.30434782608696</v>
      </c>
      <c r="H352" s="28">
        <v>597.8964426877471</v>
      </c>
      <c r="I352" s="28">
        <v>197.3122529644269</v>
      </c>
      <c r="J352" s="28">
        <v>15.036956521739128</v>
      </c>
      <c r="K352" s="28">
        <v>0</v>
      </c>
      <c r="L352" s="31">
        <v>0</v>
      </c>
      <c r="M352" s="31">
        <v>0</v>
      </c>
      <c r="N352" s="31">
        <v>0</v>
      </c>
      <c r="O352" s="31">
        <v>0</v>
      </c>
      <c r="P352" s="31">
        <v>0</v>
      </c>
      <c r="Q352" s="31">
        <v>0</v>
      </c>
      <c r="R352" s="31">
        <v>0</v>
      </c>
      <c r="S352" s="31">
        <v>0</v>
      </c>
      <c r="T352" s="31">
        <v>0</v>
      </c>
      <c r="U352" s="31">
        <v>0</v>
      </c>
      <c r="V352" s="31">
        <v>0</v>
      </c>
      <c r="W352" s="31">
        <v>0</v>
      </c>
      <c r="X352" s="31">
        <v>0</v>
      </c>
      <c r="Y352" s="46">
        <v>0</v>
      </c>
      <c r="AA352" s="54">
        <v>841.55</v>
      </c>
    </row>
    <row r="353" spans="2:27" ht="11.25">
      <c r="B353" s="39" t="s">
        <v>381</v>
      </c>
      <c r="C353" s="82" t="s">
        <v>24</v>
      </c>
      <c r="D353" s="83"/>
      <c r="E353" s="50" t="s">
        <v>123</v>
      </c>
      <c r="F353" s="28">
        <v>0</v>
      </c>
      <c r="G353" s="28">
        <v>4.695652173913044</v>
      </c>
      <c r="H353" s="28">
        <v>89.68446640316206</v>
      </c>
      <c r="I353" s="28">
        <v>29.59683794466403</v>
      </c>
      <c r="J353" s="28">
        <v>2.255543478260869</v>
      </c>
      <c r="K353" s="28">
        <v>0</v>
      </c>
      <c r="L353" s="28">
        <v>0</v>
      </c>
      <c r="M353" s="28">
        <v>0</v>
      </c>
      <c r="N353" s="28">
        <v>0</v>
      </c>
      <c r="O353" s="28">
        <v>0</v>
      </c>
      <c r="P353" s="28">
        <v>0</v>
      </c>
      <c r="Q353" s="28">
        <v>0</v>
      </c>
      <c r="R353" s="28">
        <v>0</v>
      </c>
      <c r="S353" s="28">
        <v>0</v>
      </c>
      <c r="T353" s="28">
        <v>0</v>
      </c>
      <c r="U353" s="28">
        <v>0</v>
      </c>
      <c r="V353" s="31">
        <v>0</v>
      </c>
      <c r="W353" s="31">
        <v>0</v>
      </c>
      <c r="X353" s="31">
        <v>0</v>
      </c>
      <c r="Y353" s="46">
        <v>0</v>
      </c>
      <c r="AA353" s="54">
        <f>+AA352*'Assumptions and Basic Info'!$C$4</f>
        <v>841.55</v>
      </c>
    </row>
    <row r="354" spans="2:27" ht="11.25">
      <c r="B354" s="39" t="s">
        <v>382</v>
      </c>
      <c r="C354" s="82" t="s">
        <v>83</v>
      </c>
      <c r="D354" s="83"/>
      <c r="E354" s="50" t="s">
        <v>123</v>
      </c>
      <c r="F354" s="28">
        <v>0</v>
      </c>
      <c r="G354" s="28">
        <v>45.36450000000001</v>
      </c>
      <c r="H354" s="28">
        <v>35.81904545454546</v>
      </c>
      <c r="I354" s="28">
        <v>12.785454545454547</v>
      </c>
      <c r="J354" s="28">
        <v>1.5563249999999997</v>
      </c>
      <c r="K354" s="28">
        <v>0</v>
      </c>
      <c r="L354" s="28">
        <v>0</v>
      </c>
      <c r="M354" s="28">
        <v>0</v>
      </c>
      <c r="N354" s="28">
        <v>0</v>
      </c>
      <c r="O354" s="28">
        <v>0</v>
      </c>
      <c r="P354" s="28">
        <v>0</v>
      </c>
      <c r="Q354" s="28">
        <v>0</v>
      </c>
      <c r="R354" s="28">
        <v>0</v>
      </c>
      <c r="S354" s="28">
        <v>0</v>
      </c>
      <c r="T354" s="28">
        <v>0</v>
      </c>
      <c r="U354" s="28">
        <v>0</v>
      </c>
      <c r="V354" s="31">
        <v>0</v>
      </c>
      <c r="W354" s="31">
        <v>0</v>
      </c>
      <c r="X354" s="31">
        <v>0</v>
      </c>
      <c r="Y354" s="46">
        <v>0</v>
      </c>
      <c r="AA354" s="54">
        <v>95.52532500000001</v>
      </c>
    </row>
    <row r="355" spans="2:27" ht="11.25">
      <c r="B355" s="39" t="s">
        <v>383</v>
      </c>
      <c r="C355" s="82" t="s">
        <v>82</v>
      </c>
      <c r="D355" s="83"/>
      <c r="E355" s="50" t="s">
        <v>123</v>
      </c>
      <c r="F355" s="28">
        <v>0</v>
      </c>
      <c r="G355" s="28">
        <v>0</v>
      </c>
      <c r="H355" s="28">
        <v>2.048535</v>
      </c>
      <c r="I355" s="28">
        <v>24.335505000000005</v>
      </c>
      <c r="J355" s="28">
        <v>31.13394136363637</v>
      </c>
      <c r="K355" s="28">
        <v>31.51091786363637</v>
      </c>
      <c r="L355" s="28">
        <v>31.51091786363637</v>
      </c>
      <c r="M355" s="28">
        <v>31.51091786363637</v>
      </c>
      <c r="N355" s="28">
        <v>31.51091786363637</v>
      </c>
      <c r="O355" s="28">
        <v>31.51091786363637</v>
      </c>
      <c r="P355" s="28">
        <v>31.51091786363637</v>
      </c>
      <c r="Q355" s="28">
        <v>31.51091786363637</v>
      </c>
      <c r="R355" s="28">
        <v>31.51091786363637</v>
      </c>
      <c r="S355" s="28">
        <v>31.51091786363637</v>
      </c>
      <c r="T355" s="28">
        <v>31.51091786363637</v>
      </c>
      <c r="U355" s="28">
        <v>31.51091786363637</v>
      </c>
      <c r="V355" s="28">
        <v>31.51091786363637</v>
      </c>
      <c r="W355" s="28">
        <v>31.51091786363637</v>
      </c>
      <c r="X355" s="28">
        <v>31.51091786363637</v>
      </c>
      <c r="Y355" s="40">
        <v>31.51091786363637</v>
      </c>
      <c r="AA355" s="52"/>
    </row>
    <row r="356" spans="2:27" ht="11.25">
      <c r="B356" s="39" t="s">
        <v>633</v>
      </c>
      <c r="C356" s="82" t="s">
        <v>578</v>
      </c>
      <c r="D356" s="83"/>
      <c r="E356" s="50" t="s">
        <v>118</v>
      </c>
      <c r="F356" s="28">
        <v>0</v>
      </c>
      <c r="G356" s="28">
        <v>14.3</v>
      </c>
      <c r="H356" s="28">
        <v>0</v>
      </c>
      <c r="I356" s="28">
        <v>0</v>
      </c>
      <c r="J356" s="28">
        <v>0</v>
      </c>
      <c r="K356" s="28">
        <v>0</v>
      </c>
      <c r="L356" s="28">
        <v>0</v>
      </c>
      <c r="M356" s="28">
        <v>0</v>
      </c>
      <c r="N356" s="28">
        <v>0</v>
      </c>
      <c r="O356" s="28">
        <v>0</v>
      </c>
      <c r="P356" s="28">
        <v>0</v>
      </c>
      <c r="Q356" s="28">
        <v>0</v>
      </c>
      <c r="R356" s="28">
        <v>0</v>
      </c>
      <c r="S356" s="28">
        <v>0</v>
      </c>
      <c r="T356" s="28">
        <v>0</v>
      </c>
      <c r="U356" s="28">
        <v>0</v>
      </c>
      <c r="V356" s="28">
        <v>0</v>
      </c>
      <c r="W356" s="28">
        <v>0</v>
      </c>
      <c r="X356" s="28">
        <v>0</v>
      </c>
      <c r="Y356" s="40">
        <v>0</v>
      </c>
      <c r="AA356" s="52">
        <v>14.3</v>
      </c>
    </row>
    <row r="357" spans="2:27" ht="11.25">
      <c r="B357" s="39" t="s">
        <v>725</v>
      </c>
      <c r="C357" s="82" t="s">
        <v>691</v>
      </c>
      <c r="D357" s="83"/>
      <c r="E357" s="50" t="s">
        <v>118</v>
      </c>
      <c r="F357" s="28">
        <v>0</v>
      </c>
      <c r="G357" s="28">
        <v>0</v>
      </c>
      <c r="H357" s="28">
        <v>9.623958323689717</v>
      </c>
      <c r="I357" s="28">
        <v>9.623958323689717</v>
      </c>
      <c r="J357" s="28">
        <v>750.8766000143718</v>
      </c>
      <c r="K357" s="28">
        <v>4.622841647566786</v>
      </c>
      <c r="L357" s="28">
        <v>0</v>
      </c>
      <c r="M357" s="28">
        <v>0</v>
      </c>
      <c r="N357" s="28">
        <v>0</v>
      </c>
      <c r="O357" s="28">
        <v>0</v>
      </c>
      <c r="P357" s="28">
        <v>0</v>
      </c>
      <c r="Q357" s="28">
        <v>0</v>
      </c>
      <c r="R357" s="28">
        <v>0</v>
      </c>
      <c r="S357" s="28">
        <v>0</v>
      </c>
      <c r="T357" s="28">
        <v>0</v>
      </c>
      <c r="U357" s="28">
        <v>0</v>
      </c>
      <c r="V357" s="28">
        <v>0</v>
      </c>
      <c r="W357" s="28">
        <v>0</v>
      </c>
      <c r="X357" s="28">
        <v>0</v>
      </c>
      <c r="Y357" s="40">
        <v>0</v>
      </c>
      <c r="AA357" s="52"/>
    </row>
    <row r="358" spans="2:27" ht="11.25">
      <c r="B358" s="39" t="s">
        <v>384</v>
      </c>
      <c r="C358" s="82" t="s">
        <v>726</v>
      </c>
      <c r="D358" s="83"/>
      <c r="E358" s="50" t="s">
        <v>123</v>
      </c>
      <c r="F358" s="28">
        <v>0</v>
      </c>
      <c r="G358" s="28">
        <v>95.66450000000002</v>
      </c>
      <c r="H358" s="28">
        <v>735.0724478691444</v>
      </c>
      <c r="I358" s="28">
        <v>273.65400877823515</v>
      </c>
      <c r="J358" s="28">
        <v>800.8593663780082</v>
      </c>
      <c r="K358" s="28">
        <v>36.13375951120315</v>
      </c>
      <c r="L358" s="28">
        <v>31.51091786363637</v>
      </c>
      <c r="M358" s="28">
        <v>31.51091786363637</v>
      </c>
      <c r="N358" s="28">
        <v>31.51091786363637</v>
      </c>
      <c r="O358" s="28">
        <v>31.51091786363637</v>
      </c>
      <c r="P358" s="28">
        <v>31.51091786363637</v>
      </c>
      <c r="Q358" s="28">
        <v>31.51091786363637</v>
      </c>
      <c r="R358" s="28">
        <v>31.51091786363637</v>
      </c>
      <c r="S358" s="28">
        <v>31.51091786363637</v>
      </c>
      <c r="T358" s="28">
        <v>31.51091786363637</v>
      </c>
      <c r="U358" s="28">
        <v>31.51091786363637</v>
      </c>
      <c r="V358" s="28">
        <v>31.51091786363637</v>
      </c>
      <c r="W358" s="28">
        <v>31.51091786363637</v>
      </c>
      <c r="X358" s="28">
        <v>31.51091786363637</v>
      </c>
      <c r="Y358" s="40">
        <v>31.51091786363637</v>
      </c>
      <c r="AA358" s="52">
        <f>+AA352+AA353+AA354</f>
        <v>1778.625325</v>
      </c>
    </row>
    <row r="359" spans="2:27" ht="11.25">
      <c r="B359" s="39" t="s">
        <v>385</v>
      </c>
      <c r="C359" s="82" t="s">
        <v>128</v>
      </c>
      <c r="D359" s="83"/>
      <c r="E359" s="50" t="s">
        <v>123</v>
      </c>
      <c r="F359" s="28">
        <v>0</v>
      </c>
      <c r="G359" s="28">
        <v>0</v>
      </c>
      <c r="H359" s="28">
        <v>0.6847882240835435</v>
      </c>
      <c r="I359" s="28">
        <v>-5.920070909833637</v>
      </c>
      <c r="J359" s="28">
        <v>308.7091914801788</v>
      </c>
      <c r="K359" s="28">
        <v>-171.43521352490444</v>
      </c>
      <c r="L359" s="28">
        <v>87.4844133025585</v>
      </c>
      <c r="M359" s="28">
        <v>1957.5849963319015</v>
      </c>
      <c r="N359" s="28">
        <v>3373.1360347914047</v>
      </c>
      <c r="O359" s="28">
        <v>3723.464035821221</v>
      </c>
      <c r="P359" s="28">
        <v>3782.439787633191</v>
      </c>
      <c r="Q359" s="28">
        <v>3838.524495629203</v>
      </c>
      <c r="R359" s="28">
        <v>3893.487509465295</v>
      </c>
      <c r="S359" s="28">
        <v>3947.3512630246646</v>
      </c>
      <c r="T359" s="28">
        <v>4000.1377415128472</v>
      </c>
      <c r="U359" s="28">
        <v>4051.8684904312663</v>
      </c>
      <c r="V359" s="28">
        <v>4102.564624371317</v>
      </c>
      <c r="W359" s="28">
        <v>4152.246835632566</v>
      </c>
      <c r="X359" s="28">
        <v>4200.935402668591</v>
      </c>
      <c r="Y359" s="40">
        <v>4248.650198363895</v>
      </c>
      <c r="AA359" s="52"/>
    </row>
    <row r="360" spans="2:27" ht="11.25">
      <c r="B360" s="39" t="s">
        <v>386</v>
      </c>
      <c r="C360" s="82" t="s">
        <v>387</v>
      </c>
      <c r="D360" s="83"/>
      <c r="E360" s="50" t="s">
        <v>123</v>
      </c>
      <c r="F360" s="28">
        <v>0</v>
      </c>
      <c r="G360" s="28">
        <v>0</v>
      </c>
      <c r="H360" s="28">
        <v>0.6847882240835435</v>
      </c>
      <c r="I360" s="28">
        <v>-5.920070909833637</v>
      </c>
      <c r="J360" s="28">
        <v>308.7091914801788</v>
      </c>
      <c r="K360" s="28">
        <v>-171.43521352490444</v>
      </c>
      <c r="L360" s="28">
        <v>87.4844133025585</v>
      </c>
      <c r="M360" s="28">
        <v>1957.5849963319015</v>
      </c>
      <c r="N360" s="28">
        <v>3373.1360347914047</v>
      </c>
      <c r="O360" s="28">
        <v>3723.464035821221</v>
      </c>
      <c r="P360" s="28">
        <v>3782.439787633191</v>
      </c>
      <c r="Q360" s="28">
        <v>3838.524495629203</v>
      </c>
      <c r="R360" s="28">
        <v>3893.487509465295</v>
      </c>
      <c r="S360" s="28">
        <v>3947.3512630246646</v>
      </c>
      <c r="T360" s="28">
        <v>4000.1377415128472</v>
      </c>
      <c r="U360" s="28">
        <v>4051.8684904312663</v>
      </c>
      <c r="V360" s="28">
        <v>4102.564624371317</v>
      </c>
      <c r="W360" s="28">
        <v>4152.246835632566</v>
      </c>
      <c r="X360" s="28">
        <v>4200.935402668591</v>
      </c>
      <c r="Y360" s="40">
        <v>4248.650198363895</v>
      </c>
      <c r="AA360" s="52"/>
    </row>
    <row r="361" spans="2:27" ht="11.25">
      <c r="B361" s="39" t="s">
        <v>388</v>
      </c>
      <c r="C361" s="82" t="s">
        <v>389</v>
      </c>
      <c r="D361" s="83"/>
      <c r="E361" s="50" t="s">
        <v>123</v>
      </c>
      <c r="F361" s="28">
        <v>0</v>
      </c>
      <c r="G361" s="28">
        <v>-95.66450000000002</v>
      </c>
      <c r="H361" s="28">
        <v>-734.3876596450609</v>
      </c>
      <c r="I361" s="28">
        <v>-279.57407968806876</v>
      </c>
      <c r="J361" s="28">
        <v>-492.1501748978294</v>
      </c>
      <c r="K361" s="28">
        <v>-207.5689730361076</v>
      </c>
      <c r="L361" s="28">
        <v>55.97349543892213</v>
      </c>
      <c r="M361" s="28">
        <v>1926.074078468265</v>
      </c>
      <c r="N361" s="28">
        <v>3341.6251169277684</v>
      </c>
      <c r="O361" s="28">
        <v>3691.9531179575847</v>
      </c>
      <c r="P361" s="28">
        <v>3750.9288697695547</v>
      </c>
      <c r="Q361" s="28">
        <v>3807.013577765567</v>
      </c>
      <c r="R361" s="28">
        <v>3861.9765916016586</v>
      </c>
      <c r="S361" s="28">
        <v>3915.8403451610284</v>
      </c>
      <c r="T361" s="28">
        <v>3968.626823649211</v>
      </c>
      <c r="U361" s="28">
        <v>4020.35757256763</v>
      </c>
      <c r="V361" s="28">
        <v>4071.053706507681</v>
      </c>
      <c r="W361" s="28">
        <v>4120.7359177689295</v>
      </c>
      <c r="X361" s="28">
        <v>4169.424484804955</v>
      </c>
      <c r="Y361" s="40">
        <v>4217.139280500258</v>
      </c>
      <c r="AA361" s="52"/>
    </row>
    <row r="362" spans="2:27" ht="11.25">
      <c r="B362" s="114" t="s">
        <v>390</v>
      </c>
      <c r="C362" s="91" t="s">
        <v>121</v>
      </c>
      <c r="D362" s="78">
        <f>+AA358</f>
        <v>1778.625325</v>
      </c>
      <c r="E362" s="94"/>
      <c r="F362" s="73"/>
      <c r="G362" s="73"/>
      <c r="H362" s="73"/>
      <c r="I362" s="73"/>
      <c r="J362" s="73"/>
      <c r="K362" s="73"/>
      <c r="L362" s="73"/>
      <c r="M362" s="73"/>
      <c r="N362" s="73"/>
      <c r="O362" s="73"/>
      <c r="P362" s="73"/>
      <c r="Q362" s="73"/>
      <c r="R362" s="73"/>
      <c r="S362" s="73"/>
      <c r="T362" s="73"/>
      <c r="U362" s="73"/>
      <c r="V362" s="73"/>
      <c r="W362" s="73"/>
      <c r="X362" s="73"/>
      <c r="Y362" s="74"/>
      <c r="AA362" s="52"/>
    </row>
    <row r="363" spans="2:27" ht="11.25">
      <c r="B363" s="90" t="s">
        <v>391</v>
      </c>
      <c r="C363" s="92" t="s">
        <v>596</v>
      </c>
      <c r="D363" s="113">
        <f>+AA356</f>
        <v>14.3</v>
      </c>
      <c r="E363" s="95"/>
      <c r="F363" s="54"/>
      <c r="G363" s="54"/>
      <c r="H363" s="54"/>
      <c r="I363" s="54"/>
      <c r="J363" s="54"/>
      <c r="K363" s="54"/>
      <c r="L363" s="54"/>
      <c r="M363" s="54"/>
      <c r="N363" s="54"/>
      <c r="O363" s="54"/>
      <c r="P363" s="54"/>
      <c r="Q363" s="54"/>
      <c r="R363" s="54"/>
      <c r="S363" s="54"/>
      <c r="T363" s="54"/>
      <c r="U363" s="54"/>
      <c r="V363" s="54"/>
      <c r="W363" s="54"/>
      <c r="X363" s="54"/>
      <c r="Y363" s="75"/>
      <c r="AA363" s="52"/>
    </row>
    <row r="364" spans="2:27" ht="11.25">
      <c r="B364" s="90" t="s">
        <v>392</v>
      </c>
      <c r="C364" s="92" t="s">
        <v>57</v>
      </c>
      <c r="D364" s="79">
        <f>+IRR(F361:Y361)</f>
        <v>0.4785036966151313</v>
      </c>
      <c r="E364" s="95"/>
      <c r="F364" s="88"/>
      <c r="G364" s="54"/>
      <c r="H364" s="54"/>
      <c r="I364" s="54"/>
      <c r="J364" s="54"/>
      <c r="K364" s="54"/>
      <c r="L364" s="54"/>
      <c r="M364" s="54"/>
      <c r="N364" s="54"/>
      <c r="O364" s="54"/>
      <c r="P364" s="54"/>
      <c r="Q364" s="54"/>
      <c r="R364" s="54"/>
      <c r="S364" s="54"/>
      <c r="T364" s="54"/>
      <c r="U364" s="54"/>
      <c r="V364" s="54"/>
      <c r="W364" s="54"/>
      <c r="X364" s="54"/>
      <c r="Y364" s="75"/>
      <c r="AA364" s="52"/>
    </row>
    <row r="365" spans="2:27" ht="12" thickBot="1">
      <c r="B365" s="122" t="s">
        <v>634</v>
      </c>
      <c r="C365" s="102" t="s">
        <v>120</v>
      </c>
      <c r="D365" s="103">
        <f>+NPV('Assumptions and Basic Info'!$C$20,F361:Y361)</f>
        <v>11881.035813833356</v>
      </c>
      <c r="E365" s="108"/>
      <c r="F365" s="105"/>
      <c r="G365" s="127"/>
      <c r="H365" s="105"/>
      <c r="I365" s="105"/>
      <c r="J365" s="105"/>
      <c r="K365" s="105"/>
      <c r="L365" s="105"/>
      <c r="M365" s="105"/>
      <c r="N365" s="105"/>
      <c r="O365" s="105"/>
      <c r="P365" s="105"/>
      <c r="Q365" s="105"/>
      <c r="R365" s="105"/>
      <c r="S365" s="105"/>
      <c r="T365" s="105"/>
      <c r="U365" s="105"/>
      <c r="V365" s="105"/>
      <c r="W365" s="105"/>
      <c r="X365" s="105"/>
      <c r="Y365" s="106"/>
      <c r="AA365" s="52"/>
    </row>
    <row r="366" spans="2:27" ht="11.25">
      <c r="B366" s="44" t="s">
        <v>393</v>
      </c>
      <c r="C366" s="23" t="s">
        <v>412</v>
      </c>
      <c r="D366" s="23"/>
      <c r="E366" s="51"/>
      <c r="F366" s="24"/>
      <c r="G366" s="24"/>
      <c r="H366" s="24"/>
      <c r="I366" s="24"/>
      <c r="J366" s="24"/>
      <c r="K366" s="24"/>
      <c r="L366" s="24"/>
      <c r="M366" s="24"/>
      <c r="N366" s="24"/>
      <c r="O366" s="24"/>
      <c r="P366" s="24"/>
      <c r="Q366" s="24"/>
      <c r="R366" s="24"/>
      <c r="S366" s="24"/>
      <c r="T366" s="24"/>
      <c r="U366" s="24"/>
      <c r="V366" s="24"/>
      <c r="W366" s="24"/>
      <c r="X366" s="24"/>
      <c r="Y366" s="45"/>
      <c r="AA366" s="52"/>
    </row>
    <row r="367" spans="2:28" ht="11.25">
      <c r="B367" s="37" t="s">
        <v>394</v>
      </c>
      <c r="C367" s="80" t="s">
        <v>124</v>
      </c>
      <c r="D367" s="81"/>
      <c r="E367" s="49" t="s">
        <v>54</v>
      </c>
      <c r="F367" s="27">
        <v>230</v>
      </c>
      <c r="G367" s="27">
        <v>221.1111111111111</v>
      </c>
      <c r="H367" s="27">
        <v>212.22222222222223</v>
      </c>
      <c r="I367" s="27">
        <v>203.33333333333337</v>
      </c>
      <c r="J367" s="27">
        <v>194.44444444444446</v>
      </c>
      <c r="K367" s="27">
        <v>185.55555555555554</v>
      </c>
      <c r="L367" s="27">
        <v>176.66666666666669</v>
      </c>
      <c r="M367" s="27">
        <v>167.7777777777778</v>
      </c>
      <c r="N367" s="27">
        <v>158.8888888888889</v>
      </c>
      <c r="O367" s="27">
        <v>150</v>
      </c>
      <c r="P367" s="27">
        <v>150</v>
      </c>
      <c r="Q367" s="27">
        <v>150</v>
      </c>
      <c r="R367" s="27">
        <v>150</v>
      </c>
      <c r="S367" s="27">
        <v>150</v>
      </c>
      <c r="T367" s="27">
        <v>150</v>
      </c>
      <c r="U367" s="27">
        <v>150</v>
      </c>
      <c r="V367" s="27">
        <v>150</v>
      </c>
      <c r="W367" s="27">
        <v>150</v>
      </c>
      <c r="X367" s="27">
        <v>150</v>
      </c>
      <c r="Y367" s="38">
        <v>150</v>
      </c>
      <c r="AA367" s="52">
        <v>230</v>
      </c>
      <c r="AB367" s="116" t="s">
        <v>126</v>
      </c>
    </row>
    <row r="368" spans="2:28" ht="11.25">
      <c r="B368" s="39" t="s">
        <v>395</v>
      </c>
      <c r="C368" s="82" t="s">
        <v>125</v>
      </c>
      <c r="D368" s="83"/>
      <c r="E368" s="50" t="s">
        <v>54</v>
      </c>
      <c r="F368" s="28">
        <v>230</v>
      </c>
      <c r="G368" s="28">
        <v>221.1111111111111</v>
      </c>
      <c r="H368" s="28">
        <v>218.44173204710415</v>
      </c>
      <c r="I368" s="28">
        <v>215.77235298309722</v>
      </c>
      <c r="J368" s="28">
        <v>298.6585294746458</v>
      </c>
      <c r="K368" s="28">
        <v>300</v>
      </c>
      <c r="L368" s="28">
        <v>300</v>
      </c>
      <c r="M368" s="28">
        <v>300</v>
      </c>
      <c r="N368" s="28">
        <v>300</v>
      </c>
      <c r="O368" s="28">
        <v>300</v>
      </c>
      <c r="P368" s="28">
        <v>300</v>
      </c>
      <c r="Q368" s="28">
        <v>300</v>
      </c>
      <c r="R368" s="28">
        <v>300</v>
      </c>
      <c r="S368" s="28">
        <v>300</v>
      </c>
      <c r="T368" s="28">
        <v>300</v>
      </c>
      <c r="U368" s="28">
        <v>300</v>
      </c>
      <c r="V368" s="28">
        <v>300</v>
      </c>
      <c r="W368" s="28">
        <v>300</v>
      </c>
      <c r="X368" s="28">
        <v>300</v>
      </c>
      <c r="Y368" s="40">
        <v>300</v>
      </c>
      <c r="AA368" s="52">
        <v>300</v>
      </c>
      <c r="AB368" s="116" t="s">
        <v>127</v>
      </c>
    </row>
    <row r="369" spans="2:29" ht="11.25">
      <c r="B369" s="39" t="s">
        <v>396</v>
      </c>
      <c r="C369" s="82" t="s">
        <v>81</v>
      </c>
      <c r="D369" s="83"/>
      <c r="E369" s="50" t="s">
        <v>54</v>
      </c>
      <c r="F369" s="28">
        <v>0</v>
      </c>
      <c r="G369" s="28">
        <v>0</v>
      </c>
      <c r="H369" s="28">
        <v>6.219509824881925</v>
      </c>
      <c r="I369" s="28">
        <v>12.43901964976385</v>
      </c>
      <c r="J369" s="28">
        <v>104.21408503020132</v>
      </c>
      <c r="K369" s="28">
        <v>114.44444444444446</v>
      </c>
      <c r="L369" s="28">
        <v>123.33333333333331</v>
      </c>
      <c r="M369" s="28">
        <v>132.2222222222222</v>
      </c>
      <c r="N369" s="28">
        <v>141.1111111111111</v>
      </c>
      <c r="O369" s="28">
        <v>150</v>
      </c>
      <c r="P369" s="28">
        <v>150</v>
      </c>
      <c r="Q369" s="28">
        <v>150</v>
      </c>
      <c r="R369" s="28">
        <v>150</v>
      </c>
      <c r="S369" s="28">
        <v>150</v>
      </c>
      <c r="T369" s="28">
        <v>150</v>
      </c>
      <c r="U369" s="28">
        <v>150</v>
      </c>
      <c r="V369" s="28">
        <v>150</v>
      </c>
      <c r="W369" s="28">
        <v>150</v>
      </c>
      <c r="X369" s="28">
        <v>150</v>
      </c>
      <c r="Y369" s="40">
        <v>150</v>
      </c>
      <c r="AA369" s="52">
        <v>70</v>
      </c>
      <c r="AB369" s="116" t="s">
        <v>127</v>
      </c>
      <c r="AC369" s="52">
        <v>70</v>
      </c>
    </row>
    <row r="370" spans="2:28" ht="11.25">
      <c r="B370" s="39" t="s">
        <v>397</v>
      </c>
      <c r="C370" s="82" t="s">
        <v>65</v>
      </c>
      <c r="D370" s="83"/>
      <c r="E370" s="50" t="s">
        <v>138</v>
      </c>
      <c r="F370" s="28">
        <v>0</v>
      </c>
      <c r="G370" s="28">
        <v>0</v>
      </c>
      <c r="H370" s="28">
        <v>0</v>
      </c>
      <c r="I370" s="28">
        <v>0</v>
      </c>
      <c r="J370" s="28">
        <v>266.66666666666674</v>
      </c>
      <c r="K370" s="28">
        <v>213.3333333333334</v>
      </c>
      <c r="L370" s="28">
        <v>160</v>
      </c>
      <c r="M370" s="28">
        <v>106.66666666666671</v>
      </c>
      <c r="N370" s="28">
        <v>53.33333333333338</v>
      </c>
      <c r="O370" s="28">
        <v>0</v>
      </c>
      <c r="P370" s="28">
        <v>0</v>
      </c>
      <c r="Q370" s="28">
        <v>0</v>
      </c>
      <c r="R370" s="28">
        <v>0</v>
      </c>
      <c r="S370" s="28">
        <v>0</v>
      </c>
      <c r="T370" s="28">
        <v>0</v>
      </c>
      <c r="U370" s="28">
        <v>0</v>
      </c>
      <c r="V370" s="28">
        <v>0</v>
      </c>
      <c r="W370" s="28">
        <v>0</v>
      </c>
      <c r="X370" s="28">
        <v>0</v>
      </c>
      <c r="Y370" s="40">
        <v>0</v>
      </c>
      <c r="AA370" s="52">
        <v>480</v>
      </c>
      <c r="AB370" s="116" t="s">
        <v>127</v>
      </c>
    </row>
    <row r="371" spans="2:27" ht="11.25">
      <c r="B371" s="39" t="s">
        <v>398</v>
      </c>
      <c r="C371" s="82" t="s">
        <v>58</v>
      </c>
      <c r="D371" s="83"/>
      <c r="E371" s="50" t="s">
        <v>123</v>
      </c>
      <c r="F371" s="28">
        <v>0</v>
      </c>
      <c r="G371" s="28">
        <v>13.913043478260871</v>
      </c>
      <c r="H371" s="28">
        <v>63.913043478260875</v>
      </c>
      <c r="I371" s="28">
        <v>137.80304347826086</v>
      </c>
      <c r="J371" s="28">
        <v>3.000869565217389</v>
      </c>
      <c r="K371" s="28">
        <v>0</v>
      </c>
      <c r="L371" s="31">
        <v>0</v>
      </c>
      <c r="M371" s="31">
        <v>0</v>
      </c>
      <c r="N371" s="31">
        <v>0</v>
      </c>
      <c r="O371" s="31">
        <v>0</v>
      </c>
      <c r="P371" s="31">
        <v>0</v>
      </c>
      <c r="Q371" s="31">
        <v>0</v>
      </c>
      <c r="R371" s="31">
        <v>0</v>
      </c>
      <c r="S371" s="31">
        <v>0</v>
      </c>
      <c r="T371" s="31">
        <v>0</v>
      </c>
      <c r="U371" s="31">
        <v>0</v>
      </c>
      <c r="V371" s="31">
        <v>0</v>
      </c>
      <c r="W371" s="31">
        <v>0</v>
      </c>
      <c r="X371" s="31">
        <v>0</v>
      </c>
      <c r="Y371" s="46">
        <v>0</v>
      </c>
      <c r="AA371" s="52">
        <v>218.63</v>
      </c>
    </row>
    <row r="372" spans="2:27" ht="11.25">
      <c r="B372" s="39" t="s">
        <v>399</v>
      </c>
      <c r="C372" s="82" t="s">
        <v>24</v>
      </c>
      <c r="D372" s="83"/>
      <c r="E372" s="50" t="s">
        <v>123</v>
      </c>
      <c r="F372" s="28">
        <v>0</v>
      </c>
      <c r="G372" s="28">
        <v>2.0869565217391304</v>
      </c>
      <c r="H372" s="28">
        <v>9.58695652173913</v>
      </c>
      <c r="I372" s="28">
        <v>20.670456521739126</v>
      </c>
      <c r="J372" s="28">
        <v>0.45013043478260834</v>
      </c>
      <c r="K372" s="28">
        <v>0</v>
      </c>
      <c r="L372" s="28">
        <v>0</v>
      </c>
      <c r="M372" s="28">
        <v>0</v>
      </c>
      <c r="N372" s="28">
        <v>0</v>
      </c>
      <c r="O372" s="28">
        <v>0</v>
      </c>
      <c r="P372" s="28">
        <v>0</v>
      </c>
      <c r="Q372" s="28">
        <v>0</v>
      </c>
      <c r="R372" s="28">
        <v>0</v>
      </c>
      <c r="S372" s="28">
        <v>0</v>
      </c>
      <c r="T372" s="28">
        <v>0</v>
      </c>
      <c r="U372" s="28">
        <v>0</v>
      </c>
      <c r="V372" s="31">
        <v>0</v>
      </c>
      <c r="W372" s="31">
        <v>0</v>
      </c>
      <c r="X372" s="31">
        <v>0</v>
      </c>
      <c r="Y372" s="46">
        <v>0</v>
      </c>
      <c r="AA372" s="54">
        <f>+AA371*'Assumptions and Basic Info'!$C$4</f>
        <v>218.63</v>
      </c>
    </row>
    <row r="373" spans="2:27" ht="11.25">
      <c r="B373" s="39" t="s">
        <v>400</v>
      </c>
      <c r="C373" s="82" t="s">
        <v>83</v>
      </c>
      <c r="D373" s="83"/>
      <c r="E373" s="50" t="s">
        <v>123</v>
      </c>
      <c r="F373" s="28">
        <v>0</v>
      </c>
      <c r="G373" s="28">
        <v>1.44</v>
      </c>
      <c r="H373" s="28">
        <v>6.615</v>
      </c>
      <c r="I373" s="28">
        <v>14.262614999999997</v>
      </c>
      <c r="J373" s="28">
        <v>0.31058999999999976</v>
      </c>
      <c r="K373" s="28">
        <v>0</v>
      </c>
      <c r="L373" s="28">
        <v>0</v>
      </c>
      <c r="M373" s="28">
        <v>0</v>
      </c>
      <c r="N373" s="28">
        <v>0</v>
      </c>
      <c r="O373" s="28">
        <v>0</v>
      </c>
      <c r="P373" s="28">
        <v>0</v>
      </c>
      <c r="Q373" s="28">
        <v>0</v>
      </c>
      <c r="R373" s="28">
        <v>0</v>
      </c>
      <c r="S373" s="28">
        <v>0</v>
      </c>
      <c r="T373" s="28">
        <v>0</v>
      </c>
      <c r="U373" s="28">
        <v>0</v>
      </c>
      <c r="V373" s="31">
        <v>0</v>
      </c>
      <c r="W373" s="31">
        <v>0</v>
      </c>
      <c r="X373" s="31">
        <v>0</v>
      </c>
      <c r="Y373" s="46">
        <v>0</v>
      </c>
      <c r="AA373" s="54">
        <v>22.628204999999994</v>
      </c>
    </row>
    <row r="374" spans="2:27" ht="11.25">
      <c r="B374" s="39" t="s">
        <v>401</v>
      </c>
      <c r="C374" s="82" t="s">
        <v>82</v>
      </c>
      <c r="D374" s="83"/>
      <c r="E374" s="50" t="s">
        <v>123</v>
      </c>
      <c r="F374" s="28">
        <v>0</v>
      </c>
      <c r="G374" s="28">
        <v>0</v>
      </c>
      <c r="H374" s="28">
        <v>0.34880000000000005</v>
      </c>
      <c r="I374" s="28">
        <v>1.9511000000000003</v>
      </c>
      <c r="J374" s="28">
        <v>5.4058223</v>
      </c>
      <c r="K374" s="28">
        <v>5.4810541</v>
      </c>
      <c r="L374" s="28">
        <v>5.4810541</v>
      </c>
      <c r="M374" s="28">
        <v>5.4810541</v>
      </c>
      <c r="N374" s="28">
        <v>5.4810541</v>
      </c>
      <c r="O374" s="28">
        <v>5.4810541</v>
      </c>
      <c r="P374" s="28">
        <v>5.4810541</v>
      </c>
      <c r="Q374" s="28">
        <v>5.4810541</v>
      </c>
      <c r="R374" s="28">
        <v>5.4810541</v>
      </c>
      <c r="S374" s="28">
        <v>5.4810541</v>
      </c>
      <c r="T374" s="28">
        <v>5.4810541</v>
      </c>
      <c r="U374" s="28">
        <v>5.4810541</v>
      </c>
      <c r="V374" s="28">
        <v>5.4810541</v>
      </c>
      <c r="W374" s="28">
        <v>5.4810541</v>
      </c>
      <c r="X374" s="28">
        <v>5.4810541</v>
      </c>
      <c r="Y374" s="40">
        <v>5.4810541</v>
      </c>
      <c r="AA374" s="52"/>
    </row>
    <row r="375" spans="2:27" ht="11.25">
      <c r="B375" s="39" t="s">
        <v>610</v>
      </c>
      <c r="C375" s="82" t="s">
        <v>578</v>
      </c>
      <c r="D375" s="83"/>
      <c r="E375" s="50" t="s">
        <v>118</v>
      </c>
      <c r="F375" s="28">
        <v>0</v>
      </c>
      <c r="G375" s="28">
        <v>7.15</v>
      </c>
      <c r="H375" s="28">
        <v>7.15</v>
      </c>
      <c r="I375" s="28">
        <v>0</v>
      </c>
      <c r="J375" s="28">
        <v>0</v>
      </c>
      <c r="K375" s="28">
        <v>0</v>
      </c>
      <c r="L375" s="28">
        <v>0</v>
      </c>
      <c r="M375" s="28">
        <v>0</v>
      </c>
      <c r="N375" s="28">
        <v>0</v>
      </c>
      <c r="O375" s="28">
        <v>0</v>
      </c>
      <c r="P375" s="28">
        <v>0</v>
      </c>
      <c r="Q375" s="28">
        <v>0</v>
      </c>
      <c r="R375" s="28">
        <v>0</v>
      </c>
      <c r="S375" s="28">
        <v>0</v>
      </c>
      <c r="T375" s="28">
        <v>0</v>
      </c>
      <c r="U375" s="28">
        <v>0</v>
      </c>
      <c r="V375" s="28">
        <v>0</v>
      </c>
      <c r="W375" s="28">
        <v>0</v>
      </c>
      <c r="X375" s="28">
        <v>0</v>
      </c>
      <c r="Y375" s="40">
        <v>0</v>
      </c>
      <c r="AA375" s="52">
        <v>14.3</v>
      </c>
    </row>
    <row r="376" spans="2:27" ht="11.25">
      <c r="B376" s="39" t="s">
        <v>727</v>
      </c>
      <c r="C376" s="82" t="s">
        <v>691</v>
      </c>
      <c r="D376" s="83"/>
      <c r="E376" s="50" t="s">
        <v>118</v>
      </c>
      <c r="F376" s="28">
        <v>0</v>
      </c>
      <c r="G376" s="28">
        <v>0</v>
      </c>
      <c r="H376" s="28">
        <v>2.1395113797593828</v>
      </c>
      <c r="I376" s="28">
        <v>2.1395113797593828</v>
      </c>
      <c r="J376" s="28">
        <v>19.339511379759383</v>
      </c>
      <c r="K376" s="28">
        <v>0.46146586072185103</v>
      </c>
      <c r="L376" s="28">
        <v>0</v>
      </c>
      <c r="M376" s="28">
        <v>0</v>
      </c>
      <c r="N376" s="28">
        <v>0</v>
      </c>
      <c r="O376" s="28">
        <v>0</v>
      </c>
      <c r="P376" s="28">
        <v>0</v>
      </c>
      <c r="Q376" s="28">
        <v>0</v>
      </c>
      <c r="R376" s="28">
        <v>0</v>
      </c>
      <c r="S376" s="28">
        <v>0</v>
      </c>
      <c r="T376" s="28">
        <v>0</v>
      </c>
      <c r="U376" s="28">
        <v>0</v>
      </c>
      <c r="V376" s="28">
        <v>0</v>
      </c>
      <c r="W376" s="28">
        <v>0</v>
      </c>
      <c r="X376" s="28">
        <v>0</v>
      </c>
      <c r="Y376" s="40">
        <v>0</v>
      </c>
      <c r="AA376" s="52"/>
    </row>
    <row r="377" spans="2:27" ht="11.25">
      <c r="B377" s="39" t="s">
        <v>402</v>
      </c>
      <c r="C377" s="82" t="s">
        <v>728</v>
      </c>
      <c r="D377" s="83"/>
      <c r="E377" s="50" t="s">
        <v>123</v>
      </c>
      <c r="F377" s="28">
        <v>0</v>
      </c>
      <c r="G377" s="28">
        <v>24.59</v>
      </c>
      <c r="H377" s="28">
        <v>89.75331137975938</v>
      </c>
      <c r="I377" s="28">
        <v>176.82672637975935</v>
      </c>
      <c r="J377" s="28">
        <v>28.50692367975938</v>
      </c>
      <c r="K377" s="28">
        <v>5.94251996072185</v>
      </c>
      <c r="L377" s="28">
        <v>5.4810541</v>
      </c>
      <c r="M377" s="28">
        <v>5.4810541</v>
      </c>
      <c r="N377" s="28">
        <v>5.4810541</v>
      </c>
      <c r="O377" s="28">
        <v>5.4810541</v>
      </c>
      <c r="P377" s="28">
        <v>5.4810541</v>
      </c>
      <c r="Q377" s="28">
        <v>5.4810541</v>
      </c>
      <c r="R377" s="28">
        <v>5.4810541</v>
      </c>
      <c r="S377" s="28">
        <v>5.4810541</v>
      </c>
      <c r="T377" s="28">
        <v>5.4810541</v>
      </c>
      <c r="U377" s="28">
        <v>5.4810541</v>
      </c>
      <c r="V377" s="28">
        <v>5.4810541</v>
      </c>
      <c r="W377" s="28">
        <v>5.4810541</v>
      </c>
      <c r="X377" s="28">
        <v>5.4810541</v>
      </c>
      <c r="Y377" s="40">
        <v>5.4810541</v>
      </c>
      <c r="AA377" s="52">
        <f>+AA371+AA372+AA373</f>
        <v>459.88820499999997</v>
      </c>
    </row>
    <row r="378" spans="2:27" ht="11.25">
      <c r="B378" s="39" t="s">
        <v>403</v>
      </c>
      <c r="C378" s="82" t="s">
        <v>128</v>
      </c>
      <c r="D378" s="83"/>
      <c r="E378" s="50" t="s">
        <v>123</v>
      </c>
      <c r="F378" s="28">
        <v>0</v>
      </c>
      <c r="G378" s="28">
        <v>0</v>
      </c>
      <c r="H378" s="28">
        <v>0.400875574245321</v>
      </c>
      <c r="I378" s="28">
        <v>-0.39119113834537667</v>
      </c>
      <c r="J378" s="28">
        <v>36.588370888310536</v>
      </c>
      <c r="K378" s="28">
        <v>38.097147187800324</v>
      </c>
      <c r="L378" s="28">
        <v>54.4940724118774</v>
      </c>
      <c r="M378" s="28">
        <v>96.89338945420093</v>
      </c>
      <c r="N378" s="28">
        <v>129.41224648373367</v>
      </c>
      <c r="O378" s="28">
        <v>144.58282898388504</v>
      </c>
      <c r="P378" s="28">
        <v>144.72733929866996</v>
      </c>
      <c r="Q378" s="28">
        <v>144.72733929866996</v>
      </c>
      <c r="R378" s="28">
        <v>144.72733929866996</v>
      </c>
      <c r="S378" s="28">
        <v>144.72733929866996</v>
      </c>
      <c r="T378" s="28">
        <v>144.72733929866996</v>
      </c>
      <c r="U378" s="28">
        <v>144.72733929866996</v>
      </c>
      <c r="V378" s="28">
        <v>144.72733929866996</v>
      </c>
      <c r="W378" s="28">
        <v>144.72733929866996</v>
      </c>
      <c r="X378" s="28">
        <v>144.72733929866996</v>
      </c>
      <c r="Y378" s="40">
        <v>144.72733929866996</v>
      </c>
      <c r="AA378" s="52"/>
    </row>
    <row r="379" spans="2:27" ht="11.25">
      <c r="B379" s="39" t="s">
        <v>404</v>
      </c>
      <c r="C379" s="82" t="s">
        <v>63</v>
      </c>
      <c r="D379" s="83"/>
      <c r="E379" s="50" t="s">
        <v>123</v>
      </c>
      <c r="F379" s="28">
        <v>0</v>
      </c>
      <c r="G379" s="28">
        <v>0</v>
      </c>
      <c r="H379" s="28">
        <v>0</v>
      </c>
      <c r="I379" s="28">
        <v>0</v>
      </c>
      <c r="J379" s="28">
        <v>11.253333333333337</v>
      </c>
      <c r="K379" s="28">
        <v>9.00266666666667</v>
      </c>
      <c r="L379" s="28">
        <v>6.7520000000000024</v>
      </c>
      <c r="M379" s="28">
        <v>4.501333333333336</v>
      </c>
      <c r="N379" s="28">
        <v>2.250666666666669</v>
      </c>
      <c r="O379" s="28">
        <v>0</v>
      </c>
      <c r="P379" s="28">
        <v>0</v>
      </c>
      <c r="Q379" s="28">
        <v>0</v>
      </c>
      <c r="R379" s="28">
        <v>0</v>
      </c>
      <c r="S379" s="28">
        <v>0</v>
      </c>
      <c r="T379" s="28">
        <v>0</v>
      </c>
      <c r="U379" s="28">
        <v>0</v>
      </c>
      <c r="V379" s="28">
        <v>0</v>
      </c>
      <c r="W379" s="28">
        <v>0</v>
      </c>
      <c r="X379" s="28">
        <v>0</v>
      </c>
      <c r="Y379" s="40">
        <v>0</v>
      </c>
      <c r="AA379" s="52"/>
    </row>
    <row r="380" spans="2:27" ht="11.25">
      <c r="B380" s="39" t="s">
        <v>405</v>
      </c>
      <c r="C380" s="82" t="s">
        <v>406</v>
      </c>
      <c r="D380" s="83"/>
      <c r="E380" s="50" t="s">
        <v>123</v>
      </c>
      <c r="F380" s="28">
        <v>0</v>
      </c>
      <c r="G380" s="28">
        <v>0</v>
      </c>
      <c r="H380" s="28">
        <v>0.400875574245321</v>
      </c>
      <c r="I380" s="28">
        <v>-0.39119113834537667</v>
      </c>
      <c r="J380" s="28">
        <v>47.84170422164387</v>
      </c>
      <c r="K380" s="28">
        <v>47.099813854466994</v>
      </c>
      <c r="L380" s="28">
        <v>61.2460724118774</v>
      </c>
      <c r="M380" s="28">
        <v>101.39472278753426</v>
      </c>
      <c r="N380" s="28">
        <v>131.66291315040033</v>
      </c>
      <c r="O380" s="28">
        <v>144.58282898388504</v>
      </c>
      <c r="P380" s="28">
        <v>144.72733929866996</v>
      </c>
      <c r="Q380" s="28">
        <v>144.72733929866996</v>
      </c>
      <c r="R380" s="28">
        <v>144.72733929866996</v>
      </c>
      <c r="S380" s="28">
        <v>144.72733929866996</v>
      </c>
      <c r="T380" s="28">
        <v>144.72733929866996</v>
      </c>
      <c r="U380" s="28">
        <v>144.72733929866996</v>
      </c>
      <c r="V380" s="28">
        <v>144.72733929866996</v>
      </c>
      <c r="W380" s="28">
        <v>144.72733929866996</v>
      </c>
      <c r="X380" s="28">
        <v>144.72733929866996</v>
      </c>
      <c r="Y380" s="40">
        <v>144.72733929866996</v>
      </c>
      <c r="AA380" s="52"/>
    </row>
    <row r="381" spans="2:27" ht="11.25">
      <c r="B381" s="39" t="s">
        <v>407</v>
      </c>
      <c r="C381" s="84" t="s">
        <v>611</v>
      </c>
      <c r="D381" s="85"/>
      <c r="E381" s="50" t="s">
        <v>123</v>
      </c>
      <c r="F381" s="28">
        <v>0</v>
      </c>
      <c r="G381" s="28">
        <v>-24.59</v>
      </c>
      <c r="H381" s="28">
        <v>-89.35243580551406</v>
      </c>
      <c r="I381" s="28">
        <v>-177.2179175181047</v>
      </c>
      <c r="J381" s="28">
        <v>19.33478054188449</v>
      </c>
      <c r="K381" s="28">
        <v>41.15729389374514</v>
      </c>
      <c r="L381" s="28">
        <v>55.7650183118774</v>
      </c>
      <c r="M381" s="28">
        <v>95.91366868753427</v>
      </c>
      <c r="N381" s="28">
        <v>126.18185905040033</v>
      </c>
      <c r="O381" s="28">
        <v>139.10177488388504</v>
      </c>
      <c r="P381" s="28">
        <v>139.24628519866997</v>
      </c>
      <c r="Q381" s="28">
        <v>139.24628519866997</v>
      </c>
      <c r="R381" s="28">
        <v>139.24628519866997</v>
      </c>
      <c r="S381" s="28">
        <v>139.24628519866997</v>
      </c>
      <c r="T381" s="28">
        <v>139.24628519866997</v>
      </c>
      <c r="U381" s="28">
        <v>139.24628519866997</v>
      </c>
      <c r="V381" s="28">
        <v>139.24628519866997</v>
      </c>
      <c r="W381" s="28">
        <v>139.24628519866997</v>
      </c>
      <c r="X381" s="28">
        <v>139.24628519866997</v>
      </c>
      <c r="Y381" s="40">
        <v>139.24628519866997</v>
      </c>
      <c r="AA381" s="52"/>
    </row>
    <row r="382" spans="2:27" ht="11.25">
      <c r="B382" s="114" t="s">
        <v>408</v>
      </c>
      <c r="C382" s="91" t="s">
        <v>121</v>
      </c>
      <c r="D382" s="78">
        <f>+AA377</f>
        <v>459.88820499999997</v>
      </c>
      <c r="E382" s="94"/>
      <c r="F382" s="73"/>
      <c r="G382" s="73"/>
      <c r="H382" s="73"/>
      <c r="I382" s="73"/>
      <c r="J382" s="73"/>
      <c r="K382" s="73"/>
      <c r="L382" s="73"/>
      <c r="M382" s="73"/>
      <c r="N382" s="73"/>
      <c r="O382" s="73"/>
      <c r="P382" s="73"/>
      <c r="Q382" s="73"/>
      <c r="R382" s="73"/>
      <c r="S382" s="73"/>
      <c r="T382" s="73"/>
      <c r="U382" s="73"/>
      <c r="V382" s="73"/>
      <c r="W382" s="73"/>
      <c r="X382" s="73"/>
      <c r="Y382" s="74"/>
      <c r="AA382" s="52"/>
    </row>
    <row r="383" spans="2:27" ht="11.25">
      <c r="B383" s="90" t="s">
        <v>409</v>
      </c>
      <c r="C383" s="92" t="s">
        <v>596</v>
      </c>
      <c r="D383" s="113">
        <f>+AA375</f>
        <v>14.3</v>
      </c>
      <c r="E383" s="95"/>
      <c r="F383" s="54"/>
      <c r="G383" s="54"/>
      <c r="H383" s="54"/>
      <c r="I383" s="54"/>
      <c r="J383" s="54"/>
      <c r="K383" s="54"/>
      <c r="L383" s="54"/>
      <c r="M383" s="54"/>
      <c r="N383" s="54"/>
      <c r="O383" s="54"/>
      <c r="P383" s="54"/>
      <c r="Q383" s="54"/>
      <c r="R383" s="54"/>
      <c r="S383" s="54"/>
      <c r="T383" s="54"/>
      <c r="U383" s="54"/>
      <c r="V383" s="54"/>
      <c r="W383" s="54"/>
      <c r="X383" s="54"/>
      <c r="Y383" s="75"/>
      <c r="AA383" s="52"/>
    </row>
    <row r="384" spans="2:27" ht="11.25">
      <c r="B384" s="90" t="s">
        <v>410</v>
      </c>
      <c r="C384" s="92" t="s">
        <v>57</v>
      </c>
      <c r="D384" s="79">
        <f>+IRR(F381:Y381)</f>
        <v>0.24468199023812412</v>
      </c>
      <c r="E384" s="95"/>
      <c r="F384" s="88"/>
      <c r="G384" s="54"/>
      <c r="H384" s="54"/>
      <c r="I384" s="54"/>
      <c r="J384" s="54"/>
      <c r="K384" s="54"/>
      <c r="L384" s="54"/>
      <c r="M384" s="54"/>
      <c r="N384" s="54"/>
      <c r="O384" s="54"/>
      <c r="P384" s="54"/>
      <c r="Q384" s="54"/>
      <c r="R384" s="54"/>
      <c r="S384" s="54"/>
      <c r="T384" s="54"/>
      <c r="U384" s="54"/>
      <c r="V384" s="54"/>
      <c r="W384" s="54"/>
      <c r="X384" s="54"/>
      <c r="Y384" s="75"/>
      <c r="AA384" s="52"/>
    </row>
    <row r="385" spans="2:27" ht="12" thickBot="1">
      <c r="B385" s="122" t="s">
        <v>612</v>
      </c>
      <c r="C385" s="102" t="s">
        <v>120</v>
      </c>
      <c r="D385" s="103">
        <f>+NPV('Assumptions and Basic Info'!$C$20,F381:Y381)</f>
        <v>337.1191192664717</v>
      </c>
      <c r="E385" s="108"/>
      <c r="F385" s="105"/>
      <c r="G385" s="127"/>
      <c r="H385" s="105"/>
      <c r="I385" s="105"/>
      <c r="J385" s="105"/>
      <c r="K385" s="105"/>
      <c r="L385" s="105"/>
      <c r="M385" s="105"/>
      <c r="N385" s="105"/>
      <c r="O385" s="105"/>
      <c r="P385" s="105"/>
      <c r="Q385" s="105"/>
      <c r="R385" s="105"/>
      <c r="S385" s="105"/>
      <c r="T385" s="105"/>
      <c r="U385" s="105"/>
      <c r="V385" s="105"/>
      <c r="W385" s="105"/>
      <c r="X385" s="105"/>
      <c r="Y385" s="106"/>
      <c r="AA385" s="52"/>
    </row>
    <row r="386" spans="2:27" ht="11.25">
      <c r="B386" s="44" t="s">
        <v>413</v>
      </c>
      <c r="C386" s="23" t="s">
        <v>432</v>
      </c>
      <c r="D386" s="23"/>
      <c r="E386" s="51"/>
      <c r="F386" s="24"/>
      <c r="G386" s="24"/>
      <c r="H386" s="24"/>
      <c r="I386" s="24"/>
      <c r="J386" s="24"/>
      <c r="K386" s="24"/>
      <c r="L386" s="24"/>
      <c r="M386" s="24"/>
      <c r="N386" s="24"/>
      <c r="O386" s="24"/>
      <c r="P386" s="24"/>
      <c r="Q386" s="24"/>
      <c r="R386" s="24"/>
      <c r="S386" s="24"/>
      <c r="T386" s="24"/>
      <c r="U386" s="24"/>
      <c r="V386" s="24"/>
      <c r="W386" s="24"/>
      <c r="X386" s="24"/>
      <c r="Y386" s="45"/>
      <c r="AA386" s="52"/>
    </row>
    <row r="387" spans="2:27" ht="11.25">
      <c r="B387" s="37" t="s">
        <v>414</v>
      </c>
      <c r="C387" s="80" t="s">
        <v>124</v>
      </c>
      <c r="D387" s="81"/>
      <c r="E387" s="49" t="s">
        <v>54</v>
      </c>
      <c r="F387" s="27">
        <v>355</v>
      </c>
      <c r="G387" s="27">
        <v>340.6111111111111</v>
      </c>
      <c r="H387" s="27">
        <v>326.3322222222223</v>
      </c>
      <c r="I387" s="27">
        <v>312.1611333333334</v>
      </c>
      <c r="J387" s="27">
        <v>298.0956884444445</v>
      </c>
      <c r="K387" s="27">
        <v>284.1337746755555</v>
      </c>
      <c r="L387" s="27">
        <v>270.27332140426665</v>
      </c>
      <c r="M387" s="27">
        <v>256.5122994206258</v>
      </c>
      <c r="N387" s="27">
        <v>242.84872009888</v>
      </c>
      <c r="O387" s="27">
        <v>229.28063458579123</v>
      </c>
      <c r="P387" s="27">
        <v>224.6950218940754</v>
      </c>
      <c r="Q387" s="27">
        <v>220.2011214561939</v>
      </c>
      <c r="R387" s="27">
        <v>215.79709902707003</v>
      </c>
      <c r="S387" s="27">
        <v>211.48115704652866</v>
      </c>
      <c r="T387" s="27">
        <v>207.25153390559808</v>
      </c>
      <c r="U387" s="27">
        <v>203.1065032274861</v>
      </c>
      <c r="V387" s="27">
        <v>199.04437316293638</v>
      </c>
      <c r="W387" s="27">
        <v>195.06348569967759</v>
      </c>
      <c r="X387" s="27">
        <v>191.16221598568404</v>
      </c>
      <c r="Y387" s="38">
        <v>187.33897166597035</v>
      </c>
      <c r="AA387" s="52">
        <v>355</v>
      </c>
    </row>
    <row r="388" spans="2:28" ht="11.25">
      <c r="B388" s="39" t="s">
        <v>415</v>
      </c>
      <c r="C388" s="82" t="s">
        <v>125</v>
      </c>
      <c r="D388" s="83"/>
      <c r="E388" s="50" t="s">
        <v>54</v>
      </c>
      <c r="F388" s="28">
        <v>355</v>
      </c>
      <c r="G388" s="28">
        <v>340.6111111111111</v>
      </c>
      <c r="H388" s="28">
        <v>335.95022332658453</v>
      </c>
      <c r="I388" s="28">
        <v>331.39713554205787</v>
      </c>
      <c r="J388" s="28">
        <v>1113.8540033130867</v>
      </c>
      <c r="K388" s="28">
        <v>1119</v>
      </c>
      <c r="L388" s="28">
        <v>1119</v>
      </c>
      <c r="M388" s="28">
        <v>1119</v>
      </c>
      <c r="N388" s="28">
        <v>1119</v>
      </c>
      <c r="O388" s="28">
        <v>1119</v>
      </c>
      <c r="P388" s="28">
        <v>1119</v>
      </c>
      <c r="Q388" s="28">
        <v>1119</v>
      </c>
      <c r="R388" s="28">
        <v>1119</v>
      </c>
      <c r="S388" s="28">
        <v>1119</v>
      </c>
      <c r="T388" s="28">
        <v>1119</v>
      </c>
      <c r="U388" s="28">
        <v>1119</v>
      </c>
      <c r="V388" s="28">
        <v>1119</v>
      </c>
      <c r="W388" s="28">
        <v>1119</v>
      </c>
      <c r="X388" s="28">
        <v>1119</v>
      </c>
      <c r="Y388" s="40">
        <v>1119</v>
      </c>
      <c r="AA388" s="52">
        <v>1119</v>
      </c>
      <c r="AB388" s="52">
        <v>764</v>
      </c>
    </row>
    <row r="389" spans="2:27" ht="11.25">
      <c r="B389" s="39" t="s">
        <v>416</v>
      </c>
      <c r="C389" s="82" t="s">
        <v>81</v>
      </c>
      <c r="D389" s="83"/>
      <c r="E389" s="50" t="s">
        <v>54</v>
      </c>
      <c r="F389" s="28">
        <v>0</v>
      </c>
      <c r="G389" s="28">
        <v>0</v>
      </c>
      <c r="H389" s="28">
        <v>9.618001104362236</v>
      </c>
      <c r="I389" s="28">
        <v>19.23600220872447</v>
      </c>
      <c r="J389" s="28">
        <v>815.7583148686422</v>
      </c>
      <c r="K389" s="28">
        <v>834.8662253244445</v>
      </c>
      <c r="L389" s="28">
        <v>848.7266785957333</v>
      </c>
      <c r="M389" s="28">
        <v>862.4877005793742</v>
      </c>
      <c r="N389" s="28">
        <v>876.15127990112</v>
      </c>
      <c r="O389" s="28">
        <v>889.7193654142088</v>
      </c>
      <c r="P389" s="28">
        <v>894.3049781059246</v>
      </c>
      <c r="Q389" s="28">
        <v>898.798878543806</v>
      </c>
      <c r="R389" s="28">
        <v>903.2029009729299</v>
      </c>
      <c r="S389" s="28">
        <v>907.5188429534713</v>
      </c>
      <c r="T389" s="28">
        <v>911.7484660944019</v>
      </c>
      <c r="U389" s="28">
        <v>915.8934967725139</v>
      </c>
      <c r="V389" s="28">
        <v>919.9556268370636</v>
      </c>
      <c r="W389" s="28">
        <v>923.9365143003224</v>
      </c>
      <c r="X389" s="28">
        <v>927.837784014316</v>
      </c>
      <c r="Y389" s="40">
        <v>931.6610283340297</v>
      </c>
      <c r="AA389" s="52">
        <v>764</v>
      </c>
    </row>
    <row r="390" spans="2:27" ht="11.25">
      <c r="B390" s="39" t="s">
        <v>417</v>
      </c>
      <c r="C390" s="82" t="s">
        <v>65</v>
      </c>
      <c r="D390" s="83"/>
      <c r="E390" s="50" t="s">
        <v>138</v>
      </c>
      <c r="F390" s="28">
        <v>0</v>
      </c>
      <c r="G390" s="28">
        <v>0</v>
      </c>
      <c r="H390" s="28">
        <v>0</v>
      </c>
      <c r="I390" s="28">
        <v>0</v>
      </c>
      <c r="J390" s="28">
        <v>322.2222222222222</v>
      </c>
      <c r="K390" s="28">
        <v>257.7777777777777</v>
      </c>
      <c r="L390" s="28">
        <v>193.33333333333326</v>
      </c>
      <c r="M390" s="28">
        <v>128.8888888888888</v>
      </c>
      <c r="N390" s="28">
        <v>64.44444444444436</v>
      </c>
      <c r="O390" s="28">
        <v>0</v>
      </c>
      <c r="P390" s="28">
        <v>0</v>
      </c>
      <c r="Q390" s="28">
        <v>0</v>
      </c>
      <c r="R390" s="28">
        <v>0</v>
      </c>
      <c r="S390" s="28">
        <v>0</v>
      </c>
      <c r="T390" s="28">
        <v>0</v>
      </c>
      <c r="U390" s="28">
        <v>0</v>
      </c>
      <c r="V390" s="28">
        <v>0</v>
      </c>
      <c r="W390" s="28">
        <v>0</v>
      </c>
      <c r="X390" s="28">
        <v>0</v>
      </c>
      <c r="Y390" s="40">
        <v>0</v>
      </c>
      <c r="AA390" s="52">
        <v>580</v>
      </c>
    </row>
    <row r="391" spans="2:27" ht="11.25">
      <c r="B391" s="39" t="s">
        <v>418</v>
      </c>
      <c r="C391" s="82" t="s">
        <v>58</v>
      </c>
      <c r="D391" s="83"/>
      <c r="E391" s="50" t="s">
        <v>123</v>
      </c>
      <c r="F391" s="28">
        <v>0</v>
      </c>
      <c r="G391" s="28">
        <v>16.347826086956523</v>
      </c>
      <c r="H391" s="28">
        <v>307.19367588932806</v>
      </c>
      <c r="I391" s="28">
        <v>451.55584980237154</v>
      </c>
      <c r="J391" s="28">
        <v>8.74670921420023</v>
      </c>
      <c r="K391" s="28">
        <v>0</v>
      </c>
      <c r="L391" s="31">
        <v>0</v>
      </c>
      <c r="M391" s="31">
        <v>0</v>
      </c>
      <c r="N391" s="31">
        <v>0</v>
      </c>
      <c r="O391" s="31">
        <v>0</v>
      </c>
      <c r="P391" s="31">
        <v>0</v>
      </c>
      <c r="Q391" s="31">
        <v>0</v>
      </c>
      <c r="R391" s="31">
        <v>0</v>
      </c>
      <c r="S391" s="31">
        <v>0</v>
      </c>
      <c r="T391" s="31">
        <v>0</v>
      </c>
      <c r="U391" s="31">
        <v>0</v>
      </c>
      <c r="V391" s="31">
        <v>0</v>
      </c>
      <c r="W391" s="31">
        <v>0</v>
      </c>
      <c r="X391" s="31">
        <v>0</v>
      </c>
      <c r="Y391" s="46">
        <v>0</v>
      </c>
      <c r="AA391" s="52">
        <v>783.8440609928564</v>
      </c>
    </row>
    <row r="392" spans="2:27" ht="11.25">
      <c r="B392" s="39" t="s">
        <v>419</v>
      </c>
      <c r="C392" s="82" t="s">
        <v>24</v>
      </c>
      <c r="D392" s="83"/>
      <c r="E392" s="50" t="s">
        <v>123</v>
      </c>
      <c r="F392" s="28">
        <v>0</v>
      </c>
      <c r="G392" s="28">
        <v>2.4521739130434783</v>
      </c>
      <c r="H392" s="28">
        <v>46.07905138339921</v>
      </c>
      <c r="I392" s="28">
        <v>67.73337747035572</v>
      </c>
      <c r="J392" s="28">
        <v>1.3120063821300345</v>
      </c>
      <c r="K392" s="28">
        <v>0</v>
      </c>
      <c r="L392" s="28">
        <v>0</v>
      </c>
      <c r="M392" s="28">
        <v>0</v>
      </c>
      <c r="N392" s="28">
        <v>0</v>
      </c>
      <c r="O392" s="28">
        <v>0</v>
      </c>
      <c r="P392" s="28">
        <v>0</v>
      </c>
      <c r="Q392" s="28">
        <v>0</v>
      </c>
      <c r="R392" s="28">
        <v>0</v>
      </c>
      <c r="S392" s="28">
        <v>0</v>
      </c>
      <c r="T392" s="28">
        <v>0</v>
      </c>
      <c r="U392" s="28">
        <v>0</v>
      </c>
      <c r="V392" s="31">
        <v>0</v>
      </c>
      <c r="W392" s="31">
        <v>0</v>
      </c>
      <c r="X392" s="31">
        <v>0</v>
      </c>
      <c r="Y392" s="46">
        <v>0</v>
      </c>
      <c r="AA392" s="54">
        <f>+AA391*'Assumptions and Basic Info'!$C$4</f>
        <v>783.8440609928564</v>
      </c>
    </row>
    <row r="393" spans="2:27" ht="11.25">
      <c r="B393" s="39" t="s">
        <v>420</v>
      </c>
      <c r="C393" s="82" t="s">
        <v>83</v>
      </c>
      <c r="D393" s="83"/>
      <c r="E393" s="50" t="s">
        <v>123</v>
      </c>
      <c r="F393" s="28">
        <v>0</v>
      </c>
      <c r="G393" s="28">
        <v>1.692</v>
      </c>
      <c r="H393" s="28">
        <v>41.78001522727273</v>
      </c>
      <c r="I393" s="28">
        <v>41.78001522727273</v>
      </c>
      <c r="J393" s="28">
        <v>0.9052844036697237</v>
      </c>
      <c r="K393" s="28">
        <v>0</v>
      </c>
      <c r="L393" s="28">
        <v>0</v>
      </c>
      <c r="M393" s="28">
        <v>0</v>
      </c>
      <c r="N393" s="28">
        <v>0</v>
      </c>
      <c r="O393" s="28">
        <v>0</v>
      </c>
      <c r="P393" s="28">
        <v>0</v>
      </c>
      <c r="Q393" s="28">
        <v>0</v>
      </c>
      <c r="R393" s="28">
        <v>0</v>
      </c>
      <c r="S393" s="28">
        <v>0</v>
      </c>
      <c r="T393" s="28">
        <v>0</v>
      </c>
      <c r="U393" s="28">
        <v>0</v>
      </c>
      <c r="V393" s="31">
        <v>0</v>
      </c>
      <c r="W393" s="31">
        <v>0</v>
      </c>
      <c r="X393" s="31">
        <v>0</v>
      </c>
      <c r="Y393" s="46">
        <v>0</v>
      </c>
      <c r="AA393" s="54">
        <v>86.15731485821517</v>
      </c>
    </row>
    <row r="394" spans="2:27" ht="11.25">
      <c r="B394" s="39" t="s">
        <v>421</v>
      </c>
      <c r="C394" s="82" t="s">
        <v>82</v>
      </c>
      <c r="D394" s="83"/>
      <c r="E394" s="50" t="s">
        <v>123</v>
      </c>
      <c r="F394" s="28">
        <v>0</v>
      </c>
      <c r="G394" s="28">
        <v>0</v>
      </c>
      <c r="H394" s="28">
        <v>0.40984000000000004</v>
      </c>
      <c r="I394" s="28">
        <v>11.07709485</v>
      </c>
      <c r="J394" s="28">
        <v>25.0646797</v>
      </c>
      <c r="K394" s="28">
        <v>25.283959699999997</v>
      </c>
      <c r="L394" s="28">
        <v>25.283959699999997</v>
      </c>
      <c r="M394" s="28">
        <v>25.283959699999997</v>
      </c>
      <c r="N394" s="28">
        <v>25.283959699999997</v>
      </c>
      <c r="O394" s="28">
        <v>25.283959699999997</v>
      </c>
      <c r="P394" s="28">
        <v>25.283959699999997</v>
      </c>
      <c r="Q394" s="28">
        <v>25.283959699999997</v>
      </c>
      <c r="R394" s="28">
        <v>25.283959699999997</v>
      </c>
      <c r="S394" s="28">
        <v>25.283959699999997</v>
      </c>
      <c r="T394" s="28">
        <v>25.283959699999997</v>
      </c>
      <c r="U394" s="28">
        <v>25.283959699999997</v>
      </c>
      <c r="V394" s="28">
        <v>25.283959699999997</v>
      </c>
      <c r="W394" s="28">
        <v>25.283959699999997</v>
      </c>
      <c r="X394" s="28">
        <v>25.283959699999997</v>
      </c>
      <c r="Y394" s="40">
        <v>25.283959699999997</v>
      </c>
      <c r="AA394" s="52"/>
    </row>
    <row r="395" spans="2:27" ht="11.25">
      <c r="B395" s="39" t="s">
        <v>613</v>
      </c>
      <c r="C395" s="82" t="s">
        <v>578</v>
      </c>
      <c r="D395" s="83"/>
      <c r="E395" s="50" t="s">
        <v>118</v>
      </c>
      <c r="F395" s="28">
        <v>0</v>
      </c>
      <c r="G395" s="28">
        <v>0</v>
      </c>
      <c r="H395" s="28">
        <v>109.78</v>
      </c>
      <c r="I395" s="28">
        <v>0</v>
      </c>
      <c r="J395" s="28">
        <v>0</v>
      </c>
      <c r="K395" s="28">
        <v>0</v>
      </c>
      <c r="L395" s="28">
        <v>0</v>
      </c>
      <c r="M395" s="28">
        <v>0</v>
      </c>
      <c r="N395" s="28">
        <v>0</v>
      </c>
      <c r="O395" s="28">
        <v>0</v>
      </c>
      <c r="P395" s="28">
        <v>0</v>
      </c>
      <c r="Q395" s="28">
        <v>0</v>
      </c>
      <c r="R395" s="28">
        <v>0</v>
      </c>
      <c r="S395" s="28">
        <v>0</v>
      </c>
      <c r="T395" s="28">
        <v>0</v>
      </c>
      <c r="U395" s="28">
        <v>0</v>
      </c>
      <c r="V395" s="28">
        <v>0</v>
      </c>
      <c r="W395" s="28">
        <v>0</v>
      </c>
      <c r="X395" s="28">
        <v>0</v>
      </c>
      <c r="Y395" s="40">
        <v>0</v>
      </c>
      <c r="AA395" s="52">
        <v>109.78</v>
      </c>
    </row>
    <row r="396" spans="2:27" ht="11.25">
      <c r="B396" s="39" t="s">
        <v>729</v>
      </c>
      <c r="C396" s="82" t="s">
        <v>691</v>
      </c>
      <c r="D396" s="83"/>
      <c r="E396" s="50" t="s">
        <v>123</v>
      </c>
      <c r="F396" s="28">
        <v>0</v>
      </c>
      <c r="G396" s="28">
        <v>0</v>
      </c>
      <c r="H396" s="28">
        <v>3.3085923799006087</v>
      </c>
      <c r="I396" s="28">
        <v>3.3085923799006087</v>
      </c>
      <c r="J396" s="28">
        <v>254.4285923799006</v>
      </c>
      <c r="K396" s="28">
        <v>1.770222860298175</v>
      </c>
      <c r="L396" s="28">
        <v>0</v>
      </c>
      <c r="M396" s="28">
        <v>0</v>
      </c>
      <c r="N396" s="28">
        <v>0</v>
      </c>
      <c r="O396" s="28">
        <v>0</v>
      </c>
      <c r="P396" s="28">
        <v>0</v>
      </c>
      <c r="Q396" s="28">
        <v>0</v>
      </c>
      <c r="R396" s="28">
        <v>0</v>
      </c>
      <c r="S396" s="28">
        <v>0</v>
      </c>
      <c r="T396" s="28">
        <v>0</v>
      </c>
      <c r="U396" s="28">
        <v>0</v>
      </c>
      <c r="V396" s="28">
        <v>0</v>
      </c>
      <c r="W396" s="28">
        <v>0</v>
      </c>
      <c r="X396" s="28">
        <v>0</v>
      </c>
      <c r="Y396" s="40">
        <v>0</v>
      </c>
      <c r="AA396" s="52"/>
    </row>
    <row r="397" spans="2:27" ht="11.25">
      <c r="B397" s="39" t="s">
        <v>422</v>
      </c>
      <c r="C397" s="82" t="s">
        <v>730</v>
      </c>
      <c r="D397" s="83"/>
      <c r="E397" s="50" t="s">
        <v>123</v>
      </c>
      <c r="F397" s="28">
        <v>0</v>
      </c>
      <c r="G397" s="28">
        <v>20.492</v>
      </c>
      <c r="H397" s="28">
        <v>508.55117487990054</v>
      </c>
      <c r="I397" s="28">
        <v>575.4549297299005</v>
      </c>
      <c r="J397" s="28">
        <v>290.4572720799006</v>
      </c>
      <c r="K397" s="28">
        <v>27.054182560298173</v>
      </c>
      <c r="L397" s="28">
        <v>25.283959699999997</v>
      </c>
      <c r="M397" s="28">
        <v>25.283959699999997</v>
      </c>
      <c r="N397" s="28">
        <v>25.283959699999997</v>
      </c>
      <c r="O397" s="28">
        <v>25.283959699999997</v>
      </c>
      <c r="P397" s="28">
        <v>25.283959699999997</v>
      </c>
      <c r="Q397" s="28">
        <v>25.283959699999997</v>
      </c>
      <c r="R397" s="28">
        <v>25.283959699999997</v>
      </c>
      <c r="S397" s="28">
        <v>25.283959699999997</v>
      </c>
      <c r="T397" s="28">
        <v>25.283959699999997</v>
      </c>
      <c r="U397" s="28">
        <v>25.283959699999997</v>
      </c>
      <c r="V397" s="28">
        <v>25.283959699999997</v>
      </c>
      <c r="W397" s="28">
        <v>25.283959699999997</v>
      </c>
      <c r="X397" s="28">
        <v>25.283959699999997</v>
      </c>
      <c r="Y397" s="40">
        <v>25.283959699999997</v>
      </c>
      <c r="AA397" s="52">
        <f>+AA391+AA392+AA393</f>
        <v>1653.845436843928</v>
      </c>
    </row>
    <row r="398" spans="2:27" ht="11.25">
      <c r="B398" s="39" t="s">
        <v>423</v>
      </c>
      <c r="C398" s="82" t="s">
        <v>128</v>
      </c>
      <c r="D398" s="83"/>
      <c r="E398" s="50" t="s">
        <v>123</v>
      </c>
      <c r="F398" s="28">
        <v>0</v>
      </c>
      <c r="G398" s="28">
        <v>0</v>
      </c>
      <c r="H398" s="28">
        <v>0.6199237278118679</v>
      </c>
      <c r="I398" s="28">
        <v>-0.6049474808400965</v>
      </c>
      <c r="J398" s="28">
        <v>100.50208385576633</v>
      </c>
      <c r="K398" s="28">
        <v>-21.946424978276923</v>
      </c>
      <c r="L398" s="28">
        <v>28.44909771628688</v>
      </c>
      <c r="M398" s="28">
        <v>449.47774856575677</v>
      </c>
      <c r="N398" s="28">
        <v>763.0603291617664</v>
      </c>
      <c r="O398" s="28">
        <v>857.8904224891003</v>
      </c>
      <c r="P398" s="28">
        <v>862.8692000188386</v>
      </c>
      <c r="Q398" s="28">
        <v>867.2051350418234</v>
      </c>
      <c r="R398" s="28">
        <v>871.4543513643486</v>
      </c>
      <c r="S398" s="28">
        <v>875.618583360423</v>
      </c>
      <c r="T398" s="28">
        <v>879.6995307165762</v>
      </c>
      <c r="U398" s="28">
        <v>883.6988591256062</v>
      </c>
      <c r="V398" s="28">
        <v>887.6182009664557</v>
      </c>
      <c r="W398" s="28">
        <v>891.4591559704882</v>
      </c>
      <c r="X398" s="28">
        <v>895.22329187444</v>
      </c>
      <c r="Y398" s="40">
        <v>898.9121450603127</v>
      </c>
      <c r="AA398" s="52"/>
    </row>
    <row r="399" spans="2:27" ht="11.25">
      <c r="B399" s="39" t="s">
        <v>424</v>
      </c>
      <c r="C399" s="82" t="s">
        <v>63</v>
      </c>
      <c r="D399" s="83"/>
      <c r="E399" s="50" t="s">
        <v>123</v>
      </c>
      <c r="F399" s="28">
        <v>0</v>
      </c>
      <c r="G399" s="28">
        <v>0</v>
      </c>
      <c r="H399" s="28">
        <v>0</v>
      </c>
      <c r="I399" s="28">
        <v>0</v>
      </c>
      <c r="J399" s="28">
        <v>13.597777777777777</v>
      </c>
      <c r="K399" s="28">
        <v>10.87822222222222</v>
      </c>
      <c r="L399" s="28">
        <v>8.158666666666663</v>
      </c>
      <c r="M399" s="28">
        <v>5.4391111111111075</v>
      </c>
      <c r="N399" s="28">
        <v>2.719555555555552</v>
      </c>
      <c r="O399" s="28">
        <v>0</v>
      </c>
      <c r="P399" s="28">
        <v>0</v>
      </c>
      <c r="Q399" s="28">
        <v>0</v>
      </c>
      <c r="R399" s="28">
        <v>0</v>
      </c>
      <c r="S399" s="28">
        <v>0</v>
      </c>
      <c r="T399" s="28">
        <v>0</v>
      </c>
      <c r="U399" s="28">
        <v>0</v>
      </c>
      <c r="V399" s="28">
        <v>0</v>
      </c>
      <c r="W399" s="28">
        <v>0</v>
      </c>
      <c r="X399" s="28">
        <v>0</v>
      </c>
      <c r="Y399" s="40">
        <v>0</v>
      </c>
      <c r="AA399" s="52"/>
    </row>
    <row r="400" spans="2:27" ht="11.25">
      <c r="B400" s="39" t="s">
        <v>425</v>
      </c>
      <c r="C400" s="82" t="s">
        <v>426</v>
      </c>
      <c r="D400" s="83"/>
      <c r="E400" s="50" t="s">
        <v>123</v>
      </c>
      <c r="F400" s="28">
        <v>0</v>
      </c>
      <c r="G400" s="28">
        <v>0</v>
      </c>
      <c r="H400" s="28">
        <v>0.6199237278118679</v>
      </c>
      <c r="I400" s="28">
        <v>-0.6049474808400965</v>
      </c>
      <c r="J400" s="28">
        <v>114.09986163354411</v>
      </c>
      <c r="K400" s="28">
        <v>-11.068202756054703</v>
      </c>
      <c r="L400" s="28">
        <v>36.60776438295354</v>
      </c>
      <c r="M400" s="28">
        <v>454.9168596768679</v>
      </c>
      <c r="N400" s="28">
        <v>765.7798847173219</v>
      </c>
      <c r="O400" s="28">
        <v>857.8904224891003</v>
      </c>
      <c r="P400" s="28">
        <v>862.8692000188386</v>
      </c>
      <c r="Q400" s="28">
        <v>867.2051350418234</v>
      </c>
      <c r="R400" s="28">
        <v>871.4543513643486</v>
      </c>
      <c r="S400" s="28">
        <v>875.618583360423</v>
      </c>
      <c r="T400" s="28">
        <v>879.6995307165762</v>
      </c>
      <c r="U400" s="28">
        <v>883.6988591256062</v>
      </c>
      <c r="V400" s="28">
        <v>887.6182009664557</v>
      </c>
      <c r="W400" s="28">
        <v>891.4591559704882</v>
      </c>
      <c r="X400" s="28">
        <v>895.22329187444</v>
      </c>
      <c r="Y400" s="40">
        <v>898.9121450603127</v>
      </c>
      <c r="AA400" s="52"/>
    </row>
    <row r="401" spans="2:27" ht="11.25">
      <c r="B401" s="39" t="s">
        <v>427</v>
      </c>
      <c r="C401" s="84" t="s">
        <v>428</v>
      </c>
      <c r="D401" s="85"/>
      <c r="E401" s="50" t="s">
        <v>123</v>
      </c>
      <c r="F401" s="28">
        <v>0</v>
      </c>
      <c r="G401" s="28">
        <v>-20.492</v>
      </c>
      <c r="H401" s="28">
        <v>-507.9312511520887</v>
      </c>
      <c r="I401" s="28">
        <v>-576.0598772107406</v>
      </c>
      <c r="J401" s="28">
        <v>-176.35741044635648</v>
      </c>
      <c r="K401" s="28">
        <v>-38.122385316352876</v>
      </c>
      <c r="L401" s="28">
        <v>11.323804682953543</v>
      </c>
      <c r="M401" s="28">
        <v>429.63289997686786</v>
      </c>
      <c r="N401" s="28">
        <v>740.495925017322</v>
      </c>
      <c r="O401" s="28">
        <v>832.6064627891003</v>
      </c>
      <c r="P401" s="28">
        <v>837.5852403188386</v>
      </c>
      <c r="Q401" s="28">
        <v>841.9211753418234</v>
      </c>
      <c r="R401" s="28">
        <v>846.1703916643486</v>
      </c>
      <c r="S401" s="28">
        <v>850.3346236604231</v>
      </c>
      <c r="T401" s="28">
        <v>854.4155710165762</v>
      </c>
      <c r="U401" s="28">
        <v>858.4148994256062</v>
      </c>
      <c r="V401" s="28">
        <v>862.3342412664557</v>
      </c>
      <c r="W401" s="28">
        <v>866.1751962704882</v>
      </c>
      <c r="X401" s="28">
        <v>869.93933217444</v>
      </c>
      <c r="Y401" s="40">
        <v>873.6281853603127</v>
      </c>
      <c r="AA401" s="52"/>
    </row>
    <row r="402" spans="2:27" ht="11.25">
      <c r="B402" s="114" t="s">
        <v>429</v>
      </c>
      <c r="C402" s="91" t="s">
        <v>121</v>
      </c>
      <c r="D402" s="78">
        <f>+AA397</f>
        <v>1653.845436843928</v>
      </c>
      <c r="E402" s="94"/>
      <c r="F402" s="73"/>
      <c r="G402" s="73"/>
      <c r="H402" s="73"/>
      <c r="I402" s="73"/>
      <c r="J402" s="73"/>
      <c r="K402" s="73"/>
      <c r="L402" s="73"/>
      <c r="M402" s="73"/>
      <c r="N402" s="73"/>
      <c r="O402" s="73"/>
      <c r="P402" s="73"/>
      <c r="Q402" s="73"/>
      <c r="R402" s="73"/>
      <c r="S402" s="73"/>
      <c r="T402" s="73"/>
      <c r="U402" s="73"/>
      <c r="V402" s="73"/>
      <c r="W402" s="73"/>
      <c r="X402" s="73"/>
      <c r="Y402" s="74"/>
      <c r="AA402" s="52"/>
    </row>
    <row r="403" spans="2:27" ht="11.25">
      <c r="B403" s="90" t="s">
        <v>430</v>
      </c>
      <c r="C403" s="92" t="s">
        <v>596</v>
      </c>
      <c r="D403" s="113">
        <f>+AA395</f>
        <v>109.78</v>
      </c>
      <c r="E403" s="95"/>
      <c r="F403" s="54"/>
      <c r="G403" s="54"/>
      <c r="H403" s="54"/>
      <c r="I403" s="54"/>
      <c r="J403" s="54"/>
      <c r="K403" s="54"/>
      <c r="L403" s="54"/>
      <c r="M403" s="54"/>
      <c r="N403" s="54"/>
      <c r="O403" s="54"/>
      <c r="P403" s="54"/>
      <c r="Q403" s="54"/>
      <c r="R403" s="54"/>
      <c r="S403" s="54"/>
      <c r="T403" s="54"/>
      <c r="U403" s="54"/>
      <c r="V403" s="54"/>
      <c r="W403" s="54"/>
      <c r="X403" s="54"/>
      <c r="Y403" s="75"/>
      <c r="AA403" s="52"/>
    </row>
    <row r="404" spans="2:27" ht="11.25">
      <c r="B404" s="90" t="s">
        <v>431</v>
      </c>
      <c r="C404" s="92" t="s">
        <v>57</v>
      </c>
      <c r="D404" s="79">
        <f>+IRR(F401:Y401)</f>
        <v>0.25317997415661586</v>
      </c>
      <c r="E404" s="95"/>
      <c r="F404" s="88"/>
      <c r="G404" s="54"/>
      <c r="H404" s="54"/>
      <c r="I404" s="54"/>
      <c r="J404" s="54"/>
      <c r="K404" s="54"/>
      <c r="L404" s="54"/>
      <c r="M404" s="54"/>
      <c r="N404" s="54"/>
      <c r="O404" s="54"/>
      <c r="P404" s="54"/>
      <c r="Q404" s="54"/>
      <c r="R404" s="54"/>
      <c r="S404" s="54"/>
      <c r="T404" s="54"/>
      <c r="U404" s="54"/>
      <c r="V404" s="54"/>
      <c r="W404" s="54"/>
      <c r="X404" s="54"/>
      <c r="Y404" s="75"/>
      <c r="AA404" s="52"/>
    </row>
    <row r="405" spans="2:27" ht="12" thickBot="1">
      <c r="B405" s="122" t="s">
        <v>614</v>
      </c>
      <c r="C405" s="102" t="s">
        <v>120</v>
      </c>
      <c r="D405" s="103">
        <f>+NPV('Assumptions and Basic Info'!$C$20,F401:Y401)</f>
        <v>1938.96538504237</v>
      </c>
      <c r="E405" s="108"/>
      <c r="F405" s="105"/>
      <c r="G405" s="127"/>
      <c r="H405" s="105"/>
      <c r="I405" s="105"/>
      <c r="J405" s="105"/>
      <c r="K405" s="105"/>
      <c r="L405" s="105"/>
      <c r="M405" s="105"/>
      <c r="N405" s="105"/>
      <c r="O405" s="105"/>
      <c r="P405" s="105"/>
      <c r="Q405" s="105"/>
      <c r="R405" s="105"/>
      <c r="S405" s="105"/>
      <c r="T405" s="105"/>
      <c r="U405" s="105"/>
      <c r="V405" s="105"/>
      <c r="W405" s="105"/>
      <c r="X405" s="105"/>
      <c r="Y405" s="106"/>
      <c r="AA405" s="52"/>
    </row>
    <row r="406" spans="2:27" ht="11.25">
      <c r="B406" s="44" t="s">
        <v>433</v>
      </c>
      <c r="C406" s="23" t="s">
        <v>469</v>
      </c>
      <c r="D406" s="23"/>
      <c r="E406" s="51"/>
      <c r="F406" s="24"/>
      <c r="G406" s="24"/>
      <c r="H406" s="24"/>
      <c r="I406" s="24"/>
      <c r="J406" s="24"/>
      <c r="K406" s="24"/>
      <c r="L406" s="24"/>
      <c r="M406" s="24"/>
      <c r="N406" s="24"/>
      <c r="O406" s="24"/>
      <c r="P406" s="24"/>
      <c r="Q406" s="24"/>
      <c r="R406" s="24"/>
      <c r="S406" s="24"/>
      <c r="T406" s="24"/>
      <c r="U406" s="24"/>
      <c r="V406" s="24"/>
      <c r="W406" s="24"/>
      <c r="X406" s="24"/>
      <c r="Y406" s="45"/>
      <c r="AA406" s="52"/>
    </row>
    <row r="407" spans="2:27" ht="11.25">
      <c r="B407" s="37" t="s">
        <v>434</v>
      </c>
      <c r="C407" s="80" t="s">
        <v>124</v>
      </c>
      <c r="D407" s="81"/>
      <c r="E407" s="49" t="s">
        <v>54</v>
      </c>
      <c r="F407" s="124">
        <v>160</v>
      </c>
      <c r="G407" s="27">
        <v>147.23333333333332</v>
      </c>
      <c r="H407" s="27">
        <v>134.48866666666666</v>
      </c>
      <c r="I407" s="27">
        <v>121.76556</v>
      </c>
      <c r="J407" s="27">
        <v>109.06358213333331</v>
      </c>
      <c r="K407" s="27">
        <v>96.38231049066664</v>
      </c>
      <c r="L407" s="27">
        <v>83.72133094751999</v>
      </c>
      <c r="M407" s="27">
        <v>71.0802376619029</v>
      </c>
      <c r="N407" s="27">
        <v>58.45863290866484</v>
      </c>
      <c r="O407" s="27">
        <v>45.85612691715822</v>
      </c>
      <c r="P407" s="27">
        <v>44.939004378815056</v>
      </c>
      <c r="Q407" s="27">
        <v>44.04022429123876</v>
      </c>
      <c r="R407" s="27">
        <v>43.15941980541399</v>
      </c>
      <c r="S407" s="27">
        <v>42.296231409305705</v>
      </c>
      <c r="T407" s="27">
        <v>41.45030678111959</v>
      </c>
      <c r="U407" s="27">
        <v>40.6213006454972</v>
      </c>
      <c r="V407" s="27">
        <v>39.80887463258725</v>
      </c>
      <c r="W407" s="27">
        <v>39.01269713993551</v>
      </c>
      <c r="X407" s="27">
        <v>38.2324431971368</v>
      </c>
      <c r="Y407" s="38">
        <v>37.467794333194064</v>
      </c>
      <c r="AA407" s="123">
        <v>160</v>
      </c>
    </row>
    <row r="408" spans="2:29" ht="11.25">
      <c r="B408" s="39" t="s">
        <v>435</v>
      </c>
      <c r="C408" s="82" t="s">
        <v>125</v>
      </c>
      <c r="D408" s="83"/>
      <c r="E408" s="50" t="s">
        <v>54</v>
      </c>
      <c r="F408" s="29">
        <v>160</v>
      </c>
      <c r="G408" s="28">
        <v>147.23333333333332</v>
      </c>
      <c r="H408" s="28">
        <v>177.82248148683132</v>
      </c>
      <c r="I408" s="28">
        <v>306.6676296403293</v>
      </c>
      <c r="J408" s="28">
        <v>515.001444460494</v>
      </c>
      <c r="K408" s="28">
        <v>535</v>
      </c>
      <c r="L408" s="28">
        <v>535</v>
      </c>
      <c r="M408" s="28">
        <v>535</v>
      </c>
      <c r="N408" s="28">
        <v>535</v>
      </c>
      <c r="O408" s="28">
        <v>535</v>
      </c>
      <c r="P408" s="28">
        <v>535</v>
      </c>
      <c r="Q408" s="28">
        <v>535</v>
      </c>
      <c r="R408" s="28">
        <v>535</v>
      </c>
      <c r="S408" s="28">
        <v>535</v>
      </c>
      <c r="T408" s="28">
        <v>535</v>
      </c>
      <c r="U408" s="28">
        <v>535</v>
      </c>
      <c r="V408" s="28">
        <v>535</v>
      </c>
      <c r="W408" s="28">
        <v>535</v>
      </c>
      <c r="X408" s="28">
        <v>535</v>
      </c>
      <c r="Y408" s="40">
        <v>535</v>
      </c>
      <c r="AA408" s="123">
        <v>535</v>
      </c>
      <c r="AB408" s="22">
        <v>0</v>
      </c>
      <c r="AC408" s="52"/>
    </row>
    <row r="409" spans="2:27" ht="11.25">
      <c r="B409" s="39" t="s">
        <v>436</v>
      </c>
      <c r="C409" s="82" t="s">
        <v>81</v>
      </c>
      <c r="D409" s="83"/>
      <c r="E409" s="50" t="s">
        <v>54</v>
      </c>
      <c r="F409" s="28">
        <v>0</v>
      </c>
      <c r="G409" s="28">
        <v>0</v>
      </c>
      <c r="H409" s="28">
        <v>43.33381482016466</v>
      </c>
      <c r="I409" s="28">
        <v>184.90206964032933</v>
      </c>
      <c r="J409" s="28">
        <v>405.9378623271607</v>
      </c>
      <c r="K409" s="28">
        <v>438.61768950933333</v>
      </c>
      <c r="L409" s="28">
        <v>451.27866905248004</v>
      </c>
      <c r="M409" s="28">
        <v>463.9197623380971</v>
      </c>
      <c r="N409" s="28">
        <v>476.54136709133513</v>
      </c>
      <c r="O409" s="28">
        <v>489.14387308284176</v>
      </c>
      <c r="P409" s="28">
        <v>490.06099562118493</v>
      </c>
      <c r="Q409" s="28">
        <v>490.95977570876124</v>
      </c>
      <c r="R409" s="28">
        <v>491.840580194586</v>
      </c>
      <c r="S409" s="28">
        <v>492.70376859069427</v>
      </c>
      <c r="T409" s="28">
        <v>493.5496932188804</v>
      </c>
      <c r="U409" s="28">
        <v>494.3786993545028</v>
      </c>
      <c r="V409" s="28">
        <v>495.1911253674127</v>
      </c>
      <c r="W409" s="28">
        <v>495.98730286006446</v>
      </c>
      <c r="X409" s="28">
        <v>496.76755680286317</v>
      </c>
      <c r="Y409" s="40">
        <v>497.5322056668059</v>
      </c>
      <c r="AA409" s="52">
        <v>375</v>
      </c>
    </row>
    <row r="410" spans="2:27" ht="11.25">
      <c r="B410" s="39" t="s">
        <v>437</v>
      </c>
      <c r="C410" s="82" t="s">
        <v>65</v>
      </c>
      <c r="D410" s="83"/>
      <c r="E410" s="50" t="s">
        <v>138</v>
      </c>
      <c r="F410" s="28">
        <v>0</v>
      </c>
      <c r="G410" s="28">
        <v>0</v>
      </c>
      <c r="H410" s="28">
        <v>0</v>
      </c>
      <c r="I410" s="28">
        <v>0</v>
      </c>
      <c r="J410" s="28">
        <v>1277.7777777777774</v>
      </c>
      <c r="K410" s="28">
        <v>1022.2222222222218</v>
      </c>
      <c r="L410" s="28">
        <v>766.6666666666663</v>
      </c>
      <c r="M410" s="28">
        <v>511.11111111111074</v>
      </c>
      <c r="N410" s="28">
        <v>255.5555555555552</v>
      </c>
      <c r="O410" s="28">
        <v>0</v>
      </c>
      <c r="P410" s="28">
        <v>0</v>
      </c>
      <c r="Q410" s="28">
        <v>0</v>
      </c>
      <c r="R410" s="28">
        <v>0</v>
      </c>
      <c r="S410" s="28">
        <v>0</v>
      </c>
      <c r="T410" s="28">
        <v>0</v>
      </c>
      <c r="U410" s="28">
        <v>0</v>
      </c>
      <c r="V410" s="28">
        <v>0</v>
      </c>
      <c r="W410" s="28">
        <v>0</v>
      </c>
      <c r="X410" s="28">
        <v>0</v>
      </c>
      <c r="Y410" s="40">
        <v>0</v>
      </c>
      <c r="AA410" s="52">
        <v>2300</v>
      </c>
    </row>
    <row r="411" spans="2:27" ht="11.25">
      <c r="B411" s="39" t="s">
        <v>438</v>
      </c>
      <c r="C411" s="82" t="s">
        <v>58</v>
      </c>
      <c r="D411" s="83"/>
      <c r="E411" s="50" t="s">
        <v>123</v>
      </c>
      <c r="F411" s="28">
        <v>0</v>
      </c>
      <c r="G411" s="28">
        <v>45.21739130434783</v>
      </c>
      <c r="H411" s="28">
        <v>319.31739130434784</v>
      </c>
      <c r="I411" s="28">
        <v>845.2073913043479</v>
      </c>
      <c r="J411" s="28">
        <v>20.867826086956526</v>
      </c>
      <c r="K411" s="28">
        <v>0</v>
      </c>
      <c r="L411" s="31">
        <v>0</v>
      </c>
      <c r="M411" s="31">
        <v>0</v>
      </c>
      <c r="N411" s="31">
        <v>0</v>
      </c>
      <c r="O411" s="31">
        <v>0</v>
      </c>
      <c r="P411" s="31">
        <v>0</v>
      </c>
      <c r="Q411" s="31">
        <v>0</v>
      </c>
      <c r="R411" s="31">
        <v>0</v>
      </c>
      <c r="S411" s="31">
        <v>0</v>
      </c>
      <c r="T411" s="31">
        <v>0</v>
      </c>
      <c r="U411" s="31">
        <v>0</v>
      </c>
      <c r="V411" s="31">
        <v>0</v>
      </c>
      <c r="W411" s="31">
        <v>0</v>
      </c>
      <c r="X411" s="31">
        <v>0</v>
      </c>
      <c r="Y411" s="46">
        <v>0</v>
      </c>
      <c r="AA411" s="52">
        <v>1230.61</v>
      </c>
    </row>
    <row r="412" spans="2:27" ht="11.25">
      <c r="B412" s="39" t="s">
        <v>439</v>
      </c>
      <c r="C412" s="82" t="s">
        <v>24</v>
      </c>
      <c r="D412" s="83"/>
      <c r="E412" s="50" t="s">
        <v>123</v>
      </c>
      <c r="F412" s="28">
        <v>0</v>
      </c>
      <c r="G412" s="28">
        <v>6.782608695652174</v>
      </c>
      <c r="H412" s="28">
        <v>47.897608695652174</v>
      </c>
      <c r="I412" s="28">
        <v>126.78110869565216</v>
      </c>
      <c r="J412" s="28">
        <v>3.1301739130434787</v>
      </c>
      <c r="K412" s="28">
        <v>0</v>
      </c>
      <c r="L412" s="28">
        <v>0</v>
      </c>
      <c r="M412" s="28">
        <v>0</v>
      </c>
      <c r="N412" s="28">
        <v>0</v>
      </c>
      <c r="O412" s="28">
        <v>0</v>
      </c>
      <c r="P412" s="28">
        <v>0</v>
      </c>
      <c r="Q412" s="28">
        <v>0</v>
      </c>
      <c r="R412" s="28">
        <v>0</v>
      </c>
      <c r="S412" s="28">
        <v>0</v>
      </c>
      <c r="T412" s="28">
        <v>0</v>
      </c>
      <c r="U412" s="28">
        <v>0</v>
      </c>
      <c r="V412" s="31">
        <v>0</v>
      </c>
      <c r="W412" s="31">
        <v>0</v>
      </c>
      <c r="X412" s="31">
        <v>0</v>
      </c>
      <c r="Y412" s="46">
        <v>0</v>
      </c>
      <c r="AA412" s="54">
        <f>+AA411*'Assumptions and Basic Info'!$C$4</f>
        <v>1230.61</v>
      </c>
    </row>
    <row r="413" spans="2:27" ht="11.25">
      <c r="B413" s="39" t="s">
        <v>440</v>
      </c>
      <c r="C413" s="82" t="s">
        <v>83</v>
      </c>
      <c r="D413" s="83"/>
      <c r="E413" s="50" t="s">
        <v>123</v>
      </c>
      <c r="F413" s="28">
        <v>0</v>
      </c>
      <c r="G413" s="28">
        <v>4.68</v>
      </c>
      <c r="H413" s="28">
        <v>77.60098250000001</v>
      </c>
      <c r="I413" s="28">
        <v>46.0794825</v>
      </c>
      <c r="J413" s="28">
        <v>2.1598200000000003</v>
      </c>
      <c r="K413" s="28">
        <v>0</v>
      </c>
      <c r="L413" s="28">
        <v>0</v>
      </c>
      <c r="M413" s="28">
        <v>0</v>
      </c>
      <c r="N413" s="28">
        <v>0</v>
      </c>
      <c r="O413" s="28">
        <v>0</v>
      </c>
      <c r="P413" s="28">
        <v>0</v>
      </c>
      <c r="Q413" s="28">
        <v>0</v>
      </c>
      <c r="R413" s="28">
        <v>0</v>
      </c>
      <c r="S413" s="28">
        <v>0</v>
      </c>
      <c r="T413" s="28">
        <v>0</v>
      </c>
      <c r="U413" s="28">
        <v>0</v>
      </c>
      <c r="V413" s="31">
        <v>0</v>
      </c>
      <c r="W413" s="31">
        <v>0</v>
      </c>
      <c r="X413" s="31">
        <v>0</v>
      </c>
      <c r="Y413" s="46">
        <v>0</v>
      </c>
      <c r="AA413" s="54">
        <v>130.520285</v>
      </c>
    </row>
    <row r="414" spans="2:27" ht="11.25">
      <c r="B414" s="39" t="s">
        <v>441</v>
      </c>
      <c r="C414" s="82" t="s">
        <v>82</v>
      </c>
      <c r="D414" s="83"/>
      <c r="E414" s="50" t="s">
        <v>123</v>
      </c>
      <c r="F414" s="28">
        <v>0</v>
      </c>
      <c r="G414" s="28">
        <v>0</v>
      </c>
      <c r="H414" s="28">
        <v>1.1336</v>
      </c>
      <c r="I414" s="28">
        <v>13.497284650000001</v>
      </c>
      <c r="J414" s="28">
        <v>33.858644299999995</v>
      </c>
      <c r="K414" s="28">
        <v>34.3818007</v>
      </c>
      <c r="L414" s="28">
        <v>34.3818007</v>
      </c>
      <c r="M414" s="28">
        <v>34.3818007</v>
      </c>
      <c r="N414" s="28">
        <v>34.3818007</v>
      </c>
      <c r="O414" s="28">
        <v>34.3818007</v>
      </c>
      <c r="P414" s="28">
        <v>34.3818007</v>
      </c>
      <c r="Q414" s="28">
        <v>34.3818007</v>
      </c>
      <c r="R414" s="28">
        <v>34.3818007</v>
      </c>
      <c r="S414" s="28">
        <v>34.3818007</v>
      </c>
      <c r="T414" s="28">
        <v>34.3818007</v>
      </c>
      <c r="U414" s="28">
        <v>34.3818007</v>
      </c>
      <c r="V414" s="28">
        <v>34.3818007</v>
      </c>
      <c r="W414" s="28">
        <v>34.3818007</v>
      </c>
      <c r="X414" s="28">
        <v>34.3818007</v>
      </c>
      <c r="Y414" s="40">
        <v>34.3818007</v>
      </c>
      <c r="AA414" s="52"/>
    </row>
    <row r="415" spans="2:27" ht="11.25">
      <c r="B415" s="39" t="s">
        <v>615</v>
      </c>
      <c r="C415" s="82" t="s">
        <v>578</v>
      </c>
      <c r="D415" s="83"/>
      <c r="E415" s="50" t="s">
        <v>118</v>
      </c>
      <c r="F415" s="28">
        <v>0</v>
      </c>
      <c r="G415" s="28">
        <v>0</v>
      </c>
      <c r="H415" s="28">
        <v>109.78</v>
      </c>
      <c r="I415" s="28">
        <v>0</v>
      </c>
      <c r="J415" s="28">
        <v>0</v>
      </c>
      <c r="K415" s="28">
        <v>0</v>
      </c>
      <c r="L415" s="28">
        <v>0</v>
      </c>
      <c r="M415" s="28">
        <v>0</v>
      </c>
      <c r="N415" s="28">
        <v>0</v>
      </c>
      <c r="O415" s="28">
        <v>0</v>
      </c>
      <c r="P415" s="28">
        <v>0</v>
      </c>
      <c r="Q415" s="28">
        <v>0</v>
      </c>
      <c r="R415" s="28">
        <v>0</v>
      </c>
      <c r="S415" s="28">
        <v>0</v>
      </c>
      <c r="T415" s="28">
        <v>0</v>
      </c>
      <c r="U415" s="28">
        <v>0</v>
      </c>
      <c r="V415" s="28">
        <v>0</v>
      </c>
      <c r="W415" s="28">
        <v>0</v>
      </c>
      <c r="X415" s="28">
        <v>0</v>
      </c>
      <c r="Y415" s="40">
        <v>0</v>
      </c>
      <c r="AA415" s="52">
        <v>109.78</v>
      </c>
    </row>
    <row r="416" spans="2:27" ht="11.25">
      <c r="B416" s="39" t="s">
        <v>731</v>
      </c>
      <c r="C416" s="82" t="s">
        <v>691</v>
      </c>
      <c r="D416" s="83"/>
      <c r="E416" s="50" t="s">
        <v>118</v>
      </c>
      <c r="F416" s="28">
        <v>0</v>
      </c>
      <c r="G416" s="28">
        <v>0</v>
      </c>
      <c r="H416" s="28">
        <v>14.906832298136644</v>
      </c>
      <c r="I416" s="28">
        <v>47.58683229813664</v>
      </c>
      <c r="J416" s="28">
        <v>59.62683229813664</v>
      </c>
      <c r="K416" s="28">
        <v>6.879503105590059</v>
      </c>
      <c r="L416" s="28">
        <v>0</v>
      </c>
      <c r="M416" s="28">
        <v>0</v>
      </c>
      <c r="N416" s="28">
        <v>0</v>
      </c>
      <c r="O416" s="28">
        <v>0</v>
      </c>
      <c r="P416" s="28">
        <v>0</v>
      </c>
      <c r="Q416" s="28">
        <v>0</v>
      </c>
      <c r="R416" s="28">
        <v>0</v>
      </c>
      <c r="S416" s="28">
        <v>0</v>
      </c>
      <c r="T416" s="28">
        <v>0</v>
      </c>
      <c r="U416" s="28">
        <v>0</v>
      </c>
      <c r="V416" s="28">
        <v>0</v>
      </c>
      <c r="W416" s="28">
        <v>0</v>
      </c>
      <c r="X416" s="28">
        <v>0</v>
      </c>
      <c r="Y416" s="40">
        <v>0</v>
      </c>
      <c r="AA416" s="52"/>
    </row>
    <row r="417" spans="2:27" ht="11.25">
      <c r="B417" s="39" t="s">
        <v>442</v>
      </c>
      <c r="C417" s="82" t="s">
        <v>732</v>
      </c>
      <c r="D417" s="83"/>
      <c r="E417" s="50" t="s">
        <v>123</v>
      </c>
      <c r="F417" s="28">
        <v>0</v>
      </c>
      <c r="G417" s="28">
        <v>56.68</v>
      </c>
      <c r="H417" s="28">
        <v>570.6364147981367</v>
      </c>
      <c r="I417" s="28">
        <v>1079.1520994481368</v>
      </c>
      <c r="J417" s="28">
        <v>119.64329659813663</v>
      </c>
      <c r="K417" s="28">
        <v>41.26130380559006</v>
      </c>
      <c r="L417" s="28">
        <v>34.3818007</v>
      </c>
      <c r="M417" s="28">
        <v>34.3818007</v>
      </c>
      <c r="N417" s="28">
        <v>34.3818007</v>
      </c>
      <c r="O417" s="28">
        <v>34.3818007</v>
      </c>
      <c r="P417" s="28">
        <v>34.3818007</v>
      </c>
      <c r="Q417" s="28">
        <v>34.3818007</v>
      </c>
      <c r="R417" s="28">
        <v>34.3818007</v>
      </c>
      <c r="S417" s="28">
        <v>34.3818007</v>
      </c>
      <c r="T417" s="28">
        <v>34.3818007</v>
      </c>
      <c r="U417" s="28">
        <v>34.3818007</v>
      </c>
      <c r="V417" s="28">
        <v>34.3818007</v>
      </c>
      <c r="W417" s="28">
        <v>34.3818007</v>
      </c>
      <c r="X417" s="28">
        <v>34.3818007</v>
      </c>
      <c r="Y417" s="40">
        <v>34.3818007</v>
      </c>
      <c r="AA417" s="52">
        <f>+AA411+AA412+AA413</f>
        <v>2591.740285</v>
      </c>
    </row>
    <row r="418" spans="2:27" ht="11.25">
      <c r="B418" s="39" t="s">
        <v>443</v>
      </c>
      <c r="C418" s="82" t="s">
        <v>128</v>
      </c>
      <c r="D418" s="83"/>
      <c r="E418" s="50" t="s">
        <v>123</v>
      </c>
      <c r="F418" s="28">
        <v>0</v>
      </c>
      <c r="G418" s="28">
        <v>0</v>
      </c>
      <c r="H418" s="28">
        <v>2.7930606091781027</v>
      </c>
      <c r="I418" s="28">
        <v>6.518340924027529</v>
      </c>
      <c r="J418" s="28">
        <v>38.87658173717372</v>
      </c>
      <c r="K418" s="28">
        <v>48.15443074999193</v>
      </c>
      <c r="L418" s="28">
        <v>155.99739338353237</v>
      </c>
      <c r="M418" s="28">
        <v>323.4764758792831</v>
      </c>
      <c r="N418" s="28">
        <v>430.9448998819802</v>
      </c>
      <c r="O418" s="28">
        <v>469.7955915084468</v>
      </c>
      <c r="P418" s="28">
        <v>472.83482660207505</v>
      </c>
      <c r="Q418" s="28">
        <v>473.70201360667204</v>
      </c>
      <c r="R418" s="28">
        <v>474.55185687117705</v>
      </c>
      <c r="S418" s="28">
        <v>475.3847032703919</v>
      </c>
      <c r="T418" s="28">
        <v>476.2008927416226</v>
      </c>
      <c r="U418" s="28">
        <v>477.0007584234286</v>
      </c>
      <c r="V418" s="28">
        <v>477.7846267915985</v>
      </c>
      <c r="W418" s="28">
        <v>478.552817792405</v>
      </c>
      <c r="X418" s="28">
        <v>479.3056449731953</v>
      </c>
      <c r="Y418" s="40">
        <v>480.04341561036983</v>
      </c>
      <c r="AA418" s="52"/>
    </row>
    <row r="419" spans="2:27" ht="11.25">
      <c r="B419" s="39" t="s">
        <v>444</v>
      </c>
      <c r="C419" s="82" t="s">
        <v>63</v>
      </c>
      <c r="D419" s="83"/>
      <c r="E419" s="50" t="s">
        <v>123</v>
      </c>
      <c r="F419" s="28">
        <v>0</v>
      </c>
      <c r="G419" s="28">
        <v>0</v>
      </c>
      <c r="H419" s="28">
        <v>0</v>
      </c>
      <c r="I419" s="28">
        <v>0</v>
      </c>
      <c r="J419" s="28">
        <v>53.92222222222221</v>
      </c>
      <c r="K419" s="28">
        <v>43.137777777777764</v>
      </c>
      <c r="L419" s="28">
        <v>32.353333333333325</v>
      </c>
      <c r="M419" s="28">
        <v>21.568888888888875</v>
      </c>
      <c r="N419" s="28">
        <v>10.78444444444443</v>
      </c>
      <c r="O419" s="28">
        <v>0</v>
      </c>
      <c r="P419" s="28">
        <v>0</v>
      </c>
      <c r="Q419" s="28">
        <v>0</v>
      </c>
      <c r="R419" s="28">
        <v>0</v>
      </c>
      <c r="S419" s="28">
        <v>0</v>
      </c>
      <c r="T419" s="28">
        <v>0</v>
      </c>
      <c r="U419" s="28">
        <v>0</v>
      </c>
      <c r="V419" s="28">
        <v>0</v>
      </c>
      <c r="W419" s="28">
        <v>0</v>
      </c>
      <c r="X419" s="28">
        <v>0</v>
      </c>
      <c r="Y419" s="40">
        <v>0</v>
      </c>
      <c r="AA419" s="52"/>
    </row>
    <row r="420" spans="2:27" ht="11.25">
      <c r="B420" s="39" t="s">
        <v>445</v>
      </c>
      <c r="C420" s="82" t="s">
        <v>446</v>
      </c>
      <c r="D420" s="83"/>
      <c r="E420" s="50" t="s">
        <v>123</v>
      </c>
      <c r="F420" s="28">
        <v>0</v>
      </c>
      <c r="G420" s="28">
        <v>0</v>
      </c>
      <c r="H420" s="28">
        <v>2.7930606091781027</v>
      </c>
      <c r="I420" s="28">
        <v>6.518340924027529</v>
      </c>
      <c r="J420" s="28">
        <v>92.79880395939594</v>
      </c>
      <c r="K420" s="28">
        <v>91.2922085277697</v>
      </c>
      <c r="L420" s="28">
        <v>188.3507267168657</v>
      </c>
      <c r="M420" s="28">
        <v>345.04536476817196</v>
      </c>
      <c r="N420" s="28">
        <v>441.7293443264246</v>
      </c>
      <c r="O420" s="28">
        <v>469.7955915084468</v>
      </c>
      <c r="P420" s="28">
        <v>472.83482660207505</v>
      </c>
      <c r="Q420" s="28">
        <v>473.70201360667204</v>
      </c>
      <c r="R420" s="28">
        <v>474.55185687117705</v>
      </c>
      <c r="S420" s="28">
        <v>475.3847032703919</v>
      </c>
      <c r="T420" s="28">
        <v>476.2008927416226</v>
      </c>
      <c r="U420" s="28">
        <v>477.0007584234286</v>
      </c>
      <c r="V420" s="28">
        <v>477.7846267915985</v>
      </c>
      <c r="W420" s="28">
        <v>478.552817792405</v>
      </c>
      <c r="X420" s="28">
        <v>479.3056449731953</v>
      </c>
      <c r="Y420" s="40">
        <v>480.04341561036983</v>
      </c>
      <c r="AA420" s="52"/>
    </row>
    <row r="421" spans="2:27" ht="11.25">
      <c r="B421" s="39" t="s">
        <v>447</v>
      </c>
      <c r="C421" s="84" t="s">
        <v>448</v>
      </c>
      <c r="D421" s="85"/>
      <c r="E421" s="50" t="s">
        <v>123</v>
      </c>
      <c r="F421" s="28">
        <v>0</v>
      </c>
      <c r="G421" s="28">
        <v>-56.68</v>
      </c>
      <c r="H421" s="28">
        <v>-567.8433541889585</v>
      </c>
      <c r="I421" s="28">
        <v>-1072.6337585241092</v>
      </c>
      <c r="J421" s="28">
        <v>-26.84449263874069</v>
      </c>
      <c r="K421" s="28">
        <v>50.03090472217964</v>
      </c>
      <c r="L421" s="28">
        <v>153.96892601686568</v>
      </c>
      <c r="M421" s="28">
        <v>310.663564068172</v>
      </c>
      <c r="N421" s="28">
        <v>407.3475436264246</v>
      </c>
      <c r="O421" s="28">
        <v>435.41379080844683</v>
      </c>
      <c r="P421" s="28">
        <v>438.45302590207507</v>
      </c>
      <c r="Q421" s="28">
        <v>439.32021290667205</v>
      </c>
      <c r="R421" s="28">
        <v>440.17005617117707</v>
      </c>
      <c r="S421" s="28">
        <v>441.00290257039194</v>
      </c>
      <c r="T421" s="28">
        <v>441.81909204162264</v>
      </c>
      <c r="U421" s="28">
        <v>442.6189577234286</v>
      </c>
      <c r="V421" s="28">
        <v>443.4028260915985</v>
      </c>
      <c r="W421" s="28">
        <v>444.171017092405</v>
      </c>
      <c r="X421" s="28">
        <v>444.9238442731953</v>
      </c>
      <c r="Y421" s="40">
        <v>445.66161491036985</v>
      </c>
      <c r="AA421" s="52"/>
    </row>
    <row r="422" spans="2:27" ht="11.25">
      <c r="B422" s="114" t="s">
        <v>449</v>
      </c>
      <c r="C422" s="91" t="s">
        <v>121</v>
      </c>
      <c r="D422" s="78">
        <f>+AA417</f>
        <v>2591.740285</v>
      </c>
      <c r="E422" s="94"/>
      <c r="F422" s="73"/>
      <c r="G422" s="73"/>
      <c r="H422" s="73"/>
      <c r="I422" s="73"/>
      <c r="J422" s="73"/>
      <c r="K422" s="73"/>
      <c r="L422" s="73"/>
      <c r="M422" s="73"/>
      <c r="N422" s="73"/>
      <c r="O422" s="73"/>
      <c r="P422" s="73"/>
      <c r="Q422" s="73"/>
      <c r="R422" s="73"/>
      <c r="S422" s="73"/>
      <c r="T422" s="73"/>
      <c r="U422" s="73"/>
      <c r="V422" s="73"/>
      <c r="W422" s="73"/>
      <c r="X422" s="73"/>
      <c r="Y422" s="74"/>
      <c r="AA422" s="52"/>
    </row>
    <row r="423" spans="2:27" ht="11.25">
      <c r="B423" s="90" t="s">
        <v>450</v>
      </c>
      <c r="C423" s="92" t="s">
        <v>596</v>
      </c>
      <c r="D423" s="113">
        <f>+AA415</f>
        <v>109.78</v>
      </c>
      <c r="E423" s="95"/>
      <c r="F423" s="54"/>
      <c r="G423" s="54"/>
      <c r="H423" s="54"/>
      <c r="I423" s="54"/>
      <c r="J423" s="54"/>
      <c r="K423" s="54"/>
      <c r="L423" s="54"/>
      <c r="M423" s="54"/>
      <c r="N423" s="54"/>
      <c r="O423" s="54"/>
      <c r="P423" s="54"/>
      <c r="Q423" s="54"/>
      <c r="R423" s="54"/>
      <c r="S423" s="54"/>
      <c r="T423" s="54"/>
      <c r="U423" s="54"/>
      <c r="V423" s="54"/>
      <c r="W423" s="54"/>
      <c r="X423" s="54"/>
      <c r="Y423" s="75"/>
      <c r="AA423" s="52"/>
    </row>
    <row r="424" spans="2:27" ht="11.25">
      <c r="B424" s="90" t="s">
        <v>451</v>
      </c>
      <c r="C424" s="92" t="s">
        <v>57</v>
      </c>
      <c r="D424" s="79">
        <f>+IRR(F421:Y421)</f>
        <v>0.13759989300931214</v>
      </c>
      <c r="E424" s="95"/>
      <c r="F424" s="88"/>
      <c r="G424" s="54"/>
      <c r="H424" s="54"/>
      <c r="I424" s="54"/>
      <c r="J424" s="54"/>
      <c r="K424" s="54"/>
      <c r="L424" s="54"/>
      <c r="M424" s="54"/>
      <c r="N424" s="54"/>
      <c r="O424" s="54"/>
      <c r="P424" s="54"/>
      <c r="Q424" s="54"/>
      <c r="R424" s="54"/>
      <c r="S424" s="54"/>
      <c r="T424" s="54"/>
      <c r="U424" s="54"/>
      <c r="V424" s="54"/>
      <c r="W424" s="54"/>
      <c r="X424" s="54"/>
      <c r="Y424" s="75"/>
      <c r="AA424" s="52"/>
    </row>
    <row r="425" spans="2:27" ht="12" thickBot="1">
      <c r="B425" s="122" t="s">
        <v>616</v>
      </c>
      <c r="C425" s="102" t="s">
        <v>120</v>
      </c>
      <c r="D425" s="210">
        <f>+NPV('Assumptions and Basic Info'!$C$20,F421:Y421)</f>
        <v>416.0292525081006</v>
      </c>
      <c r="E425" s="108"/>
      <c r="F425" s="105"/>
      <c r="G425" s="127"/>
      <c r="H425" s="105"/>
      <c r="I425" s="105"/>
      <c r="J425" s="105"/>
      <c r="K425" s="105"/>
      <c r="L425" s="105"/>
      <c r="M425" s="105"/>
      <c r="N425" s="105"/>
      <c r="O425" s="105"/>
      <c r="P425" s="105"/>
      <c r="Q425" s="105"/>
      <c r="R425" s="105"/>
      <c r="S425" s="105"/>
      <c r="T425" s="105"/>
      <c r="U425" s="105"/>
      <c r="V425" s="105"/>
      <c r="W425" s="105"/>
      <c r="X425" s="105"/>
      <c r="Y425" s="106"/>
      <c r="AA425" s="52"/>
    </row>
    <row r="426" spans="2:28" ht="11.25">
      <c r="B426" s="44" t="s">
        <v>452</v>
      </c>
      <c r="C426" s="23" t="s">
        <v>470</v>
      </c>
      <c r="D426" s="23"/>
      <c r="E426" s="51"/>
      <c r="F426" s="24"/>
      <c r="G426" s="24"/>
      <c r="H426" s="24"/>
      <c r="I426" s="24"/>
      <c r="J426" s="24"/>
      <c r="K426" s="24"/>
      <c r="L426" s="24"/>
      <c r="M426" s="24"/>
      <c r="N426" s="24"/>
      <c r="O426" s="24"/>
      <c r="P426" s="24"/>
      <c r="Q426" s="24"/>
      <c r="R426" s="24"/>
      <c r="S426" s="24"/>
      <c r="T426" s="24"/>
      <c r="U426" s="24"/>
      <c r="V426" s="24"/>
      <c r="W426" s="24"/>
      <c r="X426" s="24"/>
      <c r="Y426" s="45"/>
      <c r="AA426" s="125"/>
      <c r="AB426" s="126"/>
    </row>
    <row r="427" spans="2:31" s="95" customFormat="1" ht="11.25">
      <c r="B427" s="37" t="s">
        <v>453</v>
      </c>
      <c r="C427" s="80" t="s">
        <v>124</v>
      </c>
      <c r="D427" s="81"/>
      <c r="E427" s="49" t="s">
        <v>54</v>
      </c>
      <c r="F427" s="27">
        <v>2470</v>
      </c>
      <c r="G427" s="27">
        <v>2470</v>
      </c>
      <c r="H427" s="27">
        <v>2470</v>
      </c>
      <c r="I427" s="27">
        <v>2470</v>
      </c>
      <c r="J427" s="27">
        <v>2470</v>
      </c>
      <c r="K427" s="27">
        <v>2470</v>
      </c>
      <c r="L427" s="27">
        <v>2470</v>
      </c>
      <c r="M427" s="27">
        <v>2470</v>
      </c>
      <c r="N427" s="27">
        <v>2470</v>
      </c>
      <c r="O427" s="27">
        <v>2470</v>
      </c>
      <c r="P427" s="27">
        <v>2470</v>
      </c>
      <c r="Q427" s="27">
        <v>2470</v>
      </c>
      <c r="R427" s="27">
        <v>2470</v>
      </c>
      <c r="S427" s="27">
        <v>2470</v>
      </c>
      <c r="T427" s="27">
        <v>2470</v>
      </c>
      <c r="U427" s="27">
        <v>2470</v>
      </c>
      <c r="V427" s="27">
        <v>2470</v>
      </c>
      <c r="W427" s="27">
        <v>2470</v>
      </c>
      <c r="X427" s="27">
        <v>2470</v>
      </c>
      <c r="Y427" s="38">
        <v>2470</v>
      </c>
      <c r="Z427" s="88"/>
      <c r="AA427" s="54">
        <v>2470</v>
      </c>
      <c r="AB427" s="115"/>
      <c r="AC427" s="88"/>
      <c r="AD427" s="88"/>
      <c r="AE427" s="88"/>
    </row>
    <row r="428" spans="2:31" s="95" customFormat="1" ht="11.25">
      <c r="B428" s="39" t="s">
        <v>454</v>
      </c>
      <c r="C428" s="82" t="s">
        <v>125</v>
      </c>
      <c r="D428" s="83"/>
      <c r="E428" s="50" t="s">
        <v>54</v>
      </c>
      <c r="F428" s="28">
        <v>2470</v>
      </c>
      <c r="G428" s="28">
        <v>2470</v>
      </c>
      <c r="H428" s="28">
        <v>2612.9825529745103</v>
      </c>
      <c r="I428" s="28">
        <v>2755.9651059490207</v>
      </c>
      <c r="J428" s="28">
        <v>2898.9476589235305</v>
      </c>
      <c r="K428" s="28">
        <v>2970</v>
      </c>
      <c r="L428" s="28">
        <v>2970</v>
      </c>
      <c r="M428" s="28">
        <v>2970</v>
      </c>
      <c r="N428" s="28">
        <v>2970</v>
      </c>
      <c r="O428" s="28">
        <v>2970</v>
      </c>
      <c r="P428" s="28">
        <v>2970</v>
      </c>
      <c r="Q428" s="28">
        <v>2970</v>
      </c>
      <c r="R428" s="28">
        <v>2970</v>
      </c>
      <c r="S428" s="28">
        <v>2970</v>
      </c>
      <c r="T428" s="28">
        <v>2970</v>
      </c>
      <c r="U428" s="28">
        <v>2970</v>
      </c>
      <c r="V428" s="28">
        <v>2970</v>
      </c>
      <c r="W428" s="28">
        <v>2970</v>
      </c>
      <c r="X428" s="28">
        <v>2970</v>
      </c>
      <c r="Y428" s="40">
        <v>2970</v>
      </c>
      <c r="Z428" s="88"/>
      <c r="AA428" s="54">
        <v>2970</v>
      </c>
      <c r="AC428" s="88"/>
      <c r="AD428" s="88"/>
      <c r="AE428" s="88"/>
    </row>
    <row r="429" spans="2:27" ht="11.25">
      <c r="B429" s="39" t="s">
        <v>455</v>
      </c>
      <c r="C429" s="82" t="s">
        <v>649</v>
      </c>
      <c r="D429" s="83"/>
      <c r="E429" s="50" t="s">
        <v>54</v>
      </c>
      <c r="F429" s="28">
        <v>0</v>
      </c>
      <c r="G429" s="28">
        <v>0</v>
      </c>
      <c r="H429" s="28">
        <v>142.9825529745102</v>
      </c>
      <c r="I429" s="28">
        <v>285.9651059490204</v>
      </c>
      <c r="J429" s="28">
        <v>428.94765892353064</v>
      </c>
      <c r="K429" s="28">
        <v>500</v>
      </c>
      <c r="L429" s="28">
        <v>500</v>
      </c>
      <c r="M429" s="28">
        <v>500</v>
      </c>
      <c r="N429" s="28">
        <v>500</v>
      </c>
      <c r="O429" s="28">
        <v>500</v>
      </c>
      <c r="P429" s="28">
        <v>500</v>
      </c>
      <c r="Q429" s="28">
        <v>500</v>
      </c>
      <c r="R429" s="28">
        <v>500</v>
      </c>
      <c r="S429" s="28">
        <v>500</v>
      </c>
      <c r="T429" s="28">
        <v>500</v>
      </c>
      <c r="U429" s="28">
        <v>500</v>
      </c>
      <c r="V429" s="28">
        <v>500</v>
      </c>
      <c r="W429" s="28">
        <v>500</v>
      </c>
      <c r="X429" s="28">
        <v>500</v>
      </c>
      <c r="Y429" s="40">
        <v>500</v>
      </c>
      <c r="AA429" s="52">
        <v>500</v>
      </c>
    </row>
    <row r="430" spans="2:27" ht="11.25">
      <c r="B430" s="39" t="s">
        <v>650</v>
      </c>
      <c r="C430" s="82" t="s">
        <v>651</v>
      </c>
      <c r="D430" s="83"/>
      <c r="E430" s="50" t="s">
        <v>54</v>
      </c>
      <c r="F430" s="28">
        <v>0</v>
      </c>
      <c r="G430" s="28">
        <v>0</v>
      </c>
      <c r="H430" s="28">
        <v>142.9825529745102</v>
      </c>
      <c r="I430" s="28">
        <v>142.9825529745102</v>
      </c>
      <c r="J430" s="28">
        <v>142.9825529745102</v>
      </c>
      <c r="K430" s="28">
        <v>71.05234107646936</v>
      </c>
      <c r="L430" s="28">
        <v>0</v>
      </c>
      <c r="M430" s="28">
        <v>0</v>
      </c>
      <c r="N430" s="28">
        <v>0</v>
      </c>
      <c r="O430" s="28">
        <v>0</v>
      </c>
      <c r="P430" s="28">
        <v>0</v>
      </c>
      <c r="Q430" s="28">
        <v>0</v>
      </c>
      <c r="R430" s="28">
        <v>0</v>
      </c>
      <c r="S430" s="28">
        <v>0</v>
      </c>
      <c r="T430" s="28">
        <v>0</v>
      </c>
      <c r="U430" s="28">
        <v>0</v>
      </c>
      <c r="V430" s="28">
        <v>0</v>
      </c>
      <c r="W430" s="28">
        <v>0</v>
      </c>
      <c r="X430" s="28">
        <v>0</v>
      </c>
      <c r="Y430" s="40">
        <v>0</v>
      </c>
      <c r="AA430" s="52"/>
    </row>
    <row r="431" spans="2:27" ht="11.25">
      <c r="B431" s="39" t="s">
        <v>456</v>
      </c>
      <c r="C431" s="82" t="s">
        <v>58</v>
      </c>
      <c r="D431" s="83"/>
      <c r="E431" s="50" t="s">
        <v>118</v>
      </c>
      <c r="F431" s="28">
        <v>0</v>
      </c>
      <c r="G431" s="28">
        <v>295.6521739130435</v>
      </c>
      <c r="H431" s="28">
        <v>295.6521739130435</v>
      </c>
      <c r="I431" s="28">
        <v>295.6521739130435</v>
      </c>
      <c r="J431" s="28">
        <v>146.9184782608695</v>
      </c>
      <c r="K431" s="28">
        <v>0</v>
      </c>
      <c r="L431" s="28">
        <v>0</v>
      </c>
      <c r="M431" s="28">
        <v>0</v>
      </c>
      <c r="N431" s="28">
        <v>0</v>
      </c>
      <c r="O431" s="28">
        <v>0</v>
      </c>
      <c r="P431" s="28">
        <v>0</v>
      </c>
      <c r="Q431" s="28">
        <v>0</v>
      </c>
      <c r="R431" s="28">
        <v>0</v>
      </c>
      <c r="S431" s="28">
        <v>0</v>
      </c>
      <c r="T431" s="28">
        <v>0</v>
      </c>
      <c r="U431" s="28">
        <v>0</v>
      </c>
      <c r="V431" s="28">
        <v>0</v>
      </c>
      <c r="W431" s="28">
        <v>0</v>
      </c>
      <c r="X431" s="28">
        <v>0</v>
      </c>
      <c r="Y431" s="40">
        <v>0</v>
      </c>
      <c r="AA431" s="52">
        <v>1033.875</v>
      </c>
    </row>
    <row r="432" spans="2:27" ht="11.25">
      <c r="B432" s="39" t="s">
        <v>457</v>
      </c>
      <c r="C432" s="82" t="s">
        <v>24</v>
      </c>
      <c r="D432" s="83"/>
      <c r="E432" s="50" t="s">
        <v>118</v>
      </c>
      <c r="F432" s="28">
        <v>0</v>
      </c>
      <c r="G432" s="28">
        <v>44.34782608695652</v>
      </c>
      <c r="H432" s="28">
        <v>44.34782608695652</v>
      </c>
      <c r="I432" s="28">
        <v>44.34782608695652</v>
      </c>
      <c r="J432" s="28">
        <v>22.037771739130424</v>
      </c>
      <c r="K432" s="28">
        <v>0</v>
      </c>
      <c r="L432" s="28">
        <v>0</v>
      </c>
      <c r="M432" s="28">
        <v>0</v>
      </c>
      <c r="N432" s="28">
        <v>0</v>
      </c>
      <c r="O432" s="28">
        <v>0</v>
      </c>
      <c r="P432" s="28">
        <v>0</v>
      </c>
      <c r="Q432" s="28">
        <v>0</v>
      </c>
      <c r="R432" s="28">
        <v>0</v>
      </c>
      <c r="S432" s="28">
        <v>0</v>
      </c>
      <c r="T432" s="28">
        <v>0</v>
      </c>
      <c r="U432" s="28">
        <v>0</v>
      </c>
      <c r="V432" s="28">
        <v>0</v>
      </c>
      <c r="W432" s="28">
        <v>0</v>
      </c>
      <c r="X432" s="28">
        <v>0</v>
      </c>
      <c r="Y432" s="40">
        <v>0</v>
      </c>
      <c r="AA432" s="54">
        <f>+AA431*'Assumptions and Basic Info'!$C$4</f>
        <v>1033.875</v>
      </c>
    </row>
    <row r="433" spans="2:27" ht="11.25">
      <c r="B433" s="39" t="s">
        <v>458</v>
      </c>
      <c r="C433" s="82" t="s">
        <v>83</v>
      </c>
      <c r="D433" s="83"/>
      <c r="E433" s="50" t="s">
        <v>118</v>
      </c>
      <c r="F433" s="28">
        <v>0</v>
      </c>
      <c r="G433" s="28">
        <v>30.6</v>
      </c>
      <c r="H433" s="28">
        <v>30.6</v>
      </c>
      <c r="I433" s="28">
        <v>30.6</v>
      </c>
      <c r="J433" s="28">
        <v>15.206062499999993</v>
      </c>
      <c r="K433" s="28">
        <v>0</v>
      </c>
      <c r="L433" s="28">
        <v>0</v>
      </c>
      <c r="M433" s="28">
        <v>0</v>
      </c>
      <c r="N433" s="28">
        <v>0</v>
      </c>
      <c r="O433" s="28">
        <v>0</v>
      </c>
      <c r="P433" s="28">
        <v>0</v>
      </c>
      <c r="Q433" s="28">
        <v>0</v>
      </c>
      <c r="R433" s="28">
        <v>0</v>
      </c>
      <c r="S433" s="28">
        <v>0</v>
      </c>
      <c r="T433" s="28">
        <v>0</v>
      </c>
      <c r="U433" s="28">
        <v>0</v>
      </c>
      <c r="V433" s="28">
        <v>0</v>
      </c>
      <c r="W433" s="28">
        <v>0</v>
      </c>
      <c r="X433" s="28">
        <v>0</v>
      </c>
      <c r="Y433" s="40">
        <v>0</v>
      </c>
      <c r="AA433" s="54">
        <v>107.0060625</v>
      </c>
    </row>
    <row r="434" spans="2:27" ht="11.25">
      <c r="B434" s="39" t="s">
        <v>459</v>
      </c>
      <c r="C434" s="82" t="s">
        <v>82</v>
      </c>
      <c r="D434" s="83"/>
      <c r="E434" s="50" t="s">
        <v>118</v>
      </c>
      <c r="F434" s="28">
        <v>0</v>
      </c>
      <c r="G434" s="29">
        <v>0</v>
      </c>
      <c r="H434" s="29">
        <v>7.412000000000001</v>
      </c>
      <c r="I434" s="29">
        <v>14.824000000000002</v>
      </c>
      <c r="J434" s="29">
        <v>22.236</v>
      </c>
      <c r="K434" s="29">
        <v>25.919246249999997</v>
      </c>
      <c r="L434" s="29">
        <v>25.919246249999997</v>
      </c>
      <c r="M434" s="29">
        <v>25.919246249999997</v>
      </c>
      <c r="N434" s="29">
        <v>25.919246249999997</v>
      </c>
      <c r="O434" s="29">
        <v>25.919246249999997</v>
      </c>
      <c r="P434" s="29">
        <v>25.919246249999997</v>
      </c>
      <c r="Q434" s="29">
        <v>25.919246249999997</v>
      </c>
      <c r="R434" s="29">
        <v>25.919246249999997</v>
      </c>
      <c r="S434" s="29">
        <v>25.919246249999997</v>
      </c>
      <c r="T434" s="29">
        <v>25.919246249999997</v>
      </c>
      <c r="U434" s="29">
        <v>25.919246249999997</v>
      </c>
      <c r="V434" s="29">
        <v>25.919246249999997</v>
      </c>
      <c r="W434" s="29">
        <v>25.919246249999997</v>
      </c>
      <c r="X434" s="29">
        <v>25.919246249999997</v>
      </c>
      <c r="Y434" s="41">
        <v>25.919246249999997</v>
      </c>
      <c r="AA434" s="52"/>
    </row>
    <row r="435" spans="2:27" ht="11.25">
      <c r="B435" s="39" t="s">
        <v>617</v>
      </c>
      <c r="C435" s="82" t="s">
        <v>578</v>
      </c>
      <c r="D435" s="83"/>
      <c r="E435" s="50" t="s">
        <v>118</v>
      </c>
      <c r="F435" s="28">
        <v>0</v>
      </c>
      <c r="G435" s="29">
        <v>14.3</v>
      </c>
      <c r="H435" s="29">
        <v>0</v>
      </c>
      <c r="I435" s="29">
        <v>0</v>
      </c>
      <c r="J435" s="29">
        <v>0</v>
      </c>
      <c r="K435" s="29">
        <v>0</v>
      </c>
      <c r="L435" s="29">
        <v>0</v>
      </c>
      <c r="M435" s="29">
        <v>0</v>
      </c>
      <c r="N435" s="29">
        <v>0</v>
      </c>
      <c r="O435" s="29">
        <v>0</v>
      </c>
      <c r="P435" s="29">
        <v>0</v>
      </c>
      <c r="Q435" s="29">
        <v>0</v>
      </c>
      <c r="R435" s="29">
        <v>0</v>
      </c>
      <c r="S435" s="29">
        <v>0</v>
      </c>
      <c r="T435" s="29">
        <v>0</v>
      </c>
      <c r="U435" s="29">
        <v>0</v>
      </c>
      <c r="V435" s="29">
        <v>0</v>
      </c>
      <c r="W435" s="29">
        <v>0</v>
      </c>
      <c r="X435" s="29">
        <v>0</v>
      </c>
      <c r="Y435" s="41">
        <v>0</v>
      </c>
      <c r="AA435" s="52">
        <v>14.3</v>
      </c>
    </row>
    <row r="436" spans="2:27" ht="11.25">
      <c r="B436" s="39" t="s">
        <v>733</v>
      </c>
      <c r="C436" s="82" t="s">
        <v>691</v>
      </c>
      <c r="D436" s="83"/>
      <c r="E436" s="50" t="s">
        <v>118</v>
      </c>
      <c r="F436" s="28">
        <v>0</v>
      </c>
      <c r="G436" s="29">
        <v>0</v>
      </c>
      <c r="H436" s="29">
        <v>49.185998223231515</v>
      </c>
      <c r="I436" s="29">
        <v>49.185998223231515</v>
      </c>
      <c r="J436" s="29">
        <v>49.185998223231515</v>
      </c>
      <c r="K436" s="29">
        <v>24.44200533030546</v>
      </c>
      <c r="L436" s="29">
        <v>0</v>
      </c>
      <c r="M436" s="29">
        <v>0</v>
      </c>
      <c r="N436" s="29">
        <v>0</v>
      </c>
      <c r="O436" s="29">
        <v>0</v>
      </c>
      <c r="P436" s="29">
        <v>0</v>
      </c>
      <c r="Q436" s="29">
        <v>0</v>
      </c>
      <c r="R436" s="29">
        <v>0</v>
      </c>
      <c r="S436" s="29">
        <v>0</v>
      </c>
      <c r="T436" s="29">
        <v>0</v>
      </c>
      <c r="U436" s="29">
        <v>0</v>
      </c>
      <c r="V436" s="29">
        <v>0</v>
      </c>
      <c r="W436" s="29">
        <v>0</v>
      </c>
      <c r="X436" s="29">
        <v>0</v>
      </c>
      <c r="Y436" s="41">
        <v>0</v>
      </c>
      <c r="AA436" s="52"/>
    </row>
    <row r="437" spans="2:27" ht="11.25">
      <c r="B437" s="39" t="s">
        <v>460</v>
      </c>
      <c r="C437" s="82" t="s">
        <v>734</v>
      </c>
      <c r="D437" s="83"/>
      <c r="E437" s="50" t="s">
        <v>118</v>
      </c>
      <c r="F437" s="28">
        <v>0</v>
      </c>
      <c r="G437" s="28">
        <v>384.9</v>
      </c>
      <c r="H437" s="28">
        <v>427.19799822323154</v>
      </c>
      <c r="I437" s="28">
        <v>434.60999822323157</v>
      </c>
      <c r="J437" s="28">
        <v>255.58431072323143</v>
      </c>
      <c r="K437" s="28">
        <v>50.361251580305456</v>
      </c>
      <c r="L437" s="28">
        <v>25.919246249999997</v>
      </c>
      <c r="M437" s="28">
        <v>25.919246249999997</v>
      </c>
      <c r="N437" s="28">
        <v>25.919246249999997</v>
      </c>
      <c r="O437" s="28">
        <v>25.919246249999997</v>
      </c>
      <c r="P437" s="28">
        <v>25.919246249999997</v>
      </c>
      <c r="Q437" s="28">
        <v>25.919246249999997</v>
      </c>
      <c r="R437" s="28">
        <v>25.919246249999997</v>
      </c>
      <c r="S437" s="28">
        <v>25.919246249999997</v>
      </c>
      <c r="T437" s="28">
        <v>25.919246249999997</v>
      </c>
      <c r="U437" s="28">
        <v>25.919246249999997</v>
      </c>
      <c r="V437" s="28">
        <v>25.919246249999997</v>
      </c>
      <c r="W437" s="28">
        <v>25.919246249999997</v>
      </c>
      <c r="X437" s="28">
        <v>25.919246249999997</v>
      </c>
      <c r="Y437" s="40">
        <v>25.919246249999997</v>
      </c>
      <c r="AA437" s="52">
        <f>+AA431+AA432+AA433</f>
        <v>2174.7560625</v>
      </c>
    </row>
    <row r="438" spans="2:27" ht="11.25">
      <c r="B438" s="39" t="s">
        <v>461</v>
      </c>
      <c r="C438" s="82" t="s">
        <v>128</v>
      </c>
      <c r="D438" s="83"/>
      <c r="E438" s="50" t="s">
        <v>118</v>
      </c>
      <c r="F438" s="28">
        <v>0</v>
      </c>
      <c r="G438" s="28">
        <v>0</v>
      </c>
      <c r="H438" s="28">
        <v>9.215873058260978</v>
      </c>
      <c r="I438" s="28">
        <v>-8.993234070932372</v>
      </c>
      <c r="J438" s="28">
        <v>-21.61218807211954</v>
      </c>
      <c r="K438" s="28">
        <v>38.97417204732952</v>
      </c>
      <c r="L438" s="28">
        <v>166.1087043791542</v>
      </c>
      <c r="M438" s="28">
        <v>319.4621370505361</v>
      </c>
      <c r="N438" s="28">
        <v>430.87792100681605</v>
      </c>
      <c r="O438" s="28">
        <v>474.770329570735</v>
      </c>
      <c r="P438" s="28">
        <v>482.4244643289</v>
      </c>
      <c r="Q438" s="28">
        <v>482.4244643289</v>
      </c>
      <c r="R438" s="28">
        <v>482.4244643289</v>
      </c>
      <c r="S438" s="28">
        <v>482.4244643289</v>
      </c>
      <c r="T438" s="28">
        <v>482.4244643289</v>
      </c>
      <c r="U438" s="28">
        <v>482.4244643289</v>
      </c>
      <c r="V438" s="28">
        <v>482.4244643289</v>
      </c>
      <c r="W438" s="28">
        <v>482.4244643289</v>
      </c>
      <c r="X438" s="28">
        <v>482.4244643289</v>
      </c>
      <c r="Y438" s="40">
        <v>482.4244643289</v>
      </c>
      <c r="AA438" s="52"/>
    </row>
    <row r="439" spans="2:27" ht="11.25">
      <c r="B439" s="39" t="s">
        <v>462</v>
      </c>
      <c r="C439" s="82" t="s">
        <v>463</v>
      </c>
      <c r="D439" s="83"/>
      <c r="E439" s="50" t="s">
        <v>118</v>
      </c>
      <c r="F439" s="28">
        <v>0</v>
      </c>
      <c r="G439" s="28">
        <v>0</v>
      </c>
      <c r="H439" s="28">
        <v>9.215873058260978</v>
      </c>
      <c r="I439" s="28">
        <v>-8.993234070932372</v>
      </c>
      <c r="J439" s="28">
        <v>-21.61218807211954</v>
      </c>
      <c r="K439" s="28">
        <v>38.97417204732952</v>
      </c>
      <c r="L439" s="28">
        <v>166.1087043791542</v>
      </c>
      <c r="M439" s="28">
        <v>319.4621370505361</v>
      </c>
      <c r="N439" s="28">
        <v>430.87792100681605</v>
      </c>
      <c r="O439" s="28">
        <v>474.770329570735</v>
      </c>
      <c r="P439" s="28">
        <v>482.4244643289</v>
      </c>
      <c r="Q439" s="28">
        <v>482.4244643289</v>
      </c>
      <c r="R439" s="28">
        <v>482.4244643289</v>
      </c>
      <c r="S439" s="28">
        <v>482.4244643289</v>
      </c>
      <c r="T439" s="28">
        <v>482.4244643289</v>
      </c>
      <c r="U439" s="28">
        <v>482.4244643289</v>
      </c>
      <c r="V439" s="28">
        <v>482.4244643289</v>
      </c>
      <c r="W439" s="28">
        <v>482.4244643289</v>
      </c>
      <c r="X439" s="28">
        <v>482.4244643289</v>
      </c>
      <c r="Y439" s="40">
        <v>482.4244643289</v>
      </c>
      <c r="AA439" s="52"/>
    </row>
    <row r="440" spans="2:27" ht="11.25">
      <c r="B440" s="42" t="s">
        <v>464</v>
      </c>
      <c r="C440" s="84" t="s">
        <v>465</v>
      </c>
      <c r="D440" s="85"/>
      <c r="E440" s="50" t="s">
        <v>118</v>
      </c>
      <c r="F440" s="30">
        <v>0</v>
      </c>
      <c r="G440" s="30">
        <v>-384.9</v>
      </c>
      <c r="H440" s="30">
        <v>-417.98212516497057</v>
      </c>
      <c r="I440" s="30">
        <v>-443.60323229416394</v>
      </c>
      <c r="J440" s="30">
        <v>-277.196498795351</v>
      </c>
      <c r="K440" s="30">
        <v>-11.387079532975939</v>
      </c>
      <c r="L440" s="30">
        <v>140.18945812915422</v>
      </c>
      <c r="M440" s="30">
        <v>293.5428908005361</v>
      </c>
      <c r="N440" s="30">
        <v>404.95867475681604</v>
      </c>
      <c r="O440" s="30">
        <v>448.851083320735</v>
      </c>
      <c r="P440" s="30">
        <v>456.5052180789</v>
      </c>
      <c r="Q440" s="30">
        <v>456.5052180789</v>
      </c>
      <c r="R440" s="30">
        <v>456.5052180789</v>
      </c>
      <c r="S440" s="30">
        <v>456.5052180789</v>
      </c>
      <c r="T440" s="30">
        <v>456.5052180789</v>
      </c>
      <c r="U440" s="30">
        <v>456.5052180789</v>
      </c>
      <c r="V440" s="30">
        <v>456.5052180789</v>
      </c>
      <c r="W440" s="30">
        <v>456.5052180789</v>
      </c>
      <c r="X440" s="30">
        <v>456.5052180789</v>
      </c>
      <c r="Y440" s="43">
        <v>456.5052180789</v>
      </c>
      <c r="AA440" s="52"/>
    </row>
    <row r="441" spans="2:27" ht="11.25">
      <c r="B441" s="112" t="s">
        <v>466</v>
      </c>
      <c r="C441" s="91" t="s">
        <v>121</v>
      </c>
      <c r="D441" s="78">
        <f>+AA437</f>
        <v>2174.7560625</v>
      </c>
      <c r="E441" s="94"/>
      <c r="F441" s="73"/>
      <c r="G441" s="73"/>
      <c r="H441" s="73"/>
      <c r="I441" s="73"/>
      <c r="J441" s="73"/>
      <c r="K441" s="73"/>
      <c r="L441" s="73"/>
      <c r="M441" s="73"/>
      <c r="N441" s="73"/>
      <c r="O441" s="73"/>
      <c r="P441" s="73"/>
      <c r="Q441" s="73"/>
      <c r="R441" s="73"/>
      <c r="S441" s="73"/>
      <c r="T441" s="73"/>
      <c r="U441" s="73"/>
      <c r="V441" s="73"/>
      <c r="W441" s="73"/>
      <c r="X441" s="73"/>
      <c r="Y441" s="74"/>
      <c r="AA441" s="52"/>
    </row>
    <row r="442" spans="2:27" ht="11.25">
      <c r="B442" s="96" t="s">
        <v>467</v>
      </c>
      <c r="C442" s="92" t="s">
        <v>596</v>
      </c>
      <c r="D442" s="113">
        <f>+AA435</f>
        <v>14.3</v>
      </c>
      <c r="E442" s="95"/>
      <c r="F442" s="54"/>
      <c r="G442" s="54"/>
      <c r="H442" s="54"/>
      <c r="I442" s="54"/>
      <c r="J442" s="54"/>
      <c r="K442" s="54"/>
      <c r="L442" s="54"/>
      <c r="M442" s="54"/>
      <c r="N442" s="54"/>
      <c r="O442" s="54"/>
      <c r="P442" s="54"/>
      <c r="Q442" s="54"/>
      <c r="R442" s="54"/>
      <c r="S442" s="54"/>
      <c r="T442" s="54"/>
      <c r="U442" s="54"/>
      <c r="V442" s="54"/>
      <c r="W442" s="54"/>
      <c r="X442" s="54"/>
      <c r="Y442" s="75"/>
      <c r="AA442" s="52"/>
    </row>
    <row r="443" spans="2:27" ht="11.25">
      <c r="B443" s="96" t="s">
        <v>468</v>
      </c>
      <c r="C443" s="92" t="s">
        <v>57</v>
      </c>
      <c r="D443" s="79">
        <f>+IRR(F440:Y440)</f>
        <v>0.1471245695341768</v>
      </c>
      <c r="E443" s="95"/>
      <c r="F443" s="88"/>
      <c r="G443" s="54"/>
      <c r="H443" s="54"/>
      <c r="I443" s="54"/>
      <c r="J443" s="54"/>
      <c r="K443" s="54">
        <f>AVERAGE(F448:Y448)</f>
        <v>102310.10434976252</v>
      </c>
      <c r="L443" s="54">
        <f>K449-F449</f>
        <v>47984</v>
      </c>
      <c r="M443" s="54"/>
      <c r="N443" s="54"/>
      <c r="O443" s="54"/>
      <c r="P443" s="54"/>
      <c r="Q443" s="54"/>
      <c r="R443" s="54"/>
      <c r="S443" s="54"/>
      <c r="T443" s="54"/>
      <c r="U443" s="54"/>
      <c r="V443" s="54"/>
      <c r="W443" s="54"/>
      <c r="X443" s="54"/>
      <c r="Y443" s="75"/>
      <c r="AA443" s="52"/>
    </row>
    <row r="444" spans="2:27" ht="12" thickBot="1">
      <c r="B444" s="107" t="s">
        <v>618</v>
      </c>
      <c r="C444" s="102" t="s">
        <v>120</v>
      </c>
      <c r="D444" s="210">
        <f>+NPV('Assumptions and Basic Info'!$C$20,F440:Y440)</f>
        <v>521.4648985358617</v>
      </c>
      <c r="E444" s="108"/>
      <c r="F444" s="104"/>
      <c r="G444" s="105"/>
      <c r="H444" s="105"/>
      <c r="I444" s="105"/>
      <c r="J444" s="105"/>
      <c r="K444" s="105">
        <f>AVERAGE(F449:Y449)</f>
        <v>153166.12388905117</v>
      </c>
      <c r="L444" s="105">
        <f>K444-K443</f>
        <v>50856.01953928865</v>
      </c>
      <c r="M444" s="105">
        <f>L444-L443</f>
        <v>2872.0195392886526</v>
      </c>
      <c r="N444" s="105"/>
      <c r="O444" s="105"/>
      <c r="P444" s="105"/>
      <c r="Q444" s="105"/>
      <c r="R444" s="105"/>
      <c r="S444" s="105"/>
      <c r="T444" s="105"/>
      <c r="U444" s="105"/>
      <c r="V444" s="105"/>
      <c r="W444" s="105"/>
      <c r="X444" s="105"/>
      <c r="Y444" s="106"/>
      <c r="AA444" s="52"/>
    </row>
    <row r="445" spans="2:28" ht="22.5">
      <c r="B445" s="145" t="s">
        <v>486</v>
      </c>
      <c r="C445" s="144" t="s">
        <v>497</v>
      </c>
      <c r="D445" s="131"/>
      <c r="E445" s="132"/>
      <c r="F445" s="133"/>
      <c r="G445" s="133"/>
      <c r="H445" s="133"/>
      <c r="I445" s="133"/>
      <c r="J445" s="133"/>
      <c r="K445" s="133"/>
      <c r="L445" s="133"/>
      <c r="M445" s="133"/>
      <c r="N445" s="133"/>
      <c r="O445" s="133"/>
      <c r="P445" s="133"/>
      <c r="Q445" s="133"/>
      <c r="R445" s="133"/>
      <c r="S445" s="133"/>
      <c r="T445" s="133"/>
      <c r="U445" s="133"/>
      <c r="V445" s="133"/>
      <c r="W445" s="133"/>
      <c r="X445" s="133"/>
      <c r="Y445" s="134"/>
      <c r="AA445" s="125"/>
      <c r="AB445" s="126"/>
    </row>
    <row r="446" spans="2:27" ht="12" thickBot="1">
      <c r="B446" s="96"/>
      <c r="C446" s="118"/>
      <c r="D446" s="119"/>
      <c r="E446" s="95"/>
      <c r="F446" s="88"/>
      <c r="G446" s="54"/>
      <c r="H446" s="54"/>
      <c r="I446" s="54"/>
      <c r="J446" s="54"/>
      <c r="K446" s="54"/>
      <c r="L446" s="54"/>
      <c r="M446" s="54"/>
      <c r="N446" s="54"/>
      <c r="O446" s="54"/>
      <c r="P446" s="54"/>
      <c r="Q446" s="54"/>
      <c r="R446" s="54"/>
      <c r="S446" s="54"/>
      <c r="T446" s="54"/>
      <c r="U446" s="54"/>
      <c r="V446" s="54"/>
      <c r="W446" s="54"/>
      <c r="X446" s="54"/>
      <c r="Y446" s="75"/>
      <c r="AA446" s="52"/>
    </row>
    <row r="447" spans="2:27" ht="11.25">
      <c r="B447" s="135" t="s">
        <v>55</v>
      </c>
      <c r="C447" s="136" t="s">
        <v>576</v>
      </c>
      <c r="D447" s="136"/>
      <c r="E447" s="137"/>
      <c r="F447" s="138"/>
      <c r="G447" s="138"/>
      <c r="H447" s="138"/>
      <c r="I447" s="138"/>
      <c r="J447" s="138"/>
      <c r="K447" s="138"/>
      <c r="L447" s="138"/>
      <c r="M447" s="138"/>
      <c r="N447" s="138"/>
      <c r="O447" s="138"/>
      <c r="P447" s="138"/>
      <c r="Q447" s="138"/>
      <c r="R447" s="138"/>
      <c r="S447" s="138"/>
      <c r="T447" s="138"/>
      <c r="U447" s="138"/>
      <c r="V447" s="138"/>
      <c r="W447" s="138"/>
      <c r="X447" s="138"/>
      <c r="Y447" s="139"/>
      <c r="AA447" s="52"/>
    </row>
    <row r="448" spans="2:28" ht="11.25">
      <c r="B448" s="37" t="s">
        <v>487</v>
      </c>
      <c r="C448" s="80" t="s">
        <v>124</v>
      </c>
      <c r="D448" s="81"/>
      <c r="E448" s="49" t="s">
        <v>54</v>
      </c>
      <c r="F448" s="27">
        <f>+F5+F27+F47+F67+F89+F111+F133+F153+F173+F193+F213+F233+F253+F271+F291+F309+F329+F349+F367+F387+F407+F427</f>
        <v>114490</v>
      </c>
      <c r="G448" s="27">
        <f aca="true" t="shared" si="0" ref="G448:Y448">+G5+G27+G47+G67+G89+G111+G133+G153+G173+G193+G213+G233+G253+G271+G291+G309+G329+G349+G367+G387+G407+G427</f>
        <v>112823.30888888892</v>
      </c>
      <c r="H448" s="27">
        <f t="shared" si="0"/>
        <v>111167.54937777776</v>
      </c>
      <c r="I448" s="27">
        <f t="shared" si="0"/>
        <v>109522.50283466667</v>
      </c>
      <c r="J448" s="27">
        <f t="shared" si="0"/>
        <v>107887.95500019555</v>
      </c>
      <c r="K448" s="27">
        <f t="shared" si="0"/>
        <v>106263.69590019164</v>
      </c>
      <c r="L448" s="27">
        <f t="shared" si="0"/>
        <v>104649.51975996558</v>
      </c>
      <c r="M448" s="27">
        <f t="shared" si="0"/>
        <v>103045.22492032182</v>
      </c>
      <c r="N448" s="27">
        <f t="shared" si="0"/>
        <v>101450.6137552487</v>
      </c>
      <c r="O448" s="27">
        <f t="shared" si="0"/>
        <v>99865.49259125486</v>
      </c>
      <c r="P448" s="27">
        <f t="shared" si="0"/>
        <v>99409.78273942976</v>
      </c>
      <c r="Q448" s="27">
        <f t="shared" si="0"/>
        <v>98963.18708464118</v>
      </c>
      <c r="R448" s="27">
        <f t="shared" si="0"/>
        <v>98525.52334294832</v>
      </c>
      <c r="S448" s="27">
        <f t="shared" si="0"/>
        <v>98096.61287608938</v>
      </c>
      <c r="T448" s="27">
        <f t="shared" si="0"/>
        <v>97676.28061856759</v>
      </c>
      <c r="U448" s="27">
        <f t="shared" si="0"/>
        <v>97264.35500619625</v>
      </c>
      <c r="V448" s="27">
        <f t="shared" si="0"/>
        <v>96860.66790607231</v>
      </c>
      <c r="W448" s="27">
        <f t="shared" si="0"/>
        <v>96465.05454795086</v>
      </c>
      <c r="X448" s="27">
        <f t="shared" si="0"/>
        <v>96077.35345699184</v>
      </c>
      <c r="Y448" s="38">
        <f t="shared" si="0"/>
        <v>95697.40638785201</v>
      </c>
      <c r="AA448" s="52">
        <f>+AA5+AA27+AA47+AA67+AA89+AA111+AA133+AA153+AA173+AA193+AA213+AA233+AA253+AA271+AA291+AA309+AA329+AA349+AA367+AA387+AA407+AA427</f>
        <v>114490</v>
      </c>
      <c r="AB448" s="1" t="s">
        <v>126</v>
      </c>
    </row>
    <row r="449" spans="2:28" ht="11.25">
      <c r="B449" s="39" t="s">
        <v>488</v>
      </c>
      <c r="C449" s="82" t="s">
        <v>125</v>
      </c>
      <c r="D449" s="83"/>
      <c r="E449" s="50" t="s">
        <v>54</v>
      </c>
      <c r="F449" s="28">
        <f>+F6+F28+F48+F68+F90+F112+F134+F154+F174+F194+F214+F234+F254+F272+F292+F310+F330+F350+F368+F388+F408+F428</f>
        <v>114490</v>
      </c>
      <c r="G449" s="28">
        <f aca="true" t="shared" si="1" ref="G449:Y449">+G6+G28+G48+G68+G90+G112+G134+G154+G174+G194+G214+G234+G254+G272+G292+G310+G330+G350+G368+G388+G408+G428</f>
        <v>112823.30888888892</v>
      </c>
      <c r="H449" s="28">
        <f t="shared" si="1"/>
        <v>114698.20717357617</v>
      </c>
      <c r="I449" s="28">
        <f t="shared" si="1"/>
        <v>130019.97834550412</v>
      </c>
      <c r="J449" s="28">
        <f t="shared" si="1"/>
        <v>154180.98337305413</v>
      </c>
      <c r="K449" s="28">
        <f t="shared" si="1"/>
        <v>162474</v>
      </c>
      <c r="L449" s="28">
        <f t="shared" si="1"/>
        <v>162474</v>
      </c>
      <c r="M449" s="28">
        <f t="shared" si="1"/>
        <v>162474</v>
      </c>
      <c r="N449" s="28">
        <f t="shared" si="1"/>
        <v>162474</v>
      </c>
      <c r="O449" s="28">
        <f t="shared" si="1"/>
        <v>162474</v>
      </c>
      <c r="P449" s="28">
        <f t="shared" si="1"/>
        <v>162474</v>
      </c>
      <c r="Q449" s="28">
        <f t="shared" si="1"/>
        <v>162474</v>
      </c>
      <c r="R449" s="28">
        <f t="shared" si="1"/>
        <v>162474</v>
      </c>
      <c r="S449" s="28">
        <f t="shared" si="1"/>
        <v>162474</v>
      </c>
      <c r="T449" s="28">
        <f t="shared" si="1"/>
        <v>162474</v>
      </c>
      <c r="U449" s="28">
        <f t="shared" si="1"/>
        <v>162474</v>
      </c>
      <c r="V449" s="28">
        <f t="shared" si="1"/>
        <v>162474</v>
      </c>
      <c r="W449" s="28">
        <f t="shared" si="1"/>
        <v>162474</v>
      </c>
      <c r="X449" s="28">
        <f t="shared" si="1"/>
        <v>162474</v>
      </c>
      <c r="Y449" s="40">
        <f t="shared" si="1"/>
        <v>162474</v>
      </c>
      <c r="AA449" s="52">
        <f>+AA6+AA28+AA48+AA68+AA90+AA112+AA134+AA154+AA174+AA194+AA214+AA234+AA254+AA272+AA292+AA310+AA330+AA350+AA368+AA388+AA408+AA428</f>
        <v>162474</v>
      </c>
      <c r="AB449" s="1" t="s">
        <v>127</v>
      </c>
    </row>
    <row r="450" spans="2:29" ht="11.25">
      <c r="B450" s="39" t="s">
        <v>66</v>
      </c>
      <c r="C450" s="82" t="s">
        <v>81</v>
      </c>
      <c r="D450" s="83"/>
      <c r="E450" s="50" t="s">
        <v>54</v>
      </c>
      <c r="F450" s="28">
        <f aca="true" t="shared" si="2" ref="F450:Y450">+F7+F29+F49+F69+F91+F113+F135+F155+F175+F195+F215+F235+F255+F273+F293+F311+F331+F351+F369+F389+F409+F429</f>
        <v>0</v>
      </c>
      <c r="G450" s="28">
        <f t="shared" si="2"/>
        <v>0</v>
      </c>
      <c r="H450" s="28">
        <f t="shared" si="2"/>
        <v>3530.6577957983777</v>
      </c>
      <c r="I450" s="28">
        <f t="shared" si="2"/>
        <v>20497.475510837445</v>
      </c>
      <c r="J450" s="28">
        <f t="shared" si="2"/>
        <v>46293.02837285855</v>
      </c>
      <c r="K450" s="28">
        <f t="shared" si="2"/>
        <v>56210.30409980836</v>
      </c>
      <c r="L450" s="28">
        <f t="shared" si="2"/>
        <v>57824.48024003441</v>
      </c>
      <c r="M450" s="28">
        <f t="shared" si="2"/>
        <v>59428.77507967817</v>
      </c>
      <c r="N450" s="28">
        <f t="shared" si="2"/>
        <v>61023.38624475125</v>
      </c>
      <c r="O450" s="28">
        <f t="shared" si="2"/>
        <v>62608.50740874515</v>
      </c>
      <c r="P450" s="28">
        <f t="shared" si="2"/>
        <v>63064.21726057024</v>
      </c>
      <c r="Q450" s="28">
        <f t="shared" si="2"/>
        <v>63510.81291535883</v>
      </c>
      <c r="R450" s="28">
        <f t="shared" si="2"/>
        <v>63948.47665705166</v>
      </c>
      <c r="S450" s="28">
        <f t="shared" si="2"/>
        <v>64377.387123910616</v>
      </c>
      <c r="T450" s="28">
        <f t="shared" si="2"/>
        <v>64797.71938143242</v>
      </c>
      <c r="U450" s="28">
        <f t="shared" si="2"/>
        <v>65209.644993803755</v>
      </c>
      <c r="V450" s="28">
        <f t="shared" si="2"/>
        <v>65613.33209392769</v>
      </c>
      <c r="W450" s="28">
        <f t="shared" si="2"/>
        <v>66008.94545204914</v>
      </c>
      <c r="X450" s="28">
        <f t="shared" si="2"/>
        <v>66396.64654300814</v>
      </c>
      <c r="Y450" s="40">
        <f t="shared" si="2"/>
        <v>66776.59361214799</v>
      </c>
      <c r="AA450" s="52">
        <f>+AA7+AA29+AA49+AA69+AA91+AA113+AA135+AA155+AA175+AA195+AA215+AA235+AA255+AA273+AA293+AA311+AA331+AA351+AA369+AA389+AA409+AA429</f>
        <v>47984</v>
      </c>
      <c r="AB450" s="1" t="s">
        <v>127</v>
      </c>
      <c r="AC450" s="52"/>
    </row>
    <row r="451" spans="2:28" ht="11.25">
      <c r="B451" s="39" t="s">
        <v>67</v>
      </c>
      <c r="C451" s="82" t="s">
        <v>65</v>
      </c>
      <c r="D451" s="83"/>
      <c r="E451" s="50" t="s">
        <v>119</v>
      </c>
      <c r="F451" s="28">
        <f>+F8+F70+F92+F114+F136+F156+F176+F196+F216+F236+F274+F312+F332+F370+F390+F410</f>
        <v>0</v>
      </c>
      <c r="G451" s="28">
        <f aca="true" t="shared" si="3" ref="G451:Y451">+G8+G70+G92+G114+G136+G156+G176+G196+G216+G236+G274+G312+G332+G370+G390+G410</f>
        <v>0</v>
      </c>
      <c r="H451" s="28">
        <f t="shared" si="3"/>
        <v>0</v>
      </c>
      <c r="I451" s="28">
        <f t="shared" si="3"/>
        <v>1866.6666666666663</v>
      </c>
      <c r="J451" s="28">
        <f t="shared" si="3"/>
        <v>17577.777777777774</v>
      </c>
      <c r="K451" s="28">
        <f t="shared" si="3"/>
        <v>20506.666666666668</v>
      </c>
      <c r="L451" s="28">
        <f t="shared" si="3"/>
        <v>15380</v>
      </c>
      <c r="M451" s="28">
        <f t="shared" si="3"/>
        <v>10253.333333333334</v>
      </c>
      <c r="N451" s="28">
        <f t="shared" si="3"/>
        <v>5126.666666666666</v>
      </c>
      <c r="O451" s="28">
        <f t="shared" si="3"/>
        <v>0</v>
      </c>
      <c r="P451" s="28">
        <f t="shared" si="3"/>
        <v>0</v>
      </c>
      <c r="Q451" s="28">
        <f t="shared" si="3"/>
        <v>0</v>
      </c>
      <c r="R451" s="28">
        <f t="shared" si="3"/>
        <v>0</v>
      </c>
      <c r="S451" s="28">
        <f t="shared" si="3"/>
        <v>0</v>
      </c>
      <c r="T451" s="28">
        <f t="shared" si="3"/>
        <v>0</v>
      </c>
      <c r="U451" s="28">
        <f t="shared" si="3"/>
        <v>0</v>
      </c>
      <c r="V451" s="28">
        <f t="shared" si="3"/>
        <v>0</v>
      </c>
      <c r="W451" s="28">
        <f t="shared" si="3"/>
        <v>0</v>
      </c>
      <c r="X451" s="28">
        <f t="shared" si="3"/>
        <v>0</v>
      </c>
      <c r="Y451" s="40">
        <f t="shared" si="3"/>
        <v>0</v>
      </c>
      <c r="AA451" s="52">
        <f>+AA8+AA70+AA92+AA114+AA136+AA156+AA176+AA196+AA216+AA236+AA274+AA312+AA332+AA370+AA390+AA410</f>
        <v>47440</v>
      </c>
      <c r="AB451" s="1" t="s">
        <v>127</v>
      </c>
    </row>
    <row r="452" spans="2:28" ht="11.25">
      <c r="B452" s="39" t="s">
        <v>59</v>
      </c>
      <c r="C452" s="82" t="s">
        <v>516</v>
      </c>
      <c r="D452" s="316">
        <f>'ERR &amp; Sensitivity Analysis'!D15</f>
        <v>1</v>
      </c>
      <c r="E452" s="50" t="s">
        <v>526</v>
      </c>
      <c r="F452" s="28">
        <f>$D$452*(+F9+F30+F50+F71+F93+F115)</f>
        <v>0</v>
      </c>
      <c r="G452" s="28">
        <f>$D$452*(+G9+G30+G50+G71+G93+G115)</f>
        <v>0</v>
      </c>
      <c r="H452" s="28">
        <f>$D$452*(+H9+H30+H50+H71+H93+H115)</f>
        <v>24103.796758246353</v>
      </c>
      <c r="I452" s="28">
        <f>$D$452*(+I9+I30+I50+I71+I93+I115)</f>
        <v>89393.39485503828</v>
      </c>
      <c r="J452" s="28">
        <f aca="true" t="shared" si="4" ref="J452:Y452">$D$452*(+J9+J30+J50+J71+J93+J115)</f>
        <v>155228.796104265</v>
      </c>
      <c r="K452" s="28">
        <f t="shared" si="4"/>
        <v>179255.51221302492</v>
      </c>
      <c r="L452" s="28">
        <f t="shared" si="4"/>
        <v>189430.13710521566</v>
      </c>
      <c r="M452" s="28">
        <f t="shared" si="4"/>
        <v>200011.746993094</v>
      </c>
      <c r="N452" s="28">
        <f t="shared" si="4"/>
        <v>211016.62127648754</v>
      </c>
      <c r="O452" s="28">
        <f t="shared" si="4"/>
        <v>222461.69053121674</v>
      </c>
      <c r="P452" s="28">
        <f t="shared" si="4"/>
        <v>234364.56255613512</v>
      </c>
      <c r="Q452" s="28">
        <f t="shared" si="4"/>
        <v>246743.54946205026</v>
      </c>
      <c r="R452" s="28">
        <f t="shared" si="4"/>
        <v>259617.695844202</v>
      </c>
      <c r="S452" s="28">
        <f t="shared" si="4"/>
        <v>273006.8080816398</v>
      </c>
      <c r="T452" s="28">
        <f t="shared" si="4"/>
        <v>286931.4848085752</v>
      </c>
      <c r="U452" s="28">
        <f t="shared" si="4"/>
        <v>301413.1486045879</v>
      </c>
      <c r="V452" s="28">
        <f t="shared" si="4"/>
        <v>316474.07895244117</v>
      </c>
      <c r="W452" s="28">
        <f t="shared" si="4"/>
        <v>332137.4465142085</v>
      </c>
      <c r="X452" s="28">
        <f t="shared" si="4"/>
        <v>348427.3487784466</v>
      </c>
      <c r="Y452" s="28">
        <f t="shared" si="4"/>
        <v>365368.84713325417</v>
      </c>
      <c r="AA452" s="52">
        <f>+AA9+AA30+AA50+AA71+AA93+AA115</f>
        <v>134092</v>
      </c>
      <c r="AB452" s="1"/>
    </row>
    <row r="453" spans="2:27" ht="11.25">
      <c r="B453" s="39" t="s">
        <v>489</v>
      </c>
      <c r="C453" s="82" t="s">
        <v>58</v>
      </c>
      <c r="D453" s="317">
        <f>SUM(F453:J453)</f>
        <v>77095.69532949322</v>
      </c>
      <c r="E453" s="50" t="s">
        <v>118</v>
      </c>
      <c r="F453" s="28">
        <f aca="true" t="shared" si="5" ref="F453:F458">+F10+F31+F51+F72+F94+F116+F137+F157+F177+F197+F217+F237+F256+F275+F294+F313+F333+F352+F371+F391+F411+F431</f>
        <v>0</v>
      </c>
      <c r="G453" s="28">
        <f aca="true" t="shared" si="6" ref="G453:Y453">+G10+G31+G51+G72+G94+G116+G137+G157+G177+G197+G217+G237+G256+G275+G294+G313+G333+G352+G371+G391+G411+G431</f>
        <v>13832.946798418972</v>
      </c>
      <c r="H453" s="28">
        <f t="shared" si="6"/>
        <v>30149.094184130994</v>
      </c>
      <c r="I453" s="28">
        <f t="shared" si="6"/>
        <v>27448.786205217388</v>
      </c>
      <c r="J453" s="28">
        <f t="shared" si="6"/>
        <v>5664.8681417258595</v>
      </c>
      <c r="K453" s="28">
        <f t="shared" si="6"/>
        <v>0</v>
      </c>
      <c r="L453" s="31">
        <f t="shared" si="6"/>
        <v>0</v>
      </c>
      <c r="M453" s="31">
        <f t="shared" si="6"/>
        <v>0</v>
      </c>
      <c r="N453" s="31">
        <f t="shared" si="6"/>
        <v>0</v>
      </c>
      <c r="O453" s="31">
        <f t="shared" si="6"/>
        <v>0</v>
      </c>
      <c r="P453" s="31">
        <f t="shared" si="6"/>
        <v>0</v>
      </c>
      <c r="Q453" s="31">
        <f t="shared" si="6"/>
        <v>0</v>
      </c>
      <c r="R453" s="31">
        <f t="shared" si="6"/>
        <v>0</v>
      </c>
      <c r="S453" s="31">
        <f t="shared" si="6"/>
        <v>0</v>
      </c>
      <c r="T453" s="31">
        <f t="shared" si="6"/>
        <v>0</v>
      </c>
      <c r="U453" s="31">
        <f t="shared" si="6"/>
        <v>0</v>
      </c>
      <c r="V453" s="31">
        <f t="shared" si="6"/>
        <v>0</v>
      </c>
      <c r="W453" s="31">
        <f t="shared" si="6"/>
        <v>0</v>
      </c>
      <c r="X453" s="31">
        <f t="shared" si="6"/>
        <v>0</v>
      </c>
      <c r="Y453" s="46">
        <f t="shared" si="6"/>
        <v>0</v>
      </c>
      <c r="AA453" s="54">
        <f>+AA10+AA31+AA51+AA72+AA94+AA116+AA137+AA157+AA177+AA197+AA217+AA237+AA256+AA275+AA294+AA313+AA333+AA352+AA371+AA391+AA411+AA431</f>
        <v>77095.6953294932</v>
      </c>
    </row>
    <row r="454" spans="2:27" ht="11.25">
      <c r="B454" s="39" t="s">
        <v>490</v>
      </c>
      <c r="C454" s="82" t="s">
        <v>24</v>
      </c>
      <c r="D454" s="317">
        <f>SUM(F454:J454)</f>
        <v>11564.354299423982</v>
      </c>
      <c r="E454" s="50" t="s">
        <v>118</v>
      </c>
      <c r="F454" s="28">
        <f t="shared" si="5"/>
        <v>0</v>
      </c>
      <c r="G454" s="28">
        <f aca="true" t="shared" si="7" ref="G454:U454">+G11+G32+G52+G73+G95+G117+G138+G158+G178+G198+G218+G238+G257+G276+G295+G314+G334+G353+G372+G392+G412+G432</f>
        <v>2074.942019762846</v>
      </c>
      <c r="H454" s="28">
        <f t="shared" si="7"/>
        <v>4522.3641276196495</v>
      </c>
      <c r="I454" s="28">
        <f t="shared" si="7"/>
        <v>4117.3179307826085</v>
      </c>
      <c r="J454" s="28">
        <f t="shared" si="7"/>
        <v>849.7302212588792</v>
      </c>
      <c r="K454" s="28">
        <f t="shared" si="7"/>
        <v>0</v>
      </c>
      <c r="L454" s="28">
        <f t="shared" si="7"/>
        <v>0</v>
      </c>
      <c r="M454" s="28">
        <f t="shared" si="7"/>
        <v>0</v>
      </c>
      <c r="N454" s="28">
        <f t="shared" si="7"/>
        <v>0</v>
      </c>
      <c r="O454" s="28">
        <f t="shared" si="7"/>
        <v>0</v>
      </c>
      <c r="P454" s="28">
        <f t="shared" si="7"/>
        <v>0</v>
      </c>
      <c r="Q454" s="28">
        <f t="shared" si="7"/>
        <v>0</v>
      </c>
      <c r="R454" s="28">
        <f t="shared" si="7"/>
        <v>0</v>
      </c>
      <c r="S454" s="28">
        <f t="shared" si="7"/>
        <v>0</v>
      </c>
      <c r="T454" s="28">
        <f t="shared" si="7"/>
        <v>0</v>
      </c>
      <c r="U454" s="28">
        <f t="shared" si="7"/>
        <v>0</v>
      </c>
      <c r="V454" s="31">
        <f aca="true" t="shared" si="8" ref="V454:Y455">+V11+V32+V52+V73+V95+V117+V138+V158+V178+V198+V218+V238+V257+V276+V295+V314+V334+V353+V372+V392+V412+V432</f>
        <v>0</v>
      </c>
      <c r="W454" s="31">
        <f t="shared" si="8"/>
        <v>0</v>
      </c>
      <c r="X454" s="31">
        <f t="shared" si="8"/>
        <v>0</v>
      </c>
      <c r="Y454" s="46">
        <f t="shared" si="8"/>
        <v>0</v>
      </c>
      <c r="AA454" s="54">
        <f>+AA453*'Assumptions and Basic Info'!$C$4</f>
        <v>77095.6953294932</v>
      </c>
    </row>
    <row r="455" spans="2:27" ht="11.25">
      <c r="B455" s="39" t="s">
        <v>568</v>
      </c>
      <c r="C455" s="82" t="s">
        <v>83</v>
      </c>
      <c r="D455" s="317">
        <f>SUM(F455:J455)</f>
        <v>8328.597327152002</v>
      </c>
      <c r="E455" s="50" t="s">
        <v>118</v>
      </c>
      <c r="F455" s="28">
        <f t="shared" si="5"/>
        <v>396.9661241869118</v>
      </c>
      <c r="G455" s="28">
        <f aca="true" t="shared" si="9" ref="G455:U455">+G12+G33+G53+G74+G96+G118+G139+G159+G179+G199+G219+G239+G258+G277+G296+G315+G335+G354+G373+G393+G413+G433</f>
        <v>2147.914369180154</v>
      </c>
      <c r="H455" s="28">
        <f t="shared" si="9"/>
        <v>2899.1738207872954</v>
      </c>
      <c r="I455" s="28">
        <f t="shared" si="9"/>
        <v>2364.9616107251263</v>
      </c>
      <c r="J455" s="28">
        <f t="shared" si="9"/>
        <v>519.5814022725131</v>
      </c>
      <c r="K455" s="28">
        <f t="shared" si="9"/>
        <v>0</v>
      </c>
      <c r="L455" s="28">
        <f t="shared" si="9"/>
        <v>0</v>
      </c>
      <c r="M455" s="28">
        <f t="shared" si="9"/>
        <v>0</v>
      </c>
      <c r="N455" s="28">
        <f t="shared" si="9"/>
        <v>0</v>
      </c>
      <c r="O455" s="28">
        <f t="shared" si="9"/>
        <v>0</v>
      </c>
      <c r="P455" s="28">
        <f t="shared" si="9"/>
        <v>0</v>
      </c>
      <c r="Q455" s="28">
        <f t="shared" si="9"/>
        <v>0</v>
      </c>
      <c r="R455" s="28">
        <f t="shared" si="9"/>
        <v>0</v>
      </c>
      <c r="S455" s="28">
        <f t="shared" si="9"/>
        <v>0</v>
      </c>
      <c r="T455" s="28">
        <f t="shared" si="9"/>
        <v>0</v>
      </c>
      <c r="U455" s="28">
        <f t="shared" si="9"/>
        <v>0</v>
      </c>
      <c r="V455" s="31">
        <f t="shared" si="8"/>
        <v>0</v>
      </c>
      <c r="W455" s="31">
        <f t="shared" si="8"/>
        <v>0</v>
      </c>
      <c r="X455" s="31">
        <f t="shared" si="8"/>
        <v>0</v>
      </c>
      <c r="Y455" s="46">
        <f t="shared" si="8"/>
        <v>0</v>
      </c>
      <c r="AA455" s="54">
        <f>+AA12+AA33+AA53+AA74+AA96+AA118+AA139+AA159+AA179+AA199+AA219+AA239+AA258+AA277+AA296+AA315+AA335+AA354+AA373+AA393+AA413+AA433</f>
        <v>8328.597327152</v>
      </c>
    </row>
    <row r="456" spans="2:27" ht="11.25">
      <c r="B456" s="39" t="s">
        <v>569</v>
      </c>
      <c r="C456" s="82" t="s">
        <v>82</v>
      </c>
      <c r="D456" s="316">
        <f>'ERR &amp; Sensitivity Analysis'!$D$14</f>
        <v>1</v>
      </c>
      <c r="E456" s="50" t="s">
        <v>118</v>
      </c>
      <c r="F456" s="28">
        <f>$D$456*(+F13+F34+F54+F75+F97+F119+F140+F160+F180+F200+F220+F240+F259+F278+F297+F316+F336+F355+F374+F394+F414+F434)</f>
        <v>0</v>
      </c>
      <c r="G456" s="28">
        <f>$D$456*(+G13+G34+G54+G75+G97+G119+G140+G160+G180+G200+G220+G240+G259+G278+G297+G316+G336+G355+G374+G394+G414+G434)</f>
        <v>7.939322483738236</v>
      </c>
      <c r="H456" s="28">
        <f>$D$456*(+H13+H34+H54+H75+H97+H119+H140+H160+H180+H200+H220+H240+H259+H278+H297+H316+H336+H355+H374+H394+H414+H434)</f>
        <v>454.3933189832503</v>
      </c>
      <c r="I456" s="28">
        <f>$D$456*(+I13+I34+I54+I75+I97+I119+I140+I160+I180+I200+I220+I240+I259+I278+I297+I316+I336+I355+I374+I394+I414+I434)</f>
        <v>1307.1063097825152</v>
      </c>
      <c r="J456" s="28">
        <f aca="true" t="shared" si="10" ref="J456:Y456">$D$456*(+J13+J34+J54+J75+J97+J119+J140+J160+J180+J200+J220+J240+J259+J278+J297+J316+J336+J355+J374+J394+J414+J434)</f>
        <v>1987.6314873541623</v>
      </c>
      <c r="K456" s="28">
        <f t="shared" si="10"/>
        <v>2128.315082659308</v>
      </c>
      <c r="L456" s="28">
        <f t="shared" si="10"/>
        <v>2128.315082659308</v>
      </c>
      <c r="M456" s="28">
        <f t="shared" si="10"/>
        <v>2128.315082659308</v>
      </c>
      <c r="N456" s="28">
        <f t="shared" si="10"/>
        <v>2128.315082659308</v>
      </c>
      <c r="O456" s="28">
        <f t="shared" si="10"/>
        <v>2128.315082659308</v>
      </c>
      <c r="P456" s="28">
        <f t="shared" si="10"/>
        <v>2128.315082659308</v>
      </c>
      <c r="Q456" s="28">
        <f t="shared" si="10"/>
        <v>2128.315082659308</v>
      </c>
      <c r="R456" s="28">
        <f t="shared" si="10"/>
        <v>2128.315082659308</v>
      </c>
      <c r="S456" s="28">
        <f t="shared" si="10"/>
        <v>2128.315082659308</v>
      </c>
      <c r="T456" s="28">
        <f t="shared" si="10"/>
        <v>2128.315082659308</v>
      </c>
      <c r="U456" s="28">
        <f t="shared" si="10"/>
        <v>2128.315082659308</v>
      </c>
      <c r="V456" s="28">
        <f t="shared" si="10"/>
        <v>2128.315082659308</v>
      </c>
      <c r="W456" s="28">
        <f t="shared" si="10"/>
        <v>2128.315082659308</v>
      </c>
      <c r="X456" s="28">
        <f t="shared" si="10"/>
        <v>2128.315082659308</v>
      </c>
      <c r="Y456" s="28">
        <f t="shared" si="10"/>
        <v>2128.315082659308</v>
      </c>
      <c r="AA456" s="52"/>
    </row>
    <row r="457" spans="2:27" ht="11.25">
      <c r="B457" s="39" t="s">
        <v>635</v>
      </c>
      <c r="C457" s="82" t="s">
        <v>578</v>
      </c>
      <c r="D457" s="317">
        <f>SUM(F457:J457)</f>
        <v>3326.95</v>
      </c>
      <c r="E457" s="50" t="s">
        <v>118</v>
      </c>
      <c r="F457" s="28">
        <f t="shared" si="5"/>
        <v>338.87333333333333</v>
      </c>
      <c r="G457" s="28">
        <f aca="true" t="shared" si="11" ref="G457:Y457">+G14+G35+G55+G76+G98+G120+G141+G161+G181+G201+G221+G241+G260+G279+G298+G317+G337+G356+G375+G395+G415+G435</f>
        <v>1433.7033333333331</v>
      </c>
      <c r="H457" s="28">
        <f t="shared" si="11"/>
        <v>1408</v>
      </c>
      <c r="I457" s="28">
        <f t="shared" si="11"/>
        <v>146.37333333333333</v>
      </c>
      <c r="J457" s="28">
        <f t="shared" si="11"/>
        <v>0</v>
      </c>
      <c r="K457" s="28">
        <f t="shared" si="11"/>
        <v>0</v>
      </c>
      <c r="L457" s="28">
        <f t="shared" si="11"/>
        <v>0</v>
      </c>
      <c r="M457" s="28">
        <f t="shared" si="11"/>
        <v>0</v>
      </c>
      <c r="N457" s="28">
        <f t="shared" si="11"/>
        <v>0</v>
      </c>
      <c r="O457" s="28">
        <f t="shared" si="11"/>
        <v>0</v>
      </c>
      <c r="P457" s="28">
        <f t="shared" si="11"/>
        <v>0</v>
      </c>
      <c r="Q457" s="28">
        <f t="shared" si="11"/>
        <v>0</v>
      </c>
      <c r="R457" s="28">
        <f t="shared" si="11"/>
        <v>0</v>
      </c>
      <c r="S457" s="28">
        <f t="shared" si="11"/>
        <v>0</v>
      </c>
      <c r="T457" s="28">
        <f t="shared" si="11"/>
        <v>0</v>
      </c>
      <c r="U457" s="28">
        <f t="shared" si="11"/>
        <v>0</v>
      </c>
      <c r="V457" s="28">
        <f t="shared" si="11"/>
        <v>0</v>
      </c>
      <c r="W457" s="28">
        <f t="shared" si="11"/>
        <v>0</v>
      </c>
      <c r="X457" s="28">
        <f t="shared" si="11"/>
        <v>0</v>
      </c>
      <c r="Y457" s="40">
        <f t="shared" si="11"/>
        <v>0</v>
      </c>
      <c r="AA457" s="54">
        <f>+AA14+AA35+AA55+AA76+AA98+AA120+AA141+AA161+AA181+AA201+AA221+AA241+AA260+AA279+AA298+AA317+AA337+AA356+AA375+AA395+AA415+AA435</f>
        <v>3326.950000000002</v>
      </c>
    </row>
    <row r="458" spans="2:27" ht="11.25">
      <c r="B458" s="39" t="s">
        <v>735</v>
      </c>
      <c r="C458" s="82" t="s">
        <v>691</v>
      </c>
      <c r="D458" s="317">
        <f>SUM(F458:L458)</f>
        <v>7056.96788184438</v>
      </c>
      <c r="E458" s="50" t="s">
        <v>118</v>
      </c>
      <c r="F458" s="28">
        <f t="shared" si="5"/>
        <v>0</v>
      </c>
      <c r="G458" s="28">
        <f aca="true" t="shared" si="12" ref="G458:Y458">+G15+G36+G56+G77+G99+G121+G142+G162+G182+G202+G222+G242+G261+G280+G299+G318+G338+G357+G376+G396+G416+G436</f>
        <v>0</v>
      </c>
      <c r="H458" s="28">
        <f t="shared" si="12"/>
        <v>462.6824869054482</v>
      </c>
      <c r="I458" s="28">
        <f t="shared" si="12"/>
        <v>2802.1828959684103</v>
      </c>
      <c r="J458" s="28">
        <f t="shared" si="12"/>
        <v>2595.3485376590916</v>
      </c>
      <c r="K458" s="28">
        <f t="shared" si="12"/>
        <v>1196.7539613114307</v>
      </c>
      <c r="L458" s="28">
        <f t="shared" si="12"/>
        <v>0</v>
      </c>
      <c r="M458" s="28">
        <f t="shared" si="12"/>
        <v>0</v>
      </c>
      <c r="N458" s="28">
        <f t="shared" si="12"/>
        <v>0</v>
      </c>
      <c r="O458" s="28">
        <f t="shared" si="12"/>
        <v>0</v>
      </c>
      <c r="P458" s="28">
        <f t="shared" si="12"/>
        <v>0</v>
      </c>
      <c r="Q458" s="28">
        <f t="shared" si="12"/>
        <v>0</v>
      </c>
      <c r="R458" s="28">
        <f t="shared" si="12"/>
        <v>0</v>
      </c>
      <c r="S458" s="28">
        <f t="shared" si="12"/>
        <v>0</v>
      </c>
      <c r="T458" s="28">
        <f t="shared" si="12"/>
        <v>0</v>
      </c>
      <c r="U458" s="28">
        <f t="shared" si="12"/>
        <v>0</v>
      </c>
      <c r="V458" s="28">
        <f t="shared" si="12"/>
        <v>0</v>
      </c>
      <c r="W458" s="28">
        <f t="shared" si="12"/>
        <v>0</v>
      </c>
      <c r="X458" s="28">
        <f t="shared" si="12"/>
        <v>0</v>
      </c>
      <c r="Y458" s="40">
        <f t="shared" si="12"/>
        <v>0</v>
      </c>
      <c r="AA458" s="54"/>
    </row>
    <row r="459" spans="2:27" ht="11.25">
      <c r="B459" s="39" t="s">
        <v>60</v>
      </c>
      <c r="C459" s="82" t="s">
        <v>736</v>
      </c>
      <c r="D459" s="83"/>
      <c r="E459" s="50" t="s">
        <v>118</v>
      </c>
      <c r="F459" s="28">
        <f>+SUM(F453:F458)</f>
        <v>735.8394575202451</v>
      </c>
      <c r="G459" s="28">
        <f aca="true" t="shared" si="13" ref="G459:Y459">+SUM(G453:G458)</f>
        <v>19497.445843179044</v>
      </c>
      <c r="H459" s="28">
        <f t="shared" si="13"/>
        <v>39895.70793842664</v>
      </c>
      <c r="I459" s="28">
        <f t="shared" si="13"/>
        <v>38186.72828580939</v>
      </c>
      <c r="J459" s="28">
        <f t="shared" si="13"/>
        <v>11617.159790270503</v>
      </c>
      <c r="K459" s="28">
        <f t="shared" si="13"/>
        <v>3325.0690439707387</v>
      </c>
      <c r="L459" s="28">
        <f t="shared" si="13"/>
        <v>2128.315082659308</v>
      </c>
      <c r="M459" s="28">
        <f t="shared" si="13"/>
        <v>2128.315082659308</v>
      </c>
      <c r="N459" s="28">
        <f t="shared" si="13"/>
        <v>2128.315082659308</v>
      </c>
      <c r="O459" s="28">
        <f t="shared" si="13"/>
        <v>2128.315082659308</v>
      </c>
      <c r="P459" s="28">
        <f t="shared" si="13"/>
        <v>2128.315082659308</v>
      </c>
      <c r="Q459" s="28">
        <f t="shared" si="13"/>
        <v>2128.315082659308</v>
      </c>
      <c r="R459" s="28">
        <f t="shared" si="13"/>
        <v>2128.315082659308</v>
      </c>
      <c r="S459" s="28">
        <f t="shared" si="13"/>
        <v>2128.315082659308</v>
      </c>
      <c r="T459" s="28">
        <f t="shared" si="13"/>
        <v>2128.315082659308</v>
      </c>
      <c r="U459" s="28">
        <f t="shared" si="13"/>
        <v>2128.315082659308</v>
      </c>
      <c r="V459" s="28">
        <f t="shared" si="13"/>
        <v>2128.315082659308</v>
      </c>
      <c r="W459" s="28">
        <f t="shared" si="13"/>
        <v>2128.315082659308</v>
      </c>
      <c r="X459" s="28">
        <f t="shared" si="13"/>
        <v>2128.315082659308</v>
      </c>
      <c r="Y459" s="40">
        <f t="shared" si="13"/>
        <v>2128.315082659308</v>
      </c>
      <c r="AA459" s="130">
        <f>+AA453+AA454+AA455</f>
        <v>162519.9879861384</v>
      </c>
    </row>
    <row r="460" spans="2:27" ht="11.25">
      <c r="B460" s="39" t="s">
        <v>570</v>
      </c>
      <c r="C460" s="82" t="s">
        <v>128</v>
      </c>
      <c r="D460" s="83"/>
      <c r="E460" s="50" t="s">
        <v>118</v>
      </c>
      <c r="F460" s="28">
        <f>+F17+F38+F58+F79+F101+F123+F144+F164+F184+F204+F224+F244+F263+F282+F301+F320+F340+F359+F378+F398+F418+F438</f>
        <v>0</v>
      </c>
      <c r="G460" s="28">
        <f aca="true" t="shared" si="14" ref="G460:Y460">+G17+G38+G58+G79+G101+G123+G144+G164+G184+G204+G224+G244+G263+G282+G301+G320+G340+G359+G378+G398+G418+G438</f>
        <v>0</v>
      </c>
      <c r="H460" s="28">
        <f t="shared" si="14"/>
        <v>338.9480373389158</v>
      </c>
      <c r="I460" s="28">
        <f t="shared" si="14"/>
        <v>4686.363088574204</v>
      </c>
      <c r="J460" s="28">
        <f t="shared" si="14"/>
        <v>12823.49066349358</v>
      </c>
      <c r="K460" s="28">
        <f t="shared" si="14"/>
        <v>20023.046485639807</v>
      </c>
      <c r="L460" s="28">
        <f t="shared" si="14"/>
        <v>28422.33105664754</v>
      </c>
      <c r="M460" s="28">
        <f t="shared" si="14"/>
        <v>39015.78285883925</v>
      </c>
      <c r="N460" s="28">
        <f t="shared" si="14"/>
        <v>45678.10779578045</v>
      </c>
      <c r="O460" s="28">
        <f t="shared" si="14"/>
        <v>49814.96782165805</v>
      </c>
      <c r="P460" s="28">
        <f t="shared" si="14"/>
        <v>50762.20092571111</v>
      </c>
      <c r="Q460" s="28">
        <f t="shared" si="14"/>
        <v>51378.780042481434</v>
      </c>
      <c r="R460" s="28">
        <f t="shared" si="14"/>
        <v>51983.02757691635</v>
      </c>
      <c r="S460" s="28">
        <f t="shared" si="14"/>
        <v>52575.190160662554</v>
      </c>
      <c r="T460" s="28">
        <f t="shared" si="14"/>
        <v>53155.50949273384</v>
      </c>
      <c r="U460" s="28">
        <f t="shared" si="14"/>
        <v>53724.222438163706</v>
      </c>
      <c r="V460" s="28">
        <f t="shared" si="14"/>
        <v>54281.56112468496</v>
      </c>
      <c r="W460" s="28">
        <f t="shared" si="14"/>
        <v>54827.7530374758</v>
      </c>
      <c r="X460" s="28">
        <f t="shared" si="14"/>
        <v>55363.02111201083</v>
      </c>
      <c r="Y460" s="40">
        <f t="shared" si="14"/>
        <v>55887.58382505515</v>
      </c>
      <c r="AA460" s="52"/>
    </row>
    <row r="461" spans="2:27" ht="11.25">
      <c r="B461" s="39" t="s">
        <v>567</v>
      </c>
      <c r="C461" s="82" t="s">
        <v>63</v>
      </c>
      <c r="D461" s="316">
        <f>'ERR &amp; Sensitivity Analysis'!D16</f>
        <v>1</v>
      </c>
      <c r="E461" s="50" t="s">
        <v>118</v>
      </c>
      <c r="F461" s="28">
        <f aca="true" t="shared" si="15" ref="F461:M461">$D$461*(+F19+F80+F102+F124+F145+F165+F185+F205+F225+F245+F283+F321+F341+F379+F399+F419)</f>
        <v>0</v>
      </c>
      <c r="G461" s="28">
        <f t="shared" si="15"/>
        <v>0</v>
      </c>
      <c r="H461" s="28">
        <f t="shared" si="15"/>
        <v>209.7384066174601</v>
      </c>
      <c r="I461" s="28">
        <f t="shared" si="15"/>
        <v>394.8513555840001</v>
      </c>
      <c r="J461" s="28">
        <f t="shared" si="15"/>
        <v>1093.434939585138</v>
      </c>
      <c r="K461" s="28">
        <f t="shared" si="15"/>
        <v>1253.5065780574325</v>
      </c>
      <c r="L461" s="28">
        <f t="shared" si="15"/>
        <v>1074.5675176241741</v>
      </c>
      <c r="M461" s="28">
        <f t="shared" si="15"/>
        <v>896.5995525513634</v>
      </c>
      <c r="N461" s="28">
        <f aca="true" t="shared" si="16" ref="N461:S461">$D$461*(+N19+N80+N102+N124+N145+N165+N185+N205+N225+N245+N283+N321+N341+N379+N399+N419)</f>
        <v>719.6415266534177</v>
      </c>
      <c r="O461" s="28">
        <f t="shared" si="16"/>
        <v>543.7338374973324</v>
      </c>
      <c r="P461" s="28">
        <f t="shared" si="16"/>
        <v>572.1349429972256</v>
      </c>
      <c r="Q461" s="28">
        <f t="shared" si="16"/>
        <v>601.6720927171147</v>
      </c>
      <c r="R461" s="28">
        <f t="shared" si="16"/>
        <v>632.3907284257992</v>
      </c>
      <c r="S461" s="28">
        <f t="shared" si="16"/>
        <v>664.3381095628314</v>
      </c>
      <c r="T461" s="28">
        <f aca="true" t="shared" si="17" ref="T461:Y461">$D$461*(+T19+T80+T102+T124+T145+T165+T185+T205+T225+T245+T283+T321+T341+T379+T399+T419)</f>
        <v>697.5633859453445</v>
      </c>
      <c r="U461" s="28">
        <f t="shared" si="17"/>
        <v>732.1176733831583</v>
      </c>
      <c r="V461" s="28">
        <f t="shared" si="17"/>
        <v>768.0541323184847</v>
      </c>
      <c r="W461" s="28">
        <f t="shared" si="17"/>
        <v>805.4280496112241</v>
      </c>
      <c r="X461" s="28">
        <f t="shared" si="17"/>
        <v>844.2969235956732</v>
      </c>
      <c r="Y461" s="28">
        <f t="shared" si="17"/>
        <v>884.7205525395002</v>
      </c>
      <c r="AA461" s="52"/>
    </row>
    <row r="462" spans="2:27" ht="11.25">
      <c r="B462" s="39" t="s">
        <v>571</v>
      </c>
      <c r="C462" s="82" t="s">
        <v>522</v>
      </c>
      <c r="D462" s="316">
        <f>'ERR &amp; Sensitivity Analysis'!D15</f>
        <v>1</v>
      </c>
      <c r="E462" s="50" t="s">
        <v>118</v>
      </c>
      <c r="F462" s="28">
        <f>$D$462*(+F19+F39+F59+F81+F103+F125)</f>
        <v>0</v>
      </c>
      <c r="G462" s="28">
        <f aca="true" t="shared" si="18" ref="G462:Y462">$D$462*(+G19+G39+G59+G81+G103+G125)</f>
        <v>0</v>
      </c>
      <c r="H462" s="28">
        <f t="shared" si="18"/>
        <v>612.2364376594574</v>
      </c>
      <c r="I462" s="28">
        <f t="shared" si="18"/>
        <v>2270.592229317972</v>
      </c>
      <c r="J462" s="28">
        <f t="shared" si="18"/>
        <v>3942.811421048331</v>
      </c>
      <c r="K462" s="28">
        <f t="shared" si="18"/>
        <v>4553.0900102108335</v>
      </c>
      <c r="L462" s="28">
        <f t="shared" si="18"/>
        <v>4811.525482472477</v>
      </c>
      <c r="M462" s="28">
        <f t="shared" si="18"/>
        <v>5080.298373624588</v>
      </c>
      <c r="N462" s="28">
        <f t="shared" si="18"/>
        <v>5359.822180422782</v>
      </c>
      <c r="O462" s="28">
        <f t="shared" si="18"/>
        <v>5650.526939492905</v>
      </c>
      <c r="P462" s="28">
        <f t="shared" si="18"/>
        <v>5952.859888925833</v>
      </c>
      <c r="Q462" s="28">
        <f t="shared" si="18"/>
        <v>6267.286156336077</v>
      </c>
      <c r="R462" s="28">
        <f t="shared" si="18"/>
        <v>6594.289474442731</v>
      </c>
      <c r="S462" s="28">
        <f t="shared" si="18"/>
        <v>6934.372925273652</v>
      </c>
      <c r="T462" s="28">
        <f t="shared" si="18"/>
        <v>7288.059714137808</v>
      </c>
      <c r="U462" s="28">
        <f t="shared" si="18"/>
        <v>7655.893974556532</v>
      </c>
      <c r="V462" s="28">
        <f t="shared" si="18"/>
        <v>8038.441605392005</v>
      </c>
      <c r="W462" s="28">
        <f t="shared" si="18"/>
        <v>8436.291141460895</v>
      </c>
      <c r="X462" s="28">
        <f t="shared" si="18"/>
        <v>8850.054658972542</v>
      </c>
      <c r="Y462" s="28">
        <f t="shared" si="18"/>
        <v>9280.368717184658</v>
      </c>
      <c r="AA462" s="52"/>
    </row>
    <row r="463" spans="2:27" ht="11.25">
      <c r="B463" s="39" t="s">
        <v>61</v>
      </c>
      <c r="C463" s="82" t="s">
        <v>572</v>
      </c>
      <c r="D463" s="83"/>
      <c r="E463" s="50" t="s">
        <v>118</v>
      </c>
      <c r="F463" s="28">
        <f>+F461+F460+F462</f>
        <v>0</v>
      </c>
      <c r="G463" s="28">
        <f aca="true" t="shared" si="19" ref="G463:Y463">+G461+G460+G462</f>
        <v>0</v>
      </c>
      <c r="H463" s="28">
        <f t="shared" si="19"/>
        <v>1160.9228816158334</v>
      </c>
      <c r="I463" s="28">
        <f t="shared" si="19"/>
        <v>7351.806673476176</v>
      </c>
      <c r="J463" s="28">
        <f t="shared" si="19"/>
        <v>17859.737024127047</v>
      </c>
      <c r="K463" s="28">
        <f t="shared" si="19"/>
        <v>25829.643073908075</v>
      </c>
      <c r="L463" s="28">
        <f t="shared" si="19"/>
        <v>34308.424056744196</v>
      </c>
      <c r="M463" s="28">
        <f t="shared" si="19"/>
        <v>44992.6807850152</v>
      </c>
      <c r="N463" s="28">
        <f t="shared" si="19"/>
        <v>51757.57150285665</v>
      </c>
      <c r="O463" s="28">
        <f t="shared" si="19"/>
        <v>56009.22859864829</v>
      </c>
      <c r="P463" s="28">
        <f t="shared" si="19"/>
        <v>57287.195757634174</v>
      </c>
      <c r="Q463" s="28">
        <f t="shared" si="19"/>
        <v>58247.738291534624</v>
      </c>
      <c r="R463" s="28">
        <f t="shared" si="19"/>
        <v>59209.70777978488</v>
      </c>
      <c r="S463" s="28">
        <f t="shared" si="19"/>
        <v>60173.901195499035</v>
      </c>
      <c r="T463" s="28">
        <f t="shared" si="19"/>
        <v>61141.132592817</v>
      </c>
      <c r="U463" s="28">
        <f t="shared" si="19"/>
        <v>62112.234086103395</v>
      </c>
      <c r="V463" s="28">
        <f t="shared" si="19"/>
        <v>63088.05686239545</v>
      </c>
      <c r="W463" s="28">
        <f t="shared" si="19"/>
        <v>64069.47222854792</v>
      </c>
      <c r="X463" s="28">
        <f t="shared" si="19"/>
        <v>65057.37269457904</v>
      </c>
      <c r="Y463" s="40">
        <f t="shared" si="19"/>
        <v>66052.67309477931</v>
      </c>
      <c r="AA463" s="52"/>
    </row>
    <row r="464" spans="2:27" ht="11.25">
      <c r="B464" s="42" t="s">
        <v>62</v>
      </c>
      <c r="C464" s="84" t="s">
        <v>573</v>
      </c>
      <c r="D464" s="85"/>
      <c r="E464" s="72" t="s">
        <v>118</v>
      </c>
      <c r="F464" s="30">
        <f>+F463-F459</f>
        <v>-735.8394575202451</v>
      </c>
      <c r="G464" s="30">
        <f aca="true" t="shared" si="20" ref="G464:Y464">+G463-G459</f>
        <v>-19497.445843179044</v>
      </c>
      <c r="H464" s="30">
        <f t="shared" si="20"/>
        <v>-38734.785056810804</v>
      </c>
      <c r="I464" s="30">
        <f t="shared" si="20"/>
        <v>-30834.921612333215</v>
      </c>
      <c r="J464" s="30">
        <f t="shared" si="20"/>
        <v>6242.577233856544</v>
      </c>
      <c r="K464" s="30">
        <f t="shared" si="20"/>
        <v>22504.574029937336</v>
      </c>
      <c r="L464" s="30">
        <f t="shared" si="20"/>
        <v>32180.108974084887</v>
      </c>
      <c r="M464" s="30">
        <f t="shared" si="20"/>
        <v>42864.3657023559</v>
      </c>
      <c r="N464" s="30">
        <f t="shared" si="20"/>
        <v>49629.256420197344</v>
      </c>
      <c r="O464" s="30">
        <f t="shared" si="20"/>
        <v>53880.913515988985</v>
      </c>
      <c r="P464" s="30">
        <f t="shared" si="20"/>
        <v>55158.88067497487</v>
      </c>
      <c r="Q464" s="30">
        <f t="shared" si="20"/>
        <v>56119.42320887532</v>
      </c>
      <c r="R464" s="30">
        <f t="shared" si="20"/>
        <v>57081.39269712558</v>
      </c>
      <c r="S464" s="30">
        <f t="shared" si="20"/>
        <v>58045.58611283973</v>
      </c>
      <c r="T464" s="30">
        <f t="shared" si="20"/>
        <v>59012.81751015769</v>
      </c>
      <c r="U464" s="30">
        <f t="shared" si="20"/>
        <v>59983.91900344409</v>
      </c>
      <c r="V464" s="30">
        <f t="shared" si="20"/>
        <v>60959.74177973615</v>
      </c>
      <c r="W464" s="30">
        <f t="shared" si="20"/>
        <v>61941.15714588862</v>
      </c>
      <c r="X464" s="30">
        <f t="shared" si="20"/>
        <v>62929.057611919736</v>
      </c>
      <c r="Y464" s="43">
        <f t="shared" si="20"/>
        <v>63924.35801212001</v>
      </c>
      <c r="AA464" s="52"/>
    </row>
    <row r="465" spans="2:27" ht="11.25">
      <c r="B465" s="96" t="s">
        <v>117</v>
      </c>
      <c r="C465" s="91" t="s">
        <v>121</v>
      </c>
      <c r="D465" s="78">
        <f>+AA459</f>
        <v>162519.9879861384</v>
      </c>
      <c r="E465" s="94"/>
      <c r="F465" s="73"/>
      <c r="G465" s="73"/>
      <c r="H465" s="73"/>
      <c r="I465" s="73"/>
      <c r="J465" s="73"/>
      <c r="K465" s="73"/>
      <c r="L465" s="73"/>
      <c r="M465" s="73"/>
      <c r="N465" s="73"/>
      <c r="O465" s="73"/>
      <c r="P465" s="73"/>
      <c r="Q465" s="73"/>
      <c r="R465" s="73"/>
      <c r="S465" s="73"/>
      <c r="T465" s="73"/>
      <c r="U465" s="73"/>
      <c r="V465" s="73"/>
      <c r="W465" s="73"/>
      <c r="X465" s="73"/>
      <c r="Y465" s="74"/>
      <c r="AA465" s="52"/>
    </row>
    <row r="466" spans="2:27" ht="11.25">
      <c r="B466" s="96" t="s">
        <v>491</v>
      </c>
      <c r="C466" s="92" t="s">
        <v>596</v>
      </c>
      <c r="D466" s="113">
        <f>+AA457</f>
        <v>3326.950000000002</v>
      </c>
      <c r="E466" s="95"/>
      <c r="F466" s="54"/>
      <c r="G466" s="54">
        <f>SUM(D453:D455,D458,D457)+D473</f>
        <v>113840.81483791358</v>
      </c>
      <c r="H466" s="54"/>
      <c r="I466" s="54"/>
      <c r="J466" s="54"/>
      <c r="K466" s="54"/>
      <c r="L466" s="54"/>
      <c r="M466" s="54"/>
      <c r="N466" s="54"/>
      <c r="O466" s="54"/>
      <c r="P466" s="54"/>
      <c r="Q466" s="54"/>
      <c r="R466" s="54"/>
      <c r="S466" s="54"/>
      <c r="T466" s="54"/>
      <c r="U466" s="54"/>
      <c r="V466" s="54"/>
      <c r="W466" s="54"/>
      <c r="X466" s="54"/>
      <c r="Y466" s="75"/>
      <c r="AA466" s="52"/>
    </row>
    <row r="467" spans="2:27" ht="11.25">
      <c r="B467" s="96" t="s">
        <v>574</v>
      </c>
      <c r="C467" s="92" t="s">
        <v>57</v>
      </c>
      <c r="D467" s="79">
        <f>+IRR(F464:Y464)</f>
        <v>0.28894864042790624</v>
      </c>
      <c r="E467" s="95"/>
      <c r="F467" s="88"/>
      <c r="G467" s="54"/>
      <c r="H467" s="54"/>
      <c r="I467" s="54"/>
      <c r="J467" s="54"/>
      <c r="K467" s="54"/>
      <c r="L467" s="54"/>
      <c r="M467" s="54"/>
      <c r="N467" s="54"/>
      <c r="O467" s="54"/>
      <c r="P467" s="54"/>
      <c r="Q467" s="54"/>
      <c r="R467" s="54"/>
      <c r="S467" s="54"/>
      <c r="T467" s="54"/>
      <c r="U467" s="54"/>
      <c r="V467" s="54"/>
      <c r="W467" s="54"/>
      <c r="X467" s="54"/>
      <c r="Y467" s="75"/>
      <c r="AA467" s="52"/>
    </row>
    <row r="468" spans="2:27" ht="12" thickBot="1">
      <c r="B468" s="107" t="s">
        <v>636</v>
      </c>
      <c r="C468" s="102" t="s">
        <v>120</v>
      </c>
      <c r="D468" s="103">
        <f>+NPV('Assumptions and Basic Info'!$C$20,'Irrigation Summary'!F464:Y464)</f>
        <v>167173.1892507139</v>
      </c>
      <c r="E468" s="108"/>
      <c r="F468" s="104"/>
      <c r="G468" s="105"/>
      <c r="H468" s="105"/>
      <c r="I468" s="105"/>
      <c r="J468" s="105"/>
      <c r="K468" s="105"/>
      <c r="L468" s="105"/>
      <c r="M468" s="105"/>
      <c r="N468" s="105"/>
      <c r="O468" s="105"/>
      <c r="P468" s="105"/>
      <c r="Q468" s="105"/>
      <c r="R468" s="105"/>
      <c r="S468" s="105"/>
      <c r="T468" s="105"/>
      <c r="U468" s="105"/>
      <c r="V468" s="105"/>
      <c r="W468" s="105"/>
      <c r="X468" s="105"/>
      <c r="Y468" s="106"/>
      <c r="AA468" s="52"/>
    </row>
    <row r="469" spans="2:27" ht="12" thickBot="1">
      <c r="B469" s="117"/>
      <c r="C469" s="118"/>
      <c r="D469" s="119"/>
      <c r="E469" s="95"/>
      <c r="F469" s="88"/>
      <c r="G469" s="54"/>
      <c r="H469" s="54"/>
      <c r="I469" s="54"/>
      <c r="J469" s="54"/>
      <c r="K469" s="54"/>
      <c r="L469" s="54"/>
      <c r="M469" s="54"/>
      <c r="N469" s="54"/>
      <c r="O469" s="54"/>
      <c r="P469" s="54"/>
      <c r="Q469" s="54"/>
      <c r="R469" s="54"/>
      <c r="S469" s="54"/>
      <c r="T469" s="54"/>
      <c r="U469" s="54"/>
      <c r="V469" s="54"/>
      <c r="W469" s="54"/>
      <c r="X469" s="54"/>
      <c r="Y469" s="54"/>
      <c r="AA469" s="52"/>
    </row>
    <row r="470" spans="2:27" ht="22.5">
      <c r="B470" s="156" t="s">
        <v>56</v>
      </c>
      <c r="C470" s="131" t="s">
        <v>637</v>
      </c>
      <c r="D470" s="131"/>
      <c r="E470" s="132"/>
      <c r="F470" s="133"/>
      <c r="G470" s="133"/>
      <c r="H470" s="133"/>
      <c r="I470" s="133"/>
      <c r="J470" s="133"/>
      <c r="K470" s="133"/>
      <c r="L470" s="133"/>
      <c r="M470" s="133"/>
      <c r="N470" s="133"/>
      <c r="O470" s="133"/>
      <c r="P470" s="133"/>
      <c r="Q470" s="133"/>
      <c r="R470" s="133"/>
      <c r="S470" s="133"/>
      <c r="T470" s="133"/>
      <c r="U470" s="133"/>
      <c r="V470" s="133"/>
      <c r="W470" s="133"/>
      <c r="X470" s="133"/>
      <c r="Y470" s="134"/>
      <c r="AA470" s="52"/>
    </row>
    <row r="471" spans="2:28" ht="11.25">
      <c r="B471" s="39" t="s">
        <v>492</v>
      </c>
      <c r="C471" s="82" t="s">
        <v>495</v>
      </c>
      <c r="D471" s="157">
        <f>SUM(F471:J471)</f>
        <v>4038.25</v>
      </c>
      <c r="E471" s="50" t="s">
        <v>118</v>
      </c>
      <c r="F471" s="28">
        <v>488.25</v>
      </c>
      <c r="G471" s="28">
        <v>980</v>
      </c>
      <c r="H471" s="28">
        <v>1450</v>
      </c>
      <c r="I471" s="28">
        <v>610</v>
      </c>
      <c r="J471" s="28">
        <v>510</v>
      </c>
      <c r="K471" s="28"/>
      <c r="L471" s="28"/>
      <c r="M471" s="28"/>
      <c r="N471" s="28"/>
      <c r="O471" s="28"/>
      <c r="P471" s="28"/>
      <c r="Q471" s="28"/>
      <c r="R471" s="28"/>
      <c r="S471" s="28"/>
      <c r="T471" s="28"/>
      <c r="U471" s="28"/>
      <c r="V471" s="28"/>
      <c r="W471" s="28"/>
      <c r="X471" s="28"/>
      <c r="Y471" s="40"/>
      <c r="AA471" s="52"/>
      <c r="AB471" s="1"/>
    </row>
    <row r="472" spans="2:29" ht="11.25">
      <c r="B472" s="39" t="s">
        <v>493</v>
      </c>
      <c r="C472" s="82" t="s">
        <v>496</v>
      </c>
      <c r="D472" s="157">
        <f>SUM(F472:J472)</f>
        <v>2430</v>
      </c>
      <c r="E472" s="50" t="s">
        <v>118</v>
      </c>
      <c r="F472" s="28">
        <f>4*121.5</f>
        <v>486</v>
      </c>
      <c r="G472" s="28">
        <f>4*121.5</f>
        <v>486</v>
      </c>
      <c r="H472" s="28">
        <f>4*121.5</f>
        <v>486</v>
      </c>
      <c r="I472" s="28">
        <f>4*121.5</f>
        <v>486</v>
      </c>
      <c r="J472" s="28">
        <f>4*121.5</f>
        <v>486</v>
      </c>
      <c r="K472" s="28"/>
      <c r="L472" s="28"/>
      <c r="M472" s="28"/>
      <c r="N472" s="28"/>
      <c r="O472" s="28"/>
      <c r="P472" s="28"/>
      <c r="Q472" s="28"/>
      <c r="R472" s="28"/>
      <c r="S472" s="28"/>
      <c r="T472" s="28"/>
      <c r="U472" s="28"/>
      <c r="V472" s="28"/>
      <c r="W472" s="28"/>
      <c r="X472" s="28"/>
      <c r="Y472" s="40"/>
      <c r="AA472" s="52"/>
      <c r="AB472" s="1"/>
      <c r="AC472" s="52"/>
    </row>
    <row r="473" spans="2:28" ht="12" thickBot="1">
      <c r="B473" s="47" t="s">
        <v>494</v>
      </c>
      <c r="C473" s="143" t="s">
        <v>638</v>
      </c>
      <c r="D473" s="158">
        <f>+D471+D472</f>
        <v>6468.25</v>
      </c>
      <c r="E473" s="140" t="s">
        <v>118</v>
      </c>
      <c r="F473" s="141">
        <f>SUM(F471:F472)</f>
        <v>974.25</v>
      </c>
      <c r="G473" s="141">
        <f>SUM(G471:G472)</f>
        <v>1466</v>
      </c>
      <c r="H473" s="141">
        <f>SUM(H471:H472)</f>
        <v>1936</v>
      </c>
      <c r="I473" s="141">
        <f>SUM(I471:I472)</f>
        <v>1096</v>
      </c>
      <c r="J473" s="141">
        <f>SUM(J471:J472)</f>
        <v>996</v>
      </c>
      <c r="K473" s="141"/>
      <c r="L473" s="141"/>
      <c r="M473" s="141"/>
      <c r="N473" s="141"/>
      <c r="O473" s="141"/>
      <c r="P473" s="141"/>
      <c r="Q473" s="141"/>
      <c r="R473" s="141"/>
      <c r="S473" s="141"/>
      <c r="T473" s="141"/>
      <c r="U473" s="141"/>
      <c r="V473" s="141"/>
      <c r="W473" s="141"/>
      <c r="X473" s="141"/>
      <c r="Y473" s="142"/>
      <c r="AA473" s="52"/>
      <c r="AB473" s="1"/>
    </row>
    <row r="474" spans="3:27" ht="12" thickBot="1">
      <c r="C474" s="117"/>
      <c r="D474" s="119"/>
      <c r="E474" s="95"/>
      <c r="F474" s="88"/>
      <c r="G474" s="54"/>
      <c r="H474" s="54"/>
      <c r="I474" s="54"/>
      <c r="J474" s="54"/>
      <c r="K474" s="54"/>
      <c r="L474" s="54"/>
      <c r="M474" s="54"/>
      <c r="N474" s="54"/>
      <c r="O474" s="54"/>
      <c r="P474" s="54"/>
      <c r="Q474" s="54"/>
      <c r="R474" s="54"/>
      <c r="S474" s="54"/>
      <c r="T474" s="54"/>
      <c r="U474" s="54"/>
      <c r="V474" s="54"/>
      <c r="W474" s="54"/>
      <c r="X474" s="54"/>
      <c r="Y474" s="54"/>
      <c r="AA474" s="52"/>
    </row>
    <row r="475" spans="2:27" ht="11.25">
      <c r="B475" s="135" t="s">
        <v>64</v>
      </c>
      <c r="C475" s="136" t="s">
        <v>515</v>
      </c>
      <c r="D475" s="136"/>
      <c r="E475" s="137"/>
      <c r="F475" s="138"/>
      <c r="G475" s="138"/>
      <c r="H475" s="138"/>
      <c r="I475" s="138"/>
      <c r="J475" s="138"/>
      <c r="K475" s="138"/>
      <c r="L475" s="138"/>
      <c r="M475" s="138"/>
      <c r="N475" s="138"/>
      <c r="O475" s="138"/>
      <c r="P475" s="138"/>
      <c r="Q475" s="138"/>
      <c r="R475" s="138"/>
      <c r="S475" s="138"/>
      <c r="T475" s="138"/>
      <c r="U475" s="138"/>
      <c r="V475" s="138"/>
      <c r="W475" s="138"/>
      <c r="X475" s="138"/>
      <c r="Y475" s="139"/>
      <c r="AA475" s="52"/>
    </row>
    <row r="476" spans="2:30" ht="11.25">
      <c r="B476" s="329" t="s">
        <v>498</v>
      </c>
      <c r="C476" s="331" t="s">
        <v>639</v>
      </c>
      <c r="D476" s="324"/>
      <c r="E476" s="49" t="s">
        <v>118</v>
      </c>
      <c r="F476" s="327">
        <f>+F459+F473</f>
        <v>1710.089457520245</v>
      </c>
      <c r="G476" s="27">
        <f aca="true" t="shared" si="21" ref="G476:Y476">+G459+G473</f>
        <v>20963.445843179044</v>
      </c>
      <c r="H476" s="27">
        <f t="shared" si="21"/>
        <v>41831.70793842664</v>
      </c>
      <c r="I476" s="27">
        <f t="shared" si="21"/>
        <v>39282.72828580939</v>
      </c>
      <c r="J476" s="27">
        <f t="shared" si="21"/>
        <v>12613.159790270503</v>
      </c>
      <c r="K476" s="27">
        <f t="shared" si="21"/>
        <v>3325.0690439707387</v>
      </c>
      <c r="L476" s="27">
        <f t="shared" si="21"/>
        <v>2128.315082659308</v>
      </c>
      <c r="M476" s="27">
        <f t="shared" si="21"/>
        <v>2128.315082659308</v>
      </c>
      <c r="N476" s="27">
        <f t="shared" si="21"/>
        <v>2128.315082659308</v>
      </c>
      <c r="O476" s="27">
        <f t="shared" si="21"/>
        <v>2128.315082659308</v>
      </c>
      <c r="P476" s="27">
        <f t="shared" si="21"/>
        <v>2128.315082659308</v>
      </c>
      <c r="Q476" s="27">
        <f t="shared" si="21"/>
        <v>2128.315082659308</v>
      </c>
      <c r="R476" s="27">
        <f t="shared" si="21"/>
        <v>2128.315082659308</v>
      </c>
      <c r="S476" s="27">
        <f t="shared" si="21"/>
        <v>2128.315082659308</v>
      </c>
      <c r="T476" s="27">
        <f t="shared" si="21"/>
        <v>2128.315082659308</v>
      </c>
      <c r="U476" s="27">
        <f t="shared" si="21"/>
        <v>2128.315082659308</v>
      </c>
      <c r="V476" s="27">
        <f t="shared" si="21"/>
        <v>2128.315082659308</v>
      </c>
      <c r="W476" s="27">
        <f t="shared" si="21"/>
        <v>2128.315082659308</v>
      </c>
      <c r="X476" s="27">
        <f t="shared" si="21"/>
        <v>2128.315082659308</v>
      </c>
      <c r="Y476" s="38">
        <f t="shared" si="21"/>
        <v>2128.315082659308</v>
      </c>
      <c r="AA476" s="52"/>
      <c r="AD476" s="52">
        <f>SUM(F476:AC476)</f>
        <v>149522.61151640685</v>
      </c>
    </row>
    <row r="477" spans="2:27" ht="11.25">
      <c r="B477" s="321"/>
      <c r="C477" s="332" t="s">
        <v>766</v>
      </c>
      <c r="D477" s="110">
        <f>'ERR &amp; Sensitivity Analysis'!G10</f>
        <v>1</v>
      </c>
      <c r="E477" s="50" t="s">
        <v>118</v>
      </c>
      <c r="F477" s="323">
        <f>F476*$D$477</f>
        <v>1710.089457520245</v>
      </c>
      <c r="G477" s="323">
        <f aca="true" t="shared" si="22" ref="G477:Y477">G476*$D$477</f>
        <v>20963.445843179044</v>
      </c>
      <c r="H477" s="323">
        <f t="shared" si="22"/>
        <v>41831.70793842664</v>
      </c>
      <c r="I477" s="323">
        <f t="shared" si="22"/>
        <v>39282.72828580939</v>
      </c>
      <c r="J477" s="323">
        <f t="shared" si="22"/>
        <v>12613.159790270503</v>
      </c>
      <c r="K477" s="323">
        <f t="shared" si="22"/>
        <v>3325.0690439707387</v>
      </c>
      <c r="L477" s="323">
        <f t="shared" si="22"/>
        <v>2128.315082659308</v>
      </c>
      <c r="M477" s="323">
        <f t="shared" si="22"/>
        <v>2128.315082659308</v>
      </c>
      <c r="N477" s="323">
        <f t="shared" si="22"/>
        <v>2128.315082659308</v>
      </c>
      <c r="O477" s="323">
        <f t="shared" si="22"/>
        <v>2128.315082659308</v>
      </c>
      <c r="P477" s="323">
        <f t="shared" si="22"/>
        <v>2128.315082659308</v>
      </c>
      <c r="Q477" s="323">
        <f t="shared" si="22"/>
        <v>2128.315082659308</v>
      </c>
      <c r="R477" s="323">
        <f t="shared" si="22"/>
        <v>2128.315082659308</v>
      </c>
      <c r="S477" s="323">
        <f t="shared" si="22"/>
        <v>2128.315082659308</v>
      </c>
      <c r="T477" s="323">
        <f t="shared" si="22"/>
        <v>2128.315082659308</v>
      </c>
      <c r="U477" s="323">
        <f t="shared" si="22"/>
        <v>2128.315082659308</v>
      </c>
      <c r="V477" s="323">
        <f t="shared" si="22"/>
        <v>2128.315082659308</v>
      </c>
      <c r="W477" s="323">
        <f t="shared" si="22"/>
        <v>2128.315082659308</v>
      </c>
      <c r="X477" s="323">
        <f t="shared" si="22"/>
        <v>2128.315082659308</v>
      </c>
      <c r="Y477" s="75">
        <f t="shared" si="22"/>
        <v>2128.315082659308</v>
      </c>
      <c r="AA477" s="52"/>
    </row>
    <row r="478" spans="2:27" ht="11.25">
      <c r="B478" s="321" t="s">
        <v>499</v>
      </c>
      <c r="C478" s="332" t="s">
        <v>575</v>
      </c>
      <c r="D478" s="322"/>
      <c r="E478" s="50" t="s">
        <v>118</v>
      </c>
      <c r="F478" s="323">
        <f>+F463</f>
        <v>0</v>
      </c>
      <c r="G478" s="28">
        <f aca="true" t="shared" si="23" ref="G478:Y478">+G463</f>
        <v>0</v>
      </c>
      <c r="H478" s="28">
        <f t="shared" si="23"/>
        <v>1160.9228816158334</v>
      </c>
      <c r="I478" s="28">
        <f t="shared" si="23"/>
        <v>7351.806673476176</v>
      </c>
      <c r="J478" s="28">
        <f t="shared" si="23"/>
        <v>17859.737024127047</v>
      </c>
      <c r="K478" s="28">
        <f t="shared" si="23"/>
        <v>25829.643073908075</v>
      </c>
      <c r="L478" s="28">
        <f t="shared" si="23"/>
        <v>34308.424056744196</v>
      </c>
      <c r="M478" s="28">
        <f t="shared" si="23"/>
        <v>44992.6807850152</v>
      </c>
      <c r="N478" s="28">
        <f t="shared" si="23"/>
        <v>51757.57150285665</v>
      </c>
      <c r="O478" s="28">
        <f t="shared" si="23"/>
        <v>56009.22859864829</v>
      </c>
      <c r="P478" s="28">
        <f t="shared" si="23"/>
        <v>57287.195757634174</v>
      </c>
      <c r="Q478" s="28">
        <f t="shared" si="23"/>
        <v>58247.738291534624</v>
      </c>
      <c r="R478" s="28">
        <f t="shared" si="23"/>
        <v>59209.70777978488</v>
      </c>
      <c r="S478" s="28">
        <f t="shared" si="23"/>
        <v>60173.901195499035</v>
      </c>
      <c r="T478" s="28">
        <f t="shared" si="23"/>
        <v>61141.132592817</v>
      </c>
      <c r="U478" s="28">
        <f t="shared" si="23"/>
        <v>62112.234086103395</v>
      </c>
      <c r="V478" s="28">
        <f t="shared" si="23"/>
        <v>63088.05686239545</v>
      </c>
      <c r="W478" s="28">
        <f t="shared" si="23"/>
        <v>64069.47222854792</v>
      </c>
      <c r="X478" s="28">
        <f t="shared" si="23"/>
        <v>65057.37269457904</v>
      </c>
      <c r="Y478" s="40">
        <f t="shared" si="23"/>
        <v>66052.67309477931</v>
      </c>
      <c r="AA478" s="52"/>
    </row>
    <row r="479" spans="2:27" ht="11.25">
      <c r="B479" s="321"/>
      <c r="C479" s="332" t="s">
        <v>768</v>
      </c>
      <c r="D479" s="325">
        <f>'ERR &amp; Sensitivity Analysis'!G11</f>
        <v>1</v>
      </c>
      <c r="E479" s="50" t="s">
        <v>118</v>
      </c>
      <c r="F479" s="323">
        <f>F478*$D$479</f>
        <v>0</v>
      </c>
      <c r="G479" s="323">
        <f aca="true" t="shared" si="24" ref="G479:Y479">G478*$D$479</f>
        <v>0</v>
      </c>
      <c r="H479" s="323">
        <f t="shared" si="24"/>
        <v>1160.9228816158334</v>
      </c>
      <c r="I479" s="323">
        <f t="shared" si="24"/>
        <v>7351.806673476176</v>
      </c>
      <c r="J479" s="323">
        <f t="shared" si="24"/>
        <v>17859.737024127047</v>
      </c>
      <c r="K479" s="323">
        <f t="shared" si="24"/>
        <v>25829.643073908075</v>
      </c>
      <c r="L479" s="323">
        <f t="shared" si="24"/>
        <v>34308.424056744196</v>
      </c>
      <c r="M479" s="323">
        <f t="shared" si="24"/>
        <v>44992.6807850152</v>
      </c>
      <c r="N479" s="323">
        <f t="shared" si="24"/>
        <v>51757.57150285665</v>
      </c>
      <c r="O479" s="323">
        <f t="shared" si="24"/>
        <v>56009.22859864829</v>
      </c>
      <c r="P479" s="323">
        <f t="shared" si="24"/>
        <v>57287.195757634174</v>
      </c>
      <c r="Q479" s="323">
        <f t="shared" si="24"/>
        <v>58247.738291534624</v>
      </c>
      <c r="R479" s="323">
        <f t="shared" si="24"/>
        <v>59209.70777978488</v>
      </c>
      <c r="S479" s="323">
        <f t="shared" si="24"/>
        <v>60173.901195499035</v>
      </c>
      <c r="T479" s="323">
        <f t="shared" si="24"/>
        <v>61141.132592817</v>
      </c>
      <c r="U479" s="323">
        <f t="shared" si="24"/>
        <v>62112.234086103395</v>
      </c>
      <c r="V479" s="323">
        <f t="shared" si="24"/>
        <v>63088.05686239545</v>
      </c>
      <c r="W479" s="323">
        <f t="shared" si="24"/>
        <v>64069.47222854792</v>
      </c>
      <c r="X479" s="323">
        <f t="shared" si="24"/>
        <v>65057.37269457904</v>
      </c>
      <c r="Y479" s="75">
        <f t="shared" si="24"/>
        <v>66052.67309477931</v>
      </c>
      <c r="AA479" s="52"/>
    </row>
    <row r="480" spans="2:27" ht="11.25">
      <c r="B480" s="330" t="s">
        <v>500</v>
      </c>
      <c r="C480" s="333" t="s">
        <v>502</v>
      </c>
      <c r="D480" s="326"/>
      <c r="E480" s="72" t="s">
        <v>118</v>
      </c>
      <c r="F480" s="328">
        <f>+F478-F476</f>
        <v>-1710.089457520245</v>
      </c>
      <c r="G480" s="30">
        <f>+G478-G476</f>
        <v>-20963.445843179044</v>
      </c>
      <c r="H480" s="30">
        <f>+H479-H477</f>
        <v>-40670.785056810804</v>
      </c>
      <c r="I480" s="30">
        <f aca="true" t="shared" si="25" ref="I480:Y480">+I479-I477</f>
        <v>-31930.921612333215</v>
      </c>
      <c r="J480" s="30">
        <f t="shared" si="25"/>
        <v>5246.577233856544</v>
      </c>
      <c r="K480" s="30">
        <f t="shared" si="25"/>
        <v>22504.574029937336</v>
      </c>
      <c r="L480" s="30">
        <f t="shared" si="25"/>
        <v>32180.108974084887</v>
      </c>
      <c r="M480" s="30">
        <f t="shared" si="25"/>
        <v>42864.3657023559</v>
      </c>
      <c r="N480" s="30">
        <f t="shared" si="25"/>
        <v>49629.256420197344</v>
      </c>
      <c r="O480" s="30">
        <f t="shared" si="25"/>
        <v>53880.913515988985</v>
      </c>
      <c r="P480" s="30">
        <f t="shared" si="25"/>
        <v>55158.88067497487</v>
      </c>
      <c r="Q480" s="30">
        <f t="shared" si="25"/>
        <v>56119.42320887532</v>
      </c>
      <c r="R480" s="30">
        <f t="shared" si="25"/>
        <v>57081.39269712558</v>
      </c>
      <c r="S480" s="30">
        <f t="shared" si="25"/>
        <v>58045.58611283973</v>
      </c>
      <c r="T480" s="30">
        <f t="shared" si="25"/>
        <v>59012.81751015769</v>
      </c>
      <c r="U480" s="30">
        <f t="shared" si="25"/>
        <v>59983.91900344409</v>
      </c>
      <c r="V480" s="30">
        <f t="shared" si="25"/>
        <v>60959.74177973615</v>
      </c>
      <c r="W480" s="30">
        <f t="shared" si="25"/>
        <v>61941.15714588862</v>
      </c>
      <c r="X480" s="30">
        <f t="shared" si="25"/>
        <v>62929.057611919736</v>
      </c>
      <c r="Y480" s="43">
        <f t="shared" si="25"/>
        <v>63924.35801212001</v>
      </c>
      <c r="AA480" s="52"/>
    </row>
    <row r="481" spans="2:27" ht="11.25">
      <c r="B481" s="96" t="s">
        <v>501</v>
      </c>
      <c r="C481" s="92" t="s">
        <v>644</v>
      </c>
      <c r="D481" s="113">
        <f>+D465+D473</f>
        <v>168988.2379861384</v>
      </c>
      <c r="E481" s="95"/>
      <c r="F481" s="54"/>
      <c r="G481" s="54"/>
      <c r="H481" s="54"/>
      <c r="I481" s="54"/>
      <c r="J481" s="54"/>
      <c r="K481" s="54"/>
      <c r="L481" s="54"/>
      <c r="M481" s="54"/>
      <c r="N481" s="54"/>
      <c r="O481" s="54"/>
      <c r="P481" s="54"/>
      <c r="Q481" s="54"/>
      <c r="R481" s="54"/>
      <c r="S481" s="54"/>
      <c r="T481" s="54"/>
      <c r="U481" s="54"/>
      <c r="V481" s="54"/>
      <c r="W481" s="54"/>
      <c r="X481" s="54"/>
      <c r="Y481" s="75"/>
      <c r="AA481" s="52"/>
    </row>
    <row r="482" spans="2:27" ht="11.25">
      <c r="B482" s="96" t="s">
        <v>504</v>
      </c>
      <c r="C482" s="92" t="s">
        <v>641</v>
      </c>
      <c r="D482" s="113">
        <f>+D466</f>
        <v>3326.950000000002</v>
      </c>
      <c r="E482" s="95"/>
      <c r="F482" s="54"/>
      <c r="G482" s="54"/>
      <c r="H482" s="54"/>
      <c r="I482" s="54"/>
      <c r="J482" s="54"/>
      <c r="K482" s="54"/>
      <c r="L482" s="54"/>
      <c r="M482" s="54"/>
      <c r="N482" s="54"/>
      <c r="O482" s="54"/>
      <c r="P482" s="54"/>
      <c r="Q482" s="54"/>
      <c r="R482" s="54"/>
      <c r="S482" s="54"/>
      <c r="T482" s="54"/>
      <c r="U482" s="54"/>
      <c r="V482" s="54"/>
      <c r="W482" s="54"/>
      <c r="X482" s="54"/>
      <c r="Y482" s="75"/>
      <c r="AA482" s="52"/>
    </row>
    <row r="483" spans="2:27" ht="11.25">
      <c r="B483" s="96" t="s">
        <v>503</v>
      </c>
      <c r="C483" s="92" t="s">
        <v>57</v>
      </c>
      <c r="D483" s="299">
        <f>+IRR(F480:Y480)</f>
        <v>0.2752006571617917</v>
      </c>
      <c r="E483" s="95"/>
      <c r="F483" s="88"/>
      <c r="G483" s="54"/>
      <c r="H483" s="54"/>
      <c r="I483" s="54"/>
      <c r="J483" s="54"/>
      <c r="K483" s="54"/>
      <c r="L483" s="54"/>
      <c r="M483" s="54"/>
      <c r="N483" s="54"/>
      <c r="O483" s="54"/>
      <c r="P483" s="54"/>
      <c r="Q483" s="54"/>
      <c r="R483" s="54"/>
      <c r="S483" s="54"/>
      <c r="T483" s="54"/>
      <c r="U483" s="54"/>
      <c r="V483" s="54"/>
      <c r="W483" s="54"/>
      <c r="X483" s="54"/>
      <c r="Y483" s="75"/>
      <c r="AA483" s="52"/>
    </row>
    <row r="484" spans="2:27" ht="12" thickBot="1">
      <c r="B484" s="107" t="s">
        <v>640</v>
      </c>
      <c r="C484" s="102" t="s">
        <v>120</v>
      </c>
      <c r="D484" s="103">
        <f>+NPV('Assumptions and Basic Info'!$C$20,'Irrigation Summary'!F480:Y480)</f>
        <v>162254.37134520573</v>
      </c>
      <c r="E484" s="108"/>
      <c r="F484" s="104"/>
      <c r="G484" s="105"/>
      <c r="H484" s="105"/>
      <c r="I484" s="105"/>
      <c r="J484" s="105"/>
      <c r="K484" s="105"/>
      <c r="L484" s="105"/>
      <c r="M484" s="105"/>
      <c r="N484" s="105"/>
      <c r="O484" s="105"/>
      <c r="P484" s="105"/>
      <c r="Q484" s="105"/>
      <c r="R484" s="105"/>
      <c r="S484" s="105"/>
      <c r="T484" s="105"/>
      <c r="U484" s="105"/>
      <c r="V484" s="105"/>
      <c r="W484" s="105"/>
      <c r="X484" s="105"/>
      <c r="Y484" s="106"/>
      <c r="AA484" s="52"/>
    </row>
    <row r="485" spans="2:27" ht="36" customHeight="1">
      <c r="B485" s="362" t="s">
        <v>642</v>
      </c>
      <c r="C485" s="362"/>
      <c r="D485" s="362"/>
      <c r="E485" s="362"/>
      <c r="F485" s="362"/>
      <c r="G485" s="362"/>
      <c r="H485" s="154"/>
      <c r="I485" s="154"/>
      <c r="J485" s="154"/>
      <c r="K485" s="154"/>
      <c r="L485" s="154"/>
      <c r="M485" s="154"/>
      <c r="N485" s="154"/>
      <c r="O485" s="154"/>
      <c r="P485" s="154"/>
      <c r="Q485" s="154"/>
      <c r="R485" s="154"/>
      <c r="S485" s="154"/>
      <c r="T485" s="154"/>
      <c r="U485" s="154"/>
      <c r="V485" s="154"/>
      <c r="W485" s="154"/>
      <c r="X485" s="154"/>
      <c r="Y485" s="154"/>
      <c r="AA485" s="52"/>
    </row>
    <row r="486" spans="2:27" ht="36.75" customHeight="1">
      <c r="B486" s="363" t="s">
        <v>643</v>
      </c>
      <c r="C486" s="363"/>
      <c r="D486" s="363"/>
      <c r="E486" s="363"/>
      <c r="F486" s="363"/>
      <c r="G486" s="363"/>
      <c r="H486" s="54"/>
      <c r="I486" s="54"/>
      <c r="J486" s="54"/>
      <c r="K486" s="54"/>
      <c r="L486" s="54"/>
      <c r="M486" s="54"/>
      <c r="N486" s="54"/>
      <c r="O486" s="54"/>
      <c r="P486" s="54"/>
      <c r="Q486" s="54"/>
      <c r="R486" s="54"/>
      <c r="S486" s="54"/>
      <c r="T486" s="54"/>
      <c r="U486" s="54"/>
      <c r="V486" s="54"/>
      <c r="W486" s="54"/>
      <c r="X486" s="54"/>
      <c r="Y486" s="54"/>
      <c r="AA486" s="52"/>
    </row>
    <row r="487" spans="2:27" ht="12.75">
      <c r="B487" s="155"/>
      <c r="C487" s="117"/>
      <c r="D487" s="119"/>
      <c r="E487" s="95"/>
      <c r="F487" s="88"/>
      <c r="G487" s="54"/>
      <c r="H487" s="54"/>
      <c r="I487" s="54"/>
      <c r="J487" s="54"/>
      <c r="K487" s="54"/>
      <c r="L487" s="54"/>
      <c r="M487" s="54"/>
      <c r="N487" s="54"/>
      <c r="O487" s="54"/>
      <c r="P487" s="54"/>
      <c r="Q487" s="54"/>
      <c r="R487" s="54"/>
      <c r="S487" s="54"/>
      <c r="T487" s="54"/>
      <c r="U487" s="54"/>
      <c r="V487" s="54"/>
      <c r="W487" s="54"/>
      <c r="X487" s="54"/>
      <c r="Y487" s="54"/>
      <c r="AA487" s="52"/>
    </row>
    <row r="488" ht="12" thickBot="1">
      <c r="B488" s="19" t="s">
        <v>506</v>
      </c>
    </row>
    <row r="489" spans="2:25" ht="11.25">
      <c r="B489" s="58" t="s">
        <v>509</v>
      </c>
      <c r="C489" s="59" t="s">
        <v>513</v>
      </c>
      <c r="D489" s="59"/>
      <c r="E489" s="60"/>
      <c r="F489" s="61"/>
      <c r="G489" s="61"/>
      <c r="H489" s="61"/>
      <c r="I489" s="61"/>
      <c r="J489" s="61"/>
      <c r="K489" s="61"/>
      <c r="L489" s="61"/>
      <c r="M489" s="61"/>
      <c r="N489" s="61"/>
      <c r="O489" s="61"/>
      <c r="P489" s="61"/>
      <c r="Q489" s="61"/>
      <c r="R489" s="61"/>
      <c r="S489" s="61"/>
      <c r="T489" s="61"/>
      <c r="U489" s="61"/>
      <c r="V489" s="61"/>
      <c r="W489" s="61"/>
      <c r="X489" s="61"/>
      <c r="Y489" s="62"/>
    </row>
    <row r="490" spans="2:25" ht="11.25">
      <c r="B490" s="37"/>
      <c r="C490" s="80" t="s">
        <v>842</v>
      </c>
      <c r="D490" s="109"/>
      <c r="E490" s="49" t="s">
        <v>118</v>
      </c>
      <c r="F490" s="27">
        <f>+F477</f>
        <v>1710.089457520245</v>
      </c>
      <c r="G490" s="27">
        <f aca="true" t="shared" si="26" ref="G490:Y490">+G477</f>
        <v>20963.445843179044</v>
      </c>
      <c r="H490" s="27">
        <f t="shared" si="26"/>
        <v>41831.70793842664</v>
      </c>
      <c r="I490" s="27">
        <f t="shared" si="26"/>
        <v>39282.72828580939</v>
      </c>
      <c r="J490" s="27">
        <f t="shared" si="26"/>
        <v>12613.159790270503</v>
      </c>
      <c r="K490" s="27">
        <f t="shared" si="26"/>
        <v>3325.0690439707387</v>
      </c>
      <c r="L490" s="27">
        <f t="shared" si="26"/>
        <v>2128.315082659308</v>
      </c>
      <c r="M490" s="27">
        <f t="shared" si="26"/>
        <v>2128.315082659308</v>
      </c>
      <c r="N490" s="27">
        <f t="shared" si="26"/>
        <v>2128.315082659308</v>
      </c>
      <c r="O490" s="27">
        <f t="shared" si="26"/>
        <v>2128.315082659308</v>
      </c>
      <c r="P490" s="27">
        <f t="shared" si="26"/>
        <v>2128.315082659308</v>
      </c>
      <c r="Q490" s="27">
        <f t="shared" si="26"/>
        <v>2128.315082659308</v>
      </c>
      <c r="R490" s="27">
        <f t="shared" si="26"/>
        <v>2128.315082659308</v>
      </c>
      <c r="S490" s="27">
        <f t="shared" si="26"/>
        <v>2128.315082659308</v>
      </c>
      <c r="T490" s="27">
        <f t="shared" si="26"/>
        <v>2128.315082659308</v>
      </c>
      <c r="U490" s="27">
        <f t="shared" si="26"/>
        <v>2128.315082659308</v>
      </c>
      <c r="V490" s="27">
        <f t="shared" si="26"/>
        <v>2128.315082659308</v>
      </c>
      <c r="W490" s="27">
        <f t="shared" si="26"/>
        <v>2128.315082659308</v>
      </c>
      <c r="X490" s="27">
        <f t="shared" si="26"/>
        <v>2128.315082659308</v>
      </c>
      <c r="Y490" s="38">
        <f t="shared" si="26"/>
        <v>2128.315082659308</v>
      </c>
    </row>
    <row r="491" spans="2:25" ht="11.25">
      <c r="B491" s="39"/>
      <c r="C491" s="82" t="s">
        <v>84</v>
      </c>
      <c r="D491" s="110"/>
      <c r="E491" s="50" t="s">
        <v>118</v>
      </c>
      <c r="F491" s="28">
        <f>+F479</f>
        <v>0</v>
      </c>
      <c r="G491" s="28">
        <f aca="true" t="shared" si="27" ref="G491:Y491">+G479</f>
        <v>0</v>
      </c>
      <c r="H491" s="28">
        <f t="shared" si="27"/>
        <v>1160.9228816158334</v>
      </c>
      <c r="I491" s="28">
        <f t="shared" si="27"/>
        <v>7351.806673476176</v>
      </c>
      <c r="J491" s="28">
        <f t="shared" si="27"/>
        <v>17859.737024127047</v>
      </c>
      <c r="K491" s="28">
        <f t="shared" si="27"/>
        <v>25829.643073908075</v>
      </c>
      <c r="L491" s="28">
        <f t="shared" si="27"/>
        <v>34308.424056744196</v>
      </c>
      <c r="M491" s="28">
        <f t="shared" si="27"/>
        <v>44992.6807850152</v>
      </c>
      <c r="N491" s="28">
        <f t="shared" si="27"/>
        <v>51757.57150285665</v>
      </c>
      <c r="O491" s="28">
        <f t="shared" si="27"/>
        <v>56009.22859864829</v>
      </c>
      <c r="P491" s="28">
        <f t="shared" si="27"/>
        <v>57287.195757634174</v>
      </c>
      <c r="Q491" s="28">
        <f t="shared" si="27"/>
        <v>58247.738291534624</v>
      </c>
      <c r="R491" s="28">
        <f t="shared" si="27"/>
        <v>59209.70777978488</v>
      </c>
      <c r="S491" s="28">
        <f t="shared" si="27"/>
        <v>60173.901195499035</v>
      </c>
      <c r="T491" s="28">
        <f t="shared" si="27"/>
        <v>61141.132592817</v>
      </c>
      <c r="U491" s="28">
        <f t="shared" si="27"/>
        <v>62112.234086103395</v>
      </c>
      <c r="V491" s="28">
        <f t="shared" si="27"/>
        <v>63088.05686239545</v>
      </c>
      <c r="W491" s="28">
        <f t="shared" si="27"/>
        <v>64069.47222854792</v>
      </c>
      <c r="X491" s="28">
        <f t="shared" si="27"/>
        <v>65057.37269457904</v>
      </c>
      <c r="Y491" s="40">
        <f t="shared" si="27"/>
        <v>66052.67309477931</v>
      </c>
    </row>
    <row r="492" spans="2:25" ht="11.25">
      <c r="B492" s="39"/>
      <c r="C492" s="82" t="s">
        <v>85</v>
      </c>
      <c r="D492" s="100"/>
      <c r="E492" s="72" t="s">
        <v>118</v>
      </c>
      <c r="F492" s="30">
        <f>+F491-F490</f>
        <v>-1710.089457520245</v>
      </c>
      <c r="G492" s="30">
        <f aca="true" t="shared" si="28" ref="G492:Y492">+G491-G490</f>
        <v>-20963.445843179044</v>
      </c>
      <c r="H492" s="30">
        <f t="shared" si="28"/>
        <v>-40670.785056810804</v>
      </c>
      <c r="I492" s="30">
        <f t="shared" si="28"/>
        <v>-31930.921612333215</v>
      </c>
      <c r="J492" s="30">
        <f t="shared" si="28"/>
        <v>5246.577233856544</v>
      </c>
      <c r="K492" s="30">
        <f t="shared" si="28"/>
        <v>22504.574029937336</v>
      </c>
      <c r="L492" s="30">
        <f t="shared" si="28"/>
        <v>32180.108974084887</v>
      </c>
      <c r="M492" s="30">
        <f t="shared" si="28"/>
        <v>42864.3657023559</v>
      </c>
      <c r="N492" s="30">
        <f t="shared" si="28"/>
        <v>49629.256420197344</v>
      </c>
      <c r="O492" s="30">
        <f t="shared" si="28"/>
        <v>53880.913515988985</v>
      </c>
      <c r="P492" s="30">
        <f t="shared" si="28"/>
        <v>55158.88067497487</v>
      </c>
      <c r="Q492" s="30">
        <f t="shared" si="28"/>
        <v>56119.42320887532</v>
      </c>
      <c r="R492" s="30">
        <f t="shared" si="28"/>
        <v>57081.39269712558</v>
      </c>
      <c r="S492" s="30">
        <f t="shared" si="28"/>
        <v>58045.58611283973</v>
      </c>
      <c r="T492" s="30">
        <f t="shared" si="28"/>
        <v>59012.81751015769</v>
      </c>
      <c r="U492" s="30">
        <f t="shared" si="28"/>
        <v>59983.91900344409</v>
      </c>
      <c r="V492" s="30">
        <f t="shared" si="28"/>
        <v>60959.74177973615</v>
      </c>
      <c r="W492" s="30">
        <f t="shared" si="28"/>
        <v>61941.15714588862</v>
      </c>
      <c r="X492" s="30">
        <f t="shared" si="28"/>
        <v>62929.057611919736</v>
      </c>
      <c r="Y492" s="43">
        <f t="shared" si="28"/>
        <v>63924.35801212001</v>
      </c>
    </row>
    <row r="493" spans="2:25" ht="11.25">
      <c r="B493" s="39"/>
      <c r="C493" s="98" t="s">
        <v>57</v>
      </c>
      <c r="D493" s="99">
        <f>+IRR(F492:Y492)</f>
        <v>0.2752006571617917</v>
      </c>
      <c r="E493" s="100"/>
      <c r="F493" s="101"/>
      <c r="G493" s="73"/>
      <c r="H493" s="73"/>
      <c r="I493" s="73"/>
      <c r="J493" s="73"/>
      <c r="K493" s="73"/>
      <c r="L493" s="73"/>
      <c r="M493" s="73"/>
      <c r="N493" s="73"/>
      <c r="O493" s="73"/>
      <c r="P493" s="73"/>
      <c r="Q493" s="73"/>
      <c r="R493" s="73"/>
      <c r="S493" s="73"/>
      <c r="T493" s="73"/>
      <c r="U493" s="73"/>
      <c r="V493" s="73"/>
      <c r="W493" s="73"/>
      <c r="X493" s="73"/>
      <c r="Y493" s="74"/>
    </row>
    <row r="494" spans="2:25" ht="11.25">
      <c r="B494" s="42"/>
      <c r="C494" s="93" t="s">
        <v>120</v>
      </c>
      <c r="D494" s="97">
        <f>+NPV('Assumptions and Basic Info'!$C$20,'Irrigation Summary'!F492:Y492)</f>
        <v>162254.37134520573</v>
      </c>
      <c r="E494" s="100"/>
      <c r="F494" s="89"/>
      <c r="G494" s="76"/>
      <c r="H494" s="76"/>
      <c r="I494" s="76"/>
      <c r="J494" s="76"/>
      <c r="K494" s="76"/>
      <c r="L494" s="76"/>
      <c r="M494" s="76"/>
      <c r="N494" s="76"/>
      <c r="O494" s="76"/>
      <c r="P494" s="76"/>
      <c r="Q494" s="76"/>
      <c r="R494" s="76"/>
      <c r="S494" s="76"/>
      <c r="T494" s="76"/>
      <c r="U494" s="76"/>
      <c r="V494" s="76"/>
      <c r="W494" s="76"/>
      <c r="X494" s="76"/>
      <c r="Y494" s="77"/>
    </row>
    <row r="495" spans="2:25" ht="11.25">
      <c r="B495" s="63" t="s">
        <v>510</v>
      </c>
      <c r="C495" s="55" t="s">
        <v>507</v>
      </c>
      <c r="D495" s="55"/>
      <c r="E495" s="56"/>
      <c r="F495" s="57"/>
      <c r="G495" s="57"/>
      <c r="H495" s="57"/>
      <c r="I495" s="57"/>
      <c r="J495" s="57"/>
      <c r="K495" s="57"/>
      <c r="L495" s="57"/>
      <c r="M495" s="57"/>
      <c r="N495" s="57"/>
      <c r="O495" s="57"/>
      <c r="P495" s="57"/>
      <c r="Q495" s="57"/>
      <c r="R495" s="57"/>
      <c r="S495" s="57"/>
      <c r="T495" s="57"/>
      <c r="U495" s="57"/>
      <c r="V495" s="57"/>
      <c r="W495" s="57"/>
      <c r="X495" s="57"/>
      <c r="Y495" s="64"/>
    </row>
    <row r="496" spans="2:25" ht="11.25">
      <c r="B496" s="37"/>
      <c r="C496" s="80" t="s">
        <v>508</v>
      </c>
      <c r="D496" s="109"/>
      <c r="E496" s="49" t="s">
        <v>118</v>
      </c>
      <c r="F496" s="27">
        <f>+F477</f>
        <v>1710.089457520245</v>
      </c>
      <c r="G496" s="27">
        <f aca="true" t="shared" si="29" ref="G496:Y496">+G477</f>
        <v>20963.445843179044</v>
      </c>
      <c r="H496" s="27">
        <f t="shared" si="29"/>
        <v>41831.70793842664</v>
      </c>
      <c r="I496" s="27">
        <f t="shared" si="29"/>
        <v>39282.72828580939</v>
      </c>
      <c r="J496" s="27">
        <f t="shared" si="29"/>
        <v>12613.159790270503</v>
      </c>
      <c r="K496" s="27">
        <f t="shared" si="29"/>
        <v>3325.0690439707387</v>
      </c>
      <c r="L496" s="27">
        <f t="shared" si="29"/>
        <v>2128.315082659308</v>
      </c>
      <c r="M496" s="27">
        <f t="shared" si="29"/>
        <v>2128.315082659308</v>
      </c>
      <c r="N496" s="27">
        <f t="shared" si="29"/>
        <v>2128.315082659308</v>
      </c>
      <c r="O496" s="27">
        <f t="shared" si="29"/>
        <v>2128.315082659308</v>
      </c>
      <c r="P496" s="27">
        <f t="shared" si="29"/>
        <v>2128.315082659308</v>
      </c>
      <c r="Q496" s="27">
        <f t="shared" si="29"/>
        <v>2128.315082659308</v>
      </c>
      <c r="R496" s="27">
        <f t="shared" si="29"/>
        <v>2128.315082659308</v>
      </c>
      <c r="S496" s="27">
        <f t="shared" si="29"/>
        <v>2128.315082659308</v>
      </c>
      <c r="T496" s="27">
        <f t="shared" si="29"/>
        <v>2128.315082659308</v>
      </c>
      <c r="U496" s="27">
        <f t="shared" si="29"/>
        <v>2128.315082659308</v>
      </c>
      <c r="V496" s="27">
        <f t="shared" si="29"/>
        <v>2128.315082659308</v>
      </c>
      <c r="W496" s="27">
        <f t="shared" si="29"/>
        <v>2128.315082659308</v>
      </c>
      <c r="X496" s="27">
        <f t="shared" si="29"/>
        <v>2128.315082659308</v>
      </c>
      <c r="Y496" s="38">
        <f t="shared" si="29"/>
        <v>2128.315082659308</v>
      </c>
    </row>
    <row r="497" spans="2:25" ht="11.25">
      <c r="B497" s="39"/>
      <c r="C497" s="82" t="s">
        <v>514</v>
      </c>
      <c r="D497" s="110"/>
      <c r="E497" s="50" t="s">
        <v>118</v>
      </c>
      <c r="F497" s="28">
        <v>0</v>
      </c>
      <c r="G497" s="28">
        <f>+F478</f>
        <v>0</v>
      </c>
      <c r="H497" s="28">
        <f>+G478</f>
        <v>0</v>
      </c>
      <c r="I497" s="28">
        <f>+H479</f>
        <v>1160.9228816158334</v>
      </c>
      <c r="J497" s="28">
        <f aca="true" t="shared" si="30" ref="J497:Y497">+I479</f>
        <v>7351.806673476176</v>
      </c>
      <c r="K497" s="28">
        <f t="shared" si="30"/>
        <v>17859.737024127047</v>
      </c>
      <c r="L497" s="28">
        <f t="shared" si="30"/>
        <v>25829.643073908075</v>
      </c>
      <c r="M497" s="28">
        <f t="shared" si="30"/>
        <v>34308.424056744196</v>
      </c>
      <c r="N497" s="28">
        <f t="shared" si="30"/>
        <v>44992.6807850152</v>
      </c>
      <c r="O497" s="28">
        <f t="shared" si="30"/>
        <v>51757.57150285665</v>
      </c>
      <c r="P497" s="28">
        <f t="shared" si="30"/>
        <v>56009.22859864829</v>
      </c>
      <c r="Q497" s="28">
        <f t="shared" si="30"/>
        <v>57287.195757634174</v>
      </c>
      <c r="R497" s="28">
        <f t="shared" si="30"/>
        <v>58247.738291534624</v>
      </c>
      <c r="S497" s="28">
        <f t="shared" si="30"/>
        <v>59209.70777978488</v>
      </c>
      <c r="T497" s="28">
        <f t="shared" si="30"/>
        <v>60173.901195499035</v>
      </c>
      <c r="U497" s="28">
        <f t="shared" si="30"/>
        <v>61141.132592817</v>
      </c>
      <c r="V497" s="28">
        <f t="shared" si="30"/>
        <v>62112.234086103395</v>
      </c>
      <c r="W497" s="28">
        <f t="shared" si="30"/>
        <v>63088.05686239545</v>
      </c>
      <c r="X497" s="28">
        <f t="shared" si="30"/>
        <v>64069.47222854792</v>
      </c>
      <c r="Y497" s="40">
        <f t="shared" si="30"/>
        <v>65057.37269457904</v>
      </c>
    </row>
    <row r="498" spans="2:25" ht="11.25">
      <c r="B498" s="39"/>
      <c r="C498" s="82" t="s">
        <v>85</v>
      </c>
      <c r="D498" s="100"/>
      <c r="E498" s="72" t="s">
        <v>118</v>
      </c>
      <c r="F498" s="30">
        <f>+F497-F496</f>
        <v>-1710.089457520245</v>
      </c>
      <c r="G498" s="30">
        <f>+G497-G496</f>
        <v>-20963.445843179044</v>
      </c>
      <c r="H498" s="30">
        <f aca="true" t="shared" si="31" ref="H498:Y498">+H497-H496</f>
        <v>-41831.70793842664</v>
      </c>
      <c r="I498" s="30">
        <f t="shared" si="31"/>
        <v>-38121.805404193554</v>
      </c>
      <c r="J498" s="30">
        <f t="shared" si="31"/>
        <v>-5261.353116794327</v>
      </c>
      <c r="K498" s="30">
        <f t="shared" si="31"/>
        <v>14534.667980156308</v>
      </c>
      <c r="L498" s="30">
        <f t="shared" si="31"/>
        <v>23701.327991248767</v>
      </c>
      <c r="M498" s="30">
        <f t="shared" si="31"/>
        <v>32180.108974084887</v>
      </c>
      <c r="N498" s="30">
        <f t="shared" si="31"/>
        <v>42864.3657023559</v>
      </c>
      <c r="O498" s="30">
        <f t="shared" si="31"/>
        <v>49629.256420197344</v>
      </c>
      <c r="P498" s="30">
        <f t="shared" si="31"/>
        <v>53880.913515988985</v>
      </c>
      <c r="Q498" s="30">
        <f t="shared" si="31"/>
        <v>55158.88067497487</v>
      </c>
      <c r="R498" s="30">
        <f t="shared" si="31"/>
        <v>56119.42320887532</v>
      </c>
      <c r="S498" s="30">
        <f t="shared" si="31"/>
        <v>57081.39269712558</v>
      </c>
      <c r="T498" s="30">
        <f t="shared" si="31"/>
        <v>58045.58611283973</v>
      </c>
      <c r="U498" s="30">
        <f t="shared" si="31"/>
        <v>59012.81751015769</v>
      </c>
      <c r="V498" s="30">
        <f t="shared" si="31"/>
        <v>59983.91900344409</v>
      </c>
      <c r="W498" s="30">
        <f t="shared" si="31"/>
        <v>60959.74177973615</v>
      </c>
      <c r="X498" s="30">
        <f t="shared" si="31"/>
        <v>61941.15714588862</v>
      </c>
      <c r="Y498" s="43">
        <f t="shared" si="31"/>
        <v>62929.057611919736</v>
      </c>
    </row>
    <row r="499" spans="2:25" ht="11.25">
      <c r="B499" s="39"/>
      <c r="C499" s="98" t="s">
        <v>57</v>
      </c>
      <c r="D499" s="99">
        <f>+IRR(F498:Y498)</f>
        <v>0.2296053597311766</v>
      </c>
      <c r="E499" s="100"/>
      <c r="F499" s="101"/>
      <c r="G499" s="73"/>
      <c r="H499" s="73"/>
      <c r="I499" s="73"/>
      <c r="J499" s="73"/>
      <c r="K499" s="73"/>
      <c r="L499" s="73"/>
      <c r="M499" s="73"/>
      <c r="N499" s="73"/>
      <c r="O499" s="73"/>
      <c r="P499" s="73"/>
      <c r="Q499" s="73"/>
      <c r="R499" s="73"/>
      <c r="S499" s="73"/>
      <c r="T499" s="73"/>
      <c r="U499" s="73"/>
      <c r="V499" s="73"/>
      <c r="W499" s="73"/>
      <c r="X499" s="73"/>
      <c r="Y499" s="74"/>
    </row>
    <row r="500" spans="2:25" ht="11.25">
      <c r="B500" s="42"/>
      <c r="C500" s="93" t="s">
        <v>120</v>
      </c>
      <c r="D500" s="97">
        <f>+NPV('Assumptions and Basic Info'!$C$20,'Irrigation Summary'!F498:Y498)</f>
        <v>129878.41346614393</v>
      </c>
      <c r="E500" s="100"/>
      <c r="F500" s="89"/>
      <c r="G500" s="76"/>
      <c r="H500" s="76"/>
      <c r="I500" s="76"/>
      <c r="J500" s="76"/>
      <c r="K500" s="76"/>
      <c r="L500" s="76"/>
      <c r="M500" s="76"/>
      <c r="N500" s="76"/>
      <c r="O500" s="76"/>
      <c r="P500" s="76"/>
      <c r="Q500" s="76"/>
      <c r="R500" s="76"/>
      <c r="S500" s="76"/>
      <c r="T500" s="76"/>
      <c r="U500" s="76"/>
      <c r="V500" s="76"/>
      <c r="W500" s="76"/>
      <c r="X500" s="76"/>
      <c r="Y500" s="77"/>
    </row>
    <row r="501" spans="2:25" ht="11.25">
      <c r="B501" s="63" t="s">
        <v>511</v>
      </c>
      <c r="C501" s="55" t="s">
        <v>512</v>
      </c>
      <c r="D501" s="55"/>
      <c r="E501" s="56"/>
      <c r="F501" s="57"/>
      <c r="G501" s="57"/>
      <c r="H501" s="57"/>
      <c r="I501" s="57"/>
      <c r="J501" s="57"/>
      <c r="K501" s="57"/>
      <c r="L501" s="57"/>
      <c r="M501" s="57"/>
      <c r="N501" s="57"/>
      <c r="O501" s="57"/>
      <c r="P501" s="57"/>
      <c r="Q501" s="57"/>
      <c r="R501" s="57"/>
      <c r="S501" s="57"/>
      <c r="T501" s="57"/>
      <c r="U501" s="57"/>
      <c r="V501" s="57"/>
      <c r="W501" s="57"/>
      <c r="X501" s="57"/>
      <c r="Y501" s="64"/>
    </row>
    <row r="502" spans="2:25" ht="11.25">
      <c r="B502" s="37"/>
      <c r="C502" s="80" t="s">
        <v>508</v>
      </c>
      <c r="D502" s="109"/>
      <c r="E502" s="49" t="s">
        <v>118</v>
      </c>
      <c r="F502" s="27">
        <f>+F477</f>
        <v>1710.089457520245</v>
      </c>
      <c r="G502" s="27">
        <f aca="true" t="shared" si="32" ref="G502:Y502">+G477</f>
        <v>20963.445843179044</v>
      </c>
      <c r="H502" s="27">
        <f t="shared" si="32"/>
        <v>41831.70793842664</v>
      </c>
      <c r="I502" s="27">
        <f t="shared" si="32"/>
        <v>39282.72828580939</v>
      </c>
      <c r="J502" s="27">
        <f t="shared" si="32"/>
        <v>12613.159790270503</v>
      </c>
      <c r="K502" s="27">
        <f t="shared" si="32"/>
        <v>3325.0690439707387</v>
      </c>
      <c r="L502" s="27">
        <f t="shared" si="32"/>
        <v>2128.315082659308</v>
      </c>
      <c r="M502" s="27">
        <f t="shared" si="32"/>
        <v>2128.315082659308</v>
      </c>
      <c r="N502" s="27">
        <f t="shared" si="32"/>
        <v>2128.315082659308</v>
      </c>
      <c r="O502" s="27">
        <f t="shared" si="32"/>
        <v>2128.315082659308</v>
      </c>
      <c r="P502" s="27">
        <f t="shared" si="32"/>
        <v>2128.315082659308</v>
      </c>
      <c r="Q502" s="27">
        <f t="shared" si="32"/>
        <v>2128.315082659308</v>
      </c>
      <c r="R502" s="27">
        <f t="shared" si="32"/>
        <v>2128.315082659308</v>
      </c>
      <c r="S502" s="27">
        <f t="shared" si="32"/>
        <v>2128.315082659308</v>
      </c>
      <c r="T502" s="27">
        <f t="shared" si="32"/>
        <v>2128.315082659308</v>
      </c>
      <c r="U502" s="27">
        <f t="shared" si="32"/>
        <v>2128.315082659308</v>
      </c>
      <c r="V502" s="27">
        <f t="shared" si="32"/>
        <v>2128.315082659308</v>
      </c>
      <c r="W502" s="27">
        <f t="shared" si="32"/>
        <v>2128.315082659308</v>
      </c>
      <c r="X502" s="27">
        <f t="shared" si="32"/>
        <v>2128.315082659308</v>
      </c>
      <c r="Y502" s="38">
        <f t="shared" si="32"/>
        <v>2128.315082659308</v>
      </c>
    </row>
    <row r="503" spans="2:25" ht="11.25">
      <c r="B503" s="39"/>
      <c r="C503" s="82" t="s">
        <v>514</v>
      </c>
      <c r="D503" s="110"/>
      <c r="E503" s="50" t="s">
        <v>118</v>
      </c>
      <c r="F503" s="28">
        <v>0</v>
      </c>
      <c r="G503" s="28">
        <v>0</v>
      </c>
      <c r="H503" s="28">
        <f>+F491</f>
        <v>0</v>
      </c>
      <c r="I503" s="28">
        <f aca="true" t="shared" si="33" ref="I503:Y503">+G491</f>
        <v>0</v>
      </c>
      <c r="J503" s="28">
        <f>+H491</f>
        <v>1160.9228816158334</v>
      </c>
      <c r="K503" s="28">
        <f t="shared" si="33"/>
        <v>7351.806673476176</v>
      </c>
      <c r="L503" s="28">
        <f t="shared" si="33"/>
        <v>17859.737024127047</v>
      </c>
      <c r="M503" s="28">
        <f t="shared" si="33"/>
        <v>25829.643073908075</v>
      </c>
      <c r="N503" s="28">
        <f t="shared" si="33"/>
        <v>34308.424056744196</v>
      </c>
      <c r="O503" s="28">
        <f t="shared" si="33"/>
        <v>44992.6807850152</v>
      </c>
      <c r="P503" s="28">
        <f t="shared" si="33"/>
        <v>51757.57150285665</v>
      </c>
      <c r="Q503" s="28">
        <f t="shared" si="33"/>
        <v>56009.22859864829</v>
      </c>
      <c r="R503" s="28">
        <f t="shared" si="33"/>
        <v>57287.195757634174</v>
      </c>
      <c r="S503" s="28">
        <f t="shared" si="33"/>
        <v>58247.738291534624</v>
      </c>
      <c r="T503" s="28">
        <f t="shared" si="33"/>
        <v>59209.70777978488</v>
      </c>
      <c r="U503" s="28">
        <f t="shared" si="33"/>
        <v>60173.901195499035</v>
      </c>
      <c r="V503" s="28">
        <f t="shared" si="33"/>
        <v>61141.132592817</v>
      </c>
      <c r="W503" s="28">
        <f t="shared" si="33"/>
        <v>62112.234086103395</v>
      </c>
      <c r="X503" s="28">
        <f t="shared" si="33"/>
        <v>63088.05686239545</v>
      </c>
      <c r="Y503" s="40">
        <f t="shared" si="33"/>
        <v>64069.47222854792</v>
      </c>
    </row>
    <row r="504" spans="2:25" ht="11.25">
      <c r="B504" s="39"/>
      <c r="C504" s="82" t="s">
        <v>85</v>
      </c>
      <c r="D504" s="100"/>
      <c r="E504" s="72" t="s">
        <v>118</v>
      </c>
      <c r="F504" s="30">
        <f aca="true" t="shared" si="34" ref="F504:Y504">+F503-F502</f>
        <v>-1710.089457520245</v>
      </c>
      <c r="G504" s="30">
        <f t="shared" si="34"/>
        <v>-20963.445843179044</v>
      </c>
      <c r="H504" s="30">
        <f t="shared" si="34"/>
        <v>-41831.70793842664</v>
      </c>
      <c r="I504" s="30">
        <f t="shared" si="34"/>
        <v>-39282.72828580939</v>
      </c>
      <c r="J504" s="30">
        <f t="shared" si="34"/>
        <v>-11452.23690865467</v>
      </c>
      <c r="K504" s="30">
        <f t="shared" si="34"/>
        <v>4026.7376295054373</v>
      </c>
      <c r="L504" s="30">
        <f t="shared" si="34"/>
        <v>15731.421941467739</v>
      </c>
      <c r="M504" s="30">
        <f t="shared" si="34"/>
        <v>23701.327991248767</v>
      </c>
      <c r="N504" s="30">
        <f t="shared" si="34"/>
        <v>32180.108974084887</v>
      </c>
      <c r="O504" s="30">
        <f t="shared" si="34"/>
        <v>42864.3657023559</v>
      </c>
      <c r="P504" s="30">
        <f t="shared" si="34"/>
        <v>49629.256420197344</v>
      </c>
      <c r="Q504" s="30">
        <f t="shared" si="34"/>
        <v>53880.913515988985</v>
      </c>
      <c r="R504" s="30">
        <f t="shared" si="34"/>
        <v>55158.88067497487</v>
      </c>
      <c r="S504" s="30">
        <f t="shared" si="34"/>
        <v>56119.42320887532</v>
      </c>
      <c r="T504" s="30">
        <f t="shared" si="34"/>
        <v>57081.39269712558</v>
      </c>
      <c r="U504" s="30">
        <f t="shared" si="34"/>
        <v>58045.58611283973</v>
      </c>
      <c r="V504" s="30">
        <f t="shared" si="34"/>
        <v>59012.81751015769</v>
      </c>
      <c r="W504" s="30">
        <f t="shared" si="34"/>
        <v>59983.91900344409</v>
      </c>
      <c r="X504" s="30">
        <f t="shared" si="34"/>
        <v>60959.74177973615</v>
      </c>
      <c r="Y504" s="43">
        <f t="shared" si="34"/>
        <v>61941.15714588862</v>
      </c>
    </row>
    <row r="505" spans="2:25" ht="12" thickBot="1">
      <c r="B505" s="47"/>
      <c r="C505" s="334" t="s">
        <v>57</v>
      </c>
      <c r="D505" s="335">
        <f>+IRR(F504:Y504)</f>
        <v>0.19612395887860087</v>
      </c>
      <c r="E505" s="111"/>
      <c r="F505" s="336"/>
      <c r="G505" s="337"/>
      <c r="H505" s="337"/>
      <c r="I505" s="337"/>
      <c r="J505" s="337"/>
      <c r="K505" s="337"/>
      <c r="L505" s="337"/>
      <c r="M505" s="337"/>
      <c r="N505" s="337"/>
      <c r="O505" s="337"/>
      <c r="P505" s="337"/>
      <c r="Q505" s="337"/>
      <c r="R505" s="337"/>
      <c r="S505" s="337"/>
      <c r="T505" s="337"/>
      <c r="U505" s="337"/>
      <c r="V505" s="337"/>
      <c r="W505" s="337"/>
      <c r="X505" s="337"/>
      <c r="Y505" s="338"/>
    </row>
    <row r="506" spans="2:25" ht="12" thickBot="1">
      <c r="B506" s="47"/>
      <c r="C506" s="102" t="s">
        <v>120</v>
      </c>
      <c r="D506" s="103">
        <f>+NPV('Assumptions and Basic Info'!$C$20,'Irrigation Summary'!F504:Y504)</f>
        <v>100580.21999650558</v>
      </c>
      <c r="E506" s="111"/>
      <c r="F506" s="104"/>
      <c r="G506" s="105"/>
      <c r="H506" s="105"/>
      <c r="I506" s="105"/>
      <c r="J506" s="105"/>
      <c r="K506" s="105"/>
      <c r="L506" s="105"/>
      <c r="M506" s="105"/>
      <c r="N506" s="105"/>
      <c r="O506" s="105"/>
      <c r="P506" s="105"/>
      <c r="Q506" s="105"/>
      <c r="R506" s="105"/>
      <c r="S506" s="105"/>
      <c r="T506" s="105"/>
      <c r="U506" s="105"/>
      <c r="V506" s="105"/>
      <c r="W506" s="105"/>
      <c r="X506" s="105"/>
      <c r="Y506" s="106"/>
    </row>
    <row r="507" spans="2:25" ht="11.25">
      <c r="B507" s="95" t="s">
        <v>646</v>
      </c>
      <c r="C507" s="118"/>
      <c r="D507" s="119"/>
      <c r="E507" s="100"/>
      <c r="F507" s="88"/>
      <c r="G507" s="54"/>
      <c r="H507" s="54"/>
      <c r="I507" s="54"/>
      <c r="J507" s="54"/>
      <c r="K507" s="54"/>
      <c r="L507" s="54"/>
      <c r="M507" s="54"/>
      <c r="N507" s="54"/>
      <c r="O507" s="54"/>
      <c r="P507" s="54"/>
      <c r="Q507" s="54"/>
      <c r="R507" s="54"/>
      <c r="S507" s="54"/>
      <c r="T507" s="54"/>
      <c r="U507" s="54"/>
      <c r="V507" s="54"/>
      <c r="W507" s="54"/>
      <c r="X507" s="54"/>
      <c r="Y507" s="54"/>
    </row>
    <row r="508" spans="2:25" ht="11.25">
      <c r="B508" s="95" t="s">
        <v>647</v>
      </c>
      <c r="C508" s="118"/>
      <c r="D508" s="119"/>
      <c r="E508" s="100"/>
      <c r="F508" s="88"/>
      <c r="G508" s="54"/>
      <c r="H508" s="54"/>
      <c r="I508" s="54"/>
      <c r="J508" s="54"/>
      <c r="K508" s="54"/>
      <c r="L508" s="54"/>
      <c r="M508" s="54"/>
      <c r="N508" s="54"/>
      <c r="O508" s="54"/>
      <c r="P508" s="54"/>
      <c r="Q508" s="54"/>
      <c r="R508" s="54"/>
      <c r="S508" s="54"/>
      <c r="T508" s="54"/>
      <c r="U508" s="54"/>
      <c r="V508" s="54"/>
      <c r="W508" s="54"/>
      <c r="X508" s="54"/>
      <c r="Y508" s="54"/>
    </row>
    <row r="509" spans="2:25" ht="11.25">
      <c r="B509" s="95" t="s">
        <v>648</v>
      </c>
      <c r="C509" s="118"/>
      <c r="D509" s="119"/>
      <c r="E509" s="100"/>
      <c r="F509" s="88"/>
      <c r="G509" s="54"/>
      <c r="H509" s="54"/>
      <c r="I509" s="54"/>
      <c r="J509" s="54"/>
      <c r="K509" s="54"/>
      <c r="L509" s="54"/>
      <c r="M509" s="54"/>
      <c r="N509" s="54"/>
      <c r="O509" s="54"/>
      <c r="P509" s="54"/>
      <c r="Q509" s="54"/>
      <c r="R509" s="54"/>
      <c r="S509" s="54"/>
      <c r="T509" s="54"/>
      <c r="U509" s="54"/>
      <c r="V509" s="54"/>
      <c r="W509" s="54"/>
      <c r="X509" s="54"/>
      <c r="Y509" s="54"/>
    </row>
    <row r="510" spans="2:25" ht="11.25">
      <c r="B510" s="95" t="s">
        <v>645</v>
      </c>
      <c r="C510" s="118"/>
      <c r="D510" s="119"/>
      <c r="E510" s="100"/>
      <c r="F510" s="88"/>
      <c r="G510" s="54"/>
      <c r="H510" s="54"/>
      <c r="I510" s="54"/>
      <c r="J510" s="54"/>
      <c r="K510" s="54"/>
      <c r="L510" s="54"/>
      <c r="M510" s="54"/>
      <c r="N510" s="54"/>
      <c r="O510" s="54"/>
      <c r="P510" s="54"/>
      <c r="Q510" s="54"/>
      <c r="R510" s="54"/>
      <c r="S510" s="54"/>
      <c r="T510" s="54"/>
      <c r="U510" s="54"/>
      <c r="V510" s="54"/>
      <c r="W510" s="54"/>
      <c r="X510" s="54"/>
      <c r="Y510" s="54"/>
    </row>
    <row r="511" spans="2:25" ht="11.25">
      <c r="B511" s="95"/>
      <c r="C511" s="118"/>
      <c r="D511" s="119"/>
      <c r="E511" s="100"/>
      <c r="F511" s="88"/>
      <c r="G511" s="54"/>
      <c r="H511" s="54"/>
      <c r="I511" s="54"/>
      <c r="J511" s="54"/>
      <c r="K511" s="54"/>
      <c r="L511" s="54"/>
      <c r="M511" s="54"/>
      <c r="N511" s="54"/>
      <c r="O511" s="54"/>
      <c r="P511" s="54"/>
      <c r="Q511" s="54"/>
      <c r="R511" s="54"/>
      <c r="S511" s="54"/>
      <c r="T511" s="54"/>
      <c r="U511" s="54"/>
      <c r="V511" s="54"/>
      <c r="W511" s="54"/>
      <c r="X511" s="54"/>
      <c r="Y511" s="54"/>
    </row>
    <row r="512" spans="2:4" ht="11.25">
      <c r="B512" s="69" t="s">
        <v>737</v>
      </c>
      <c r="C512" s="70"/>
      <c r="D512" s="70"/>
    </row>
    <row r="514" ht="11.25">
      <c r="D514" s="146"/>
    </row>
    <row r="515" spans="4:5" ht="11.25">
      <c r="D515" s="146"/>
      <c r="E515" s="151"/>
    </row>
    <row r="516" spans="4:5" ht="11.25">
      <c r="D516" s="146"/>
      <c r="E516" s="151"/>
    </row>
    <row r="517" spans="4:5" ht="11.25">
      <c r="D517" s="146"/>
      <c r="E517" s="151"/>
    </row>
    <row r="518" spans="4:5" ht="11.25">
      <c r="D518" s="146"/>
      <c r="E518" s="151"/>
    </row>
    <row r="519" spans="4:5" ht="11.25">
      <c r="D519" s="149"/>
      <c r="E519" s="152"/>
    </row>
    <row r="520" spans="4:5" ht="11.25">
      <c r="D520" s="148"/>
      <c r="E520" s="152"/>
    </row>
    <row r="521" spans="4:5" ht="11.25">
      <c r="D521" s="148"/>
      <c r="E521" s="152"/>
    </row>
    <row r="523" ht="11.25">
      <c r="D523" s="148"/>
    </row>
    <row r="526" ht="11.25">
      <c r="D526" s="150"/>
    </row>
    <row r="527" ht="11.25">
      <c r="D527" s="150"/>
    </row>
    <row r="532" ht="11.25">
      <c r="D532" s="146"/>
    </row>
    <row r="533" ht="11.25">
      <c r="D533" s="146"/>
    </row>
    <row r="534" ht="11.25">
      <c r="D534" s="146"/>
    </row>
    <row r="535" ht="11.25">
      <c r="C535" s="153"/>
    </row>
  </sheetData>
  <mergeCells count="2">
    <mergeCell ref="B485:G485"/>
    <mergeCell ref="B486:G486"/>
  </mergeCells>
  <printOptions horizontalCentered="1"/>
  <pageMargins left="0.17" right="0.23" top="0.6" bottom="0.37" header="0.19" footer="0.2"/>
  <pageSetup fitToHeight="9" horizontalDpi="600" verticalDpi="600" orientation="landscape" paperSize="9" scale="71" r:id="rId1"/>
  <headerFooter alignWithMargins="0">
    <oddFooter>&amp;L&amp;A&amp;R&amp;P &amp; of &amp;N</oddFooter>
  </headerFooter>
  <rowBreaks count="8" manualBreakCount="8">
    <brk id="65" max="255" man="1"/>
    <brk id="131" max="255" man="1"/>
    <brk id="191" max="255" man="1"/>
    <brk id="251" max="255" man="1"/>
    <brk id="307" max="255" man="1"/>
    <brk id="365" max="255" man="1"/>
    <brk id="425" max="255" man="1"/>
    <brk id="486" max="255" man="1"/>
  </rowBreaks>
</worksheet>
</file>

<file path=xl/worksheets/sheet7.xml><?xml version="1.0" encoding="utf-8"?>
<worksheet xmlns="http://schemas.openxmlformats.org/spreadsheetml/2006/main" xmlns:r="http://schemas.openxmlformats.org/officeDocument/2006/relationships">
  <sheetPr codeName="Sheet4">
    <pageSetUpPr fitToPage="1"/>
  </sheetPr>
  <dimension ref="B1:J61"/>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2.140625" style="66" customWidth="1"/>
    <col min="2" max="2" width="40.421875" style="66" customWidth="1"/>
    <col min="3" max="3" width="14.00390625" style="66" customWidth="1"/>
    <col min="4" max="6" width="9.7109375" style="66" customWidth="1"/>
    <col min="7" max="7" width="6.140625" style="66" customWidth="1"/>
    <col min="8" max="9" width="9.140625" style="66" customWidth="1"/>
    <col min="10" max="10" width="18.57421875" style="66" bestFit="1" customWidth="1"/>
    <col min="11" max="16384" width="9.140625" style="66" customWidth="1"/>
  </cols>
  <sheetData>
    <row r="1" ht="15.75">
      <c r="B1" s="320">
        <f>IF('ERR &amp; Sensitivity Analysis'!I11="Y",IF('ERR &amp; Sensitivity Analysis'!I10="Y","","Note: Current calculations are based on user input and are not the original MCC estimates"),"Note: Current calculations are based on user input and are not the original MCC estimates")</f>
      </c>
    </row>
    <row r="2" spans="2:5" ht="11.25">
      <c r="B2" s="67" t="s">
        <v>103</v>
      </c>
      <c r="C2" s="67"/>
      <c r="D2" s="159"/>
      <c r="E2" s="159"/>
    </row>
    <row r="3" spans="2:5" ht="11.25">
      <c r="B3" s="191"/>
      <c r="C3" s="192" t="s">
        <v>688</v>
      </c>
      <c r="D3" s="193" t="s">
        <v>652</v>
      </c>
      <c r="E3" s="194" t="s">
        <v>80</v>
      </c>
    </row>
    <row r="4" spans="2:5" ht="11.25">
      <c r="B4" s="187" t="s">
        <v>24</v>
      </c>
      <c r="C4" s="172">
        <f>'ERR &amp; Sensitivity Analysis'!D16+D4</f>
        <v>1</v>
      </c>
      <c r="D4" s="173">
        <v>0</v>
      </c>
      <c r="E4" s="171" t="s">
        <v>653</v>
      </c>
    </row>
    <row r="5" spans="2:5" ht="11.25">
      <c r="B5" s="188" t="s">
        <v>581</v>
      </c>
      <c r="C5" s="167"/>
      <c r="D5" s="174"/>
      <c r="E5" s="163"/>
    </row>
    <row r="6" spans="2:5" ht="11.25">
      <c r="B6" s="189" t="s">
        <v>582</v>
      </c>
      <c r="C6" s="168">
        <f>9%+D6</f>
        <v>0.09</v>
      </c>
      <c r="D6" s="175">
        <v>0</v>
      </c>
      <c r="E6" s="163" t="s">
        <v>653</v>
      </c>
    </row>
    <row r="7" spans="2:5" ht="11.25">
      <c r="B7" s="189" t="s">
        <v>583</v>
      </c>
      <c r="C7" s="168">
        <f>9%+D7</f>
        <v>0.09</v>
      </c>
      <c r="D7" s="175">
        <v>0</v>
      </c>
      <c r="E7" s="163" t="s">
        <v>653</v>
      </c>
    </row>
    <row r="8" spans="2:5" ht="11.25">
      <c r="B8" s="189" t="s">
        <v>584</v>
      </c>
      <c r="C8" s="168">
        <f>10%+D8</f>
        <v>0.1</v>
      </c>
      <c r="D8" s="175">
        <v>0</v>
      </c>
      <c r="E8" s="163" t="s">
        <v>653</v>
      </c>
    </row>
    <row r="9" spans="2:5" ht="11.25">
      <c r="B9" s="189" t="s">
        <v>585</v>
      </c>
      <c r="C9" s="168">
        <f>10.62448%+D9</f>
        <v>0.1062448</v>
      </c>
      <c r="D9" s="175">
        <v>0</v>
      </c>
      <c r="E9" s="163" t="s">
        <v>653</v>
      </c>
    </row>
    <row r="10" spans="2:5" ht="11.25">
      <c r="B10" s="189" t="s">
        <v>586</v>
      </c>
      <c r="C10" s="168">
        <f>9%+D10</f>
        <v>0.09</v>
      </c>
      <c r="D10" s="175">
        <v>0</v>
      </c>
      <c r="E10" s="163" t="s">
        <v>653</v>
      </c>
    </row>
    <row r="11" spans="2:5" ht="11.25">
      <c r="B11" s="188" t="s">
        <v>97</v>
      </c>
      <c r="C11" s="179">
        <f>12.7*(1+D11)</f>
        <v>12.7</v>
      </c>
      <c r="D11" s="175">
        <v>0</v>
      </c>
      <c r="E11" s="163" t="s">
        <v>45</v>
      </c>
    </row>
    <row r="12" spans="2:5" ht="11.25">
      <c r="B12" s="188" t="s">
        <v>98</v>
      </c>
      <c r="C12" s="179">
        <f>21.1*(1+D12)</f>
        <v>21.1</v>
      </c>
      <c r="D12" s="175">
        <v>0</v>
      </c>
      <c r="E12" s="163" t="s">
        <v>45</v>
      </c>
    </row>
    <row r="13" spans="2:5" ht="11.25">
      <c r="B13" s="188" t="s">
        <v>99</v>
      </c>
      <c r="C13" s="168">
        <f>2%+D13</f>
        <v>0.02</v>
      </c>
      <c r="D13" s="175">
        <v>0</v>
      </c>
      <c r="E13" s="163" t="s">
        <v>653</v>
      </c>
    </row>
    <row r="14" spans="2:5" ht="11.25">
      <c r="B14" s="188" t="s">
        <v>100</v>
      </c>
      <c r="C14" s="168">
        <f>3%+D14</f>
        <v>0.03</v>
      </c>
      <c r="D14" s="175">
        <v>0</v>
      </c>
      <c r="E14" s="163" t="s">
        <v>653</v>
      </c>
    </row>
    <row r="15" spans="2:5" ht="11.25">
      <c r="B15" s="188" t="s">
        <v>587</v>
      </c>
      <c r="C15" s="167"/>
      <c r="D15" s="175"/>
      <c r="E15" s="163"/>
    </row>
    <row r="16" spans="2:5" ht="11.25">
      <c r="B16" s="189" t="s">
        <v>588</v>
      </c>
      <c r="C16" s="178">
        <f>425.81*(1+D16)</f>
        <v>425.81</v>
      </c>
      <c r="D16" s="175">
        <v>0</v>
      </c>
      <c r="E16" s="163" t="s">
        <v>45</v>
      </c>
    </row>
    <row r="17" spans="2:5" ht="11.25">
      <c r="B17" s="189" t="s">
        <v>589</v>
      </c>
      <c r="C17" s="178">
        <f>109.78*(1+D17)</f>
        <v>109.78</v>
      </c>
      <c r="D17" s="175">
        <v>0</v>
      </c>
      <c r="E17" s="163" t="s">
        <v>45</v>
      </c>
    </row>
    <row r="18" spans="2:5" ht="11.25">
      <c r="B18" s="189" t="s">
        <v>590</v>
      </c>
      <c r="C18" s="178">
        <f>14.3*(1+D18)</f>
        <v>14.3</v>
      </c>
      <c r="D18" s="175">
        <v>0</v>
      </c>
      <c r="E18" s="163" t="s">
        <v>45</v>
      </c>
    </row>
    <row r="19" spans="2:5" ht="11.25">
      <c r="B19" s="188" t="s">
        <v>101</v>
      </c>
      <c r="C19" s="147">
        <f>500*(1+D19)</f>
        <v>500</v>
      </c>
      <c r="D19" s="175">
        <v>0</v>
      </c>
      <c r="E19" s="163" t="s">
        <v>45</v>
      </c>
    </row>
    <row r="20" spans="2:5" ht="11.25">
      <c r="B20" s="190" t="s">
        <v>102</v>
      </c>
      <c r="C20" s="176">
        <f>10%+D20</f>
        <v>0.1</v>
      </c>
      <c r="D20" s="177">
        <v>0</v>
      </c>
      <c r="E20" s="160" t="s">
        <v>653</v>
      </c>
    </row>
    <row r="21" s="162" customFormat="1" ht="11.25">
      <c r="B21" s="209" t="s">
        <v>689</v>
      </c>
    </row>
    <row r="22" s="162" customFormat="1" ht="11.25"/>
    <row r="24" ht="11.25">
      <c r="B24" s="164" t="s">
        <v>683</v>
      </c>
    </row>
    <row r="25" spans="2:6" ht="11.25">
      <c r="B25" s="165" t="s">
        <v>669</v>
      </c>
      <c r="C25" s="165"/>
      <c r="D25" s="169"/>
      <c r="E25" s="169"/>
      <c r="F25" s="169"/>
    </row>
    <row r="26" spans="2:6" ht="11.25">
      <c r="B26" s="200" t="s">
        <v>681</v>
      </c>
      <c r="C26" s="203">
        <f>+C27+C28+C29+C30</f>
        <v>172315.18798613842</v>
      </c>
      <c r="D26" s="169"/>
      <c r="E26" s="169"/>
      <c r="F26" s="169"/>
    </row>
    <row r="27" spans="2:6" ht="11.25">
      <c r="B27" s="166" t="s">
        <v>682</v>
      </c>
      <c r="C27" s="199">
        <f>+'Irrigation Summary'!D465</f>
        <v>162519.9879861384</v>
      </c>
      <c r="D27" s="170"/>
      <c r="E27" s="170"/>
      <c r="F27" s="170"/>
    </row>
    <row r="28" spans="2:6" ht="11.25">
      <c r="B28" s="166" t="s">
        <v>654</v>
      </c>
      <c r="C28" s="199">
        <f>+'Irrigation Summary'!D482</f>
        <v>3326.950000000002</v>
      </c>
      <c r="D28" s="170"/>
      <c r="E28" s="170"/>
      <c r="F28" s="170"/>
    </row>
    <row r="29" spans="2:6" ht="11.25">
      <c r="B29" s="166" t="s">
        <v>495</v>
      </c>
      <c r="C29" s="199">
        <f>+'Irrigation Summary'!D471</f>
        <v>4038.25</v>
      </c>
      <c r="D29" s="170"/>
      <c r="E29" s="170"/>
      <c r="F29" s="170"/>
    </row>
    <row r="30" spans="2:6" ht="11.25">
      <c r="B30" s="166" t="s">
        <v>496</v>
      </c>
      <c r="C30" s="199">
        <f>+'Irrigation Summary'!D472</f>
        <v>2430</v>
      </c>
      <c r="D30" s="170"/>
      <c r="E30" s="170"/>
      <c r="F30" s="170"/>
    </row>
    <row r="31" spans="2:6" ht="11.25">
      <c r="B31" s="201" t="s">
        <v>57</v>
      </c>
      <c r="C31" s="205">
        <f>+'Irrigation Summary'!D483</f>
        <v>0.2752006571617917</v>
      </c>
      <c r="D31" s="170"/>
      <c r="E31" s="170"/>
      <c r="F31" s="170"/>
    </row>
    <row r="32" spans="2:6" ht="11.25">
      <c r="B32" s="202" t="s">
        <v>120</v>
      </c>
      <c r="C32" s="204">
        <f>+'Irrigation Summary'!D484</f>
        <v>162254.37134520573</v>
      </c>
      <c r="D32" s="170"/>
      <c r="E32" s="170"/>
      <c r="F32" s="170"/>
    </row>
    <row r="33" ht="11.25">
      <c r="B33" s="164"/>
    </row>
    <row r="34" spans="2:6" ht="11.25">
      <c r="B34" s="165"/>
      <c r="C34" s="182" t="s">
        <v>679</v>
      </c>
      <c r="D34" s="182" t="s">
        <v>654</v>
      </c>
      <c r="E34" s="182" t="s">
        <v>680</v>
      </c>
      <c r="F34" s="182" t="s">
        <v>655</v>
      </c>
    </row>
    <row r="35" spans="2:10" ht="11.25">
      <c r="B35" s="170" t="s">
        <v>670</v>
      </c>
      <c r="C35" s="180">
        <f>+'Irrigation Summary'!D22</f>
        <v>18889.12764916865</v>
      </c>
      <c r="D35" s="183">
        <f>+'Irrigation Summary'!D23</f>
        <v>109.78</v>
      </c>
      <c r="E35" s="184">
        <f>+'Irrigation Summary'!D24</f>
        <v>0.4334944238430595</v>
      </c>
      <c r="F35" s="183">
        <f>+'Irrigation Summary'!D25</f>
        <v>46847.75533994372</v>
      </c>
      <c r="G35" s="208" t="s">
        <v>684</v>
      </c>
      <c r="H35" s="206"/>
      <c r="I35" s="206"/>
      <c r="J35" s="207"/>
    </row>
    <row r="36" spans="2:8" ht="11.25">
      <c r="B36" s="170" t="s">
        <v>671</v>
      </c>
      <c r="C36" s="181">
        <f>+'Irrigation Summary'!D42</f>
        <v>12506.19298</v>
      </c>
      <c r="D36" s="185">
        <f>+'Irrigation Summary'!D43</f>
        <v>14.3</v>
      </c>
      <c r="E36" s="186">
        <f>+'Irrigation Summary'!D44</f>
        <v>0.323656650231195</v>
      </c>
      <c r="F36" s="185">
        <f>+'Irrigation Summary'!D45</f>
        <v>17177.663552655566</v>
      </c>
      <c r="G36" s="208" t="s">
        <v>684</v>
      </c>
      <c r="H36" s="206"/>
    </row>
    <row r="37" spans="2:8" ht="11.25">
      <c r="B37" s="170" t="s">
        <v>672</v>
      </c>
      <c r="C37" s="181">
        <f>+'Irrigation Summary'!D62</f>
        <v>13140.38702102125</v>
      </c>
      <c r="D37" s="185">
        <f>+'Irrigation Summary'!D63</f>
        <v>14.3</v>
      </c>
      <c r="E37" s="186">
        <f>+'Irrigation Summary'!D64</f>
        <v>0.21732498611021442</v>
      </c>
      <c r="F37" s="185">
        <f>+'Irrigation Summary'!D65</f>
        <v>6014.2370924594015</v>
      </c>
      <c r="G37" s="208" t="s">
        <v>684</v>
      </c>
      <c r="H37" s="206"/>
    </row>
    <row r="38" spans="2:8" ht="11.25">
      <c r="B38" s="170" t="s">
        <v>673</v>
      </c>
      <c r="C38" s="181">
        <f>+'Irrigation Summary'!D84</f>
        <v>20240.297037102002</v>
      </c>
      <c r="D38" s="185">
        <f>+'Irrigation Summary'!D85</f>
        <v>109.78</v>
      </c>
      <c r="E38" s="186">
        <f>+'Irrigation Summary'!D86</f>
        <v>0.3050932212517651</v>
      </c>
      <c r="F38" s="185">
        <f>+'Irrigation Summary'!D87</f>
        <v>23103.726844515837</v>
      </c>
      <c r="G38" s="208" t="s">
        <v>685</v>
      </c>
      <c r="H38" s="206"/>
    </row>
    <row r="39" spans="2:8" ht="11.25">
      <c r="B39" s="170" t="s">
        <v>674</v>
      </c>
      <c r="C39" s="181">
        <f>+'Irrigation Summary'!D106</f>
        <v>22143.831983188997</v>
      </c>
      <c r="D39" s="185">
        <f>+'Irrigation Summary'!D107</f>
        <v>425.81000000000006</v>
      </c>
      <c r="E39" s="186">
        <f>+'Irrigation Summary'!D108</f>
        <v>0.15743015023164036</v>
      </c>
      <c r="F39" s="185">
        <f>+'Irrigation Summary'!D109</f>
        <v>5496.996429622294</v>
      </c>
      <c r="G39" s="208" t="s">
        <v>685</v>
      </c>
      <c r="H39" s="206"/>
    </row>
    <row r="40" spans="2:8" ht="11.25">
      <c r="B40" s="170" t="s">
        <v>675</v>
      </c>
      <c r="C40" s="181">
        <f>+'Irrigation Summary'!D128</f>
        <v>15473.524472614425</v>
      </c>
      <c r="D40" s="185">
        <f>+'Irrigation Summary'!D129</f>
        <v>109.78</v>
      </c>
      <c r="E40" s="186">
        <f>+'Irrigation Summary'!D130</f>
        <v>0.29435860166973654</v>
      </c>
      <c r="F40" s="185">
        <f>+'Irrigation Summary'!D131</f>
        <v>12865.437217773828</v>
      </c>
      <c r="G40" s="208" t="s">
        <v>686</v>
      </c>
      <c r="H40" s="206"/>
    </row>
    <row r="41" spans="2:8" ht="11.25">
      <c r="B41" s="170" t="s">
        <v>676</v>
      </c>
      <c r="C41" s="181">
        <f>+'Irrigation Summary'!D148</f>
        <v>8843.300846649101</v>
      </c>
      <c r="D41" s="185">
        <f>+'Irrigation Summary'!D149</f>
        <v>425.81</v>
      </c>
      <c r="E41" s="186">
        <f>+'Irrigation Summary'!D150</f>
        <v>0.2348841767002498</v>
      </c>
      <c r="F41" s="185">
        <f>+'Irrigation Summary'!D151</f>
        <v>5499.837132416576</v>
      </c>
      <c r="G41" s="208" t="s">
        <v>686</v>
      </c>
      <c r="H41" s="206"/>
    </row>
    <row r="42" spans="2:8" ht="11.25">
      <c r="B42" s="170" t="s">
        <v>677</v>
      </c>
      <c r="C42" s="181">
        <f>+'Irrigation Summary'!D168</f>
        <v>4158.41448052</v>
      </c>
      <c r="D42" s="185">
        <f>+'Irrigation Summary'!D169</f>
        <v>425.81</v>
      </c>
      <c r="E42" s="186">
        <f>+'Irrigation Summary'!D170</f>
        <v>0.15285448728448586</v>
      </c>
      <c r="F42" s="185">
        <f>+'Irrigation Summary'!D171</f>
        <v>1186.586379976963</v>
      </c>
      <c r="G42" s="208" t="s">
        <v>685</v>
      </c>
      <c r="H42" s="206"/>
    </row>
    <row r="43" spans="2:8" ht="11.25">
      <c r="B43" s="170" t="s">
        <v>678</v>
      </c>
      <c r="C43" s="181">
        <f>+'Irrigation Summary'!D188</f>
        <v>3929.8408775430003</v>
      </c>
      <c r="D43" s="185">
        <f>+'Irrigation Summary'!D189</f>
        <v>425.81</v>
      </c>
      <c r="E43" s="186">
        <f>+'Irrigation Summary'!D190</f>
        <v>0.3359903385369495</v>
      </c>
      <c r="F43" s="185">
        <f>+'Irrigation Summary'!D191</f>
        <v>5499.8783528210815</v>
      </c>
      <c r="G43" s="208" t="s">
        <v>686</v>
      </c>
      <c r="H43" s="206"/>
    </row>
    <row r="44" spans="2:8" ht="11.25">
      <c r="B44" s="170" t="s">
        <v>656</v>
      </c>
      <c r="C44" s="181">
        <f>+'Irrigation Summary'!D208</f>
        <v>5729.415844499999</v>
      </c>
      <c r="D44" s="185">
        <f>+'Irrigation Summary'!D209</f>
        <v>14.3</v>
      </c>
      <c r="E44" s="186">
        <f>+'Irrigation Summary'!D210</f>
        <v>0.16457582826394943</v>
      </c>
      <c r="F44" s="185">
        <f>+'Irrigation Summary'!D211</f>
        <v>1437.0099918393023</v>
      </c>
      <c r="G44" s="208" t="s">
        <v>685</v>
      </c>
      <c r="H44" s="206"/>
    </row>
    <row r="45" spans="2:8" ht="11.25">
      <c r="B45" s="170" t="s">
        <v>657</v>
      </c>
      <c r="C45" s="181">
        <f>+'Irrigation Summary'!D228</f>
        <v>11781.9320234</v>
      </c>
      <c r="D45" s="185">
        <f>+'Irrigation Summary'!D229</f>
        <v>425.81</v>
      </c>
      <c r="E45" s="186">
        <f>+'Irrigation Summary'!D230</f>
        <v>0.19006865102621928</v>
      </c>
      <c r="F45" s="185">
        <f>+'Irrigation Summary'!D231</f>
        <v>5698.672503546678</v>
      </c>
      <c r="G45" s="208" t="s">
        <v>687</v>
      </c>
      <c r="H45" s="206"/>
    </row>
    <row r="46" spans="2:8" ht="11.25">
      <c r="B46" s="170" t="s">
        <v>658</v>
      </c>
      <c r="C46" s="181">
        <f>+'Irrigation Summary'!D248</f>
        <v>4856.442616452</v>
      </c>
      <c r="D46" s="185">
        <f>+'Irrigation Summary'!D249</f>
        <v>109.78</v>
      </c>
      <c r="E46" s="186">
        <f>+'Irrigation Summary'!D250</f>
        <v>0.3583965347256483</v>
      </c>
      <c r="F46" s="185">
        <f>+'Irrigation Summary'!D251</f>
        <v>6831.5263176327835</v>
      </c>
      <c r="G46" s="208" t="s">
        <v>686</v>
      </c>
      <c r="H46" s="206"/>
    </row>
    <row r="47" spans="2:8" ht="11.25">
      <c r="B47" s="170" t="s">
        <v>659</v>
      </c>
      <c r="C47" s="181">
        <f>+'Irrigation Summary'!D266</f>
        <v>3227.641612684483</v>
      </c>
      <c r="D47" s="185">
        <f>+'Irrigation Summary'!D267</f>
        <v>109.78</v>
      </c>
      <c r="E47" s="186">
        <f>+'Irrigation Summary'!D268</f>
        <v>0.1623772290005184</v>
      </c>
      <c r="F47" s="185">
        <f>+'Irrigation Summary'!D269</f>
        <v>1186.9495655458445</v>
      </c>
      <c r="G47" s="208" t="s">
        <v>685</v>
      </c>
      <c r="H47" s="206"/>
    </row>
    <row r="48" spans="2:8" ht="11.25">
      <c r="B48" s="170" t="s">
        <v>660</v>
      </c>
      <c r="C48" s="181">
        <f>+'Irrigation Summary'!D286</f>
        <v>1519.2465645</v>
      </c>
      <c r="D48" s="185">
        <f>+'Irrigation Summary'!D287</f>
        <v>109.78</v>
      </c>
      <c r="E48" s="186">
        <f>+'Irrigation Summary'!D288</f>
        <v>0.16998573743489703</v>
      </c>
      <c r="F48" s="185">
        <f>+'Irrigation Summary'!D289</f>
        <v>477.2791630045342</v>
      </c>
      <c r="G48" s="208" t="s">
        <v>685</v>
      </c>
      <c r="H48" s="206"/>
    </row>
    <row r="49" spans="2:8" ht="11.25">
      <c r="B49" s="170" t="s">
        <v>661</v>
      </c>
      <c r="C49" s="181">
        <f>+'Irrigation Summary'!D304</f>
        <v>1084.8934</v>
      </c>
      <c r="D49" s="185">
        <f>+'Irrigation Summary'!D305</f>
        <v>14.3</v>
      </c>
      <c r="E49" s="186">
        <f>+'Irrigation Summary'!D306</f>
        <v>0.30182607720944454</v>
      </c>
      <c r="F49" s="185">
        <f>+'Irrigation Summary'!D307</f>
        <v>2338.1048154317014</v>
      </c>
      <c r="G49" s="208" t="s">
        <v>685</v>
      </c>
      <c r="H49" s="206"/>
    </row>
    <row r="50" spans="2:8" ht="11.25">
      <c r="B50" s="170" t="s">
        <v>662</v>
      </c>
      <c r="C50" s="181">
        <f>+'Irrigation Summary'!D324</f>
        <v>3296.2867650197627</v>
      </c>
      <c r="D50" s="185">
        <f>+'Irrigation Summary'!D325</f>
        <v>109.78</v>
      </c>
      <c r="E50" s="186">
        <f>+'Irrigation Summary'!D326</f>
        <v>0.2718124952951786</v>
      </c>
      <c r="F50" s="185">
        <f>+'Irrigation Summary'!D327</f>
        <v>2908.5405542588715</v>
      </c>
      <c r="G50" s="208" t="s">
        <v>686</v>
      </c>
      <c r="H50" s="206"/>
    </row>
    <row r="51" spans="2:8" ht="11.25">
      <c r="B51" s="170" t="s">
        <v>663</v>
      </c>
      <c r="C51" s="181">
        <f>+'Irrigation Summary'!D344</f>
        <v>3040.3564974308297</v>
      </c>
      <c r="D51" s="185">
        <f>+'Irrigation Summary'!D345</f>
        <v>109.78</v>
      </c>
      <c r="E51" s="186">
        <f>+'Irrigation Summary'!D346</f>
        <v>0.3387905256428077</v>
      </c>
      <c r="F51" s="185">
        <f>+'Irrigation Summary'!D347</f>
        <v>4239.453312847659</v>
      </c>
      <c r="G51" s="208" t="s">
        <v>686</v>
      </c>
      <c r="H51" s="206"/>
    </row>
    <row r="52" spans="2:8" ht="11.25">
      <c r="B52" s="170" t="s">
        <v>664</v>
      </c>
      <c r="C52" s="181">
        <f>+'Irrigation Summary'!D362</f>
        <v>1778.625325</v>
      </c>
      <c r="D52" s="185">
        <f>+'Irrigation Summary'!D363</f>
        <v>14.3</v>
      </c>
      <c r="E52" s="186">
        <f>+'Irrigation Summary'!D364</f>
        <v>0.4785036966151313</v>
      </c>
      <c r="F52" s="185">
        <f>+'Irrigation Summary'!D365</f>
        <v>11881.035813833356</v>
      </c>
      <c r="G52" s="208" t="s">
        <v>687</v>
      </c>
      <c r="H52" s="206"/>
    </row>
    <row r="53" spans="2:8" ht="11.25">
      <c r="B53" s="170" t="s">
        <v>665</v>
      </c>
      <c r="C53" s="181">
        <f>+'Irrigation Summary'!D382</f>
        <v>459.88820499999997</v>
      </c>
      <c r="D53" s="185">
        <f>+'Irrigation Summary'!D383</f>
        <v>14.3</v>
      </c>
      <c r="E53" s="186">
        <f>+'Irrigation Summary'!D384</f>
        <v>0.24468199023812412</v>
      </c>
      <c r="F53" s="185">
        <f>+'Irrigation Summary'!D385</f>
        <v>337.1191192664717</v>
      </c>
      <c r="G53" s="208" t="s">
        <v>685</v>
      </c>
      <c r="H53" s="206"/>
    </row>
    <row r="54" spans="2:8" ht="11.25">
      <c r="B54" s="170" t="s">
        <v>666</v>
      </c>
      <c r="C54" s="181">
        <f>+'Irrigation Summary'!D402</f>
        <v>1653.845436843928</v>
      </c>
      <c r="D54" s="185">
        <f>+'Irrigation Summary'!D403</f>
        <v>109.78</v>
      </c>
      <c r="E54" s="186">
        <f>+'Irrigation Summary'!D404</f>
        <v>0.25317997415661586</v>
      </c>
      <c r="F54" s="185">
        <f>+'Irrigation Summary'!D405</f>
        <v>1938.96538504237</v>
      </c>
      <c r="G54" s="208" t="s">
        <v>685</v>
      </c>
      <c r="H54" s="206"/>
    </row>
    <row r="55" spans="2:8" ht="11.25">
      <c r="B55" s="170" t="s">
        <v>667</v>
      </c>
      <c r="C55" s="181">
        <f>+'Irrigation Summary'!D422</f>
        <v>2591.740285</v>
      </c>
      <c r="D55" s="185">
        <f>+'Irrigation Summary'!D423</f>
        <v>109.78</v>
      </c>
      <c r="E55" s="186">
        <f>+'Irrigation Summary'!D424</f>
        <v>0.13759989300931214</v>
      </c>
      <c r="F55" s="185">
        <f>+'Irrigation Summary'!D425</f>
        <v>416.0292525081006</v>
      </c>
      <c r="G55" s="208" t="s">
        <v>685</v>
      </c>
      <c r="H55" s="206"/>
    </row>
    <row r="56" spans="2:8" ht="11.25">
      <c r="B56" s="170" t="s">
        <v>668</v>
      </c>
      <c r="C56" s="195">
        <f>+'Irrigation Summary'!D441</f>
        <v>2174.7560625</v>
      </c>
      <c r="D56" s="196">
        <f>+'Irrigation Summary'!D442</f>
        <v>14.3</v>
      </c>
      <c r="E56" s="197">
        <f>+'Irrigation Summary'!D443</f>
        <v>0.1471245695341768</v>
      </c>
      <c r="F56" s="196">
        <f>+'Irrigation Summary'!D444</f>
        <v>521.4648985358617</v>
      </c>
      <c r="G56" s="208" t="s">
        <v>685</v>
      </c>
      <c r="H56" s="206"/>
    </row>
    <row r="57" spans="2:6" s="162" customFormat="1" ht="11.25">
      <c r="B57" s="161"/>
      <c r="C57" s="171"/>
      <c r="D57" s="171"/>
      <c r="E57" s="161">
        <f>SUMPRODUCT(C35:C56,E35:E56)/SUM(C35:C56,D35:D56)</f>
        <v>0.26143715253010597</v>
      </c>
      <c r="F57" s="161"/>
    </row>
    <row r="58" s="162" customFormat="1" ht="11.25">
      <c r="B58" s="69" t="s">
        <v>737</v>
      </c>
    </row>
    <row r="60" spans="3:6" ht="11.25">
      <c r="C60" s="198">
        <f>SUM(C35:C56)</f>
        <v>162519.98798613844</v>
      </c>
      <c r="D60" s="198">
        <f>SUM(D35:D56)</f>
        <v>3326.950000000002</v>
      </c>
      <c r="E60" s="198"/>
      <c r="F60" s="198">
        <f>SUM(F35:F56)</f>
        <v>163904.26903547876</v>
      </c>
    </row>
    <row r="61" spans="3:6" ht="11.25">
      <c r="C61" s="198">
        <f>+C60-'Irrigation Summary'!D465</f>
        <v>0</v>
      </c>
      <c r="D61" s="198">
        <f>+D60-'Irrigation Summary'!D466</f>
        <v>0</v>
      </c>
      <c r="E61" s="198"/>
      <c r="F61" s="198">
        <f>+F60-'Irrigation Summary'!D468</f>
        <v>-3268.92021523515</v>
      </c>
    </row>
  </sheetData>
  <printOptions/>
  <pageMargins left="0.29" right="0.31" top="0.4" bottom="0.29" header="0.24" footer="0.17"/>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codeName="Sheet5"/>
  <dimension ref="B1:F43"/>
  <sheetViews>
    <sheetView showGridLines="0" workbookViewId="0" topLeftCell="A1">
      <selection activeCell="A1" sqref="A1"/>
    </sheetView>
  </sheetViews>
  <sheetFormatPr defaultColWidth="9.140625" defaultRowHeight="12.75"/>
  <cols>
    <col min="1" max="1" width="3.140625" style="300" customWidth="1"/>
    <col min="2" max="2" width="21.57421875" style="300" customWidth="1"/>
    <col min="3" max="3" width="15.57421875" style="315" customWidth="1"/>
    <col min="4" max="4" width="13.00390625" style="300" customWidth="1"/>
    <col min="5" max="5" width="16.00390625" style="300" customWidth="1"/>
    <col min="6" max="16384" width="11.57421875" style="300" customWidth="1"/>
  </cols>
  <sheetData>
    <row r="1" spans="2:3" ht="15.75">
      <c r="B1" s="320">
        <f>IF('ERR &amp; Sensitivity Analysis'!I11="Y",IF('ERR &amp; Sensitivity Analysis'!I10="Y","","Note: Current calculations are based on user input and are not the original MCC estimates"),"Note: Current calculations are based on user input and are not the original MCC estimates")</f>
      </c>
      <c r="C1" s="301"/>
    </row>
    <row r="2" spans="2:4" ht="12" customHeight="1">
      <c r="B2" s="302" t="s">
        <v>788</v>
      </c>
      <c r="C2" s="301"/>
      <c r="D2" s="302"/>
    </row>
    <row r="3" spans="2:6" ht="39" customHeight="1">
      <c r="B3" s="303" t="s">
        <v>789</v>
      </c>
      <c r="C3" s="303" t="s">
        <v>80</v>
      </c>
      <c r="D3" s="303" t="s">
        <v>790</v>
      </c>
      <c r="E3" s="303" t="s">
        <v>791</v>
      </c>
      <c r="F3" s="303" t="s">
        <v>792</v>
      </c>
    </row>
    <row r="4" spans="2:6" ht="12.75" customHeight="1">
      <c r="B4" s="304" t="s">
        <v>793</v>
      </c>
      <c r="C4" s="305"/>
      <c r="D4" s="306"/>
      <c r="E4" s="306"/>
      <c r="F4" s="307"/>
    </row>
    <row r="5" spans="2:6" ht="11.25">
      <c r="B5" s="308" t="s">
        <v>794</v>
      </c>
      <c r="C5" s="309" t="s">
        <v>795</v>
      </c>
      <c r="D5" s="310">
        <v>6.5</v>
      </c>
      <c r="E5" s="310">
        <f>'Assumptions and Basic Info'!C11</f>
        <v>12.7</v>
      </c>
      <c r="F5" s="311">
        <f>E5/D5</f>
        <v>1.9538461538461538</v>
      </c>
    </row>
    <row r="6" spans="2:6" ht="12.75" customHeight="1">
      <c r="B6" s="308" t="s">
        <v>796</v>
      </c>
      <c r="C6" s="309" t="s">
        <v>797</v>
      </c>
      <c r="D6" s="310">
        <v>21.1</v>
      </c>
      <c r="E6" s="310">
        <f>'Assumptions and Basic Info'!C12</f>
        <v>21.1</v>
      </c>
      <c r="F6" s="311">
        <f>E6/D6</f>
        <v>1</v>
      </c>
    </row>
    <row r="7" spans="2:6" ht="12" customHeight="1">
      <c r="B7" s="312" t="s">
        <v>798</v>
      </c>
      <c r="C7" s="309"/>
      <c r="D7" s="310"/>
      <c r="E7" s="310"/>
      <c r="F7" s="311"/>
    </row>
    <row r="8" spans="2:6" ht="11.25">
      <c r="B8" s="313" t="s">
        <v>799</v>
      </c>
      <c r="C8" s="309" t="s">
        <v>800</v>
      </c>
      <c r="D8" s="314">
        <v>3000</v>
      </c>
      <c r="E8" s="314">
        <v>3000</v>
      </c>
      <c r="F8" s="311">
        <f aca="true" t="shared" si="0" ref="F8:F15">E8/D8</f>
        <v>1</v>
      </c>
    </row>
    <row r="9" spans="2:6" ht="11.25">
      <c r="B9" s="313" t="s">
        <v>801</v>
      </c>
      <c r="C9" s="309" t="s">
        <v>800</v>
      </c>
      <c r="D9" s="314">
        <v>4500</v>
      </c>
      <c r="E9" s="314">
        <v>4500</v>
      </c>
      <c r="F9" s="311">
        <f t="shared" si="0"/>
        <v>1</v>
      </c>
    </row>
    <row r="10" spans="2:6" ht="11.25">
      <c r="B10" s="313" t="s">
        <v>802</v>
      </c>
      <c r="C10" s="309" t="s">
        <v>800</v>
      </c>
      <c r="D10" s="314">
        <v>11500</v>
      </c>
      <c r="E10" s="314">
        <v>11500</v>
      </c>
      <c r="F10" s="311">
        <f t="shared" si="0"/>
        <v>1</v>
      </c>
    </row>
    <row r="11" spans="2:6" ht="11.25">
      <c r="B11" s="313" t="s">
        <v>803</v>
      </c>
      <c r="C11" s="309" t="s">
        <v>800</v>
      </c>
      <c r="D11" s="314">
        <v>11000</v>
      </c>
      <c r="E11" s="314">
        <v>11000</v>
      </c>
      <c r="F11" s="311">
        <f t="shared" si="0"/>
        <v>1</v>
      </c>
    </row>
    <row r="12" spans="2:6" ht="11.25">
      <c r="B12" s="313" t="s">
        <v>804</v>
      </c>
      <c r="C12" s="309" t="s">
        <v>800</v>
      </c>
      <c r="D12" s="314">
        <v>10000</v>
      </c>
      <c r="E12" s="314">
        <v>10000</v>
      </c>
      <c r="F12" s="311">
        <f t="shared" si="0"/>
        <v>1</v>
      </c>
    </row>
    <row r="13" spans="2:6" ht="11.25">
      <c r="B13" s="313" t="s">
        <v>805</v>
      </c>
      <c r="C13" s="309" t="s">
        <v>800</v>
      </c>
      <c r="D13" s="314">
        <v>90</v>
      </c>
      <c r="E13" s="314">
        <v>90</v>
      </c>
      <c r="F13" s="311">
        <f t="shared" si="0"/>
        <v>1</v>
      </c>
    </row>
    <row r="14" spans="2:6" ht="11.25">
      <c r="B14" s="308" t="s">
        <v>806</v>
      </c>
      <c r="C14" s="309" t="s">
        <v>807</v>
      </c>
      <c r="D14" s="314">
        <v>4000</v>
      </c>
      <c r="E14" s="314">
        <v>4000</v>
      </c>
      <c r="F14" s="311">
        <f t="shared" si="0"/>
        <v>1</v>
      </c>
    </row>
    <row r="15" spans="2:6" ht="11.25">
      <c r="B15" s="308" t="s">
        <v>808</v>
      </c>
      <c r="C15" s="309" t="s">
        <v>809</v>
      </c>
      <c r="D15" s="314">
        <v>17000</v>
      </c>
      <c r="E15" s="314">
        <v>17000</v>
      </c>
      <c r="F15" s="311">
        <f t="shared" si="0"/>
        <v>1</v>
      </c>
    </row>
    <row r="16" spans="2:6" ht="11.25">
      <c r="B16" s="308" t="s">
        <v>810</v>
      </c>
      <c r="C16" s="309"/>
      <c r="D16" s="314"/>
      <c r="E16" s="314"/>
      <c r="F16" s="311"/>
    </row>
    <row r="17" spans="2:6" ht="11.25">
      <c r="B17" s="313" t="s">
        <v>811</v>
      </c>
      <c r="C17" s="309" t="s">
        <v>809</v>
      </c>
      <c r="D17" s="314">
        <v>62200</v>
      </c>
      <c r="E17" s="314">
        <v>62200</v>
      </c>
      <c r="F17" s="311">
        <f aca="true" t="shared" si="1" ref="F17:F22">E17/D17</f>
        <v>1</v>
      </c>
    </row>
    <row r="18" spans="2:6" ht="11.25">
      <c r="B18" s="313" t="s">
        <v>812</v>
      </c>
      <c r="C18" s="309" t="s">
        <v>809</v>
      </c>
      <c r="D18" s="314">
        <v>62300</v>
      </c>
      <c r="E18" s="314">
        <f>D18</f>
        <v>62300</v>
      </c>
      <c r="F18" s="311">
        <f t="shared" si="1"/>
        <v>1</v>
      </c>
    </row>
    <row r="19" spans="2:6" ht="11.25">
      <c r="B19" s="313" t="s">
        <v>813</v>
      </c>
      <c r="C19" s="309" t="s">
        <v>809</v>
      </c>
      <c r="D19" s="314">
        <v>113700</v>
      </c>
      <c r="E19" s="314">
        <f>D19</f>
        <v>113700</v>
      </c>
      <c r="F19" s="311">
        <f t="shared" si="1"/>
        <v>1</v>
      </c>
    </row>
    <row r="20" spans="2:6" ht="11.25">
      <c r="B20" s="313" t="s">
        <v>814</v>
      </c>
      <c r="C20" s="309" t="s">
        <v>809</v>
      </c>
      <c r="D20" s="314">
        <v>17700</v>
      </c>
      <c r="E20" s="314">
        <f>D20</f>
        <v>17700</v>
      </c>
      <c r="F20" s="311">
        <f t="shared" si="1"/>
        <v>1</v>
      </c>
    </row>
    <row r="21" spans="2:6" ht="11.25">
      <c r="B21" s="313" t="s">
        <v>815</v>
      </c>
      <c r="C21" s="309" t="s">
        <v>809</v>
      </c>
      <c r="D21" s="314">
        <v>87500</v>
      </c>
      <c r="E21" s="314">
        <f>D21</f>
        <v>87500</v>
      </c>
      <c r="F21" s="311">
        <f t="shared" si="1"/>
        <v>1</v>
      </c>
    </row>
    <row r="22" spans="2:6" ht="11.25">
      <c r="B22" s="313" t="s">
        <v>816</v>
      </c>
      <c r="C22" s="309" t="s">
        <v>817</v>
      </c>
      <c r="D22" s="314">
        <v>1500</v>
      </c>
      <c r="E22" s="314">
        <f>D22</f>
        <v>1500</v>
      </c>
      <c r="F22" s="311">
        <f t="shared" si="1"/>
        <v>1</v>
      </c>
    </row>
    <row r="23" spans="2:6" ht="13.5" customHeight="1">
      <c r="B23" s="304" t="s">
        <v>818</v>
      </c>
      <c r="C23" s="305"/>
      <c r="D23" s="306"/>
      <c r="E23" s="306"/>
      <c r="F23" s="307"/>
    </row>
    <row r="24" spans="2:6" ht="11.25">
      <c r="B24" s="308" t="s">
        <v>811</v>
      </c>
      <c r="C24" s="309" t="s">
        <v>819</v>
      </c>
      <c r="D24" s="314">
        <v>130</v>
      </c>
      <c r="E24" s="314">
        <v>130</v>
      </c>
      <c r="F24" s="311">
        <f aca="true" t="shared" si="2" ref="F24:F31">E24/D24</f>
        <v>1</v>
      </c>
    </row>
    <row r="25" spans="2:6" ht="11.25">
      <c r="B25" s="308" t="s">
        <v>820</v>
      </c>
      <c r="C25" s="309" t="s">
        <v>821</v>
      </c>
      <c r="D25" s="314">
        <v>3500</v>
      </c>
      <c r="E25" s="314">
        <v>3500</v>
      </c>
      <c r="F25" s="311">
        <f t="shared" si="2"/>
        <v>1</v>
      </c>
    </row>
    <row r="26" spans="2:6" ht="11.25">
      <c r="B26" s="308" t="s">
        <v>822</v>
      </c>
      <c r="C26" s="309" t="s">
        <v>800</v>
      </c>
      <c r="D26" s="314">
        <v>160</v>
      </c>
      <c r="E26" s="314">
        <v>160</v>
      </c>
      <c r="F26" s="311">
        <f t="shared" si="2"/>
        <v>1</v>
      </c>
    </row>
    <row r="27" spans="2:6" ht="11.25">
      <c r="B27" s="308" t="s">
        <v>823</v>
      </c>
      <c r="C27" s="309" t="s">
        <v>800</v>
      </c>
      <c r="D27" s="314">
        <v>3750</v>
      </c>
      <c r="E27" s="314">
        <v>3750</v>
      </c>
      <c r="F27" s="311">
        <f t="shared" si="2"/>
        <v>1</v>
      </c>
    </row>
    <row r="28" spans="2:6" ht="11.25">
      <c r="B28" s="308" t="s">
        <v>813</v>
      </c>
      <c r="C28" s="309" t="s">
        <v>800</v>
      </c>
      <c r="D28" s="314">
        <v>1200</v>
      </c>
      <c r="E28" s="314">
        <v>1200</v>
      </c>
      <c r="F28" s="311">
        <f t="shared" si="2"/>
        <v>1</v>
      </c>
    </row>
    <row r="29" spans="2:6" ht="11.25">
      <c r="B29" s="308" t="s">
        <v>814</v>
      </c>
      <c r="C29" s="309" t="s">
        <v>824</v>
      </c>
      <c r="D29" s="314">
        <v>500</v>
      </c>
      <c r="E29" s="314">
        <v>500</v>
      </c>
      <c r="F29" s="311">
        <f t="shared" si="2"/>
        <v>1</v>
      </c>
    </row>
    <row r="30" spans="2:6" ht="11.25">
      <c r="B30" s="308" t="s">
        <v>815</v>
      </c>
      <c r="C30" s="309" t="s">
        <v>825</v>
      </c>
      <c r="D30" s="314">
        <v>150</v>
      </c>
      <c r="E30" s="314">
        <v>150</v>
      </c>
      <c r="F30" s="311">
        <f t="shared" si="2"/>
        <v>1</v>
      </c>
    </row>
    <row r="31" spans="2:6" ht="11.25">
      <c r="B31" s="308" t="s">
        <v>826</v>
      </c>
      <c r="C31" s="309" t="s">
        <v>827</v>
      </c>
      <c r="D31" s="314">
        <v>4</v>
      </c>
      <c r="E31" s="314">
        <v>4</v>
      </c>
      <c r="F31" s="311">
        <f t="shared" si="2"/>
        <v>1</v>
      </c>
    </row>
    <row r="32" spans="2:6" ht="12" customHeight="1">
      <c r="B32" s="304" t="s">
        <v>828</v>
      </c>
      <c r="C32" s="305"/>
      <c r="D32" s="306"/>
      <c r="E32" s="306"/>
      <c r="F32" s="307"/>
    </row>
    <row r="33" spans="2:6" ht="11.25">
      <c r="B33" s="308" t="s">
        <v>811</v>
      </c>
      <c r="C33" s="309" t="s">
        <v>800</v>
      </c>
      <c r="D33" s="314">
        <v>107</v>
      </c>
      <c r="E33" s="314">
        <v>139</v>
      </c>
      <c r="F33" s="311">
        <f aca="true" t="shared" si="3" ref="F33:F42">E33/D33</f>
        <v>1.2990654205607477</v>
      </c>
    </row>
    <row r="34" spans="2:6" ht="11.25">
      <c r="B34" s="308" t="s">
        <v>820</v>
      </c>
      <c r="C34" s="309" t="s">
        <v>800</v>
      </c>
      <c r="D34" s="314">
        <v>50</v>
      </c>
      <c r="E34" s="314">
        <v>50</v>
      </c>
      <c r="F34" s="311">
        <f t="shared" si="3"/>
        <v>1</v>
      </c>
    </row>
    <row r="35" spans="2:6" ht="11.25">
      <c r="B35" s="308" t="s">
        <v>829</v>
      </c>
      <c r="C35" s="309" t="s">
        <v>800</v>
      </c>
      <c r="D35" s="314">
        <v>150</v>
      </c>
      <c r="E35" s="314">
        <v>150</v>
      </c>
      <c r="F35" s="311">
        <f t="shared" si="3"/>
        <v>1</v>
      </c>
    </row>
    <row r="36" spans="2:6" ht="11.25">
      <c r="B36" s="308" t="s">
        <v>822</v>
      </c>
      <c r="C36" s="309" t="s">
        <v>800</v>
      </c>
      <c r="D36" s="314">
        <v>100</v>
      </c>
      <c r="E36" s="314">
        <v>100</v>
      </c>
      <c r="F36" s="311">
        <f t="shared" si="3"/>
        <v>1</v>
      </c>
    </row>
    <row r="37" spans="2:6" ht="11.25">
      <c r="B37" s="308" t="s">
        <v>830</v>
      </c>
      <c r="C37" s="309" t="s">
        <v>800</v>
      </c>
      <c r="D37" s="314">
        <v>25</v>
      </c>
      <c r="E37" s="314">
        <v>25</v>
      </c>
      <c r="F37" s="311">
        <f t="shared" si="3"/>
        <v>1</v>
      </c>
    </row>
    <row r="38" spans="2:6" ht="11.25">
      <c r="B38" s="308" t="s">
        <v>831</v>
      </c>
      <c r="C38" s="309" t="s">
        <v>800</v>
      </c>
      <c r="D38" s="314">
        <v>210</v>
      </c>
      <c r="E38" s="314">
        <v>210</v>
      </c>
      <c r="F38" s="311">
        <f t="shared" si="3"/>
        <v>1</v>
      </c>
    </row>
    <row r="39" spans="2:6" ht="11.25">
      <c r="B39" s="308" t="s">
        <v>815</v>
      </c>
      <c r="C39" s="309" t="s">
        <v>800</v>
      </c>
      <c r="D39" s="314">
        <v>190</v>
      </c>
      <c r="E39" s="314">
        <v>190</v>
      </c>
      <c r="F39" s="311">
        <f t="shared" si="3"/>
        <v>1</v>
      </c>
    </row>
    <row r="40" spans="2:6" ht="11.25">
      <c r="B40" s="308" t="s">
        <v>826</v>
      </c>
      <c r="C40" s="309" t="s">
        <v>800</v>
      </c>
      <c r="D40" s="314">
        <v>45</v>
      </c>
      <c r="E40" s="314">
        <v>45</v>
      </c>
      <c r="F40" s="311">
        <f t="shared" si="3"/>
        <v>1</v>
      </c>
    </row>
    <row r="41" spans="2:6" ht="11.25">
      <c r="B41" s="308" t="s">
        <v>832</v>
      </c>
      <c r="C41" s="309" t="s">
        <v>800</v>
      </c>
      <c r="D41" s="314">
        <v>300</v>
      </c>
      <c r="E41" s="314">
        <v>300</v>
      </c>
      <c r="F41" s="311">
        <f t="shared" si="3"/>
        <v>1</v>
      </c>
    </row>
    <row r="42" spans="2:6" ht="11.25">
      <c r="B42" s="308" t="s">
        <v>833</v>
      </c>
      <c r="C42" s="309" t="s">
        <v>834</v>
      </c>
      <c r="D42" s="314">
        <v>500</v>
      </c>
      <c r="E42" s="314">
        <f>'Assumptions and Basic Info'!C19</f>
        <v>500</v>
      </c>
      <c r="F42" s="311">
        <f t="shared" si="3"/>
        <v>1</v>
      </c>
    </row>
    <row r="43" ht="11.25">
      <c r="B43" s="300" t="s">
        <v>835</v>
      </c>
    </row>
  </sheetData>
  <printOptions/>
  <pageMargins left="0.75" right="0.75" top="1" bottom="1" header="0.5" footer="0.5"/>
  <pageSetup horizontalDpi="360" verticalDpi="36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6"/>
  <dimension ref="A2:G53"/>
  <sheetViews>
    <sheetView workbookViewId="0" topLeftCell="A7">
      <selection activeCell="C19" sqref="C19"/>
    </sheetView>
  </sheetViews>
  <sheetFormatPr defaultColWidth="9.140625" defaultRowHeight="12.75"/>
  <cols>
    <col min="1" max="1" width="44.140625" style="3" customWidth="1"/>
    <col min="2" max="2" width="10.57421875" style="18" customWidth="1"/>
    <col min="3" max="3" width="10.421875" style="18" customWidth="1"/>
    <col min="4" max="16384" width="9.140625" style="3" customWidth="1"/>
  </cols>
  <sheetData>
    <row r="2" spans="1:4" ht="31.5" customHeight="1">
      <c r="A2" s="365" t="s">
        <v>25</v>
      </c>
      <c r="B2" s="365"/>
      <c r="C2" s="365"/>
      <c r="D2" s="365"/>
    </row>
    <row r="3" spans="1:3" ht="25.5">
      <c r="A3" s="4"/>
      <c r="B3" s="5" t="s">
        <v>26</v>
      </c>
      <c r="C3" s="6" t="s">
        <v>27</v>
      </c>
    </row>
    <row r="4" spans="1:3" ht="12.75">
      <c r="A4" s="366" t="s">
        <v>28</v>
      </c>
      <c r="B4" s="367"/>
      <c r="C4" s="368"/>
    </row>
    <row r="5" spans="1:3" ht="15" customHeight="1">
      <c r="A5" s="7" t="s">
        <v>29</v>
      </c>
      <c r="B5" s="8" t="s">
        <v>30</v>
      </c>
      <c r="C5" s="9">
        <v>186.5</v>
      </c>
    </row>
    <row r="6" spans="1:7" ht="15" customHeight="1">
      <c r="A6" s="10" t="s">
        <v>31</v>
      </c>
      <c r="B6" s="8" t="s">
        <v>30</v>
      </c>
      <c r="C6" s="9">
        <f>C5*0.01</f>
        <v>1.865</v>
      </c>
      <c r="G6" s="11"/>
    </row>
    <row r="7" spans="1:3" ht="15" customHeight="1">
      <c r="A7" s="10" t="s">
        <v>32</v>
      </c>
      <c r="B7" s="8" t="s">
        <v>30</v>
      </c>
      <c r="C7" s="9">
        <v>32</v>
      </c>
    </row>
    <row r="8" spans="1:3" ht="15" customHeight="1">
      <c r="A8" s="12" t="s">
        <v>33</v>
      </c>
      <c r="B8" s="8" t="s">
        <v>30</v>
      </c>
      <c r="C8" s="9">
        <v>3</v>
      </c>
    </row>
    <row r="9" spans="1:7" ht="15" customHeight="1">
      <c r="A9" s="10" t="s">
        <v>34</v>
      </c>
      <c r="B9" s="8" t="s">
        <v>30</v>
      </c>
      <c r="C9" s="9">
        <f>C5+C6+C7+C8</f>
        <v>223.365</v>
      </c>
      <c r="G9" s="13"/>
    </row>
    <row r="10" spans="1:3" ht="15" customHeight="1">
      <c r="A10" s="10" t="s">
        <v>31</v>
      </c>
      <c r="B10" s="8" t="s">
        <v>30</v>
      </c>
      <c r="C10" s="9">
        <f>C9*0.01</f>
        <v>2.2336500000000004</v>
      </c>
    </row>
    <row r="11" spans="1:3" ht="15" customHeight="1">
      <c r="A11" s="10" t="s">
        <v>35</v>
      </c>
      <c r="B11" s="8" t="s">
        <v>30</v>
      </c>
      <c r="C11" s="9">
        <v>25</v>
      </c>
    </row>
    <row r="12" spans="1:3" ht="15" customHeight="1">
      <c r="A12" s="12" t="s">
        <v>36</v>
      </c>
      <c r="B12" s="8" t="s">
        <v>30</v>
      </c>
      <c r="C12" s="9">
        <f>C9+C10+C11</f>
        <v>250.59865000000002</v>
      </c>
    </row>
    <row r="13" spans="1:3" ht="15" customHeight="1">
      <c r="A13" s="12" t="s">
        <v>37</v>
      </c>
      <c r="B13" s="8" t="s">
        <v>38</v>
      </c>
      <c r="C13" s="9">
        <v>550</v>
      </c>
    </row>
    <row r="14" spans="1:3" ht="15" customHeight="1">
      <c r="A14" s="12" t="s">
        <v>36</v>
      </c>
      <c r="B14" s="8" t="s">
        <v>39</v>
      </c>
      <c r="C14" s="14">
        <f>C13*C12</f>
        <v>137829.2575</v>
      </c>
    </row>
    <row r="15" spans="1:3" ht="15" customHeight="1">
      <c r="A15" s="12" t="s">
        <v>40</v>
      </c>
      <c r="B15" s="8" t="s">
        <v>39</v>
      </c>
      <c r="C15" s="9">
        <v>612</v>
      </c>
    </row>
    <row r="16" spans="1:3" ht="15" customHeight="1">
      <c r="A16" s="12" t="s">
        <v>41</v>
      </c>
      <c r="B16" s="8" t="s">
        <v>39</v>
      </c>
      <c r="C16" s="8">
        <v>600</v>
      </c>
    </row>
    <row r="17" spans="1:3" ht="15" customHeight="1">
      <c r="A17" s="12" t="s">
        <v>42</v>
      </c>
      <c r="B17" s="8" t="s">
        <v>39</v>
      </c>
      <c r="C17" s="14">
        <f>C16+C15+C14</f>
        <v>139041.2575</v>
      </c>
    </row>
    <row r="18" spans="1:3" ht="15" customHeight="1">
      <c r="A18" s="12" t="s">
        <v>43</v>
      </c>
      <c r="B18" s="8" t="s">
        <v>39</v>
      </c>
      <c r="C18" s="8">
        <v>106900</v>
      </c>
    </row>
    <row r="19" spans="1:3" ht="15" customHeight="1">
      <c r="A19" s="12" t="s">
        <v>44</v>
      </c>
      <c r="B19" s="8" t="s">
        <v>45</v>
      </c>
      <c r="C19" s="15">
        <f>C17/C18</f>
        <v>1.3006665809167446</v>
      </c>
    </row>
    <row r="20" spans="1:3" ht="47.25" customHeight="1">
      <c r="A20" s="369" t="s">
        <v>46</v>
      </c>
      <c r="B20" s="370"/>
      <c r="C20" s="371"/>
    </row>
    <row r="21" spans="1:3" ht="27" customHeight="1">
      <c r="A21" s="364" t="s">
        <v>47</v>
      </c>
      <c r="B21" s="364"/>
      <c r="C21" s="364"/>
    </row>
    <row r="22" spans="1:3" ht="13.5" customHeight="1">
      <c r="A22" s="16"/>
      <c r="B22" s="16"/>
      <c r="C22" s="16"/>
    </row>
    <row r="23" spans="1:4" ht="26.25" customHeight="1">
      <c r="A23" s="365" t="s">
        <v>48</v>
      </c>
      <c r="B23" s="365"/>
      <c r="C23" s="365"/>
      <c r="D23" s="365"/>
    </row>
    <row r="24" spans="1:4" ht="12.75">
      <c r="A24" s="17"/>
      <c r="B24" s="17"/>
      <c r="C24" s="17"/>
      <c r="D24" s="17"/>
    </row>
    <row r="25" spans="1:3" ht="25.5">
      <c r="A25" s="4"/>
      <c r="B25" s="5" t="s">
        <v>26</v>
      </c>
      <c r="C25" s="6" t="s">
        <v>27</v>
      </c>
    </row>
    <row r="26" spans="1:3" ht="12.75">
      <c r="A26" s="366" t="s">
        <v>49</v>
      </c>
      <c r="B26" s="367"/>
      <c r="C26" s="368"/>
    </row>
    <row r="27" spans="1:3" ht="16.5" customHeight="1">
      <c r="A27" s="7" t="s">
        <v>50</v>
      </c>
      <c r="B27" s="8" t="s">
        <v>30</v>
      </c>
      <c r="C27" s="9">
        <v>124.6</v>
      </c>
    </row>
    <row r="28" spans="1:3" ht="16.5" customHeight="1">
      <c r="A28" s="10" t="s">
        <v>31</v>
      </c>
      <c r="B28" s="8" t="s">
        <v>30</v>
      </c>
      <c r="C28" s="9">
        <f>C27*0.01</f>
        <v>1.246</v>
      </c>
    </row>
    <row r="29" spans="1:3" ht="16.5" customHeight="1">
      <c r="A29" s="10" t="s">
        <v>51</v>
      </c>
      <c r="B29" s="8" t="s">
        <v>30</v>
      </c>
      <c r="C29" s="9">
        <v>25</v>
      </c>
    </row>
    <row r="30" spans="1:3" ht="16.5" customHeight="1">
      <c r="A30" s="12" t="s">
        <v>36</v>
      </c>
      <c r="B30" s="8" t="s">
        <v>30</v>
      </c>
      <c r="C30" s="9">
        <f>C29+C28+C27</f>
        <v>150.846</v>
      </c>
    </row>
    <row r="31" spans="1:3" ht="16.5" customHeight="1">
      <c r="A31" s="12" t="s">
        <v>37</v>
      </c>
      <c r="B31" s="8" t="s">
        <v>38</v>
      </c>
      <c r="C31" s="9">
        <v>550</v>
      </c>
    </row>
    <row r="32" spans="1:3" ht="16.5" customHeight="1">
      <c r="A32" s="12" t="s">
        <v>36</v>
      </c>
      <c r="B32" s="8" t="s">
        <v>39</v>
      </c>
      <c r="C32" s="14">
        <f>C31*C30</f>
        <v>82965.3</v>
      </c>
    </row>
    <row r="33" spans="1:3" ht="16.5" customHeight="1">
      <c r="A33" s="12" t="s">
        <v>52</v>
      </c>
      <c r="B33" s="8" t="s">
        <v>39</v>
      </c>
      <c r="C33" s="9">
        <v>800</v>
      </c>
    </row>
    <row r="34" spans="1:3" ht="16.5" customHeight="1">
      <c r="A34" s="12" t="s">
        <v>41</v>
      </c>
      <c r="B34" s="8" t="s">
        <v>39</v>
      </c>
      <c r="C34" s="8">
        <v>200</v>
      </c>
    </row>
    <row r="35" spans="1:3" ht="16.5" customHeight="1">
      <c r="A35" s="12" t="s">
        <v>42</v>
      </c>
      <c r="B35" s="8" t="s">
        <v>39</v>
      </c>
      <c r="C35" s="14">
        <f>C34+C33+C32</f>
        <v>83965.3</v>
      </c>
    </row>
    <row r="36" spans="1:3" ht="16.5" customHeight="1">
      <c r="A36" s="12"/>
      <c r="B36" s="8" t="s">
        <v>39</v>
      </c>
      <c r="C36" s="8">
        <v>85000</v>
      </c>
    </row>
    <row r="37" spans="1:3" ht="16.5" customHeight="1">
      <c r="A37" s="12" t="s">
        <v>44</v>
      </c>
      <c r="B37" s="8" t="s">
        <v>45</v>
      </c>
      <c r="C37" s="15">
        <f>C35/C36</f>
        <v>0.9878270588235294</v>
      </c>
    </row>
    <row r="38" spans="1:3" ht="40.5" customHeight="1">
      <c r="A38" s="364" t="s">
        <v>53</v>
      </c>
      <c r="B38" s="364"/>
      <c r="C38" s="364"/>
    </row>
    <row r="39" spans="2:3" ht="12.75">
      <c r="B39" s="3"/>
      <c r="C39" s="3"/>
    </row>
    <row r="40" spans="2:3" ht="12.75">
      <c r="B40" s="3"/>
      <c r="C40" s="3"/>
    </row>
    <row r="41" spans="2:3" ht="12.75">
      <c r="B41" s="3"/>
      <c r="C41" s="3"/>
    </row>
    <row r="42" spans="2:3" ht="12.75">
      <c r="B42" s="3"/>
      <c r="C42" s="3"/>
    </row>
    <row r="43" spans="2:3" ht="12.75">
      <c r="B43" s="3"/>
      <c r="C43" s="3"/>
    </row>
    <row r="44" spans="2:3" ht="12.75">
      <c r="B44" s="3"/>
      <c r="C44" s="3"/>
    </row>
    <row r="45" spans="2:3" ht="12.75">
      <c r="B45" s="3"/>
      <c r="C45" s="3"/>
    </row>
    <row r="46" spans="2:3" ht="12.75">
      <c r="B46" s="3"/>
      <c r="C46" s="3"/>
    </row>
    <row r="47" spans="2:3" ht="25.5" customHeight="1">
      <c r="B47" s="3"/>
      <c r="C47" s="3"/>
    </row>
    <row r="48" spans="2:3" ht="12.75">
      <c r="B48" s="3"/>
      <c r="C48" s="3"/>
    </row>
    <row r="49" spans="2:3" ht="12.75">
      <c r="B49" s="3"/>
      <c r="C49" s="3"/>
    </row>
    <row r="50" spans="2:3" ht="12.75">
      <c r="B50" s="3"/>
      <c r="C50" s="3"/>
    </row>
    <row r="51" spans="2:3" ht="12.75">
      <c r="B51" s="3"/>
      <c r="C51" s="3"/>
    </row>
    <row r="52" spans="2:3" ht="12.75">
      <c r="B52" s="3"/>
      <c r="C52" s="3"/>
    </row>
    <row r="53" spans="2:3" ht="12.75">
      <c r="B53" s="3"/>
      <c r="C53" s="3"/>
    </row>
  </sheetData>
  <mergeCells count="7">
    <mergeCell ref="A38:C38"/>
    <mergeCell ref="A2:D2"/>
    <mergeCell ref="A4:C4"/>
    <mergeCell ref="A26:C26"/>
    <mergeCell ref="A20:C20"/>
    <mergeCell ref="A23:D23"/>
    <mergeCell ref="A21:C2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AVAG</dc:creator>
  <cp:keywords/>
  <dc:description/>
  <cp:lastModifiedBy>Tim Breitbarth</cp:lastModifiedBy>
  <cp:lastPrinted>2005-10-22T18:11:06Z</cp:lastPrinted>
  <dcterms:created xsi:type="dcterms:W3CDTF">2005-09-09T07:04:30Z</dcterms:created>
  <dcterms:modified xsi:type="dcterms:W3CDTF">2008-07-01T18:31:13Z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