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8795" windowHeight="12015" activeTab="1"/>
  </bookViews>
  <sheets>
    <sheet name="User's Guide" sheetId="1" r:id="rId1"/>
    <sheet name="Project Description" sheetId="2" r:id="rId2"/>
    <sheet name="ERR &amp; Sensitivity Analysis" sheetId="3" r:id="rId3"/>
    <sheet name="Primary Roads" sheetId="4" r:id="rId4"/>
    <sheet name="Secondary Roads" sheetId="5" r:id="rId5"/>
  </sheets>
  <definedNames/>
  <calcPr fullCalcOnLoad="1"/>
</workbook>
</file>

<file path=xl/sharedStrings.xml><?xml version="1.0" encoding="utf-8"?>
<sst xmlns="http://schemas.openxmlformats.org/spreadsheetml/2006/main" count="171" uniqueCount="113">
  <si>
    <t>VEHICLE OPERATING COSTS SAVINGS</t>
  </si>
  <si>
    <t>N-1</t>
  </si>
  <si>
    <t>N-2</t>
  </si>
  <si>
    <t>VOC</t>
  </si>
  <si>
    <t>w/o proj</t>
  </si>
  <si>
    <t>w/ proj</t>
  </si>
  <si>
    <t>total savings (benefits)</t>
  </si>
  <si>
    <t>savings</t>
  </si>
  <si>
    <t>1 auto</t>
  </si>
  <si>
    <t xml:space="preserve">2 pick-up </t>
  </si>
  <si>
    <t xml:space="preserve">3 Bus </t>
  </si>
  <si>
    <t>4 Cam Liv</t>
  </si>
  <si>
    <t>5 Cam Med</t>
  </si>
  <si>
    <t>6 Cam Pes</t>
  </si>
  <si>
    <t>7 Cam  Art</t>
  </si>
  <si>
    <t>Avg</t>
  </si>
  <si>
    <t>Traffic per Day</t>
  </si>
  <si>
    <t>R-1</t>
  </si>
  <si>
    <t>R-2</t>
  </si>
  <si>
    <t># vehicles/ day</t>
  </si>
  <si>
    <t># vehicles/ year</t>
  </si>
  <si>
    <t># vehicles</t>
  </si>
  <si>
    <t>Maintenance N-1, N-2</t>
  </si>
  <si>
    <t>Year</t>
  </si>
  <si>
    <t xml:space="preserve">USACE Total $ </t>
  </si>
  <si>
    <t>Total/ km</t>
  </si>
  <si>
    <t>R-1 (22 km)</t>
  </si>
  <si>
    <t>R-2 (36 km)</t>
  </si>
  <si>
    <t>Cost-Benefit</t>
  </si>
  <si>
    <t>N-I Total</t>
  </si>
  <si>
    <t>Benefit</t>
  </si>
  <si>
    <t>Cost</t>
  </si>
  <si>
    <t>Ben-Cost</t>
  </si>
  <si>
    <t>Benefit Total</t>
  </si>
  <si>
    <t>ERR</t>
  </si>
  <si>
    <t>Road</t>
  </si>
  <si>
    <t>Km</t>
  </si>
  <si>
    <t>Nejapa – Santa Rita</t>
  </si>
  <si>
    <t>Santa Rita – Izapa</t>
  </si>
  <si>
    <t>cost per segment</t>
  </si>
  <si>
    <t>check with 'budget' tab for costs</t>
  </si>
  <si>
    <t>NI</t>
  </si>
  <si>
    <t xml:space="preserve">Secondary </t>
  </si>
  <si>
    <t>Weighted average ERR</t>
  </si>
  <si>
    <t>Secondary Roads</t>
  </si>
  <si>
    <t>ERRs</t>
  </si>
  <si>
    <t>Benefits</t>
  </si>
  <si>
    <t>Net benefit</t>
  </si>
  <si>
    <t>total cost</t>
  </si>
  <si>
    <t>Last updated:  5/26/2005</t>
  </si>
  <si>
    <t>Project Name</t>
  </si>
  <si>
    <t>Spreadsheet version</t>
  </si>
  <si>
    <t>Investment memo, final</t>
  </si>
  <si>
    <t>Date</t>
  </si>
  <si>
    <t>Amount of MCC funds</t>
  </si>
  <si>
    <t>Project description</t>
  </si>
  <si>
    <t>Benefit streams included in ERR</t>
  </si>
  <si>
    <t>Costs included in ERR (other than costs borne by MCC)</t>
  </si>
  <si>
    <t>Estimated ERR and time horizon</t>
  </si>
  <si>
    <t>Worksheets in this file</t>
  </si>
  <si>
    <t>Project Description</t>
  </si>
  <si>
    <t>One should read this sheet first, as it offers a summary of the project, a list of components, and states the economic rationale for the project.</t>
  </si>
  <si>
    <t>A brief summary of the project's key parameters and ERR calculations.</t>
  </si>
  <si>
    <t>Nicaragua: Transportation</t>
  </si>
  <si>
    <t>Transportation Project</t>
  </si>
  <si>
    <t>Summary</t>
  </si>
  <si>
    <t>Actual benefits as a percentage of estimated benefits</t>
  </si>
  <si>
    <t>Actual costs as a percentage of estimated costs</t>
  </si>
  <si>
    <t>Description of key parameters</t>
  </si>
  <si>
    <t>Parameter values</t>
  </si>
  <si>
    <t>User Input</t>
  </si>
  <si>
    <t>MCC Estimate</t>
  </si>
  <si>
    <t>Plausible Range</t>
  </si>
  <si>
    <t xml:space="preserve">Values used in ERR computation </t>
  </si>
  <si>
    <t>Economic Rate of Return:</t>
  </si>
  <si>
    <t>ERR and sensitivity analysis</t>
  </si>
  <si>
    <t xml:space="preserve">   More Info</t>
  </si>
  <si>
    <t>All summary parameters set to initial values?</t>
  </si>
  <si>
    <t>Parameter type</t>
  </si>
  <si>
    <t>80% - 120%</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</si>
  <si>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</si>
  <si>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r>
      <t xml:space="preserve">   </t>
    </r>
    <r>
      <rPr>
        <u val="single"/>
        <sz val="10"/>
        <color indexed="12"/>
        <rFont val="Arial"/>
        <family val="0"/>
      </rPr>
      <t>Project Description</t>
    </r>
  </si>
  <si>
    <r>
      <t xml:space="preserve">   </t>
    </r>
    <r>
      <rPr>
        <u val="single"/>
        <sz val="10"/>
        <color indexed="12"/>
        <rFont val="Arial"/>
        <family val="0"/>
      </rPr>
      <t>User's Guide</t>
    </r>
  </si>
  <si>
    <r>
      <t xml:space="preserve">MCC Estimated ERR </t>
    </r>
    <r>
      <rPr>
        <b/>
        <sz val="8"/>
        <rFont val="Arial"/>
        <family val="2"/>
      </rPr>
      <t>(as of 5/26/2005)</t>
    </r>
    <r>
      <rPr>
        <b/>
        <sz val="10"/>
        <rFont val="Arial"/>
        <family val="2"/>
      </rPr>
      <t>:</t>
    </r>
  </si>
  <si>
    <t>ERR &amp; Sensitivity Analysis</t>
  </si>
  <si>
    <t xml:space="preserve">VOC savings </t>
  </si>
  <si>
    <t>Compact Year</t>
  </si>
  <si>
    <t>Totals</t>
  </si>
  <si>
    <t>VOC - N-1 (without project)</t>
  </si>
  <si>
    <t>VOC - N-1 (with project)</t>
  </si>
  <si>
    <t>VOC - N-2 (without project)</t>
  </si>
  <si>
    <t>VOC - N-2 (with project)</t>
  </si>
  <si>
    <t>Total Net Benefits</t>
  </si>
  <si>
    <t>Primary &amp; Secondary Roads Combined</t>
  </si>
  <si>
    <t>all figures in millions of US$</t>
  </si>
  <si>
    <t>Components</t>
  </si>
  <si>
    <t>The Transportation Project is designed to reduce transportation costs between Nicaraguan production centers and national, regional and global markets. The key activities of the Transportation Project include:</t>
  </si>
  <si>
    <r>
      <t xml:space="preserve">     1.   </t>
    </r>
    <r>
      <rPr>
        <i/>
        <sz val="10"/>
        <rFont val="Arial"/>
        <family val="2"/>
      </rPr>
      <t>N-I Road</t>
    </r>
    <r>
      <rPr>
        <sz val="10"/>
        <rFont val="Arial"/>
        <family val="0"/>
      </rPr>
      <t>. The improvement of the 58 kilometer road between Izapa and Nejapa.</t>
    </r>
  </si>
  <si>
    <r>
      <t xml:space="preserve">     2.   </t>
    </r>
    <r>
      <rPr>
        <i/>
        <sz val="10"/>
        <rFont val="Arial"/>
        <family val="2"/>
      </rPr>
      <t>Secondary Roads</t>
    </r>
    <r>
      <rPr>
        <sz val="10"/>
        <rFont val="Arial"/>
        <family val="0"/>
      </rPr>
      <t>. The upgrade of key secondary routes to improve the access of rural communities to domestic, 
             regional and global markets.</t>
    </r>
  </si>
  <si>
    <r>
      <t xml:space="preserve">     3.   </t>
    </r>
    <r>
      <rPr>
        <i/>
        <sz val="10"/>
        <rFont val="Arial"/>
        <family val="2"/>
      </rPr>
      <t>Technical Assistance</t>
    </r>
    <r>
      <rPr>
        <sz val="10"/>
        <rFont val="Arial"/>
        <family val="0"/>
      </rPr>
      <t>. The provision of technical assistance to MTI and the Nicaraguan Road Maintenance Fund (Fondo 
             de Mantenimiento).</t>
    </r>
  </si>
  <si>
    <t>Economic Rationale</t>
  </si>
  <si>
    <t>Reduced vehicle operating costs</t>
  </si>
  <si>
    <t>Road maintenance costs</t>
  </si>
  <si>
    <t>13.2% over 21 years</t>
  </si>
  <si>
    <t>Primary Roads</t>
  </si>
  <si>
    <t>Calculates the annual economic costs and benefits of the N-I Highway upgrade and computes the resulting ERR over a 21-year time period.</t>
  </si>
  <si>
    <t>Calculates the annual economic costs and benefits of the secondary road upgrades and computes the resulting ERR over a 21-year time period.</t>
  </si>
  <si>
    <t xml:space="preserve">     High transportation costs are a significant impediment to economic growth in Nicaragua. Even as regional commercial agendas such as DR-CAFTA promise to create a more competitive environment for trade, the cost and efficiency of the country’s transportation network continues to hold back its true productive capacity. With an average truck speed of 20 kilometers per hour, this inadequate infrastructure has driven transportation costs in the region to twice that of comparable transportation costs in the United States.</t>
  </si>
  <si>
    <t xml:space="preserve">     The 3,150 kilometer Pacific Corridor links Mexico, Guatemala, Honduras, El Salvador, Nicaragua, Costa Rica and Panama. In Nicaragua, the Pacific Corridor connects the Honduran border at Guasaule to the Costa Rican border and major production and consumption centers in and around the cities of Managua, León and Chinandega. The World Bank, the Central American Bank for Economic Integration, and the Nordic Development Fund have financed the construction of a modern transportation route from the Honduran border to the town of Izapa, approximately 58 kilometers from the capital of Managua. This remaining 58 kilometer stretch of road between Izapa and Nejapa (the “N-I Road”) on the outskirts of Managua is the final section needed to create an effective trade corridor linking producers and consumers in Managua to markets north in neighboring Honduras and El Salvador and linking producers in León and Chinandega to Managua and markets south. The current poor condition of the N-I Road has forced commercial traffic to be routed through highly populated centers along Lake Managua, negatively impacting service levels, maintenance, and safety.</t>
  </si>
  <si>
    <t xml:space="preserve">     The ERR for the Transportation Project is estimated to be 13 percent. This return is the weighted average of the returns for two activities: Pacific Coast Logistical Corridor (19 percent) and Secondary Roads (8 percent minimum). The economic benefits from the Transportation Project derive both from the direct benefits of reduced transportation costs and from the stimulus to new investment from lower transportation costs. The stimulation of new businesses and investments due to lower transport costs are more difficult to measure, but are likely to increase the economic benefits. Sectors whose ratio of transport costs to production price is relatively high, such as agriculture and agro-processing, are likely to receive new investments as a result of improved infrastructure. Improved transportation can have additional benefits through increased school enrollment and improved health outcomes. These indirect benefits have not been factored into the economic returns, so the ERR mentioned above is likely a conservative estimate of the gains from the Project.</t>
  </si>
  <si>
    <t>$92.8 million</t>
  </si>
  <si>
    <t>At the time of compact signing, MCC agreed to provide $92.8 million to improve a 58-kilometer segment of the Pacific Corridor highway between Izapa and Nejapa, near Managua, upgrade key secondary routes to link rural producers to the primary road network, and provide technical assistance to improve the investment and maintenance planning capabilities of Nicaragua’s Ministry of Transportation.  This Project will reduce transportation costs, stimulate economic development, and improve access to markets and social services for road users.</t>
  </si>
  <si>
    <r>
      <t>Note:</t>
    </r>
    <r>
      <rPr>
        <sz val="10"/>
        <color indexed="17"/>
        <rFont val="Arial"/>
        <family val="2"/>
      </rPr>
      <t xml:space="preserve"> The spreadsheets reflect the best data available to MCC at the time the project was approved for investment.  Many of the parameters that are used in these pre-investment estimates change over time, so ERRs may not reflect the actual implementation experience. When project designs or model parameters change significantly, MCC may revise these models; updated information will be posted on the MCC website as it becomes available.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</si>
</sst>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_(* #,##0_);_(* \(#,##0\);_(* &quot;-&quot;??_);_(@_)"/>
    <numFmt numFmtId="167" formatCode="_(&quot;$&quot;* #,##0_);_(&quot;$&quot;* \(#,##0\);_(&quot;$&quot;* &quot;-&quot;??_);_(@_)"/>
    <numFmt numFmtId="168" formatCode="_(&quot;$&quot;* #,##0.0_);_(&quot;$&quot;* \(#,##0.0\);_(&quot;$&quot;* &quot;-&quot;??_);_(@_)"/>
    <numFmt numFmtId="169" formatCode="0.0%"/>
    <numFmt numFmtId="170" formatCode="_(* #,##0.0_);_(* \(#,##0.0\);_(* &quot;-&quot;?_);_(@_)"/>
    <numFmt numFmtId="171" formatCode="_ * #,##0_ ;_ * \-#,##0_ ;_ * &quot;-&quot;??_ ;_ @_ "/>
    <numFmt numFmtId="172" formatCode="_ * #,##0.00_ ;_ * \-#,##0.00_ ;_ * &quot;-&quot;??_ ;_ @_ "/>
    <numFmt numFmtId="173" formatCode="0.00_);\(0.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h:mm:ss\ AM/PM"/>
    <numFmt numFmtId="180" formatCode="00000"/>
    <numFmt numFmtId="181" formatCode="&quot;$&quot;#,##0"/>
  </numFmts>
  <fonts count="21">
    <font>
      <sz val="10"/>
      <name val="Arial"/>
      <family val="0"/>
    </font>
    <font>
      <b/>
      <sz val="10"/>
      <name val="Arial"/>
      <family val="2"/>
    </font>
    <font>
      <b/>
      <u val="single"/>
      <sz val="10"/>
      <name val="Arial"/>
      <family val="2"/>
    </font>
    <font>
      <b/>
      <sz val="8"/>
      <name val="Arial"/>
      <family val="2"/>
    </font>
    <font>
      <sz val="8"/>
      <name val="Arial"/>
      <family val="0"/>
    </font>
    <font>
      <sz val="8"/>
      <color indexed="17"/>
      <name val="Arial"/>
      <family val="2"/>
    </font>
    <font>
      <b/>
      <sz val="16"/>
      <name val="Arial"/>
      <family val="2"/>
    </font>
    <font>
      <u val="single"/>
      <sz val="10"/>
      <color indexed="12"/>
      <name val="Arial"/>
      <family val="0"/>
    </font>
    <font>
      <sz val="12"/>
      <name val="Times New Roman"/>
      <family val="1"/>
    </font>
    <font>
      <b/>
      <sz val="10"/>
      <color indexed="12"/>
      <name val="Arial"/>
      <family val="2"/>
    </font>
    <font>
      <u val="single"/>
      <sz val="10"/>
      <color indexed="36"/>
      <name val="Arial"/>
      <family val="0"/>
    </font>
    <font>
      <sz val="14"/>
      <name val="Arial"/>
      <family val="2"/>
    </font>
    <font>
      <sz val="10"/>
      <color indexed="12"/>
      <name val="Arial"/>
      <family val="2"/>
    </font>
    <font>
      <b/>
      <sz val="12"/>
      <name val="Arial"/>
      <family val="2"/>
    </font>
    <font>
      <sz val="10"/>
      <color indexed="23"/>
      <name val="Arial"/>
      <family val="2"/>
    </font>
    <font>
      <b/>
      <sz val="10"/>
      <color indexed="55"/>
      <name val="Arial"/>
      <family val="2"/>
    </font>
    <font>
      <b/>
      <sz val="10"/>
      <color indexed="9"/>
      <name val="Arial"/>
      <family val="2"/>
    </font>
    <font>
      <b/>
      <sz val="11"/>
      <name val="Arial"/>
      <family val="2"/>
    </font>
    <font>
      <i/>
      <sz val="10"/>
      <name val="Arial"/>
      <family val="2"/>
    </font>
    <font>
      <b/>
      <sz val="10"/>
      <color indexed="17"/>
      <name val="Arial"/>
      <family val="2"/>
    </font>
    <font>
      <sz val="10"/>
      <color indexed="17"/>
      <name val="Arial"/>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4"/>
        <bgColor indexed="64"/>
      </patternFill>
    </fill>
  </fills>
  <borders count="73">
    <border>
      <left/>
      <right/>
      <top/>
      <bottom/>
      <diagonal/>
    </border>
    <border>
      <left style="dashed">
        <color indexed="9"/>
      </left>
      <right style="dashed">
        <color indexed="9"/>
      </right>
      <top style="dashed">
        <color indexed="9"/>
      </top>
      <bottom style="dashed">
        <color indexed="9"/>
      </bottom>
    </border>
    <border>
      <left style="double"/>
      <right style="thin"/>
      <top style="double"/>
      <bottom style="double"/>
    </border>
    <border>
      <left>
        <color indexed="63"/>
      </left>
      <right style="double"/>
      <top style="double"/>
      <bottom style="double"/>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style="double"/>
      <right style="thin"/>
      <top>
        <color indexed="63"/>
      </top>
      <bottom>
        <color indexed="63"/>
      </bottom>
    </border>
    <border>
      <left>
        <color indexed="63"/>
      </left>
      <right style="double"/>
      <top>
        <color indexed="63"/>
      </top>
      <bottom>
        <color indexed="63"/>
      </bottom>
    </border>
    <border>
      <left style="double"/>
      <right style="thin"/>
      <top style="thin"/>
      <bottom style="thin"/>
    </border>
    <border>
      <left>
        <color indexed="63"/>
      </left>
      <right style="double"/>
      <top style="thin"/>
      <bottom style="thin"/>
    </border>
    <border>
      <left style="double"/>
      <right style="thin"/>
      <top style="thin"/>
      <bottom>
        <color indexed="63"/>
      </bottom>
    </border>
    <border>
      <left>
        <color indexed="63"/>
      </left>
      <right style="double"/>
      <top style="thin"/>
      <bottom>
        <color indexed="63"/>
      </bottom>
    </border>
    <border>
      <left>
        <color indexed="63"/>
      </left>
      <right style="double"/>
      <top>
        <color indexed="63"/>
      </top>
      <bottom style="double"/>
    </border>
    <border>
      <left>
        <color indexed="63"/>
      </left>
      <right style="double">
        <color indexed="9"/>
      </right>
      <top>
        <color indexed="63"/>
      </top>
      <bottom style="double">
        <color indexed="9"/>
      </bottom>
    </border>
    <border>
      <left style="double">
        <color indexed="9"/>
      </left>
      <right style="medium">
        <color indexed="9"/>
      </right>
      <top>
        <color indexed="63"/>
      </top>
      <bottom style="medium">
        <color indexed="9"/>
      </bottom>
    </border>
    <border>
      <left>
        <color indexed="63"/>
      </left>
      <right style="double">
        <color indexed="9"/>
      </right>
      <top style="double">
        <color indexed="9"/>
      </top>
      <bottom style="double">
        <color indexed="9"/>
      </bottom>
    </border>
    <border>
      <left style="double">
        <color indexed="9"/>
      </left>
      <right style="medium">
        <color indexed="9"/>
      </right>
      <top style="medium">
        <color indexed="9"/>
      </top>
      <bottom style="medium">
        <color indexed="9"/>
      </bottom>
    </border>
    <border>
      <left style="double">
        <color indexed="9"/>
      </left>
      <right style="medium">
        <color indexed="9"/>
      </right>
      <top style="medium">
        <color indexed="9"/>
      </top>
      <bottom style="double">
        <color indexed="9"/>
      </bottom>
    </border>
    <border>
      <left style="double">
        <color indexed="9"/>
      </left>
      <right>
        <color indexed="63"/>
      </right>
      <top style="double">
        <color indexed="9"/>
      </top>
      <bottom style="double">
        <color indexed="9"/>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style="double">
        <color indexed="9"/>
      </right>
      <top style="double">
        <color indexed="9"/>
      </top>
      <bottom>
        <color indexed="63"/>
      </bottom>
    </border>
    <border>
      <left style="double">
        <color indexed="9"/>
      </left>
      <right>
        <color indexed="63"/>
      </right>
      <top style="double">
        <color indexed="9"/>
      </top>
      <bottom>
        <color indexed="63"/>
      </bottom>
    </border>
    <border>
      <left style="hair"/>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medium"/>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thin"/>
      <right style="medium"/>
      <top>
        <color indexed="63"/>
      </top>
      <bottom style="medium"/>
    </border>
    <border>
      <left style="thin"/>
      <right style="thick"/>
      <top>
        <color indexed="63"/>
      </top>
      <bottom>
        <color indexed="63"/>
      </bottom>
    </border>
    <border>
      <left style="thick"/>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style="thick"/>
      <top>
        <color indexed="63"/>
      </top>
      <bottom style="medium"/>
    </border>
    <border>
      <left style="thin"/>
      <right style="medium"/>
      <top style="medium"/>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ck"/>
      <right>
        <color indexed="63"/>
      </right>
      <top>
        <color indexed="63"/>
      </top>
      <bottom style="medium"/>
    </border>
    <border>
      <left style="double"/>
      <right style="thin"/>
      <top>
        <color indexed="63"/>
      </top>
      <bottom style="double"/>
    </border>
    <border>
      <left>
        <color indexed="63"/>
      </left>
      <right style="thin"/>
      <top style="thin"/>
      <bottom style="thin"/>
    </border>
    <border>
      <left style="medium"/>
      <right style="thin"/>
      <top style="thin"/>
      <bottom style="thin"/>
    </border>
    <border>
      <left style="thin"/>
      <right style="medium"/>
      <top style="thin"/>
      <bottom>
        <color indexed="63"/>
      </bottom>
    </border>
    <border>
      <left>
        <color indexed="63"/>
      </left>
      <right>
        <color indexed="63"/>
      </right>
      <top style="medium"/>
      <bottom style="thick"/>
    </border>
    <border>
      <left>
        <color indexed="63"/>
      </left>
      <right style="thick"/>
      <top style="medium"/>
      <bottom style="thick"/>
    </border>
    <border>
      <left style="thick"/>
      <right>
        <color indexed="63"/>
      </right>
      <top style="medium"/>
      <bottom style="thick"/>
    </border>
    <border>
      <left>
        <color indexed="63"/>
      </left>
      <right style="medium"/>
      <top style="medium"/>
      <bottom style="thick"/>
    </border>
    <border>
      <left style="medium"/>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18">
    <xf numFmtId="0" fontId="0" fillId="0" borderId="0" xfId="0" applyAlignment="1">
      <alignment/>
    </xf>
    <xf numFmtId="0" fontId="1" fillId="0" borderId="0" xfId="0" applyFont="1" applyFill="1" applyBorder="1" applyAlignment="1">
      <alignment vertical="center" wrapText="1"/>
    </xf>
    <xf numFmtId="0" fontId="0" fillId="0" borderId="0" xfId="21" applyAlignment="1">
      <alignment vertical="center" wrapText="1"/>
      <protection/>
    </xf>
    <xf numFmtId="2" fontId="5" fillId="0" borderId="1" xfId="0" applyNumberFormat="1" applyFont="1" applyBorder="1" applyAlignment="1">
      <alignment horizontal="right" vertical="center" wrapText="1"/>
    </xf>
    <xf numFmtId="0" fontId="0" fillId="0" borderId="0" xfId="21" applyFont="1" applyAlignment="1">
      <alignment vertical="center" wrapText="1"/>
      <protection/>
    </xf>
    <xf numFmtId="0" fontId="0" fillId="0" borderId="2"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14" fontId="0" fillId="0" borderId="10" xfId="0" applyNumberFormat="1" applyFont="1" applyBorder="1" applyAlignment="1">
      <alignment horizontal="lef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8" xfId="0" applyBorder="1" applyAlignment="1">
      <alignment vertical="center" wrapText="1"/>
    </xf>
    <xf numFmtId="0" fontId="7" fillId="0" borderId="8" xfId="20" applyBorder="1" applyAlignment="1">
      <alignment vertical="center" wrapText="1"/>
    </xf>
    <xf numFmtId="0" fontId="0" fillId="0" borderId="13" xfId="0" applyFont="1" applyBorder="1" applyAlignment="1">
      <alignment vertical="center" wrapText="1"/>
    </xf>
    <xf numFmtId="0" fontId="8"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0" fillId="0" borderId="25" xfId="0"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5" fillId="0" borderId="0" xfId="0" applyFont="1" applyAlignment="1">
      <alignment horizontal="right"/>
    </xf>
    <xf numFmtId="0" fontId="0" fillId="2" borderId="0" xfId="0" applyFill="1" applyBorder="1" applyAlignment="1">
      <alignment vertical="center"/>
    </xf>
    <xf numFmtId="0" fontId="0" fillId="0" borderId="0" xfId="0" applyBorder="1" applyAlignment="1">
      <alignment horizontal="left" vertical="center" wrapText="1"/>
    </xf>
    <xf numFmtId="0" fontId="9"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0" fillId="0" borderId="28" xfId="0" applyBorder="1" applyAlignment="1">
      <alignment vertical="center"/>
    </xf>
    <xf numFmtId="0" fontId="0" fillId="0" borderId="27" xfId="0" applyBorder="1" applyAlignment="1">
      <alignment vertical="center" wrapText="1"/>
    </xf>
    <xf numFmtId="9" fontId="9" fillId="3" borderId="0" xfId="0" applyNumberFormat="1" applyFont="1" applyFill="1" applyBorder="1" applyAlignment="1">
      <alignment horizontal="center" vertical="center"/>
    </xf>
    <xf numFmtId="9" fontId="0" fillId="0" borderId="27" xfId="0" applyNumberFormat="1" applyBorder="1" applyAlignment="1">
      <alignment horizontal="center" vertical="center"/>
    </xf>
    <xf numFmtId="9" fontId="0" fillId="0" borderId="0" xfId="0" applyNumberFormat="1" applyBorder="1" applyAlignment="1">
      <alignment horizontal="center" vertical="center"/>
    </xf>
    <xf numFmtId="9" fontId="0" fillId="4" borderId="27" xfId="0" applyNumberFormat="1" applyFill="1" applyBorder="1" applyAlignment="1">
      <alignment horizontal="center" vertical="center"/>
    </xf>
    <xf numFmtId="0" fontId="15" fillId="0" borderId="29" xfId="0" applyFont="1" applyFill="1" applyBorder="1" applyAlignment="1">
      <alignment horizontal="center" vertical="center" wrapText="1"/>
    </xf>
    <xf numFmtId="0" fontId="0" fillId="0" borderId="30" xfId="0" applyBorder="1" applyAlignment="1">
      <alignment vertical="center"/>
    </xf>
    <xf numFmtId="0" fontId="0" fillId="0" borderId="29" xfId="0" applyBorder="1" applyAlignment="1">
      <alignment vertical="center" wrapText="1"/>
    </xf>
    <xf numFmtId="9" fontId="9" fillId="3" borderId="31" xfId="0" applyNumberFormat="1" applyFont="1" applyFill="1" applyBorder="1" applyAlignment="1">
      <alignment horizontal="center" vertical="center"/>
    </xf>
    <xf numFmtId="9" fontId="0" fillId="0" borderId="29" xfId="0" applyNumberFormat="1" applyBorder="1" applyAlignment="1">
      <alignment horizontal="center" vertical="center"/>
    </xf>
    <xf numFmtId="9" fontId="0" fillId="0" borderId="31" xfId="0" applyNumberFormat="1" applyBorder="1" applyAlignment="1">
      <alignment horizontal="center" vertical="center"/>
    </xf>
    <xf numFmtId="9" fontId="0" fillId="4" borderId="29" xfId="0" applyNumberFormat="1" applyFill="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wrapText="1"/>
    </xf>
    <xf numFmtId="9" fontId="9"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1" fillId="0" borderId="26" xfId="0" applyFont="1" applyBorder="1" applyAlignment="1">
      <alignment vertical="center"/>
    </xf>
    <xf numFmtId="0" fontId="12" fillId="0" borderId="32" xfId="20" applyFont="1" applyBorder="1" applyAlignment="1">
      <alignment vertical="center"/>
    </xf>
    <xf numFmtId="2" fontId="0" fillId="2" borderId="0" xfId="0" applyNumberFormat="1" applyFill="1" applyBorder="1" applyAlignment="1">
      <alignment vertical="center"/>
    </xf>
    <xf numFmtId="0" fontId="1" fillId="0" borderId="0" xfId="0" applyFont="1" applyBorder="1" applyAlignment="1">
      <alignment horizontal="right" vertical="center"/>
    </xf>
    <xf numFmtId="169" fontId="16" fillId="5" borderId="26" xfId="0" applyNumberFormat="1" applyFont="1" applyFill="1" applyBorder="1" applyAlignment="1">
      <alignment horizontal="center" vertical="center"/>
    </xf>
    <xf numFmtId="169" fontId="0" fillId="0" borderId="0" xfId="0" applyNumberFormat="1" applyBorder="1" applyAlignment="1">
      <alignment horizontal="center" vertical="center"/>
    </xf>
    <xf numFmtId="169" fontId="0" fillId="0" borderId="26" xfId="0" applyNumberFormat="1" applyBorder="1" applyAlignment="1">
      <alignment horizontal="center" vertical="center"/>
    </xf>
    <xf numFmtId="2" fontId="0" fillId="0" borderId="0" xfId="0" applyNumberFormat="1" applyBorder="1" applyAlignment="1">
      <alignment vertical="center"/>
    </xf>
    <xf numFmtId="10" fontId="0" fillId="2" borderId="0" xfId="0" applyNumberFormat="1" applyFill="1" applyBorder="1" applyAlignment="1">
      <alignment vertical="center"/>
    </xf>
    <xf numFmtId="0" fontId="1" fillId="2" borderId="0" xfId="0" applyFont="1" applyFill="1" applyBorder="1" applyAlignment="1">
      <alignment horizontal="right" vertical="center"/>
    </xf>
    <xf numFmtId="0" fontId="1" fillId="2" borderId="0" xfId="0" applyFont="1" applyFill="1" applyBorder="1" applyAlignment="1">
      <alignment vertical="center"/>
    </xf>
    <xf numFmtId="43" fontId="0" fillId="2" borderId="0" xfId="0" applyNumberFormat="1" applyFill="1" applyBorder="1" applyAlignment="1">
      <alignment vertical="center"/>
    </xf>
    <xf numFmtId="43" fontId="0" fillId="2" borderId="0" xfId="0" applyNumberFormat="1" applyFill="1" applyBorder="1" applyAlignment="1">
      <alignment horizontal="right" vertical="center"/>
    </xf>
    <xf numFmtId="173" fontId="0" fillId="2" borderId="0" xfId="0" applyNumberFormat="1" applyFill="1" applyBorder="1" applyAlignment="1">
      <alignment vertical="center"/>
    </xf>
    <xf numFmtId="9" fontId="0" fillId="2" borderId="0" xfId="0" applyNumberFormat="1" applyFill="1" applyBorder="1" applyAlignment="1">
      <alignment vertical="center"/>
    </xf>
    <xf numFmtId="44" fontId="0" fillId="2" borderId="0" xfId="0" applyNumberFormat="1" applyFill="1" applyBorder="1" applyAlignment="1">
      <alignment vertical="center"/>
    </xf>
    <xf numFmtId="44" fontId="0" fillId="2" borderId="0" xfId="17" applyFill="1" applyBorder="1" applyAlignment="1">
      <alignment vertical="center"/>
    </xf>
    <xf numFmtId="0" fontId="17" fillId="2" borderId="0" xfId="0" applyFont="1" applyFill="1" applyBorder="1" applyAlignment="1">
      <alignment horizontal="center" vertical="center"/>
    </xf>
    <xf numFmtId="9" fontId="0" fillId="0" borderId="0" xfId="0" applyNumberFormat="1" applyBorder="1" applyAlignment="1">
      <alignment vertical="center"/>
    </xf>
    <xf numFmtId="0" fontId="7" fillId="0" borderId="8" xfId="20" applyFont="1" applyBorder="1" applyAlignment="1">
      <alignment vertical="center" wrapText="1"/>
    </xf>
    <xf numFmtId="0" fontId="0" fillId="0" borderId="0" xfId="0" applyFill="1" applyBorder="1" applyAlignment="1">
      <alignment horizontal="center" vertical="center"/>
    </xf>
    <xf numFmtId="0" fontId="0" fillId="0" borderId="33" xfId="0" applyFill="1" applyBorder="1" applyAlignment="1">
      <alignment horizontal="center" vertical="center"/>
    </xf>
    <xf numFmtId="165" fontId="0" fillId="0" borderId="0" xfId="0" applyNumberForma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2" xfId="0" applyFont="1" applyFill="1" applyBorder="1" applyAlignment="1">
      <alignment vertical="center"/>
    </xf>
    <xf numFmtId="3" fontId="0" fillId="0" borderId="0" xfId="0" applyNumberFormat="1" applyFill="1" applyBorder="1" applyAlignment="1">
      <alignment horizontal="center" vertical="center"/>
    </xf>
    <xf numFmtId="0" fontId="1" fillId="0" borderId="32"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36" xfId="0" applyFill="1" applyBorder="1" applyAlignment="1">
      <alignment vertical="center"/>
    </xf>
    <xf numFmtId="0" fontId="0" fillId="0" borderId="37" xfId="0" applyFill="1" applyBorder="1" applyAlignment="1">
      <alignment vertical="center"/>
    </xf>
    <xf numFmtId="0" fontId="0" fillId="0" borderId="0"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1" fillId="0" borderId="0" xfId="0" applyFont="1" applyFill="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5" xfId="0" applyFill="1" applyBorder="1" applyAlignment="1">
      <alignment horizontal="center" vertical="center"/>
    </xf>
    <xf numFmtId="0" fontId="1" fillId="0" borderId="37" xfId="0" applyFont="1" applyFill="1" applyBorder="1" applyAlignment="1">
      <alignment vertical="center"/>
    </xf>
    <xf numFmtId="164" fontId="0" fillId="0" borderId="41" xfId="0" applyNumberFormat="1" applyFont="1" applyFill="1" applyBorder="1" applyAlignment="1">
      <alignment vertical="center"/>
    </xf>
    <xf numFmtId="164" fontId="0" fillId="0" borderId="33" xfId="0" applyNumberFormat="1" applyFont="1" applyFill="1" applyBorder="1" applyAlignment="1">
      <alignment vertical="center"/>
    </xf>
    <xf numFmtId="2" fontId="0" fillId="0" borderId="0" xfId="0" applyNumberFormat="1" applyFill="1" applyBorder="1" applyAlignment="1">
      <alignment vertical="center"/>
    </xf>
    <xf numFmtId="3" fontId="0" fillId="0" borderId="42" xfId="0" applyNumberFormat="1" applyFill="1" applyBorder="1" applyAlignment="1">
      <alignment vertical="center"/>
    </xf>
    <xf numFmtId="164" fontId="0" fillId="0" borderId="38" xfId="0" applyNumberFormat="1" applyFont="1" applyFill="1" applyBorder="1" applyAlignment="1">
      <alignment vertical="center"/>
    </xf>
    <xf numFmtId="164" fontId="0" fillId="0" borderId="32" xfId="0" applyNumberFormat="1" applyFill="1" applyBorder="1" applyAlignment="1">
      <alignment vertical="center"/>
    </xf>
    <xf numFmtId="164" fontId="0" fillId="0" borderId="0" xfId="0" applyNumberFormat="1" applyFill="1" applyBorder="1" applyAlignment="1">
      <alignment vertical="center"/>
    </xf>
    <xf numFmtId="0" fontId="0" fillId="0" borderId="0" xfId="0" applyFont="1" applyFill="1" applyAlignment="1">
      <alignment vertical="center"/>
    </xf>
    <xf numFmtId="164" fontId="0" fillId="0" borderId="43" xfId="0" applyNumberFormat="1" applyFont="1" applyFill="1" applyBorder="1" applyAlignment="1">
      <alignment vertical="center"/>
    </xf>
    <xf numFmtId="164" fontId="0" fillId="0" borderId="32" xfId="0" applyNumberFormat="1" applyFont="1" applyFill="1" applyBorder="1" applyAlignment="1">
      <alignment vertical="center"/>
    </xf>
    <xf numFmtId="0" fontId="1" fillId="0" borderId="44" xfId="0" applyFont="1" applyFill="1" applyBorder="1" applyAlignment="1">
      <alignment vertical="center"/>
    </xf>
    <xf numFmtId="164" fontId="0" fillId="0" borderId="34" xfId="0" applyNumberFormat="1" applyFont="1" applyFill="1" applyBorder="1" applyAlignment="1">
      <alignment vertical="center"/>
    </xf>
    <xf numFmtId="164" fontId="0" fillId="0" borderId="35" xfId="0" applyNumberFormat="1" applyFont="1" applyFill="1" applyBorder="1" applyAlignment="1">
      <alignment vertical="center"/>
    </xf>
    <xf numFmtId="2" fontId="0" fillId="0" borderId="34" xfId="0" applyNumberFormat="1" applyFill="1" applyBorder="1" applyAlignment="1">
      <alignment vertical="center"/>
    </xf>
    <xf numFmtId="3" fontId="0" fillId="0" borderId="45" xfId="0" applyNumberFormat="1" applyFill="1" applyBorder="1" applyAlignment="1">
      <alignment vertical="center"/>
    </xf>
    <xf numFmtId="164" fontId="0" fillId="0" borderId="40" xfId="0" applyNumberFormat="1" applyFont="1" applyFill="1" applyBorder="1" applyAlignment="1">
      <alignment vertical="center"/>
    </xf>
    <xf numFmtId="164" fontId="0" fillId="0" borderId="35" xfId="0" applyNumberFormat="1" applyFill="1" applyBorder="1" applyAlignment="1">
      <alignment vertical="center"/>
    </xf>
    <xf numFmtId="164" fontId="0" fillId="0" borderId="34" xfId="0" applyNumberFormat="1" applyFill="1" applyBorder="1" applyAlignment="1">
      <alignment vertical="center"/>
    </xf>
    <xf numFmtId="1" fontId="0" fillId="0" borderId="0" xfId="0" applyNumberFormat="1" applyFont="1" applyFill="1" applyBorder="1" applyAlignment="1">
      <alignment vertical="center"/>
    </xf>
    <xf numFmtId="1" fontId="0" fillId="0" borderId="32" xfId="0" applyNumberFormat="1" applyFont="1" applyFill="1" applyBorder="1" applyAlignment="1">
      <alignment vertical="center"/>
    </xf>
    <xf numFmtId="1" fontId="0" fillId="0" borderId="28" xfId="0" applyNumberFormat="1" applyFont="1" applyFill="1" applyBorder="1" applyAlignment="1">
      <alignment vertical="center"/>
    </xf>
    <xf numFmtId="1" fontId="0" fillId="0" borderId="46" xfId="0" applyNumberFormat="1" applyFill="1" applyBorder="1" applyAlignment="1">
      <alignment vertical="center"/>
    </xf>
    <xf numFmtId="1" fontId="0" fillId="0" borderId="0" xfId="0" applyNumberFormat="1" applyFill="1" applyBorder="1" applyAlignment="1">
      <alignment vertical="center"/>
    </xf>
    <xf numFmtId="3" fontId="0" fillId="0" borderId="32" xfId="0" applyNumberFormat="1" applyFill="1" applyBorder="1" applyAlignment="1">
      <alignment vertical="center"/>
    </xf>
    <xf numFmtId="3" fontId="0" fillId="0" borderId="0" xfId="0" applyNumberFormat="1" applyFill="1" applyAlignment="1">
      <alignment vertical="center"/>
    </xf>
    <xf numFmtId="0" fontId="0" fillId="0" borderId="34" xfId="0" applyFill="1" applyBorder="1" applyAlignment="1">
      <alignment vertical="center"/>
    </xf>
    <xf numFmtId="0" fontId="0" fillId="0" borderId="0" xfId="0" applyFill="1" applyBorder="1" applyAlignment="1">
      <alignment vertical="center" wrapText="1"/>
    </xf>
    <xf numFmtId="3" fontId="0" fillId="0" borderId="0" xfId="0" applyNumberFormat="1" applyFont="1" applyFill="1" applyBorder="1" applyAlignment="1">
      <alignment vertical="center"/>
    </xf>
    <xf numFmtId="3" fontId="0" fillId="0" borderId="0" xfId="0" applyNumberFormat="1" applyFill="1" applyBorder="1" applyAlignment="1">
      <alignment vertical="center"/>
    </xf>
    <xf numFmtId="3" fontId="0" fillId="0" borderId="47" xfId="0" applyNumberFormat="1" applyFont="1" applyFill="1" applyBorder="1" applyAlignment="1">
      <alignment vertical="center"/>
    </xf>
    <xf numFmtId="166" fontId="0" fillId="0" borderId="48" xfId="15" applyNumberFormat="1" applyFont="1" applyFill="1" applyBorder="1" applyAlignment="1">
      <alignment vertical="center"/>
    </xf>
    <xf numFmtId="0" fontId="1" fillId="0" borderId="0" xfId="0" applyFont="1" applyFill="1" applyBorder="1" applyAlignment="1">
      <alignment vertical="center"/>
    </xf>
    <xf numFmtId="9" fontId="1" fillId="0" borderId="0" xfId="0" applyNumberFormat="1" applyFont="1" applyFill="1" applyBorder="1" applyAlignment="1">
      <alignment vertical="center"/>
    </xf>
    <xf numFmtId="9" fontId="0" fillId="0" borderId="0" xfId="22" applyFill="1" applyBorder="1" applyAlignment="1">
      <alignment vertical="center"/>
    </xf>
    <xf numFmtId="0" fontId="0" fillId="0" borderId="44" xfId="0" applyFill="1" applyBorder="1" applyAlignment="1">
      <alignment horizontal="center"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45" xfId="0" applyFill="1" applyBorder="1" applyAlignment="1">
      <alignment vertical="center" wrapText="1"/>
    </xf>
    <xf numFmtId="1" fontId="0" fillId="0" borderId="42" xfId="0" applyNumberFormat="1" applyFill="1" applyBorder="1" applyAlignment="1">
      <alignment vertical="center"/>
    </xf>
    <xf numFmtId="0" fontId="1" fillId="0" borderId="38" xfId="0" applyFont="1" applyFill="1" applyBorder="1" applyAlignment="1">
      <alignment vertical="center"/>
    </xf>
    <xf numFmtId="0" fontId="0" fillId="0" borderId="40" xfId="0" applyFill="1" applyBorder="1" applyAlignment="1">
      <alignment vertical="center"/>
    </xf>
    <xf numFmtId="0" fontId="1" fillId="0" borderId="34" xfId="0" applyFont="1" applyFill="1" applyBorder="1" applyAlignment="1">
      <alignment vertical="center"/>
    </xf>
    <xf numFmtId="1" fontId="0" fillId="0" borderId="34" xfId="0" applyNumberFormat="1" applyFont="1" applyFill="1" applyBorder="1" applyAlignment="1">
      <alignment vertical="center"/>
    </xf>
    <xf numFmtId="1" fontId="0" fillId="0" borderId="35" xfId="0" applyNumberFormat="1" applyFont="1" applyFill="1" applyBorder="1" applyAlignment="1">
      <alignment vertical="center"/>
    </xf>
    <xf numFmtId="1" fontId="0" fillId="0" borderId="49" xfId="0" applyNumberFormat="1" applyFont="1" applyFill="1" applyBorder="1" applyAlignment="1">
      <alignment vertical="center"/>
    </xf>
    <xf numFmtId="1" fontId="0" fillId="0" borderId="50" xfId="0" applyNumberFormat="1" applyFill="1" applyBorder="1" applyAlignment="1">
      <alignment vertical="center"/>
    </xf>
    <xf numFmtId="1" fontId="0" fillId="0" borderId="34" xfId="0" applyNumberFormat="1" applyFill="1" applyBorder="1" applyAlignment="1">
      <alignment vertical="center"/>
    </xf>
    <xf numFmtId="1" fontId="0" fillId="0" borderId="45" xfId="0" applyNumberFormat="1" applyFill="1" applyBorder="1" applyAlignment="1">
      <alignment vertical="center"/>
    </xf>
    <xf numFmtId="0" fontId="0" fillId="0" borderId="38" xfId="0" applyFill="1" applyBorder="1" applyAlignment="1">
      <alignment horizontal="center" vertical="center"/>
    </xf>
    <xf numFmtId="0" fontId="0" fillId="0" borderId="51" xfId="0" applyFill="1" applyBorder="1" applyAlignment="1">
      <alignment horizontal="center" vertical="center"/>
    </xf>
    <xf numFmtId="0" fontId="1" fillId="0" borderId="40"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38" xfId="0" applyFont="1" applyFill="1" applyBorder="1" applyAlignment="1">
      <alignment horizontal="center" vertical="center"/>
    </xf>
    <xf numFmtId="3" fontId="0" fillId="0" borderId="42" xfId="0" applyNumberFormat="1" applyFill="1" applyBorder="1" applyAlignment="1">
      <alignment horizontal="center" vertical="center"/>
    </xf>
    <xf numFmtId="0" fontId="1" fillId="0" borderId="35" xfId="0" applyFont="1" applyFill="1" applyBorder="1" applyAlignment="1">
      <alignment horizontal="right"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vertical="center"/>
    </xf>
    <xf numFmtId="3" fontId="0" fillId="0" borderId="45" xfId="0" applyNumberFormat="1" applyFill="1" applyBorder="1" applyAlignment="1">
      <alignment horizontal="center" vertical="center"/>
    </xf>
    <xf numFmtId="3" fontId="0" fillId="0" borderId="39" xfId="0" applyNumberFormat="1" applyFont="1" applyFill="1" applyBorder="1" applyAlignment="1">
      <alignment vertical="center"/>
    </xf>
    <xf numFmtId="0" fontId="1" fillId="0" borderId="40" xfId="0" applyFont="1" applyFill="1" applyBorder="1" applyAlignment="1">
      <alignment vertical="center"/>
    </xf>
    <xf numFmtId="3" fontId="0" fillId="0" borderId="34" xfId="0" applyNumberFormat="1" applyFill="1" applyBorder="1" applyAlignment="1">
      <alignment vertical="center"/>
    </xf>
    <xf numFmtId="3" fontId="0" fillId="0" borderId="52" xfId="0" applyNumberFormat="1" applyFont="1" applyFill="1" applyBorder="1" applyAlignment="1">
      <alignment vertical="center"/>
    </xf>
    <xf numFmtId="3" fontId="0" fillId="0" borderId="38" xfId="0" applyNumberFormat="1" applyFont="1" applyFill="1" applyBorder="1" applyAlignment="1">
      <alignment vertical="center"/>
    </xf>
    <xf numFmtId="3" fontId="0" fillId="0" borderId="40" xfId="0" applyNumberFormat="1" applyFont="1" applyFill="1" applyBorder="1" applyAlignment="1">
      <alignment vertical="center"/>
    </xf>
    <xf numFmtId="0" fontId="1" fillId="0" borderId="36" xfId="0" applyFont="1" applyFill="1" applyBorder="1" applyAlignment="1">
      <alignment vertical="center"/>
    </xf>
    <xf numFmtId="0" fontId="1" fillId="0" borderId="48" xfId="0" applyFont="1" applyFill="1" applyBorder="1" applyAlignment="1">
      <alignment vertical="center"/>
    </xf>
    <xf numFmtId="3" fontId="1" fillId="0" borderId="48" xfId="0" applyNumberFormat="1" applyFont="1" applyFill="1" applyBorder="1" applyAlignment="1">
      <alignment vertical="center"/>
    </xf>
    <xf numFmtId="0" fontId="1" fillId="0" borderId="53" xfId="0" applyFont="1" applyFill="1" applyBorder="1" applyAlignment="1">
      <alignment vertical="center"/>
    </xf>
    <xf numFmtId="3" fontId="1" fillId="0" borderId="54" xfId="0" applyNumberFormat="1" applyFont="1" applyFill="1" applyBorder="1" applyAlignment="1">
      <alignment vertical="center"/>
    </xf>
    <xf numFmtId="0" fontId="0" fillId="3" borderId="44" xfId="0" applyFill="1" applyBorder="1" applyAlignment="1">
      <alignment vertical="center"/>
    </xf>
    <xf numFmtId="0" fontId="0" fillId="3" borderId="34" xfId="0" applyFill="1" applyBorder="1" applyAlignment="1">
      <alignment vertical="center"/>
    </xf>
    <xf numFmtId="0" fontId="1" fillId="3" borderId="34" xfId="0" applyFont="1" applyFill="1" applyBorder="1" applyAlignment="1">
      <alignment horizontal="right" vertical="center"/>
    </xf>
    <xf numFmtId="0" fontId="1" fillId="3" borderId="40" xfId="0" applyFont="1" applyFill="1" applyBorder="1" applyAlignment="1">
      <alignment vertical="center"/>
    </xf>
    <xf numFmtId="0" fontId="0" fillId="0" borderId="54" xfId="0" applyFont="1" applyFill="1" applyBorder="1" applyAlignment="1">
      <alignment vertical="center"/>
    </xf>
    <xf numFmtId="0" fontId="0" fillId="0" borderId="53" xfId="0" applyFont="1" applyFill="1" applyBorder="1" applyAlignment="1">
      <alignment vertical="center"/>
    </xf>
    <xf numFmtId="0" fontId="0" fillId="0" borderId="40" xfId="0" applyFont="1" applyFill="1" applyBorder="1" applyAlignment="1">
      <alignment vertical="center"/>
    </xf>
    <xf numFmtId="0" fontId="1" fillId="0" borderId="5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5" xfId="0" applyFont="1" applyFill="1" applyBorder="1" applyAlignment="1">
      <alignment vertical="center" wrapText="1"/>
    </xf>
    <xf numFmtId="0" fontId="0" fillId="0" borderId="55" xfId="0" applyFont="1" applyFill="1" applyBorder="1" applyAlignment="1">
      <alignment horizontal="center" vertical="center"/>
    </xf>
    <xf numFmtId="166" fontId="0" fillId="0" borderId="0" xfId="15" applyNumberFormat="1" applyFont="1" applyFill="1" applyBorder="1" applyAlignment="1">
      <alignment horizontal="center" vertical="center"/>
    </xf>
    <xf numFmtId="0" fontId="0" fillId="0" borderId="52" xfId="0" applyFont="1" applyFill="1" applyBorder="1" applyAlignment="1">
      <alignment vertical="center" wrapText="1"/>
    </xf>
    <xf numFmtId="0" fontId="0" fillId="0" borderId="52" xfId="0" applyFont="1" applyFill="1" applyBorder="1" applyAlignment="1">
      <alignment horizontal="center" vertical="center"/>
    </xf>
    <xf numFmtId="0" fontId="0" fillId="0" borderId="56" xfId="0" applyFont="1" applyFill="1" applyBorder="1" applyAlignment="1">
      <alignment vertical="center"/>
    </xf>
    <xf numFmtId="0" fontId="1" fillId="0" borderId="57" xfId="0" applyFont="1" applyFill="1" applyBorder="1" applyAlignment="1">
      <alignment horizontal="center" vertical="center" wrapText="1"/>
    </xf>
    <xf numFmtId="0" fontId="1" fillId="0" borderId="55" xfId="0" applyFont="1" applyFill="1" applyBorder="1" applyAlignment="1">
      <alignment horizontal="center" vertical="center" wrapText="1"/>
    </xf>
    <xf numFmtId="3" fontId="0" fillId="0" borderId="48" xfId="0" applyNumberFormat="1" applyFont="1" applyFill="1" applyBorder="1" applyAlignment="1">
      <alignment vertical="center"/>
    </xf>
    <xf numFmtId="167" fontId="0" fillId="0" borderId="36" xfId="17" applyNumberFormat="1" applyFont="1" applyFill="1" applyBorder="1" applyAlignment="1">
      <alignment vertical="center"/>
    </xf>
    <xf numFmtId="0" fontId="0" fillId="0" borderId="38" xfId="0" applyFont="1" applyFill="1" applyBorder="1" applyAlignment="1">
      <alignment vertical="center"/>
    </xf>
    <xf numFmtId="3" fontId="0" fillId="0" borderId="0" xfId="0" applyNumberFormat="1"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167" fontId="0" fillId="0" borderId="44" xfId="17" applyNumberFormat="1" applyFont="1" applyFill="1" applyBorder="1" applyAlignment="1">
      <alignment vertical="center"/>
    </xf>
    <xf numFmtId="0" fontId="0" fillId="0" borderId="58" xfId="0" applyFont="1" applyFill="1" applyBorder="1" applyAlignment="1">
      <alignment vertical="center"/>
    </xf>
    <xf numFmtId="169" fontId="0" fillId="0" borderId="53" xfId="0" applyNumberFormat="1" applyFont="1" applyFill="1" applyBorder="1" applyAlignment="1">
      <alignment vertical="center"/>
    </xf>
    <xf numFmtId="169" fontId="0" fillId="0" borderId="39" xfId="0" applyNumberFormat="1" applyFont="1" applyFill="1" applyBorder="1" applyAlignment="1">
      <alignment vertical="center"/>
    </xf>
    <xf numFmtId="169" fontId="0" fillId="0" borderId="52" xfId="0" applyNumberFormat="1" applyFont="1" applyFill="1" applyBorder="1" applyAlignment="1">
      <alignment vertical="center"/>
    </xf>
    <xf numFmtId="169" fontId="16" fillId="5" borderId="55" xfId="22" applyNumberFormat="1" applyFont="1" applyFill="1" applyBorder="1" applyAlignment="1">
      <alignment vertical="center"/>
    </xf>
    <xf numFmtId="169" fontId="1" fillId="3" borderId="34" xfId="0" applyNumberFormat="1" applyFont="1" applyFill="1" applyBorder="1" applyAlignment="1">
      <alignment vertical="center"/>
    </xf>
    <xf numFmtId="169" fontId="1" fillId="3" borderId="52" xfId="0" applyNumberFormat="1" applyFont="1" applyFill="1" applyBorder="1" applyAlignment="1">
      <alignment vertical="center"/>
    </xf>
    <xf numFmtId="0" fontId="1" fillId="0" borderId="39" xfId="0" applyFont="1" applyFill="1" applyBorder="1" applyAlignment="1">
      <alignment vertical="center"/>
    </xf>
    <xf numFmtId="0" fontId="0" fillId="0" borderId="0" xfId="0" applyFont="1" applyFill="1" applyBorder="1" applyAlignment="1">
      <alignment vertical="center"/>
    </xf>
    <xf numFmtId="164" fontId="0" fillId="0" borderId="39" xfId="0" applyNumberFormat="1" applyFill="1" applyBorder="1" applyAlignment="1">
      <alignment vertical="center"/>
    </xf>
    <xf numFmtId="164" fontId="0" fillId="0" borderId="52" xfId="0" applyNumberFormat="1" applyFill="1" applyBorder="1" applyAlignment="1">
      <alignment vertical="center"/>
    </xf>
    <xf numFmtId="0" fontId="1" fillId="3" borderId="38" xfId="0" applyFont="1" applyFill="1" applyBorder="1" applyAlignment="1">
      <alignment horizontal="center" vertical="center" wrapText="1"/>
    </xf>
    <xf numFmtId="0" fontId="1" fillId="3" borderId="0" xfId="0" applyFont="1" applyFill="1" applyBorder="1" applyAlignment="1">
      <alignment horizontal="center" vertical="center" wrapText="1"/>
    </xf>
    <xf numFmtId="10" fontId="1" fillId="3" borderId="0" xfId="0" applyNumberFormat="1" applyFont="1" applyFill="1" applyBorder="1" applyAlignment="1">
      <alignment horizontal="center" vertical="center"/>
    </xf>
    <xf numFmtId="10" fontId="1" fillId="3" borderId="39"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53" xfId="0" applyFont="1" applyFill="1" applyBorder="1" applyAlignment="1">
      <alignment horizontal="center" vertical="center" wrapText="1"/>
    </xf>
    <xf numFmtId="168" fontId="0" fillId="0" borderId="48" xfId="17" applyNumberFormat="1" applyFont="1" applyFill="1" applyBorder="1" applyAlignment="1">
      <alignment horizontal="left" vertical="center"/>
    </xf>
    <xf numFmtId="168" fontId="0" fillId="0" borderId="48" xfId="0" applyNumberFormat="1" applyFont="1" applyFill="1" applyBorder="1" applyAlignment="1">
      <alignment vertical="center"/>
    </xf>
    <xf numFmtId="168" fontId="0" fillId="0" borderId="53" xfId="0" applyNumberFormat="1" applyFont="1" applyFill="1" applyBorder="1" applyAlignment="1">
      <alignment vertical="center"/>
    </xf>
    <xf numFmtId="0" fontId="0" fillId="0" borderId="60" xfId="0" applyFont="1" applyFill="1" applyBorder="1" applyAlignment="1">
      <alignment horizontal="center" vertical="center"/>
    </xf>
    <xf numFmtId="168" fontId="0" fillId="0" borderId="0" xfId="17" applyNumberFormat="1" applyFont="1" applyFill="1" applyBorder="1" applyAlignment="1">
      <alignment horizontal="left" vertical="center"/>
    </xf>
    <xf numFmtId="168" fontId="0" fillId="0" borderId="0" xfId="0" applyNumberFormat="1" applyFont="1" applyFill="1" applyBorder="1" applyAlignment="1">
      <alignment vertical="center"/>
    </xf>
    <xf numFmtId="168" fontId="0" fillId="0" borderId="0" xfId="17" applyNumberFormat="1" applyFont="1" applyFill="1" applyBorder="1" applyAlignment="1">
      <alignment vertical="center"/>
    </xf>
    <xf numFmtId="168" fontId="0" fillId="0" borderId="39" xfId="17" applyNumberFormat="1" applyFont="1" applyFill="1" applyBorder="1" applyAlignment="1">
      <alignment vertical="center"/>
    </xf>
    <xf numFmtId="43" fontId="0" fillId="0" borderId="0" xfId="0" applyNumberFormat="1" applyFont="1" applyFill="1" applyBorder="1" applyAlignment="1">
      <alignment vertical="center"/>
    </xf>
    <xf numFmtId="168" fontId="0" fillId="0" borderId="61" xfId="17" applyNumberFormat="1" applyFont="1" applyFill="1" applyBorder="1" applyAlignment="1">
      <alignment horizontal="left" vertical="center"/>
    </xf>
    <xf numFmtId="168" fontId="0" fillId="0" borderId="34" xfId="17" applyNumberFormat="1" applyFont="1" applyFill="1" applyBorder="1" applyAlignment="1">
      <alignment horizontal="left" vertical="center"/>
    </xf>
    <xf numFmtId="43" fontId="0" fillId="0" borderId="34" xfId="0" applyNumberFormat="1" applyFont="1" applyFill="1" applyBorder="1" applyAlignment="1">
      <alignment vertical="center"/>
    </xf>
    <xf numFmtId="168" fontId="0" fillId="0" borderId="34" xfId="0" applyNumberFormat="1" applyFont="1" applyFill="1" applyBorder="1" applyAlignment="1">
      <alignment vertical="center"/>
    </xf>
    <xf numFmtId="168" fontId="0" fillId="0" borderId="52" xfId="17" applyNumberFormat="1" applyFont="1" applyFill="1" applyBorder="1" applyAlignment="1">
      <alignment vertical="center"/>
    </xf>
    <xf numFmtId="0" fontId="0" fillId="0" borderId="61" xfId="0" applyFont="1" applyFill="1" applyBorder="1" applyAlignment="1">
      <alignment vertical="center"/>
    </xf>
    <xf numFmtId="168" fontId="0" fillId="0" borderId="52" xfId="0" applyNumberFormat="1" applyFont="1" applyFill="1" applyBorder="1" applyAlignment="1">
      <alignment vertical="center"/>
    </xf>
    <xf numFmtId="0" fontId="0" fillId="0" borderId="38" xfId="0" applyFont="1" applyFill="1" applyBorder="1" applyAlignment="1">
      <alignment horizontal="center" vertical="center"/>
    </xf>
    <xf numFmtId="168" fontId="0" fillId="0" borderId="28" xfId="17" applyNumberFormat="1" applyFont="1" applyFill="1" applyBorder="1" applyAlignment="1">
      <alignment horizontal="left" vertical="center"/>
    </xf>
    <xf numFmtId="3" fontId="0" fillId="0" borderId="37" xfId="0" applyNumberFormat="1" applyFont="1" applyFill="1" applyBorder="1" applyAlignment="1">
      <alignment vertical="center"/>
    </xf>
    <xf numFmtId="0" fontId="1" fillId="0" borderId="58"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6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ill="1" applyBorder="1" applyAlignment="1">
      <alignment horizontal="center" vertical="center"/>
    </xf>
    <xf numFmtId="0" fontId="9" fillId="0" borderId="0" xfId="0" applyFont="1" applyFill="1" applyAlignment="1">
      <alignment vertical="center"/>
    </xf>
    <xf numFmtId="3" fontId="0" fillId="0" borderId="36" xfId="0" applyNumberFormat="1" applyFont="1" applyFill="1" applyBorder="1" applyAlignment="1">
      <alignment vertical="center"/>
    </xf>
    <xf numFmtId="3" fontId="0" fillId="0" borderId="44" xfId="0" applyNumberFormat="1" applyFont="1" applyFill="1" applyBorder="1" applyAlignment="1">
      <alignment vertical="center"/>
    </xf>
    <xf numFmtId="3" fontId="1" fillId="0" borderId="39" xfId="0" applyNumberFormat="1" applyFont="1" applyFill="1" applyBorder="1" applyAlignment="1">
      <alignment vertical="center"/>
    </xf>
    <xf numFmtId="9" fontId="0" fillId="3" borderId="52" xfId="0" applyNumberFormat="1" applyFill="1"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1" fillId="0" borderId="0" xfId="0" applyFont="1" applyAlignment="1">
      <alignment vertical="center" wrapText="1"/>
    </xf>
    <xf numFmtId="0" fontId="0" fillId="0" borderId="0" xfId="0" applyFont="1" applyBorder="1" applyAlignment="1">
      <alignment vertical="center" wrapText="1"/>
    </xf>
    <xf numFmtId="0" fontId="1" fillId="6" borderId="48" xfId="0" applyFont="1" applyFill="1" applyBorder="1" applyAlignment="1">
      <alignment horizontal="center" vertical="center"/>
    </xf>
    <xf numFmtId="0" fontId="1" fillId="6" borderId="53" xfId="0" applyFont="1" applyFill="1" applyBorder="1" applyAlignment="1">
      <alignment horizontal="center" vertical="center"/>
    </xf>
    <xf numFmtId="0" fontId="1" fillId="6" borderId="40" xfId="0" applyFont="1" applyFill="1" applyBorder="1" applyAlignment="1">
      <alignment horizontal="center" vertical="center"/>
    </xf>
    <xf numFmtId="0" fontId="19" fillId="0" borderId="0" xfId="0" applyFont="1" applyAlignment="1">
      <alignment vertical="center" wrapText="1"/>
    </xf>
    <xf numFmtId="0" fontId="6" fillId="0" borderId="0" xfId="21" applyFont="1" applyAlignment="1">
      <alignment horizontal="center" vertical="center" wrapText="1"/>
      <protection/>
    </xf>
    <xf numFmtId="0" fontId="0" fillId="0" borderId="11" xfId="0" applyFont="1" applyBorder="1" applyAlignment="1">
      <alignment horizontal="left" vertical="center" wrapText="1"/>
    </xf>
    <xf numFmtId="0" fontId="0" fillId="0" borderId="7" xfId="0" applyFont="1" applyBorder="1" applyAlignment="1">
      <alignment horizontal="left" vertical="center" wrapText="1"/>
    </xf>
    <xf numFmtId="0" fontId="0" fillId="0" borderId="63" xfId="0" applyFont="1" applyBorder="1" applyAlignment="1">
      <alignment horizontal="left" vertical="center" wrapText="1"/>
    </xf>
    <xf numFmtId="0" fontId="13" fillId="0" borderId="0" xfId="0" applyFont="1" applyBorder="1" applyAlignment="1">
      <alignment horizontal="left" vertical="center"/>
    </xf>
    <xf numFmtId="0" fontId="0" fillId="2" borderId="0" xfId="0" applyFill="1" applyBorder="1" applyAlignment="1">
      <alignment horizontal="left" vertical="center"/>
    </xf>
    <xf numFmtId="0" fontId="6" fillId="0" borderId="0" xfId="0" applyFont="1" applyAlignment="1">
      <alignment horizontal="left" vertical="center" wrapText="1"/>
    </xf>
    <xf numFmtId="0" fontId="0" fillId="0" borderId="0" xfId="0" applyBorder="1" applyAlignment="1">
      <alignment horizontal="left" wrapText="1"/>
    </xf>
    <xf numFmtId="0" fontId="13" fillId="0" borderId="27" xfId="0" applyFont="1" applyBorder="1" applyAlignment="1">
      <alignment horizontal="left" vertical="center"/>
    </xf>
    <xf numFmtId="0" fontId="13" fillId="0" borderId="29" xfId="0" applyFont="1" applyBorder="1" applyAlignment="1">
      <alignment horizontal="left" vertical="center"/>
    </xf>
    <xf numFmtId="0" fontId="13" fillId="0" borderId="26" xfId="0" applyFont="1" applyBorder="1" applyAlignment="1">
      <alignment vertical="center"/>
    </xf>
    <xf numFmtId="0" fontId="13" fillId="0" borderId="26" xfId="0" applyFont="1" applyBorder="1" applyAlignment="1">
      <alignment horizontal="center" vertical="center"/>
    </xf>
    <xf numFmtId="0" fontId="1" fillId="6" borderId="54"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52" xfId="0" applyFont="1" applyFill="1" applyBorder="1" applyAlignment="1">
      <alignment horizontal="center" vertical="center"/>
    </xf>
    <xf numFmtId="0" fontId="1" fillId="7" borderId="54" xfId="0" applyFont="1" applyFill="1" applyBorder="1" applyAlignment="1">
      <alignment horizontal="center" vertical="center"/>
    </xf>
    <xf numFmtId="0" fontId="1" fillId="7" borderId="48" xfId="0" applyFont="1" applyFill="1" applyBorder="1" applyAlignment="1">
      <alignment horizontal="center" vertical="center"/>
    </xf>
    <xf numFmtId="0" fontId="1" fillId="7" borderId="53" xfId="0" applyFont="1" applyFill="1" applyBorder="1" applyAlignment="1">
      <alignment horizontal="center" vertical="center"/>
    </xf>
    <xf numFmtId="0" fontId="1" fillId="7" borderId="40"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52" xfId="0" applyFont="1" applyFill="1" applyBorder="1" applyAlignment="1">
      <alignment horizontal="center" vertical="center"/>
    </xf>
    <xf numFmtId="0" fontId="1" fillId="0" borderId="54"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54" xfId="0" applyFill="1" applyBorder="1" applyAlignment="1">
      <alignment horizontal="center" vertical="center" wrapText="1"/>
    </xf>
    <xf numFmtId="0" fontId="0" fillId="0" borderId="40" xfId="0"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0" fillId="0" borderId="64"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65" xfId="0" applyFill="1" applyBorder="1" applyAlignment="1">
      <alignment horizontal="center" vertical="center" wrapText="1"/>
    </xf>
    <xf numFmtId="0" fontId="1" fillId="0" borderId="48"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0" fillId="0" borderId="6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44"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0" fillId="0" borderId="53" xfId="0" applyFill="1" applyBorder="1" applyAlignment="1">
      <alignment horizontal="center" vertical="center"/>
    </xf>
    <xf numFmtId="0" fontId="0" fillId="0" borderId="52" xfId="0" applyFill="1" applyBorder="1" applyAlignment="1">
      <alignment horizontal="center" vertical="center"/>
    </xf>
    <xf numFmtId="0" fontId="1" fillId="0" borderId="0"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3"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7" xfId="0" applyFill="1" applyBorder="1" applyAlignment="1">
      <alignment horizontal="center" vertical="center"/>
    </xf>
    <xf numFmtId="0" fontId="0" fillId="0" borderId="35" xfId="0" applyFill="1" applyBorder="1" applyAlignment="1">
      <alignment horizontal="center" vertical="center"/>
    </xf>
    <xf numFmtId="0" fontId="1" fillId="0" borderId="71"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72"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Lesotho - Health - v2" xfId="21"/>
    <cellStyle name="Percent" xfId="22"/>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Transportation Project</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'Primary Roads'!$B$96:$B$116</c:f>
              <c:numCache>
                <c:ptCount val="21"/>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numCache>
            </c:numRef>
          </c:cat>
          <c:val>
            <c:numRef>
              <c:f>'Primary Roads'!$K$96:$K$116</c:f>
              <c:numCache>
                <c:ptCount val="21"/>
                <c:pt idx="0">
                  <c:v>-24352205</c:v>
                </c:pt>
                <c:pt idx="1">
                  <c:v>-29726514.354163323</c:v>
                </c:pt>
                <c:pt idx="2">
                  <c:v>9560666.863688938</c:v>
                </c:pt>
                <c:pt idx="3">
                  <c:v>9737883.492240395</c:v>
                </c:pt>
                <c:pt idx="4">
                  <c:v>10235928.843163922</c:v>
                </c:pt>
                <c:pt idx="5">
                  <c:v>10982294.93487867</c:v>
                </c:pt>
                <c:pt idx="6">
                  <c:v>11534048.592680283</c:v>
                </c:pt>
                <c:pt idx="7">
                  <c:v>11773662.802582089</c:v>
                </c:pt>
                <c:pt idx="8">
                  <c:v>12083271.919434026</c:v>
                </c:pt>
                <c:pt idx="9">
                  <c:v>12496192.440885417</c:v>
                </c:pt>
                <c:pt idx="10">
                  <c:v>4011741.8291517994</c:v>
                </c:pt>
                <c:pt idx="11">
                  <c:v>13565109.82577225</c:v>
                </c:pt>
                <c:pt idx="12">
                  <c:v>14232292.405945107</c:v>
                </c:pt>
                <c:pt idx="13">
                  <c:v>15015906.154947719</c:v>
                </c:pt>
                <c:pt idx="14">
                  <c:v>15783195.48345666</c:v>
                </c:pt>
                <c:pt idx="15">
                  <c:v>16249366.02380065</c:v>
                </c:pt>
                <c:pt idx="16">
                  <c:v>16488448.825745344</c:v>
                </c:pt>
                <c:pt idx="17">
                  <c:v>17841307.801862683</c:v>
                </c:pt>
                <c:pt idx="18">
                  <c:v>18583491.27125351</c:v>
                </c:pt>
                <c:pt idx="19">
                  <c:v>19408568.83812691</c:v>
                </c:pt>
                <c:pt idx="20">
                  <c:v>19288048.713528678</c:v>
                </c:pt>
              </c:numCache>
            </c:numRef>
          </c:val>
        </c:ser>
        <c:axId val="13297368"/>
        <c:axId val="52567449"/>
      </c:areaChart>
      <c:catAx>
        <c:axId val="1329736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2567449"/>
        <c:crosses val="autoZero"/>
        <c:auto val="1"/>
        <c:lblOffset val="100"/>
        <c:noMultiLvlLbl val="0"/>
      </c:catAx>
      <c:valAx>
        <c:axId val="52567449"/>
        <c:scaling>
          <c:orientation val="minMax"/>
        </c:scaling>
        <c:axPos val="l"/>
        <c:title>
          <c:tx>
            <c:rich>
              <a:bodyPr vert="horz" rot="-5400000" anchor="ctr"/>
              <a:lstStyle/>
              <a:p>
                <a:pPr algn="ctr">
                  <a:defRPr/>
                </a:pPr>
                <a:r>
                  <a:rPr lang="en-US" cap="none" sz="100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13297368"/>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24</xdr:row>
      <xdr:rowOff>19050</xdr:rowOff>
    </xdr:from>
    <xdr:to>
      <xdr:col>1</xdr:col>
      <xdr:colOff>2200275</xdr:colOff>
      <xdr:row>25</xdr:row>
      <xdr:rowOff>9525</xdr:rowOff>
    </xdr:to>
    <xdr:pic>
      <xdr:nvPicPr>
        <xdr:cNvPr id="1" name="Picture 1"/>
        <xdr:cNvPicPr preferRelativeResize="1">
          <a:picLocks noChangeAspect="1"/>
        </xdr:cNvPicPr>
      </xdr:nvPicPr>
      <xdr:blipFill>
        <a:blip r:embed="rId1"/>
        <a:stretch>
          <a:fillRect/>
        </a:stretch>
      </xdr:blipFill>
      <xdr:spPr>
        <a:xfrm>
          <a:off x="409575" y="9182100"/>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904875</xdr:colOff>
      <xdr:row>1</xdr:row>
      <xdr:rowOff>142875</xdr:rowOff>
    </xdr:from>
    <xdr:to>
      <xdr:col>6</xdr:col>
      <xdr:colOff>1019175</xdr:colOff>
      <xdr:row>2</xdr:row>
      <xdr:rowOff>9525</xdr:rowOff>
    </xdr:to>
    <xdr:pic>
      <xdr:nvPicPr>
        <xdr:cNvPr id="1" name="Picture 3"/>
        <xdr:cNvPicPr preferRelativeResize="1">
          <a:picLocks noChangeAspect="1"/>
        </xdr:cNvPicPr>
      </xdr:nvPicPr>
      <xdr:blipFill>
        <a:blip r:embed="rId1"/>
        <a:stretch>
          <a:fillRect/>
        </a:stretch>
      </xdr:blipFill>
      <xdr:spPr>
        <a:xfrm>
          <a:off x="7267575" y="304800"/>
          <a:ext cx="2171700" cy="152400"/>
        </a:xfrm>
        <a:prstGeom prst="rect">
          <a:avLst/>
        </a:prstGeom>
        <a:noFill/>
        <a:ln w="9525" cmpd="sng">
          <a:noFill/>
        </a:ln>
      </xdr:spPr>
    </xdr:pic>
    <xdr:clientData/>
  </xdr:twoCellAnchor>
  <xdr:twoCellAnchor>
    <xdr:from>
      <xdr:col>1</xdr:col>
      <xdr:colOff>333375</xdr:colOff>
      <xdr:row>17</xdr:row>
      <xdr:rowOff>9525</xdr:rowOff>
    </xdr:from>
    <xdr:to>
      <xdr:col>6</xdr:col>
      <xdr:colOff>638175</xdr:colOff>
      <xdr:row>40</xdr:row>
      <xdr:rowOff>19050</xdr:rowOff>
    </xdr:to>
    <xdr:graphicFrame>
      <xdr:nvGraphicFramePr>
        <xdr:cNvPr id="2" name="Chart 5"/>
        <xdr:cNvGraphicFramePr/>
      </xdr:nvGraphicFramePr>
      <xdr:xfrm>
        <a:off x="714375" y="4171950"/>
        <a:ext cx="8343900" cy="3771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38</xdr:row>
      <xdr:rowOff>9525</xdr:rowOff>
    </xdr:from>
    <xdr:to>
      <xdr:col>12</xdr:col>
      <xdr:colOff>0</xdr:colOff>
      <xdr:row>38</xdr:row>
      <xdr:rowOff>57150</xdr:rowOff>
    </xdr:to>
    <xdr:sp>
      <xdr:nvSpPr>
        <xdr:cNvPr id="1" name="AutoShape 1"/>
        <xdr:cNvSpPr>
          <a:spLocks/>
        </xdr:cNvSpPr>
      </xdr:nvSpPr>
      <xdr:spPr>
        <a:xfrm>
          <a:off x="10258425" y="6248400"/>
          <a:ext cx="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38</xdr:row>
      <xdr:rowOff>9525</xdr:rowOff>
    </xdr:from>
    <xdr:to>
      <xdr:col>12</xdr:col>
      <xdr:colOff>0</xdr:colOff>
      <xdr:row>38</xdr:row>
      <xdr:rowOff>57150</xdr:rowOff>
    </xdr:to>
    <xdr:sp>
      <xdr:nvSpPr>
        <xdr:cNvPr id="2" name="AutoShape 2"/>
        <xdr:cNvSpPr>
          <a:spLocks/>
        </xdr:cNvSpPr>
      </xdr:nvSpPr>
      <xdr:spPr>
        <a:xfrm>
          <a:off x="10258425" y="6248400"/>
          <a:ext cx="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38</xdr:row>
      <xdr:rowOff>9525</xdr:rowOff>
    </xdr:from>
    <xdr:to>
      <xdr:col>12</xdr:col>
      <xdr:colOff>0</xdr:colOff>
      <xdr:row>38</xdr:row>
      <xdr:rowOff>57150</xdr:rowOff>
    </xdr:to>
    <xdr:sp>
      <xdr:nvSpPr>
        <xdr:cNvPr id="3" name="AutoShape 3"/>
        <xdr:cNvSpPr>
          <a:spLocks/>
        </xdr:cNvSpPr>
      </xdr:nvSpPr>
      <xdr:spPr>
        <a:xfrm>
          <a:off x="10258425" y="6248400"/>
          <a:ext cx="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38</xdr:row>
      <xdr:rowOff>9525</xdr:rowOff>
    </xdr:from>
    <xdr:to>
      <xdr:col>12</xdr:col>
      <xdr:colOff>0</xdr:colOff>
      <xdr:row>38</xdr:row>
      <xdr:rowOff>57150</xdr:rowOff>
    </xdr:to>
    <xdr:sp>
      <xdr:nvSpPr>
        <xdr:cNvPr id="4" name="AutoShape 4"/>
        <xdr:cNvSpPr>
          <a:spLocks/>
        </xdr:cNvSpPr>
      </xdr:nvSpPr>
      <xdr:spPr>
        <a:xfrm>
          <a:off x="10258425" y="6248400"/>
          <a:ext cx="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66</xdr:row>
      <xdr:rowOff>0</xdr:rowOff>
    </xdr:from>
    <xdr:to>
      <xdr:col>3</xdr:col>
      <xdr:colOff>0</xdr:colOff>
      <xdr:row>66</xdr:row>
      <xdr:rowOff>0</xdr:rowOff>
    </xdr:to>
    <xdr:sp>
      <xdr:nvSpPr>
        <xdr:cNvPr id="5" name="AutoShape 5"/>
        <xdr:cNvSpPr>
          <a:spLocks/>
        </xdr:cNvSpPr>
      </xdr:nvSpPr>
      <xdr:spPr>
        <a:xfrm>
          <a:off x="2152650"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xdr:nvSpPr>
        <xdr:cNvPr id="6" name="AutoShape 6"/>
        <xdr:cNvSpPr>
          <a:spLocks/>
        </xdr:cNvSpPr>
      </xdr:nvSpPr>
      <xdr:spPr>
        <a:xfrm>
          <a:off x="2952750"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xdr:nvSpPr>
        <xdr:cNvPr id="7" name="AutoShape 7"/>
        <xdr:cNvSpPr>
          <a:spLocks/>
        </xdr:cNvSpPr>
      </xdr:nvSpPr>
      <xdr:spPr>
        <a:xfrm>
          <a:off x="2952750"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xdr:nvSpPr>
        <xdr:cNvPr id="8" name="AutoShape 8"/>
        <xdr:cNvSpPr>
          <a:spLocks/>
        </xdr:cNvSpPr>
      </xdr:nvSpPr>
      <xdr:spPr>
        <a:xfrm>
          <a:off x="2952750"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66</xdr:row>
      <xdr:rowOff>0</xdr:rowOff>
    </xdr:from>
    <xdr:to>
      <xdr:col>4</xdr:col>
      <xdr:colOff>0</xdr:colOff>
      <xdr:row>66</xdr:row>
      <xdr:rowOff>0</xdr:rowOff>
    </xdr:to>
    <xdr:sp>
      <xdr:nvSpPr>
        <xdr:cNvPr id="9" name="AutoShape 9"/>
        <xdr:cNvSpPr>
          <a:spLocks/>
        </xdr:cNvSpPr>
      </xdr:nvSpPr>
      <xdr:spPr>
        <a:xfrm>
          <a:off x="2952750"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10" name="AutoShape 10"/>
        <xdr:cNvSpPr>
          <a:spLocks/>
        </xdr:cNvSpPr>
      </xdr:nvSpPr>
      <xdr:spPr>
        <a:xfrm>
          <a:off x="463867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11" name="AutoShape 11"/>
        <xdr:cNvSpPr>
          <a:spLocks/>
        </xdr:cNvSpPr>
      </xdr:nvSpPr>
      <xdr:spPr>
        <a:xfrm>
          <a:off x="463867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12" name="AutoShape 12"/>
        <xdr:cNvSpPr>
          <a:spLocks/>
        </xdr:cNvSpPr>
      </xdr:nvSpPr>
      <xdr:spPr>
        <a:xfrm>
          <a:off x="463867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66</xdr:row>
      <xdr:rowOff>0</xdr:rowOff>
    </xdr:from>
    <xdr:to>
      <xdr:col>6</xdr:col>
      <xdr:colOff>0</xdr:colOff>
      <xdr:row>66</xdr:row>
      <xdr:rowOff>0</xdr:rowOff>
    </xdr:to>
    <xdr:sp>
      <xdr:nvSpPr>
        <xdr:cNvPr id="13" name="AutoShape 13"/>
        <xdr:cNvSpPr>
          <a:spLocks/>
        </xdr:cNvSpPr>
      </xdr:nvSpPr>
      <xdr:spPr>
        <a:xfrm>
          <a:off x="463867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14" name="AutoShape 14"/>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15" name="AutoShape 15"/>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16" name="AutoShape 16"/>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17" name="AutoShape 17"/>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18" name="AutoShape 18"/>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19" name="AutoShape 19"/>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20" name="AutoShape 20"/>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66</xdr:row>
      <xdr:rowOff>0</xdr:rowOff>
    </xdr:from>
    <xdr:to>
      <xdr:col>13</xdr:col>
      <xdr:colOff>0</xdr:colOff>
      <xdr:row>66</xdr:row>
      <xdr:rowOff>0</xdr:rowOff>
    </xdr:to>
    <xdr:sp>
      <xdr:nvSpPr>
        <xdr:cNvPr id="21" name="AutoShape 21"/>
        <xdr:cNvSpPr>
          <a:spLocks/>
        </xdr:cNvSpPr>
      </xdr:nvSpPr>
      <xdr:spPr>
        <a:xfrm>
          <a:off x="11391900"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66</xdr:row>
      <xdr:rowOff>0</xdr:rowOff>
    </xdr:from>
    <xdr:to>
      <xdr:col>12</xdr:col>
      <xdr:colOff>0</xdr:colOff>
      <xdr:row>66</xdr:row>
      <xdr:rowOff>0</xdr:rowOff>
    </xdr:to>
    <xdr:sp>
      <xdr:nvSpPr>
        <xdr:cNvPr id="22" name="AutoShape 22"/>
        <xdr:cNvSpPr>
          <a:spLocks/>
        </xdr:cNvSpPr>
      </xdr:nvSpPr>
      <xdr:spPr>
        <a:xfrm>
          <a:off x="10258425" y="11144250"/>
          <a:ext cx="0"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38</xdr:row>
      <xdr:rowOff>9525</xdr:rowOff>
    </xdr:from>
    <xdr:to>
      <xdr:col>3</xdr:col>
      <xdr:colOff>228600</xdr:colOff>
      <xdr:row>38</xdr:row>
      <xdr:rowOff>57150</xdr:rowOff>
    </xdr:to>
    <xdr:sp>
      <xdr:nvSpPr>
        <xdr:cNvPr id="23" name="AutoShape 23"/>
        <xdr:cNvSpPr>
          <a:spLocks/>
        </xdr:cNvSpPr>
      </xdr:nvSpPr>
      <xdr:spPr>
        <a:xfrm>
          <a:off x="2228850" y="6248400"/>
          <a:ext cx="15240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38</xdr:row>
      <xdr:rowOff>9525</xdr:rowOff>
    </xdr:from>
    <xdr:to>
      <xdr:col>10</xdr:col>
      <xdr:colOff>228600</xdr:colOff>
      <xdr:row>38</xdr:row>
      <xdr:rowOff>57150</xdr:rowOff>
    </xdr:to>
    <xdr:sp>
      <xdr:nvSpPr>
        <xdr:cNvPr id="24" name="AutoShape 24"/>
        <xdr:cNvSpPr>
          <a:spLocks/>
        </xdr:cNvSpPr>
      </xdr:nvSpPr>
      <xdr:spPr>
        <a:xfrm>
          <a:off x="8124825" y="6248400"/>
          <a:ext cx="15240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38</xdr:row>
      <xdr:rowOff>9525</xdr:rowOff>
    </xdr:from>
    <xdr:to>
      <xdr:col>12</xdr:col>
      <xdr:colOff>0</xdr:colOff>
      <xdr:row>38</xdr:row>
      <xdr:rowOff>57150</xdr:rowOff>
    </xdr:to>
    <xdr:sp>
      <xdr:nvSpPr>
        <xdr:cNvPr id="25" name="AutoShape 25"/>
        <xdr:cNvSpPr>
          <a:spLocks/>
        </xdr:cNvSpPr>
      </xdr:nvSpPr>
      <xdr:spPr>
        <a:xfrm>
          <a:off x="10258425" y="6248400"/>
          <a:ext cx="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38</xdr:row>
      <xdr:rowOff>9525</xdr:rowOff>
    </xdr:from>
    <xdr:to>
      <xdr:col>12</xdr:col>
      <xdr:colOff>0</xdr:colOff>
      <xdr:row>38</xdr:row>
      <xdr:rowOff>57150</xdr:rowOff>
    </xdr:to>
    <xdr:sp>
      <xdr:nvSpPr>
        <xdr:cNvPr id="26" name="AutoShape 26"/>
        <xdr:cNvSpPr>
          <a:spLocks/>
        </xdr:cNvSpPr>
      </xdr:nvSpPr>
      <xdr:spPr>
        <a:xfrm>
          <a:off x="10258425" y="6248400"/>
          <a:ext cx="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38</xdr:row>
      <xdr:rowOff>9525</xdr:rowOff>
    </xdr:from>
    <xdr:to>
      <xdr:col>16</xdr:col>
      <xdr:colOff>228600</xdr:colOff>
      <xdr:row>38</xdr:row>
      <xdr:rowOff>57150</xdr:rowOff>
    </xdr:to>
    <xdr:sp>
      <xdr:nvSpPr>
        <xdr:cNvPr id="27" name="AutoShape 27"/>
        <xdr:cNvSpPr>
          <a:spLocks/>
        </xdr:cNvSpPr>
      </xdr:nvSpPr>
      <xdr:spPr>
        <a:xfrm>
          <a:off x="14211300" y="6248400"/>
          <a:ext cx="152400"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V202"/>
  <sheetViews>
    <sheetView showGridLines="0" workbookViewId="0" topLeftCell="A1">
      <selection activeCell="A8" sqref="A8"/>
    </sheetView>
  </sheetViews>
  <sheetFormatPr defaultColWidth="9.140625" defaultRowHeight="12.75"/>
  <cols>
    <col min="1" max="1" width="39.57421875" style="10" customWidth="1"/>
    <col min="2" max="2" width="106.421875" style="10" customWidth="1"/>
    <col min="3" max="3" width="9.140625" style="10" customWidth="1"/>
    <col min="4" max="4" width="14.28125" style="10" customWidth="1"/>
    <col min="5" max="16384" width="9.140625" style="10" customWidth="1"/>
  </cols>
  <sheetData>
    <row r="1" s="2" customFormat="1" ht="12.75">
      <c r="B1" s="3" t="s">
        <v>49</v>
      </c>
    </row>
    <row r="2" s="2" customFormat="1" ht="20.25" customHeight="1">
      <c r="B2" s="255" t="s">
        <v>63</v>
      </c>
    </row>
    <row r="3" s="2" customFormat="1" ht="12.75">
      <c r="B3" s="255"/>
    </row>
    <row r="4" s="2" customFormat="1" ht="12.75">
      <c r="B4" s="255"/>
    </row>
    <row r="5" s="2" customFormat="1" ht="12.75">
      <c r="B5" s="255"/>
    </row>
    <row r="6" s="2" customFormat="1" ht="12.75">
      <c r="B6" s="255"/>
    </row>
    <row r="7" spans="1:2" s="2" customFormat="1" ht="13.5" thickBot="1">
      <c r="A7" s="4"/>
      <c r="B7" s="4"/>
    </row>
    <row r="8" spans="1:22" ht="18" customHeight="1" thickBot="1" thickTop="1">
      <c r="A8" s="5" t="s">
        <v>50</v>
      </c>
      <c r="B8" s="6" t="s">
        <v>64</v>
      </c>
      <c r="C8" s="7"/>
      <c r="D8" s="8"/>
      <c r="E8" s="8"/>
      <c r="F8" s="8"/>
      <c r="G8" s="8"/>
      <c r="H8" s="8"/>
      <c r="I8" s="8"/>
      <c r="J8" s="8"/>
      <c r="K8" s="8"/>
      <c r="L8" s="8"/>
      <c r="M8" s="8"/>
      <c r="N8" s="8"/>
      <c r="O8" s="8"/>
      <c r="P8" s="8"/>
      <c r="Q8" s="8"/>
      <c r="R8" s="8"/>
      <c r="S8" s="8"/>
      <c r="T8" s="8"/>
      <c r="U8" s="8"/>
      <c r="V8" s="9"/>
    </row>
    <row r="9" spans="1:22" ht="18" customHeight="1" thickBot="1" thickTop="1">
      <c r="A9" s="11" t="s">
        <v>51</v>
      </c>
      <c r="B9" s="12" t="s">
        <v>52</v>
      </c>
      <c r="C9" s="7"/>
      <c r="D9" s="8"/>
      <c r="E9" s="8"/>
      <c r="F9" s="8"/>
      <c r="G9" s="8"/>
      <c r="H9" s="8"/>
      <c r="I9" s="8"/>
      <c r="J9" s="8"/>
      <c r="K9" s="8"/>
      <c r="L9" s="8"/>
      <c r="M9" s="8"/>
      <c r="N9" s="8"/>
      <c r="O9" s="8"/>
      <c r="P9" s="8"/>
      <c r="Q9" s="8"/>
      <c r="R9" s="8"/>
      <c r="S9" s="8"/>
      <c r="T9" s="8"/>
      <c r="U9" s="8"/>
      <c r="V9" s="9"/>
    </row>
    <row r="10" spans="1:22" ht="18" customHeight="1" thickBot="1">
      <c r="A10" s="13" t="s">
        <v>53</v>
      </c>
      <c r="B10" s="14">
        <v>38498</v>
      </c>
      <c r="C10" s="7"/>
      <c r="D10" s="8"/>
      <c r="E10" s="8"/>
      <c r="F10" s="8"/>
      <c r="G10" s="8"/>
      <c r="H10" s="8"/>
      <c r="I10" s="8"/>
      <c r="J10" s="8"/>
      <c r="K10" s="8"/>
      <c r="L10" s="8"/>
      <c r="M10" s="8"/>
      <c r="N10" s="8"/>
      <c r="O10" s="8"/>
      <c r="P10" s="8"/>
      <c r="Q10" s="8"/>
      <c r="R10" s="8"/>
      <c r="S10" s="8"/>
      <c r="T10" s="8"/>
      <c r="U10" s="8"/>
      <c r="V10" s="9"/>
    </row>
    <row r="11" spans="1:22" ht="18" customHeight="1" thickBot="1">
      <c r="A11" s="13" t="s">
        <v>54</v>
      </c>
      <c r="B11" s="15" t="s">
        <v>110</v>
      </c>
      <c r="C11" s="7"/>
      <c r="D11" s="8"/>
      <c r="E11" s="8"/>
      <c r="F11" s="8"/>
      <c r="G11" s="8"/>
      <c r="H11" s="8"/>
      <c r="I11" s="8"/>
      <c r="J11" s="8"/>
      <c r="K11" s="8"/>
      <c r="L11" s="8"/>
      <c r="M11" s="8"/>
      <c r="N11" s="8"/>
      <c r="O11" s="8"/>
      <c r="P11" s="8"/>
      <c r="Q11" s="8"/>
      <c r="R11" s="8"/>
      <c r="S11" s="8"/>
      <c r="T11" s="8"/>
      <c r="U11" s="8"/>
      <c r="V11" s="9"/>
    </row>
    <row r="12" spans="1:22" ht="69" customHeight="1" thickBot="1">
      <c r="A12" s="16" t="s">
        <v>55</v>
      </c>
      <c r="B12" s="12" t="s">
        <v>111</v>
      </c>
      <c r="C12" s="7"/>
      <c r="D12" s="8"/>
      <c r="E12" s="8"/>
      <c r="F12" s="8"/>
      <c r="G12" s="8"/>
      <c r="H12" s="8"/>
      <c r="I12" s="8"/>
      <c r="J12" s="8"/>
      <c r="K12" s="8"/>
      <c r="L12" s="8"/>
      <c r="M12" s="8"/>
      <c r="N12" s="8"/>
      <c r="O12" s="8"/>
      <c r="P12" s="8"/>
      <c r="Q12" s="8"/>
      <c r="R12" s="8"/>
      <c r="S12" s="8"/>
      <c r="T12" s="8"/>
      <c r="U12" s="8"/>
      <c r="V12" s="9"/>
    </row>
    <row r="13" spans="1:22" ht="18" customHeight="1" thickBot="1">
      <c r="A13" s="16" t="s">
        <v>56</v>
      </c>
      <c r="B13" s="17" t="s">
        <v>101</v>
      </c>
      <c r="C13" s="7"/>
      <c r="D13" s="8"/>
      <c r="E13" s="8"/>
      <c r="F13" s="8"/>
      <c r="G13" s="8"/>
      <c r="H13" s="8"/>
      <c r="I13" s="8"/>
      <c r="J13" s="8"/>
      <c r="K13" s="8"/>
      <c r="L13" s="8"/>
      <c r="M13" s="8"/>
      <c r="N13" s="8"/>
      <c r="O13" s="8"/>
      <c r="P13" s="8"/>
      <c r="Q13" s="8"/>
      <c r="R13" s="8"/>
      <c r="S13" s="8"/>
      <c r="T13" s="8"/>
      <c r="U13" s="8"/>
      <c r="V13" s="9"/>
    </row>
    <row r="14" spans="1:22" ht="26.25" thickBot="1">
      <c r="A14" s="13" t="s">
        <v>57</v>
      </c>
      <c r="B14" s="15" t="s">
        <v>102</v>
      </c>
      <c r="C14" s="7"/>
      <c r="D14" s="8"/>
      <c r="E14" s="8"/>
      <c r="F14" s="8"/>
      <c r="G14" s="8"/>
      <c r="H14" s="8"/>
      <c r="I14" s="8"/>
      <c r="J14" s="8"/>
      <c r="K14" s="8"/>
      <c r="L14" s="8"/>
      <c r="M14" s="8"/>
      <c r="N14" s="8"/>
      <c r="O14" s="8"/>
      <c r="P14" s="8"/>
      <c r="Q14" s="8"/>
      <c r="R14" s="8"/>
      <c r="S14" s="8"/>
      <c r="T14" s="8"/>
      <c r="U14" s="8"/>
      <c r="V14" s="9"/>
    </row>
    <row r="15" spans="1:22" ht="18" customHeight="1" thickBot="1">
      <c r="A15" s="13" t="s">
        <v>58</v>
      </c>
      <c r="B15" s="15" t="s">
        <v>103</v>
      </c>
      <c r="C15" s="7"/>
      <c r="D15" s="8"/>
      <c r="E15" s="8"/>
      <c r="F15" s="8"/>
      <c r="G15" s="8"/>
      <c r="H15" s="8"/>
      <c r="I15" s="8"/>
      <c r="J15" s="8"/>
      <c r="K15" s="8"/>
      <c r="L15" s="8"/>
      <c r="M15" s="8"/>
      <c r="N15" s="8"/>
      <c r="O15" s="8"/>
      <c r="P15" s="8"/>
      <c r="Q15" s="8"/>
      <c r="R15" s="8"/>
      <c r="S15" s="8"/>
      <c r="T15" s="8"/>
      <c r="U15" s="8"/>
      <c r="V15" s="9"/>
    </row>
    <row r="16" spans="1:22" ht="6.75" customHeight="1" thickBot="1">
      <c r="A16" s="256" t="s">
        <v>59</v>
      </c>
      <c r="B16" s="18"/>
      <c r="C16" s="7"/>
      <c r="D16" s="8"/>
      <c r="E16" s="8"/>
      <c r="F16" s="8"/>
      <c r="G16" s="8"/>
      <c r="H16" s="8"/>
      <c r="I16" s="8"/>
      <c r="J16" s="8"/>
      <c r="K16" s="8"/>
      <c r="L16" s="8"/>
      <c r="M16" s="8"/>
      <c r="N16" s="8"/>
      <c r="O16" s="8"/>
      <c r="P16" s="8"/>
      <c r="Q16" s="8"/>
      <c r="R16" s="8"/>
      <c r="S16" s="8"/>
      <c r="T16" s="8"/>
      <c r="U16" s="8"/>
      <c r="V16" s="9"/>
    </row>
    <row r="17" spans="1:22" ht="13.5" thickBot="1">
      <c r="A17" s="257"/>
      <c r="B17" s="19" t="s">
        <v>60</v>
      </c>
      <c r="C17" s="7"/>
      <c r="D17" s="8"/>
      <c r="E17" s="8"/>
      <c r="F17" s="8"/>
      <c r="G17" s="8"/>
      <c r="H17" s="8"/>
      <c r="I17" s="8"/>
      <c r="J17" s="8"/>
      <c r="K17" s="8"/>
      <c r="L17" s="8"/>
      <c r="M17" s="8"/>
      <c r="N17" s="8"/>
      <c r="O17" s="8"/>
      <c r="P17" s="8"/>
      <c r="Q17" s="8"/>
      <c r="R17" s="8"/>
      <c r="S17" s="8"/>
      <c r="T17" s="8"/>
      <c r="U17" s="8"/>
      <c r="V17" s="9"/>
    </row>
    <row r="18" spans="1:22" ht="26.25" thickBot="1">
      <c r="A18" s="257"/>
      <c r="B18" s="12" t="s">
        <v>61</v>
      </c>
      <c r="C18" s="7"/>
      <c r="D18" s="8"/>
      <c r="E18" s="8"/>
      <c r="F18" s="8"/>
      <c r="G18" s="8"/>
      <c r="H18" s="8"/>
      <c r="I18" s="8"/>
      <c r="J18" s="8"/>
      <c r="K18" s="8"/>
      <c r="L18" s="8"/>
      <c r="M18" s="8"/>
      <c r="N18" s="8"/>
      <c r="O18" s="8"/>
      <c r="P18" s="8"/>
      <c r="Q18" s="8"/>
      <c r="R18" s="8"/>
      <c r="S18" s="8"/>
      <c r="T18" s="8"/>
      <c r="U18" s="8"/>
      <c r="V18" s="9"/>
    </row>
    <row r="19" spans="1:22" ht="13.5" thickBot="1">
      <c r="A19" s="257"/>
      <c r="B19" s="12"/>
      <c r="C19" s="7"/>
      <c r="D19" s="8"/>
      <c r="E19" s="8"/>
      <c r="F19" s="8"/>
      <c r="G19" s="8"/>
      <c r="H19" s="8"/>
      <c r="I19" s="8"/>
      <c r="J19" s="8"/>
      <c r="K19" s="8"/>
      <c r="L19" s="8"/>
      <c r="M19" s="8"/>
      <c r="N19" s="8"/>
      <c r="O19" s="8"/>
      <c r="P19" s="8"/>
      <c r="Q19" s="8"/>
      <c r="R19" s="8"/>
      <c r="S19" s="8"/>
      <c r="T19" s="8"/>
      <c r="U19" s="8"/>
      <c r="V19" s="9"/>
    </row>
    <row r="20" spans="1:22" ht="13.5" thickBot="1">
      <c r="A20" s="257"/>
      <c r="B20" s="79" t="s">
        <v>84</v>
      </c>
      <c r="C20" s="7"/>
      <c r="D20" s="8"/>
      <c r="E20" s="8"/>
      <c r="F20" s="8"/>
      <c r="G20" s="8"/>
      <c r="H20" s="8"/>
      <c r="I20" s="8"/>
      <c r="J20" s="8"/>
      <c r="K20" s="8"/>
      <c r="L20" s="8"/>
      <c r="M20" s="8"/>
      <c r="N20" s="8"/>
      <c r="O20" s="8"/>
      <c r="P20" s="8"/>
      <c r="Q20" s="8"/>
      <c r="R20" s="8"/>
      <c r="S20" s="8"/>
      <c r="T20" s="8"/>
      <c r="U20" s="8"/>
      <c r="V20" s="9"/>
    </row>
    <row r="21" spans="1:22" ht="13.5" thickBot="1">
      <c r="A21" s="257"/>
      <c r="B21" s="18" t="s">
        <v>62</v>
      </c>
      <c r="C21" s="7"/>
      <c r="D21" s="8"/>
      <c r="E21" s="8"/>
      <c r="F21" s="8"/>
      <c r="G21" s="8"/>
      <c r="H21" s="8"/>
      <c r="I21" s="8"/>
      <c r="J21" s="8"/>
      <c r="K21" s="8"/>
      <c r="L21" s="8"/>
      <c r="M21" s="8"/>
      <c r="N21" s="8"/>
      <c r="O21" s="8"/>
      <c r="P21" s="8"/>
      <c r="Q21" s="8"/>
      <c r="R21" s="8"/>
      <c r="S21" s="8"/>
      <c r="T21" s="8"/>
      <c r="U21" s="8"/>
      <c r="V21" s="9"/>
    </row>
    <row r="22" spans="1:22" ht="10.5" customHeight="1" thickBot="1">
      <c r="A22" s="257"/>
      <c r="B22" s="12"/>
      <c r="C22" s="7"/>
      <c r="D22" s="8"/>
      <c r="E22" s="8"/>
      <c r="F22" s="8"/>
      <c r="G22" s="8"/>
      <c r="H22" s="8"/>
      <c r="I22" s="8"/>
      <c r="J22" s="8"/>
      <c r="K22" s="8"/>
      <c r="L22" s="8"/>
      <c r="M22" s="8"/>
      <c r="N22" s="8"/>
      <c r="O22" s="8"/>
      <c r="P22" s="8"/>
      <c r="Q22" s="8"/>
      <c r="R22" s="8"/>
      <c r="S22" s="8"/>
      <c r="T22" s="8"/>
      <c r="U22" s="8"/>
      <c r="V22" s="9"/>
    </row>
    <row r="23" spans="1:22" ht="13.5" thickBot="1">
      <c r="A23" s="257"/>
      <c r="B23" s="19" t="s">
        <v>104</v>
      </c>
      <c r="C23" s="7"/>
      <c r="D23" s="8"/>
      <c r="E23" s="8"/>
      <c r="F23" s="8"/>
      <c r="G23" s="8"/>
      <c r="H23" s="8"/>
      <c r="I23" s="8"/>
      <c r="J23" s="8"/>
      <c r="K23" s="8"/>
      <c r="L23" s="8"/>
      <c r="M23" s="8"/>
      <c r="N23" s="8"/>
      <c r="O23" s="8"/>
      <c r="P23" s="8"/>
      <c r="Q23" s="8"/>
      <c r="R23" s="8"/>
      <c r="S23" s="8"/>
      <c r="T23" s="8"/>
      <c r="U23" s="8"/>
      <c r="V23" s="9"/>
    </row>
    <row r="24" spans="1:22" ht="26.25" thickBot="1">
      <c r="A24" s="257"/>
      <c r="B24" s="12" t="s">
        <v>105</v>
      </c>
      <c r="C24" s="7"/>
      <c r="D24" s="8"/>
      <c r="E24" s="8"/>
      <c r="F24" s="8"/>
      <c r="G24" s="8"/>
      <c r="H24" s="8"/>
      <c r="I24" s="8"/>
      <c r="J24" s="8"/>
      <c r="K24" s="8"/>
      <c r="L24" s="8"/>
      <c r="M24" s="8"/>
      <c r="N24" s="8"/>
      <c r="O24" s="8"/>
      <c r="P24" s="8"/>
      <c r="Q24" s="8"/>
      <c r="R24" s="8"/>
      <c r="S24" s="8"/>
      <c r="T24" s="8"/>
      <c r="U24" s="8"/>
      <c r="V24" s="9"/>
    </row>
    <row r="25" spans="1:22" ht="13.5" thickBot="1">
      <c r="A25" s="257"/>
      <c r="B25" s="12"/>
      <c r="C25" s="7"/>
      <c r="D25" s="8"/>
      <c r="E25" s="8"/>
      <c r="F25" s="8"/>
      <c r="G25" s="8"/>
      <c r="H25" s="8"/>
      <c r="I25" s="8"/>
      <c r="J25" s="8"/>
      <c r="K25" s="8"/>
      <c r="L25" s="8"/>
      <c r="M25" s="8"/>
      <c r="N25" s="8"/>
      <c r="O25" s="8"/>
      <c r="P25" s="8"/>
      <c r="Q25" s="8"/>
      <c r="R25" s="8"/>
      <c r="S25" s="8"/>
      <c r="T25" s="8"/>
      <c r="U25" s="8"/>
      <c r="V25" s="9"/>
    </row>
    <row r="26" spans="1:22" ht="13.5" thickBot="1">
      <c r="A26" s="257"/>
      <c r="B26" s="19" t="s">
        <v>44</v>
      </c>
      <c r="C26" s="7"/>
      <c r="D26" s="8"/>
      <c r="E26" s="8"/>
      <c r="F26" s="8"/>
      <c r="G26" s="8"/>
      <c r="H26" s="8"/>
      <c r="I26" s="8"/>
      <c r="J26" s="8"/>
      <c r="K26" s="8"/>
      <c r="L26" s="8"/>
      <c r="M26" s="8"/>
      <c r="N26" s="8"/>
      <c r="O26" s="8"/>
      <c r="P26" s="8"/>
      <c r="Q26" s="8"/>
      <c r="R26" s="8"/>
      <c r="S26" s="8"/>
      <c r="T26" s="8"/>
      <c r="U26" s="8"/>
      <c r="V26" s="9"/>
    </row>
    <row r="27" spans="1:22" ht="26.25" thickBot="1">
      <c r="A27" s="257"/>
      <c r="B27" s="12" t="s">
        <v>106</v>
      </c>
      <c r="C27" s="7"/>
      <c r="D27" s="8"/>
      <c r="E27" s="8"/>
      <c r="F27" s="8"/>
      <c r="G27" s="8"/>
      <c r="H27" s="8"/>
      <c r="I27" s="8"/>
      <c r="J27" s="8"/>
      <c r="K27" s="8"/>
      <c r="L27" s="8"/>
      <c r="M27" s="8"/>
      <c r="N27" s="8"/>
      <c r="O27" s="8"/>
      <c r="P27" s="8"/>
      <c r="Q27" s="8"/>
      <c r="R27" s="8"/>
      <c r="S27" s="8"/>
      <c r="T27" s="8"/>
      <c r="U27" s="8"/>
      <c r="V27" s="9"/>
    </row>
    <row r="28" spans="1:22" ht="6.75" customHeight="1" thickBot="1">
      <c r="A28" s="258"/>
      <c r="B28" s="20"/>
      <c r="C28" s="7"/>
      <c r="D28" s="8"/>
      <c r="E28" s="8"/>
      <c r="F28" s="8"/>
      <c r="G28" s="8"/>
      <c r="H28" s="8"/>
      <c r="I28" s="8"/>
      <c r="J28" s="8"/>
      <c r="K28" s="8"/>
      <c r="L28" s="8"/>
      <c r="M28" s="8"/>
      <c r="N28" s="8"/>
      <c r="O28" s="8"/>
      <c r="P28" s="8"/>
      <c r="Q28" s="8"/>
      <c r="R28" s="8"/>
      <c r="S28" s="8"/>
      <c r="T28" s="8"/>
      <c r="U28" s="8"/>
      <c r="V28" s="9"/>
    </row>
    <row r="29" spans="1:22" ht="17.25" thickBot="1" thickTop="1">
      <c r="A29" s="21"/>
      <c r="B29" s="22"/>
      <c r="C29" s="8"/>
      <c r="D29" s="8"/>
      <c r="E29" s="8"/>
      <c r="F29" s="8"/>
      <c r="G29" s="8"/>
      <c r="H29" s="8"/>
      <c r="I29" s="8"/>
      <c r="J29" s="8"/>
      <c r="K29" s="8"/>
      <c r="L29" s="8"/>
      <c r="M29" s="8"/>
      <c r="N29" s="8"/>
      <c r="O29" s="8"/>
      <c r="P29" s="8"/>
      <c r="Q29" s="8"/>
      <c r="R29" s="8"/>
      <c r="S29" s="8"/>
      <c r="T29" s="8"/>
      <c r="U29" s="8"/>
      <c r="V29" s="9"/>
    </row>
    <row r="30" spans="1:22" ht="52.5" thickBot="1" thickTop="1">
      <c r="A30" s="23"/>
      <c r="B30" s="254" t="s">
        <v>112</v>
      </c>
      <c r="C30" s="8"/>
      <c r="D30" s="8"/>
      <c r="E30" s="8"/>
      <c r="F30" s="8"/>
      <c r="G30" s="8"/>
      <c r="H30" s="8"/>
      <c r="I30" s="8"/>
      <c r="J30" s="8"/>
      <c r="K30" s="8"/>
      <c r="L30" s="8"/>
      <c r="M30" s="8"/>
      <c r="N30" s="8"/>
      <c r="O30" s="8"/>
      <c r="P30" s="8"/>
      <c r="Q30" s="8"/>
      <c r="R30" s="8"/>
      <c r="S30" s="8"/>
      <c r="T30" s="8"/>
      <c r="U30" s="8"/>
      <c r="V30" s="9"/>
    </row>
    <row r="31" spans="1:22" ht="14.25" thickBot="1" thickTop="1">
      <c r="A31" s="23"/>
      <c r="B31" s="24"/>
      <c r="C31" s="8"/>
      <c r="D31" s="8"/>
      <c r="E31" s="8"/>
      <c r="F31" s="8"/>
      <c r="G31" s="8"/>
      <c r="H31" s="8"/>
      <c r="I31" s="8"/>
      <c r="J31" s="8"/>
      <c r="K31" s="8"/>
      <c r="L31" s="8"/>
      <c r="M31" s="8"/>
      <c r="N31" s="8"/>
      <c r="O31" s="8"/>
      <c r="P31" s="8"/>
      <c r="Q31" s="8"/>
      <c r="R31" s="8"/>
      <c r="S31" s="8"/>
      <c r="T31" s="8"/>
      <c r="U31" s="8"/>
      <c r="V31" s="9"/>
    </row>
    <row r="32" spans="1:22" ht="14.25" thickBot="1" thickTop="1">
      <c r="A32" s="23"/>
      <c r="B32" s="24"/>
      <c r="C32" s="8"/>
      <c r="D32" s="8"/>
      <c r="E32" s="8"/>
      <c r="F32" s="8"/>
      <c r="G32" s="8"/>
      <c r="H32" s="8"/>
      <c r="I32" s="8"/>
      <c r="J32" s="8"/>
      <c r="K32" s="8"/>
      <c r="L32" s="8"/>
      <c r="M32" s="8"/>
      <c r="N32" s="8"/>
      <c r="O32" s="8"/>
      <c r="P32" s="8"/>
      <c r="Q32" s="8"/>
      <c r="R32" s="8"/>
      <c r="S32" s="8"/>
      <c r="T32" s="8"/>
      <c r="U32" s="8"/>
      <c r="V32" s="9"/>
    </row>
    <row r="33" spans="1:22" ht="14.25" thickBot="1" thickTop="1">
      <c r="A33" s="23"/>
      <c r="B33" s="24"/>
      <c r="C33" s="8"/>
      <c r="D33" s="8"/>
      <c r="E33" s="8"/>
      <c r="F33" s="8"/>
      <c r="G33" s="8"/>
      <c r="H33" s="8"/>
      <c r="I33" s="8"/>
      <c r="J33" s="8"/>
      <c r="K33" s="8"/>
      <c r="L33" s="8"/>
      <c r="M33" s="8"/>
      <c r="N33" s="8"/>
      <c r="O33" s="8"/>
      <c r="P33" s="8"/>
      <c r="Q33" s="8"/>
      <c r="R33" s="8"/>
      <c r="S33" s="8"/>
      <c r="T33" s="8"/>
      <c r="U33" s="8"/>
      <c r="V33" s="9"/>
    </row>
    <row r="34" spans="1:22" ht="14.25" thickBot="1" thickTop="1">
      <c r="A34" s="23"/>
      <c r="B34" s="24"/>
      <c r="C34" s="8"/>
      <c r="D34" s="8"/>
      <c r="E34" s="8"/>
      <c r="F34" s="8"/>
      <c r="G34" s="8"/>
      <c r="H34" s="8"/>
      <c r="I34" s="8"/>
      <c r="J34" s="8"/>
      <c r="K34" s="8"/>
      <c r="L34" s="8"/>
      <c r="M34" s="8"/>
      <c r="N34" s="8"/>
      <c r="O34" s="8"/>
      <c r="P34" s="8"/>
      <c r="Q34" s="8"/>
      <c r="R34" s="8"/>
      <c r="S34" s="8"/>
      <c r="T34" s="8"/>
      <c r="U34" s="8"/>
      <c r="V34" s="9"/>
    </row>
    <row r="35" spans="1:22" ht="14.25" thickBot="1" thickTop="1">
      <c r="A35" s="23"/>
      <c r="B35" s="24"/>
      <c r="C35" s="8"/>
      <c r="D35" s="8"/>
      <c r="E35" s="8"/>
      <c r="F35" s="8"/>
      <c r="G35" s="8"/>
      <c r="H35" s="8"/>
      <c r="I35" s="8"/>
      <c r="J35" s="8"/>
      <c r="K35" s="8"/>
      <c r="L35" s="8"/>
      <c r="M35" s="8"/>
      <c r="N35" s="8"/>
      <c r="O35" s="8"/>
      <c r="P35" s="8"/>
      <c r="Q35" s="8"/>
      <c r="R35" s="8"/>
      <c r="S35" s="8"/>
      <c r="T35" s="8"/>
      <c r="U35" s="8"/>
      <c r="V35" s="9"/>
    </row>
    <row r="36" spans="1:22" ht="14.25" thickBot="1" thickTop="1">
      <c r="A36" s="23"/>
      <c r="B36" s="24"/>
      <c r="C36" s="8"/>
      <c r="D36" s="8"/>
      <c r="E36" s="8"/>
      <c r="F36" s="8"/>
      <c r="G36" s="8"/>
      <c r="H36" s="8"/>
      <c r="I36" s="8"/>
      <c r="J36" s="8"/>
      <c r="K36" s="8"/>
      <c r="L36" s="8"/>
      <c r="M36" s="8"/>
      <c r="N36" s="8"/>
      <c r="O36" s="8"/>
      <c r="P36" s="8"/>
      <c r="Q36" s="8"/>
      <c r="R36" s="8"/>
      <c r="S36" s="8"/>
      <c r="T36" s="8"/>
      <c r="U36" s="8"/>
      <c r="V36" s="9"/>
    </row>
    <row r="37" spans="1:22" ht="14.25" thickBot="1" thickTop="1">
      <c r="A37" s="23"/>
      <c r="B37" s="24"/>
      <c r="C37" s="8"/>
      <c r="D37" s="8"/>
      <c r="E37" s="8"/>
      <c r="F37" s="8"/>
      <c r="G37" s="8"/>
      <c r="H37" s="8"/>
      <c r="I37" s="8"/>
      <c r="J37" s="8"/>
      <c r="K37" s="8"/>
      <c r="L37" s="8"/>
      <c r="M37" s="8"/>
      <c r="N37" s="8"/>
      <c r="O37" s="8"/>
      <c r="P37" s="8"/>
      <c r="Q37" s="8"/>
      <c r="R37" s="8"/>
      <c r="S37" s="8"/>
      <c r="T37" s="8"/>
      <c r="U37" s="8"/>
      <c r="V37" s="9"/>
    </row>
    <row r="38" spans="1:22" ht="14.25" thickBot="1" thickTop="1">
      <c r="A38" s="23"/>
      <c r="B38" s="24"/>
      <c r="C38" s="8"/>
      <c r="D38" s="8"/>
      <c r="E38" s="8"/>
      <c r="F38" s="8"/>
      <c r="G38" s="8"/>
      <c r="H38" s="8"/>
      <c r="I38" s="8"/>
      <c r="J38" s="8"/>
      <c r="K38" s="8"/>
      <c r="L38" s="8"/>
      <c r="M38" s="8"/>
      <c r="N38" s="8"/>
      <c r="O38" s="8"/>
      <c r="P38" s="8"/>
      <c r="Q38" s="8"/>
      <c r="R38" s="8"/>
      <c r="S38" s="8"/>
      <c r="T38" s="8"/>
      <c r="U38" s="8"/>
      <c r="V38" s="9"/>
    </row>
    <row r="39" spans="1:22" ht="14.25" thickBot="1" thickTop="1">
      <c r="A39" s="23"/>
      <c r="B39" s="24"/>
      <c r="C39" s="8"/>
      <c r="D39" s="8"/>
      <c r="E39" s="8"/>
      <c r="F39" s="8"/>
      <c r="G39" s="8"/>
      <c r="H39" s="8"/>
      <c r="I39" s="8"/>
      <c r="J39" s="8"/>
      <c r="K39" s="8"/>
      <c r="L39" s="8"/>
      <c r="M39" s="8"/>
      <c r="N39" s="8"/>
      <c r="O39" s="8"/>
      <c r="P39" s="8"/>
      <c r="Q39" s="8"/>
      <c r="R39" s="8"/>
      <c r="S39" s="8"/>
      <c r="T39" s="8"/>
      <c r="U39" s="8"/>
      <c r="V39" s="9"/>
    </row>
    <row r="40" spans="1:22" ht="14.25" thickBot="1" thickTop="1">
      <c r="A40" s="23"/>
      <c r="B40" s="24"/>
      <c r="C40" s="8"/>
      <c r="D40" s="8"/>
      <c r="E40" s="8"/>
      <c r="F40" s="8"/>
      <c r="G40" s="8"/>
      <c r="H40" s="8"/>
      <c r="I40" s="8"/>
      <c r="J40" s="8"/>
      <c r="K40" s="8"/>
      <c r="L40" s="8"/>
      <c r="M40" s="8"/>
      <c r="N40" s="8"/>
      <c r="O40" s="8"/>
      <c r="P40" s="8"/>
      <c r="Q40" s="8"/>
      <c r="R40" s="8"/>
      <c r="S40" s="8"/>
      <c r="T40" s="8"/>
      <c r="U40" s="8"/>
      <c r="V40" s="9"/>
    </row>
    <row r="41" spans="1:22" ht="14.25" thickBot="1" thickTop="1">
      <c r="A41" s="23"/>
      <c r="B41" s="24"/>
      <c r="C41" s="8"/>
      <c r="D41" s="8"/>
      <c r="E41" s="8"/>
      <c r="F41" s="8"/>
      <c r="G41" s="8"/>
      <c r="H41" s="8"/>
      <c r="I41" s="8"/>
      <c r="J41" s="8"/>
      <c r="K41" s="8"/>
      <c r="L41" s="8"/>
      <c r="M41" s="8"/>
      <c r="N41" s="8"/>
      <c r="O41" s="8"/>
      <c r="P41" s="8"/>
      <c r="Q41" s="8"/>
      <c r="R41" s="8"/>
      <c r="S41" s="8"/>
      <c r="T41" s="8"/>
      <c r="U41" s="8"/>
      <c r="V41" s="9"/>
    </row>
    <row r="42" spans="1:22" ht="14.25" thickBot="1" thickTop="1">
      <c r="A42" s="23"/>
      <c r="B42" s="24"/>
      <c r="C42" s="8"/>
      <c r="D42" s="8"/>
      <c r="E42" s="8"/>
      <c r="F42" s="8"/>
      <c r="G42" s="8"/>
      <c r="H42" s="8"/>
      <c r="I42" s="8"/>
      <c r="J42" s="8"/>
      <c r="K42" s="8"/>
      <c r="L42" s="8"/>
      <c r="M42" s="8"/>
      <c r="N42" s="8"/>
      <c r="O42" s="8"/>
      <c r="P42" s="8"/>
      <c r="Q42" s="8"/>
      <c r="R42" s="8"/>
      <c r="S42" s="8"/>
      <c r="T42" s="8"/>
      <c r="U42" s="8"/>
      <c r="V42" s="9"/>
    </row>
    <row r="43" spans="1:22" ht="14.25" thickBot="1" thickTop="1">
      <c r="A43" s="23"/>
      <c r="B43" s="24"/>
      <c r="C43" s="8"/>
      <c r="D43" s="8"/>
      <c r="E43" s="8"/>
      <c r="F43" s="8"/>
      <c r="G43" s="8"/>
      <c r="H43" s="8"/>
      <c r="I43" s="8"/>
      <c r="J43" s="8"/>
      <c r="K43" s="8"/>
      <c r="L43" s="8"/>
      <c r="M43" s="8"/>
      <c r="N43" s="8"/>
      <c r="O43" s="8"/>
      <c r="P43" s="8"/>
      <c r="Q43" s="8"/>
      <c r="R43" s="8"/>
      <c r="S43" s="8"/>
      <c r="T43" s="8"/>
      <c r="U43" s="8"/>
      <c r="V43" s="9"/>
    </row>
    <row r="44" spans="1:22" ht="14.25" thickBot="1" thickTop="1">
      <c r="A44" s="23"/>
      <c r="B44" s="24"/>
      <c r="C44" s="8"/>
      <c r="D44" s="8"/>
      <c r="E44" s="8"/>
      <c r="F44" s="8"/>
      <c r="G44" s="8"/>
      <c r="H44" s="8"/>
      <c r="I44" s="8"/>
      <c r="J44" s="8"/>
      <c r="K44" s="8"/>
      <c r="L44" s="8"/>
      <c r="M44" s="8"/>
      <c r="N44" s="8"/>
      <c r="O44" s="8"/>
      <c r="P44" s="8"/>
      <c r="Q44" s="8"/>
      <c r="R44" s="8"/>
      <c r="S44" s="8"/>
      <c r="T44" s="8"/>
      <c r="U44" s="8"/>
      <c r="V44" s="9"/>
    </row>
    <row r="45" spans="1:22" ht="14.25" thickBot="1" thickTop="1">
      <c r="A45" s="23"/>
      <c r="B45" s="24"/>
      <c r="C45" s="8"/>
      <c r="D45" s="8"/>
      <c r="E45" s="8"/>
      <c r="F45" s="8"/>
      <c r="G45" s="8"/>
      <c r="H45" s="8"/>
      <c r="I45" s="8"/>
      <c r="J45" s="8"/>
      <c r="K45" s="8"/>
      <c r="L45" s="8"/>
      <c r="M45" s="8"/>
      <c r="N45" s="8"/>
      <c r="O45" s="8"/>
      <c r="P45" s="8"/>
      <c r="Q45" s="8"/>
      <c r="R45" s="8"/>
      <c r="S45" s="8"/>
      <c r="T45" s="8"/>
      <c r="U45" s="8"/>
      <c r="V45" s="9"/>
    </row>
    <row r="46" spans="1:22" ht="14.25" thickBot="1" thickTop="1">
      <c r="A46" s="23"/>
      <c r="B46" s="24"/>
      <c r="C46" s="8"/>
      <c r="D46" s="8"/>
      <c r="E46" s="8"/>
      <c r="F46" s="8"/>
      <c r="G46" s="8"/>
      <c r="H46" s="8"/>
      <c r="I46" s="8"/>
      <c r="J46" s="8"/>
      <c r="K46" s="8"/>
      <c r="L46" s="8"/>
      <c r="M46" s="8"/>
      <c r="N46" s="8"/>
      <c r="O46" s="8"/>
      <c r="P46" s="8"/>
      <c r="Q46" s="8"/>
      <c r="R46" s="8"/>
      <c r="S46" s="8"/>
      <c r="T46" s="8"/>
      <c r="U46" s="8"/>
      <c r="V46" s="9"/>
    </row>
    <row r="47" spans="1:22" ht="14.25" thickBot="1" thickTop="1">
      <c r="A47" s="23"/>
      <c r="B47" s="24"/>
      <c r="C47" s="8"/>
      <c r="D47" s="8"/>
      <c r="E47" s="8"/>
      <c r="F47" s="8"/>
      <c r="G47" s="8"/>
      <c r="H47" s="8"/>
      <c r="I47" s="8"/>
      <c r="J47" s="8"/>
      <c r="K47" s="8"/>
      <c r="L47" s="8"/>
      <c r="M47" s="8"/>
      <c r="N47" s="8"/>
      <c r="O47" s="8"/>
      <c r="P47" s="8"/>
      <c r="Q47" s="8"/>
      <c r="R47" s="8"/>
      <c r="S47" s="8"/>
      <c r="T47" s="8"/>
      <c r="U47" s="8"/>
      <c r="V47" s="9"/>
    </row>
    <row r="48" spans="1:22" ht="14.25" thickBot="1" thickTop="1">
      <c r="A48" s="23"/>
      <c r="B48" s="24"/>
      <c r="C48" s="8"/>
      <c r="D48" s="8"/>
      <c r="E48" s="8"/>
      <c r="F48" s="8"/>
      <c r="G48" s="8"/>
      <c r="H48" s="8"/>
      <c r="I48" s="8"/>
      <c r="J48" s="8"/>
      <c r="K48" s="8"/>
      <c r="L48" s="8"/>
      <c r="M48" s="8"/>
      <c r="N48" s="8"/>
      <c r="O48" s="8"/>
      <c r="P48" s="8"/>
      <c r="Q48" s="8"/>
      <c r="R48" s="8"/>
      <c r="S48" s="8"/>
      <c r="T48" s="8"/>
      <c r="U48" s="8"/>
      <c r="V48" s="9"/>
    </row>
    <row r="49" spans="1:22" ht="14.25" thickBot="1" thickTop="1">
      <c r="A49" s="23"/>
      <c r="B49" s="24"/>
      <c r="C49" s="8"/>
      <c r="D49" s="8"/>
      <c r="E49" s="8"/>
      <c r="F49" s="8"/>
      <c r="G49" s="8"/>
      <c r="H49" s="8"/>
      <c r="I49" s="8"/>
      <c r="J49" s="8"/>
      <c r="K49" s="8"/>
      <c r="L49" s="8"/>
      <c r="M49" s="8"/>
      <c r="N49" s="8"/>
      <c r="O49" s="8"/>
      <c r="P49" s="8"/>
      <c r="Q49" s="8"/>
      <c r="R49" s="8"/>
      <c r="S49" s="8"/>
      <c r="T49" s="8"/>
      <c r="U49" s="8"/>
      <c r="V49" s="9"/>
    </row>
    <row r="50" spans="1:22" ht="14.25" thickBot="1" thickTop="1">
      <c r="A50" s="23"/>
      <c r="B50" s="24"/>
      <c r="C50" s="8"/>
      <c r="D50" s="8"/>
      <c r="E50" s="8"/>
      <c r="F50" s="8"/>
      <c r="G50" s="8"/>
      <c r="H50" s="8"/>
      <c r="I50" s="8"/>
      <c r="J50" s="8"/>
      <c r="K50" s="8"/>
      <c r="L50" s="8"/>
      <c r="M50" s="8"/>
      <c r="N50" s="8"/>
      <c r="O50" s="8"/>
      <c r="P50" s="8"/>
      <c r="Q50" s="8"/>
      <c r="R50" s="8"/>
      <c r="S50" s="8"/>
      <c r="T50" s="8"/>
      <c r="U50" s="8"/>
      <c r="V50" s="9"/>
    </row>
    <row r="51" spans="1:22" ht="14.25" thickBot="1" thickTop="1">
      <c r="A51" s="23"/>
      <c r="B51" s="24"/>
      <c r="C51" s="8"/>
      <c r="D51" s="8"/>
      <c r="E51" s="8"/>
      <c r="F51" s="8"/>
      <c r="G51" s="8"/>
      <c r="H51" s="8"/>
      <c r="I51" s="8"/>
      <c r="J51" s="8"/>
      <c r="K51" s="8"/>
      <c r="L51" s="8"/>
      <c r="M51" s="8"/>
      <c r="N51" s="8"/>
      <c r="O51" s="8"/>
      <c r="P51" s="8"/>
      <c r="Q51" s="8"/>
      <c r="R51" s="8"/>
      <c r="S51" s="8"/>
      <c r="T51" s="8"/>
      <c r="U51" s="8"/>
      <c r="V51" s="9"/>
    </row>
    <row r="52" spans="1:22" ht="14.25" thickBot="1" thickTop="1">
      <c r="A52" s="23"/>
      <c r="B52" s="24"/>
      <c r="C52" s="8"/>
      <c r="D52" s="8"/>
      <c r="E52" s="8"/>
      <c r="F52" s="8"/>
      <c r="G52" s="8"/>
      <c r="H52" s="8"/>
      <c r="I52" s="8"/>
      <c r="J52" s="8"/>
      <c r="K52" s="8"/>
      <c r="L52" s="8"/>
      <c r="M52" s="8"/>
      <c r="N52" s="8"/>
      <c r="O52" s="8"/>
      <c r="P52" s="8"/>
      <c r="Q52" s="8"/>
      <c r="R52" s="8"/>
      <c r="S52" s="8"/>
      <c r="T52" s="8"/>
      <c r="U52" s="8"/>
      <c r="V52" s="9"/>
    </row>
    <row r="53" spans="1:22" ht="14.25" thickBot="1" thickTop="1">
      <c r="A53" s="23"/>
      <c r="B53" s="24"/>
      <c r="C53" s="8"/>
      <c r="D53" s="8"/>
      <c r="E53" s="8"/>
      <c r="F53" s="8"/>
      <c r="G53" s="8"/>
      <c r="H53" s="8"/>
      <c r="I53" s="8"/>
      <c r="J53" s="8"/>
      <c r="K53" s="8"/>
      <c r="L53" s="8"/>
      <c r="M53" s="8"/>
      <c r="N53" s="8"/>
      <c r="O53" s="8"/>
      <c r="P53" s="8"/>
      <c r="Q53" s="8"/>
      <c r="R53" s="8"/>
      <c r="S53" s="8"/>
      <c r="T53" s="8"/>
      <c r="U53" s="8"/>
      <c r="V53" s="9"/>
    </row>
    <row r="54" spans="1:22" ht="14.25" thickBot="1" thickTop="1">
      <c r="A54" s="23"/>
      <c r="B54" s="24"/>
      <c r="C54" s="8"/>
      <c r="D54" s="8"/>
      <c r="E54" s="8"/>
      <c r="F54" s="8"/>
      <c r="G54" s="8"/>
      <c r="H54" s="8"/>
      <c r="I54" s="8"/>
      <c r="J54" s="8"/>
      <c r="K54" s="8"/>
      <c r="L54" s="8"/>
      <c r="M54" s="8"/>
      <c r="N54" s="8"/>
      <c r="O54" s="8"/>
      <c r="P54" s="8"/>
      <c r="Q54" s="8"/>
      <c r="R54" s="8"/>
      <c r="S54" s="8"/>
      <c r="T54" s="8"/>
      <c r="U54" s="8"/>
      <c r="V54" s="9"/>
    </row>
    <row r="55" spans="1:22" ht="14.25" thickBot="1" thickTop="1">
      <c r="A55" s="23"/>
      <c r="B55" s="24"/>
      <c r="C55" s="8"/>
      <c r="D55" s="8"/>
      <c r="E55" s="8"/>
      <c r="F55" s="8"/>
      <c r="G55" s="8"/>
      <c r="H55" s="8"/>
      <c r="I55" s="8"/>
      <c r="J55" s="8"/>
      <c r="K55" s="8"/>
      <c r="L55" s="8"/>
      <c r="M55" s="8"/>
      <c r="N55" s="8"/>
      <c r="O55" s="8"/>
      <c r="P55" s="8"/>
      <c r="Q55" s="8"/>
      <c r="R55" s="8"/>
      <c r="S55" s="8"/>
      <c r="T55" s="8"/>
      <c r="U55" s="8"/>
      <c r="V55" s="9"/>
    </row>
    <row r="56" spans="1:22" ht="14.25" thickBot="1" thickTop="1">
      <c r="A56" s="23"/>
      <c r="B56" s="24"/>
      <c r="C56" s="8"/>
      <c r="D56" s="8"/>
      <c r="E56" s="8"/>
      <c r="F56" s="8"/>
      <c r="G56" s="8"/>
      <c r="H56" s="8"/>
      <c r="I56" s="8"/>
      <c r="J56" s="8"/>
      <c r="K56" s="8"/>
      <c r="L56" s="8"/>
      <c r="M56" s="8"/>
      <c r="N56" s="8"/>
      <c r="O56" s="8"/>
      <c r="P56" s="8"/>
      <c r="Q56" s="8"/>
      <c r="R56" s="8"/>
      <c r="S56" s="8"/>
      <c r="T56" s="8"/>
      <c r="U56" s="8"/>
      <c r="V56" s="9"/>
    </row>
    <row r="57" spans="1:22" ht="14.25" thickBot="1" thickTop="1">
      <c r="A57" s="23"/>
      <c r="B57" s="24"/>
      <c r="C57" s="8"/>
      <c r="D57" s="8"/>
      <c r="E57" s="8"/>
      <c r="F57" s="8"/>
      <c r="G57" s="8"/>
      <c r="H57" s="8"/>
      <c r="I57" s="8"/>
      <c r="J57" s="8"/>
      <c r="K57" s="8"/>
      <c r="L57" s="8"/>
      <c r="M57" s="8"/>
      <c r="N57" s="8"/>
      <c r="O57" s="8"/>
      <c r="P57" s="8"/>
      <c r="Q57" s="8"/>
      <c r="R57" s="8"/>
      <c r="S57" s="8"/>
      <c r="T57" s="8"/>
      <c r="U57" s="8"/>
      <c r="V57" s="9"/>
    </row>
    <row r="58" spans="1:22" ht="14.25" thickBot="1" thickTop="1">
      <c r="A58" s="23"/>
      <c r="B58" s="24"/>
      <c r="C58" s="8"/>
      <c r="D58" s="8"/>
      <c r="E58" s="8"/>
      <c r="F58" s="8"/>
      <c r="G58" s="8"/>
      <c r="H58" s="8"/>
      <c r="I58" s="8"/>
      <c r="J58" s="8"/>
      <c r="K58" s="8"/>
      <c r="L58" s="8"/>
      <c r="M58" s="8"/>
      <c r="N58" s="8"/>
      <c r="O58" s="8"/>
      <c r="P58" s="8"/>
      <c r="Q58" s="8"/>
      <c r="R58" s="8"/>
      <c r="S58" s="8"/>
      <c r="T58" s="8"/>
      <c r="U58" s="8"/>
      <c r="V58" s="9"/>
    </row>
    <row r="59" spans="1:22" ht="14.25" thickBot="1" thickTop="1">
      <c r="A59" s="23"/>
      <c r="B59" s="24"/>
      <c r="C59" s="8"/>
      <c r="D59" s="8"/>
      <c r="E59" s="8"/>
      <c r="F59" s="8"/>
      <c r="G59" s="8"/>
      <c r="H59" s="8"/>
      <c r="I59" s="8"/>
      <c r="J59" s="8"/>
      <c r="K59" s="8"/>
      <c r="L59" s="8"/>
      <c r="M59" s="8"/>
      <c r="N59" s="8"/>
      <c r="O59" s="8"/>
      <c r="P59" s="8"/>
      <c r="Q59" s="8"/>
      <c r="R59" s="8"/>
      <c r="S59" s="8"/>
      <c r="T59" s="8"/>
      <c r="U59" s="8"/>
      <c r="V59" s="9"/>
    </row>
    <row r="60" spans="1:22" ht="14.25" thickBot="1" thickTop="1">
      <c r="A60" s="23"/>
      <c r="B60" s="24"/>
      <c r="C60" s="8"/>
      <c r="D60" s="8"/>
      <c r="E60" s="8"/>
      <c r="F60" s="8"/>
      <c r="G60" s="8"/>
      <c r="H60" s="8"/>
      <c r="I60" s="8"/>
      <c r="J60" s="8"/>
      <c r="K60" s="8"/>
      <c r="L60" s="8"/>
      <c r="M60" s="8"/>
      <c r="N60" s="8"/>
      <c r="O60" s="8"/>
      <c r="P60" s="8"/>
      <c r="Q60" s="8"/>
      <c r="R60" s="8"/>
      <c r="S60" s="8"/>
      <c r="T60" s="8"/>
      <c r="U60" s="8"/>
      <c r="V60" s="9"/>
    </row>
    <row r="61" spans="1:22" ht="14.25" thickBot="1" thickTop="1">
      <c r="A61" s="23"/>
      <c r="B61" s="24"/>
      <c r="C61" s="8"/>
      <c r="D61" s="8"/>
      <c r="E61" s="8"/>
      <c r="F61" s="8"/>
      <c r="G61" s="8"/>
      <c r="H61" s="8"/>
      <c r="I61" s="8"/>
      <c r="J61" s="8"/>
      <c r="K61" s="8"/>
      <c r="L61" s="8"/>
      <c r="M61" s="8"/>
      <c r="N61" s="8"/>
      <c r="O61" s="8"/>
      <c r="P61" s="8"/>
      <c r="Q61" s="8"/>
      <c r="R61" s="8"/>
      <c r="S61" s="8"/>
      <c r="T61" s="8"/>
      <c r="U61" s="8"/>
      <c r="V61" s="9"/>
    </row>
    <row r="62" spans="1:22" ht="14.25" thickBot="1" thickTop="1">
      <c r="A62" s="23"/>
      <c r="B62" s="24"/>
      <c r="C62" s="8"/>
      <c r="D62" s="8"/>
      <c r="E62" s="8"/>
      <c r="F62" s="8"/>
      <c r="G62" s="8"/>
      <c r="H62" s="8"/>
      <c r="I62" s="8"/>
      <c r="J62" s="8"/>
      <c r="K62" s="8"/>
      <c r="L62" s="8"/>
      <c r="M62" s="8"/>
      <c r="N62" s="8"/>
      <c r="O62" s="8"/>
      <c r="P62" s="8"/>
      <c r="Q62" s="8"/>
      <c r="R62" s="8"/>
      <c r="S62" s="8"/>
      <c r="T62" s="8"/>
      <c r="U62" s="8"/>
      <c r="V62" s="9"/>
    </row>
    <row r="63" spans="1:22" ht="14.25" thickBot="1" thickTop="1">
      <c r="A63" s="23"/>
      <c r="B63" s="24"/>
      <c r="C63" s="8"/>
      <c r="D63" s="8"/>
      <c r="E63" s="8"/>
      <c r="F63" s="8"/>
      <c r="G63" s="8"/>
      <c r="H63" s="8"/>
      <c r="I63" s="8"/>
      <c r="J63" s="8"/>
      <c r="K63" s="8"/>
      <c r="L63" s="8"/>
      <c r="M63" s="8"/>
      <c r="N63" s="8"/>
      <c r="O63" s="8"/>
      <c r="P63" s="8"/>
      <c r="Q63" s="8"/>
      <c r="R63" s="8"/>
      <c r="S63" s="8"/>
      <c r="T63" s="8"/>
      <c r="U63" s="8"/>
      <c r="V63" s="9"/>
    </row>
    <row r="64" spans="1:22" ht="14.25" thickBot="1" thickTop="1">
      <c r="A64" s="23"/>
      <c r="B64" s="24"/>
      <c r="C64" s="8"/>
      <c r="D64" s="8"/>
      <c r="E64" s="8"/>
      <c r="F64" s="8"/>
      <c r="G64" s="8"/>
      <c r="H64" s="8"/>
      <c r="I64" s="8"/>
      <c r="J64" s="8"/>
      <c r="K64" s="8"/>
      <c r="L64" s="8"/>
      <c r="M64" s="8"/>
      <c r="N64" s="8"/>
      <c r="O64" s="8"/>
      <c r="P64" s="8"/>
      <c r="Q64" s="8"/>
      <c r="R64" s="8"/>
      <c r="S64" s="8"/>
      <c r="T64" s="8"/>
      <c r="U64" s="8"/>
      <c r="V64" s="9"/>
    </row>
    <row r="65" spans="1:22" ht="14.25" thickBot="1" thickTop="1">
      <c r="A65" s="23"/>
      <c r="B65" s="24"/>
      <c r="C65" s="8"/>
      <c r="D65" s="8"/>
      <c r="E65" s="8"/>
      <c r="F65" s="8"/>
      <c r="G65" s="8"/>
      <c r="H65" s="8"/>
      <c r="I65" s="8"/>
      <c r="J65" s="8"/>
      <c r="K65" s="8"/>
      <c r="L65" s="8"/>
      <c r="M65" s="8"/>
      <c r="N65" s="8"/>
      <c r="O65" s="8"/>
      <c r="P65" s="8"/>
      <c r="Q65" s="8"/>
      <c r="R65" s="8"/>
      <c r="S65" s="8"/>
      <c r="T65" s="8"/>
      <c r="U65" s="8"/>
      <c r="V65" s="9"/>
    </row>
    <row r="66" spans="1:22" ht="14.25" thickBot="1" thickTop="1">
      <c r="A66" s="23"/>
      <c r="B66" s="24"/>
      <c r="C66" s="8"/>
      <c r="D66" s="8"/>
      <c r="E66" s="8"/>
      <c r="F66" s="8"/>
      <c r="G66" s="8"/>
      <c r="H66" s="8"/>
      <c r="I66" s="8"/>
      <c r="J66" s="8"/>
      <c r="K66" s="8"/>
      <c r="L66" s="8"/>
      <c r="M66" s="8"/>
      <c r="N66" s="8"/>
      <c r="O66" s="8"/>
      <c r="P66" s="8"/>
      <c r="Q66" s="8"/>
      <c r="R66" s="8"/>
      <c r="S66" s="8"/>
      <c r="T66" s="8"/>
      <c r="U66" s="8"/>
      <c r="V66" s="9"/>
    </row>
    <row r="67" spans="1:22" ht="14.25" thickBot="1" thickTop="1">
      <c r="A67" s="23"/>
      <c r="B67" s="24"/>
      <c r="C67" s="8"/>
      <c r="D67" s="8"/>
      <c r="E67" s="8"/>
      <c r="F67" s="8"/>
      <c r="G67" s="8"/>
      <c r="H67" s="8"/>
      <c r="I67" s="8"/>
      <c r="J67" s="8"/>
      <c r="K67" s="8"/>
      <c r="L67" s="8"/>
      <c r="M67" s="8"/>
      <c r="N67" s="8"/>
      <c r="O67" s="8"/>
      <c r="P67" s="8"/>
      <c r="Q67" s="8"/>
      <c r="R67" s="8"/>
      <c r="S67" s="8"/>
      <c r="T67" s="8"/>
      <c r="U67" s="8"/>
      <c r="V67" s="9"/>
    </row>
    <row r="68" spans="1:22" ht="14.25" thickBot="1" thickTop="1">
      <c r="A68" s="23"/>
      <c r="B68" s="24"/>
      <c r="C68" s="8"/>
      <c r="D68" s="8"/>
      <c r="E68" s="8"/>
      <c r="F68" s="8"/>
      <c r="G68" s="8"/>
      <c r="H68" s="8"/>
      <c r="I68" s="8"/>
      <c r="J68" s="8"/>
      <c r="K68" s="8"/>
      <c r="L68" s="8"/>
      <c r="M68" s="8"/>
      <c r="N68" s="8"/>
      <c r="O68" s="8"/>
      <c r="P68" s="8"/>
      <c r="Q68" s="8"/>
      <c r="R68" s="8"/>
      <c r="S68" s="8"/>
      <c r="T68" s="8"/>
      <c r="U68" s="8"/>
      <c r="V68" s="9"/>
    </row>
    <row r="69" spans="1:22" ht="14.25" thickBot="1" thickTop="1">
      <c r="A69" s="23"/>
      <c r="B69" s="24"/>
      <c r="C69" s="8"/>
      <c r="D69" s="8"/>
      <c r="E69" s="8"/>
      <c r="F69" s="8"/>
      <c r="G69" s="8"/>
      <c r="H69" s="8"/>
      <c r="I69" s="8"/>
      <c r="J69" s="8"/>
      <c r="K69" s="8"/>
      <c r="L69" s="8"/>
      <c r="M69" s="8"/>
      <c r="N69" s="8"/>
      <c r="O69" s="8"/>
      <c r="P69" s="8"/>
      <c r="Q69" s="8"/>
      <c r="R69" s="8"/>
      <c r="S69" s="8"/>
      <c r="T69" s="8"/>
      <c r="U69" s="8"/>
      <c r="V69" s="9"/>
    </row>
    <row r="70" spans="1:22" ht="14.25" thickBot="1" thickTop="1">
      <c r="A70" s="23"/>
      <c r="B70" s="24"/>
      <c r="C70" s="8"/>
      <c r="D70" s="8"/>
      <c r="E70" s="8"/>
      <c r="F70" s="8"/>
      <c r="G70" s="8"/>
      <c r="H70" s="8"/>
      <c r="I70" s="8"/>
      <c r="J70" s="8"/>
      <c r="K70" s="8"/>
      <c r="L70" s="8"/>
      <c r="M70" s="8"/>
      <c r="N70" s="8"/>
      <c r="O70" s="8"/>
      <c r="P70" s="8"/>
      <c r="Q70" s="8"/>
      <c r="R70" s="8"/>
      <c r="S70" s="8"/>
      <c r="T70" s="8"/>
      <c r="U70" s="8"/>
      <c r="V70" s="9"/>
    </row>
    <row r="71" spans="1:22" ht="14.25" thickBot="1" thickTop="1">
      <c r="A71" s="23"/>
      <c r="B71" s="24"/>
      <c r="C71" s="8"/>
      <c r="D71" s="8"/>
      <c r="E71" s="8"/>
      <c r="F71" s="8"/>
      <c r="G71" s="8"/>
      <c r="H71" s="8"/>
      <c r="I71" s="8"/>
      <c r="J71" s="8"/>
      <c r="K71" s="8"/>
      <c r="L71" s="8"/>
      <c r="M71" s="8"/>
      <c r="N71" s="8"/>
      <c r="O71" s="8"/>
      <c r="P71" s="8"/>
      <c r="Q71" s="8"/>
      <c r="R71" s="8"/>
      <c r="S71" s="8"/>
      <c r="T71" s="8"/>
      <c r="U71" s="8"/>
      <c r="V71" s="9"/>
    </row>
    <row r="72" spans="1:22" ht="14.25" thickBot="1" thickTop="1">
      <c r="A72" s="23"/>
      <c r="B72" s="24"/>
      <c r="C72" s="8"/>
      <c r="D72" s="8"/>
      <c r="E72" s="8"/>
      <c r="F72" s="8"/>
      <c r="G72" s="8"/>
      <c r="H72" s="8"/>
      <c r="I72" s="8"/>
      <c r="J72" s="8"/>
      <c r="K72" s="8"/>
      <c r="L72" s="8"/>
      <c r="M72" s="8"/>
      <c r="N72" s="8"/>
      <c r="O72" s="8"/>
      <c r="P72" s="8"/>
      <c r="Q72" s="8"/>
      <c r="R72" s="8"/>
      <c r="S72" s="8"/>
      <c r="T72" s="8"/>
      <c r="U72" s="8"/>
      <c r="V72" s="9"/>
    </row>
    <row r="73" spans="1:22" ht="14.25" thickBot="1" thickTop="1">
      <c r="A73" s="23"/>
      <c r="B73" s="24"/>
      <c r="C73" s="8"/>
      <c r="D73" s="8"/>
      <c r="E73" s="8"/>
      <c r="F73" s="8"/>
      <c r="G73" s="8"/>
      <c r="H73" s="8"/>
      <c r="I73" s="8"/>
      <c r="J73" s="8"/>
      <c r="K73" s="8"/>
      <c r="L73" s="8"/>
      <c r="M73" s="8"/>
      <c r="N73" s="8"/>
      <c r="O73" s="8"/>
      <c r="P73" s="8"/>
      <c r="Q73" s="8"/>
      <c r="R73" s="8"/>
      <c r="S73" s="8"/>
      <c r="T73" s="8"/>
      <c r="U73" s="8"/>
      <c r="V73" s="9"/>
    </row>
    <row r="74" spans="1:22" ht="14.25" thickBot="1" thickTop="1">
      <c r="A74" s="23"/>
      <c r="B74" s="24"/>
      <c r="C74" s="8"/>
      <c r="D74" s="8"/>
      <c r="E74" s="8"/>
      <c r="F74" s="8"/>
      <c r="G74" s="8"/>
      <c r="H74" s="8"/>
      <c r="I74" s="8"/>
      <c r="J74" s="8"/>
      <c r="K74" s="8"/>
      <c r="L74" s="8"/>
      <c r="M74" s="8"/>
      <c r="N74" s="8"/>
      <c r="O74" s="8"/>
      <c r="P74" s="8"/>
      <c r="Q74" s="8"/>
      <c r="R74" s="8"/>
      <c r="S74" s="8"/>
      <c r="T74" s="8"/>
      <c r="U74" s="8"/>
      <c r="V74" s="9"/>
    </row>
    <row r="75" spans="1:22" ht="14.25" thickBot="1" thickTop="1">
      <c r="A75" s="23"/>
      <c r="B75" s="24"/>
      <c r="C75" s="8"/>
      <c r="D75" s="8"/>
      <c r="E75" s="8"/>
      <c r="F75" s="8"/>
      <c r="G75" s="8"/>
      <c r="H75" s="8"/>
      <c r="I75" s="8"/>
      <c r="J75" s="8"/>
      <c r="K75" s="8"/>
      <c r="L75" s="8"/>
      <c r="M75" s="8"/>
      <c r="N75" s="8"/>
      <c r="O75" s="8"/>
      <c r="P75" s="8"/>
      <c r="Q75" s="8"/>
      <c r="R75" s="8"/>
      <c r="S75" s="8"/>
      <c r="T75" s="8"/>
      <c r="U75" s="8"/>
      <c r="V75" s="9"/>
    </row>
    <row r="76" spans="1:22" ht="14.25" thickBot="1" thickTop="1">
      <c r="A76" s="23"/>
      <c r="B76" s="24"/>
      <c r="C76" s="8"/>
      <c r="D76" s="8"/>
      <c r="E76" s="8"/>
      <c r="F76" s="8"/>
      <c r="G76" s="8"/>
      <c r="H76" s="8"/>
      <c r="I76" s="8"/>
      <c r="J76" s="8"/>
      <c r="K76" s="8"/>
      <c r="L76" s="8"/>
      <c r="M76" s="8"/>
      <c r="N76" s="8"/>
      <c r="O76" s="8"/>
      <c r="P76" s="8"/>
      <c r="Q76" s="8"/>
      <c r="R76" s="8"/>
      <c r="S76" s="8"/>
      <c r="T76" s="8"/>
      <c r="U76" s="8"/>
      <c r="V76" s="9"/>
    </row>
    <row r="77" spans="1:22" ht="14.25" thickBot="1" thickTop="1">
      <c r="A77" s="23"/>
      <c r="B77" s="24"/>
      <c r="C77" s="8"/>
      <c r="D77" s="8"/>
      <c r="E77" s="8"/>
      <c r="F77" s="8"/>
      <c r="G77" s="8"/>
      <c r="H77" s="8"/>
      <c r="I77" s="8"/>
      <c r="J77" s="8"/>
      <c r="K77" s="8"/>
      <c r="L77" s="8"/>
      <c r="M77" s="8"/>
      <c r="N77" s="8"/>
      <c r="O77" s="8"/>
      <c r="P77" s="8"/>
      <c r="Q77" s="8"/>
      <c r="R77" s="8"/>
      <c r="S77" s="8"/>
      <c r="T77" s="8"/>
      <c r="U77" s="8"/>
      <c r="V77" s="9"/>
    </row>
    <row r="78" spans="1:22" ht="14.25" thickBot="1" thickTop="1">
      <c r="A78" s="23"/>
      <c r="B78" s="24"/>
      <c r="C78" s="8"/>
      <c r="D78" s="8"/>
      <c r="E78" s="8"/>
      <c r="F78" s="8"/>
      <c r="G78" s="8"/>
      <c r="H78" s="8"/>
      <c r="I78" s="8"/>
      <c r="J78" s="8"/>
      <c r="K78" s="8"/>
      <c r="L78" s="8"/>
      <c r="M78" s="8"/>
      <c r="N78" s="8"/>
      <c r="O78" s="8"/>
      <c r="P78" s="8"/>
      <c r="Q78" s="8"/>
      <c r="R78" s="8"/>
      <c r="S78" s="8"/>
      <c r="T78" s="8"/>
      <c r="U78" s="8"/>
      <c r="V78" s="9"/>
    </row>
    <row r="79" spans="1:22" ht="14.25" thickBot="1" thickTop="1">
      <c r="A79" s="23"/>
      <c r="B79" s="24"/>
      <c r="C79" s="8"/>
      <c r="D79" s="8"/>
      <c r="E79" s="8"/>
      <c r="F79" s="8"/>
      <c r="G79" s="8"/>
      <c r="H79" s="8"/>
      <c r="I79" s="8"/>
      <c r="J79" s="8"/>
      <c r="K79" s="8"/>
      <c r="L79" s="8"/>
      <c r="M79" s="8"/>
      <c r="N79" s="8"/>
      <c r="O79" s="8"/>
      <c r="P79" s="8"/>
      <c r="Q79" s="8"/>
      <c r="R79" s="8"/>
      <c r="S79" s="8"/>
      <c r="T79" s="8"/>
      <c r="U79" s="8"/>
      <c r="V79" s="9"/>
    </row>
    <row r="80" spans="1:22" ht="14.25" thickBot="1" thickTop="1">
      <c r="A80" s="23"/>
      <c r="B80" s="24"/>
      <c r="C80" s="8"/>
      <c r="D80" s="8"/>
      <c r="E80" s="8"/>
      <c r="F80" s="8"/>
      <c r="G80" s="8"/>
      <c r="H80" s="8"/>
      <c r="I80" s="8"/>
      <c r="J80" s="8"/>
      <c r="K80" s="8"/>
      <c r="L80" s="8"/>
      <c r="M80" s="8"/>
      <c r="N80" s="8"/>
      <c r="O80" s="8"/>
      <c r="P80" s="8"/>
      <c r="Q80" s="8"/>
      <c r="R80" s="8"/>
      <c r="S80" s="8"/>
      <c r="T80" s="8"/>
      <c r="U80" s="8"/>
      <c r="V80" s="9"/>
    </row>
    <row r="81" spans="1:22" ht="14.25" thickBot="1" thickTop="1">
      <c r="A81" s="23"/>
      <c r="B81" s="24"/>
      <c r="C81" s="8"/>
      <c r="D81" s="8"/>
      <c r="E81" s="8"/>
      <c r="F81" s="8"/>
      <c r="G81" s="8"/>
      <c r="H81" s="8"/>
      <c r="I81" s="8"/>
      <c r="J81" s="8"/>
      <c r="K81" s="8"/>
      <c r="L81" s="8"/>
      <c r="M81" s="8"/>
      <c r="N81" s="8"/>
      <c r="O81" s="8"/>
      <c r="P81" s="8"/>
      <c r="Q81" s="8"/>
      <c r="R81" s="8"/>
      <c r="S81" s="8"/>
      <c r="T81" s="8"/>
      <c r="U81" s="8"/>
      <c r="V81" s="9"/>
    </row>
    <row r="82" spans="1:22" ht="14.25" thickBot="1" thickTop="1">
      <c r="A82" s="23"/>
      <c r="B82" s="24"/>
      <c r="C82" s="8"/>
      <c r="D82" s="8"/>
      <c r="E82" s="8"/>
      <c r="F82" s="8"/>
      <c r="G82" s="8"/>
      <c r="H82" s="8"/>
      <c r="I82" s="8"/>
      <c r="J82" s="8"/>
      <c r="K82" s="8"/>
      <c r="L82" s="8"/>
      <c r="M82" s="8"/>
      <c r="N82" s="8"/>
      <c r="O82" s="8"/>
      <c r="P82" s="8"/>
      <c r="Q82" s="8"/>
      <c r="R82" s="8"/>
      <c r="S82" s="8"/>
      <c r="T82" s="8"/>
      <c r="U82" s="8"/>
      <c r="V82" s="9"/>
    </row>
    <row r="83" spans="1:22" ht="14.25" thickBot="1" thickTop="1">
      <c r="A83" s="23"/>
      <c r="B83" s="24"/>
      <c r="C83" s="8"/>
      <c r="D83" s="8"/>
      <c r="E83" s="8"/>
      <c r="F83" s="8"/>
      <c r="G83" s="8"/>
      <c r="H83" s="8"/>
      <c r="I83" s="8"/>
      <c r="J83" s="8"/>
      <c r="K83" s="8"/>
      <c r="L83" s="8"/>
      <c r="M83" s="8"/>
      <c r="N83" s="8"/>
      <c r="O83" s="8"/>
      <c r="P83" s="8"/>
      <c r="Q83" s="8"/>
      <c r="R83" s="8"/>
      <c r="S83" s="8"/>
      <c r="T83" s="8"/>
      <c r="U83" s="8"/>
      <c r="V83" s="9"/>
    </row>
    <row r="84" spans="1:22" ht="14.25" thickBot="1" thickTop="1">
      <c r="A84" s="23"/>
      <c r="B84" s="24"/>
      <c r="C84" s="8"/>
      <c r="D84" s="8"/>
      <c r="E84" s="8"/>
      <c r="F84" s="8"/>
      <c r="G84" s="8"/>
      <c r="H84" s="8"/>
      <c r="I84" s="8"/>
      <c r="J84" s="8"/>
      <c r="K84" s="8"/>
      <c r="L84" s="8"/>
      <c r="M84" s="8"/>
      <c r="N84" s="8"/>
      <c r="O84" s="8"/>
      <c r="P84" s="8"/>
      <c r="Q84" s="8"/>
      <c r="R84" s="8"/>
      <c r="S84" s="8"/>
      <c r="T84" s="8"/>
      <c r="U84" s="8"/>
      <c r="V84" s="9"/>
    </row>
    <row r="85" spans="1:22" ht="14.25" thickBot="1" thickTop="1">
      <c r="A85" s="23"/>
      <c r="B85" s="25"/>
      <c r="C85" s="8"/>
      <c r="D85" s="8"/>
      <c r="E85" s="8"/>
      <c r="F85" s="8"/>
      <c r="G85" s="8"/>
      <c r="H85" s="8"/>
      <c r="I85" s="8"/>
      <c r="J85" s="8"/>
      <c r="K85" s="8"/>
      <c r="L85" s="8"/>
      <c r="M85" s="8"/>
      <c r="N85" s="8"/>
      <c r="O85" s="8"/>
      <c r="P85" s="8"/>
      <c r="Q85" s="8"/>
      <c r="R85" s="8"/>
      <c r="S85" s="8"/>
      <c r="T85" s="8"/>
      <c r="U85" s="8"/>
      <c r="V85" s="9"/>
    </row>
    <row r="86" spans="1:22" ht="14.25" thickBot="1" thickTop="1">
      <c r="A86" s="23"/>
      <c r="B86" s="26"/>
      <c r="C86" s="27"/>
      <c r="D86" s="28"/>
      <c r="E86" s="28"/>
      <c r="F86" s="28"/>
      <c r="G86" s="28"/>
      <c r="H86" s="28"/>
      <c r="I86" s="28"/>
      <c r="J86" s="28"/>
      <c r="K86" s="28"/>
      <c r="L86" s="28"/>
      <c r="M86" s="28"/>
      <c r="N86" s="28"/>
      <c r="O86" s="28"/>
      <c r="P86" s="28"/>
      <c r="Q86" s="28"/>
      <c r="R86" s="28"/>
      <c r="S86" s="28"/>
      <c r="T86" s="28"/>
      <c r="U86" s="28"/>
      <c r="V86" s="29"/>
    </row>
    <row r="87" spans="1:2" ht="14.25" thickBot="1" thickTop="1">
      <c r="A87" s="23"/>
      <c r="B87" s="26"/>
    </row>
    <row r="88" spans="1:2" ht="14.25" thickBot="1" thickTop="1">
      <c r="A88" s="23"/>
      <c r="B88" s="26"/>
    </row>
    <row r="89" spans="1:2" ht="14.25" thickBot="1" thickTop="1">
      <c r="A89" s="23"/>
      <c r="B89" s="26"/>
    </row>
    <row r="90" spans="1:2" ht="14.25" thickBot="1" thickTop="1">
      <c r="A90" s="23"/>
      <c r="B90" s="26"/>
    </row>
    <row r="91" spans="1:2" ht="14.25" thickBot="1" thickTop="1">
      <c r="A91" s="23"/>
      <c r="B91" s="26"/>
    </row>
    <row r="92" spans="1:2" ht="14.25" thickBot="1" thickTop="1">
      <c r="A92" s="23"/>
      <c r="B92" s="26"/>
    </row>
    <row r="93" spans="1:2" ht="14.25" thickBot="1" thickTop="1">
      <c r="A93" s="23"/>
      <c r="B93" s="26"/>
    </row>
    <row r="94" spans="1:2" ht="14.25" thickBot="1" thickTop="1">
      <c r="A94" s="23"/>
      <c r="B94" s="26"/>
    </row>
    <row r="95" spans="1:2" ht="14.25" thickBot="1" thickTop="1">
      <c r="A95" s="23"/>
      <c r="B95" s="26"/>
    </row>
    <row r="96" spans="1:2" ht="14.25" thickBot="1" thickTop="1">
      <c r="A96" s="23"/>
      <c r="B96" s="26"/>
    </row>
    <row r="97" spans="1:2" ht="14.25" thickBot="1" thickTop="1">
      <c r="A97" s="23"/>
      <c r="B97" s="26"/>
    </row>
    <row r="98" spans="1:2" ht="14.25" thickBot="1" thickTop="1">
      <c r="A98" s="23"/>
      <c r="B98" s="26"/>
    </row>
    <row r="99" spans="1:2" ht="14.25" thickBot="1" thickTop="1">
      <c r="A99" s="23"/>
      <c r="B99" s="26"/>
    </row>
    <row r="100" spans="1:2" ht="14.25" thickBot="1" thickTop="1">
      <c r="A100" s="23"/>
      <c r="B100" s="26"/>
    </row>
    <row r="101" spans="1:2" ht="14.25" thickBot="1" thickTop="1">
      <c r="A101" s="23"/>
      <c r="B101" s="26"/>
    </row>
    <row r="102" spans="1:2" ht="14.25" thickBot="1" thickTop="1">
      <c r="A102" s="23"/>
      <c r="B102" s="26"/>
    </row>
    <row r="103" spans="1:2" ht="14.25" thickBot="1" thickTop="1">
      <c r="A103" s="23"/>
      <c r="B103" s="26"/>
    </row>
    <row r="104" spans="1:2" ht="14.25" thickBot="1" thickTop="1">
      <c r="A104" s="23"/>
      <c r="B104" s="26"/>
    </row>
    <row r="105" spans="1:2" ht="14.25" thickBot="1" thickTop="1">
      <c r="A105" s="23"/>
      <c r="B105" s="26"/>
    </row>
    <row r="106" spans="1:2" ht="14.25" thickBot="1" thickTop="1">
      <c r="A106" s="23"/>
      <c r="B106" s="26"/>
    </row>
    <row r="107" spans="1:2" ht="14.25" thickBot="1" thickTop="1">
      <c r="A107" s="23"/>
      <c r="B107" s="26"/>
    </row>
    <row r="108" spans="1:2" ht="14.25" thickBot="1" thickTop="1">
      <c r="A108" s="23"/>
      <c r="B108" s="26"/>
    </row>
    <row r="109" spans="1:2" ht="14.25" thickBot="1" thickTop="1">
      <c r="A109" s="23"/>
      <c r="B109" s="26"/>
    </row>
    <row r="110" spans="1:2" ht="14.25" thickBot="1" thickTop="1">
      <c r="A110" s="23"/>
      <c r="B110" s="26"/>
    </row>
    <row r="111" spans="1:2" ht="14.25" thickBot="1" thickTop="1">
      <c r="A111" s="23"/>
      <c r="B111" s="26"/>
    </row>
    <row r="112" spans="1:2" ht="14.25" thickBot="1" thickTop="1">
      <c r="A112" s="23"/>
      <c r="B112" s="26"/>
    </row>
    <row r="113" spans="1:2" ht="14.25" thickBot="1" thickTop="1">
      <c r="A113" s="23"/>
      <c r="B113" s="26"/>
    </row>
    <row r="114" spans="1:2" ht="14.25" thickBot="1" thickTop="1">
      <c r="A114" s="23"/>
      <c r="B114" s="26"/>
    </row>
    <row r="115" spans="1:2" ht="14.25" thickBot="1" thickTop="1">
      <c r="A115" s="23"/>
      <c r="B115" s="26"/>
    </row>
    <row r="116" spans="1:2" ht="14.25" thickBot="1" thickTop="1">
      <c r="A116" s="23"/>
      <c r="B116" s="26"/>
    </row>
    <row r="117" spans="1:2" ht="14.25" thickBot="1" thickTop="1">
      <c r="A117" s="23"/>
      <c r="B117" s="26"/>
    </row>
    <row r="118" spans="1:2" ht="14.25" thickBot="1" thickTop="1">
      <c r="A118" s="23"/>
      <c r="B118" s="26"/>
    </row>
    <row r="119" spans="1:2" ht="14.25" thickBot="1" thickTop="1">
      <c r="A119" s="23"/>
      <c r="B119" s="26"/>
    </row>
    <row r="120" spans="1:2" ht="14.25" thickBot="1" thickTop="1">
      <c r="A120" s="23"/>
      <c r="B120" s="26"/>
    </row>
    <row r="121" spans="1:2" ht="14.25" thickBot="1" thickTop="1">
      <c r="A121" s="23"/>
      <c r="B121" s="26"/>
    </row>
    <row r="122" spans="1:2" ht="14.25" thickBot="1" thickTop="1">
      <c r="A122" s="23"/>
      <c r="B122" s="26"/>
    </row>
    <row r="123" spans="1:2" ht="14.25" thickBot="1" thickTop="1">
      <c r="A123" s="23"/>
      <c r="B123" s="26"/>
    </row>
    <row r="124" spans="1:2" ht="14.25" thickBot="1" thickTop="1">
      <c r="A124" s="23"/>
      <c r="B124" s="26"/>
    </row>
    <row r="125" spans="1:2" ht="14.25" thickBot="1" thickTop="1">
      <c r="A125" s="23"/>
      <c r="B125" s="26"/>
    </row>
    <row r="126" spans="1:2" ht="14.25" thickBot="1" thickTop="1">
      <c r="A126" s="23"/>
      <c r="B126" s="26"/>
    </row>
    <row r="127" spans="1:2" ht="14.25" thickBot="1" thickTop="1">
      <c r="A127" s="23"/>
      <c r="B127" s="26"/>
    </row>
    <row r="128" spans="1:2" ht="14.25" thickBot="1" thickTop="1">
      <c r="A128" s="23"/>
      <c r="B128" s="26"/>
    </row>
    <row r="129" spans="1:2" ht="14.25" thickBot="1" thickTop="1">
      <c r="A129" s="23"/>
      <c r="B129" s="26"/>
    </row>
    <row r="130" spans="1:2" ht="14.25" thickBot="1" thickTop="1">
      <c r="A130" s="23"/>
      <c r="B130" s="26"/>
    </row>
    <row r="131" spans="1:2" ht="14.25" thickBot="1" thickTop="1">
      <c r="A131" s="23"/>
      <c r="B131" s="26"/>
    </row>
    <row r="132" spans="1:2" ht="14.25" thickBot="1" thickTop="1">
      <c r="A132" s="23"/>
      <c r="B132" s="26"/>
    </row>
    <row r="133" spans="1:2" ht="14.25" thickBot="1" thickTop="1">
      <c r="A133" s="23"/>
      <c r="B133" s="26"/>
    </row>
    <row r="134" spans="1:2" ht="14.25" thickBot="1" thickTop="1">
      <c r="A134" s="23"/>
      <c r="B134" s="26"/>
    </row>
    <row r="135" spans="1:2" ht="14.25" thickBot="1" thickTop="1">
      <c r="A135" s="23"/>
      <c r="B135" s="26"/>
    </row>
    <row r="136" spans="1:2" ht="14.25" thickBot="1" thickTop="1">
      <c r="A136" s="23"/>
      <c r="B136" s="26"/>
    </row>
    <row r="137" spans="1:2" ht="14.25" thickBot="1" thickTop="1">
      <c r="A137" s="23"/>
      <c r="B137" s="26"/>
    </row>
    <row r="138" spans="1:2" ht="14.25" thickBot="1" thickTop="1">
      <c r="A138" s="23"/>
      <c r="B138" s="26"/>
    </row>
    <row r="139" spans="1:2" ht="14.25" thickBot="1" thickTop="1">
      <c r="A139" s="23"/>
      <c r="B139" s="26"/>
    </row>
    <row r="140" spans="1:2" ht="14.25" thickBot="1" thickTop="1">
      <c r="A140" s="23"/>
      <c r="B140" s="26"/>
    </row>
    <row r="141" spans="1:2" ht="14.25" thickBot="1" thickTop="1">
      <c r="A141" s="23"/>
      <c r="B141" s="26"/>
    </row>
    <row r="142" spans="1:2" ht="14.25" thickBot="1" thickTop="1">
      <c r="A142" s="23"/>
      <c r="B142" s="26"/>
    </row>
    <row r="143" spans="1:2" ht="14.25" thickBot="1" thickTop="1">
      <c r="A143" s="23"/>
      <c r="B143" s="26"/>
    </row>
    <row r="144" spans="1:2" ht="14.25" thickBot="1" thickTop="1">
      <c r="A144" s="23"/>
      <c r="B144" s="26"/>
    </row>
    <row r="145" spans="1:2" ht="14.25" thickBot="1" thickTop="1">
      <c r="A145" s="23"/>
      <c r="B145" s="26"/>
    </row>
    <row r="146" spans="1:2" ht="14.25" thickBot="1" thickTop="1">
      <c r="A146" s="23"/>
      <c r="B146" s="26"/>
    </row>
    <row r="147" spans="1:2" ht="14.25" thickBot="1" thickTop="1">
      <c r="A147" s="23"/>
      <c r="B147" s="26"/>
    </row>
    <row r="148" spans="1:2" ht="14.25" thickBot="1" thickTop="1">
      <c r="A148" s="23"/>
      <c r="B148" s="26"/>
    </row>
    <row r="149" spans="1:2" ht="14.25" thickBot="1" thickTop="1">
      <c r="A149" s="23"/>
      <c r="B149" s="26"/>
    </row>
    <row r="150" spans="1:2" ht="14.25" thickBot="1" thickTop="1">
      <c r="A150" s="23"/>
      <c r="B150" s="26"/>
    </row>
    <row r="151" spans="1:2" ht="14.25" thickBot="1" thickTop="1">
      <c r="A151" s="23"/>
      <c r="B151" s="26"/>
    </row>
    <row r="152" spans="1:2" ht="14.25" thickBot="1" thickTop="1">
      <c r="A152" s="23"/>
      <c r="B152" s="26"/>
    </row>
    <row r="153" spans="1:2" ht="14.25" thickBot="1" thickTop="1">
      <c r="A153" s="23"/>
      <c r="B153" s="26"/>
    </row>
    <row r="154" spans="1:2" ht="14.25" thickBot="1" thickTop="1">
      <c r="A154" s="23"/>
      <c r="B154" s="26"/>
    </row>
    <row r="155" spans="1:2" ht="14.25" thickBot="1" thickTop="1">
      <c r="A155" s="23"/>
      <c r="B155" s="26"/>
    </row>
    <row r="156" spans="1:2" ht="14.25" thickBot="1" thickTop="1">
      <c r="A156" s="23"/>
      <c r="B156" s="26"/>
    </row>
    <row r="157" spans="1:2" ht="14.25" thickBot="1" thickTop="1">
      <c r="A157" s="23"/>
      <c r="B157" s="26"/>
    </row>
    <row r="158" spans="1:2" ht="14.25" thickBot="1" thickTop="1">
      <c r="A158" s="23"/>
      <c r="B158" s="26"/>
    </row>
    <row r="159" spans="1:2" ht="14.25" thickBot="1" thickTop="1">
      <c r="A159" s="23"/>
      <c r="B159" s="26"/>
    </row>
    <row r="160" spans="1:2" ht="14.25" thickBot="1" thickTop="1">
      <c r="A160" s="23"/>
      <c r="B160" s="26"/>
    </row>
    <row r="161" spans="1:2" ht="14.25" thickBot="1" thickTop="1">
      <c r="A161" s="23"/>
      <c r="B161" s="26"/>
    </row>
    <row r="162" spans="1:2" ht="14.25" thickBot="1" thickTop="1">
      <c r="A162" s="23"/>
      <c r="B162" s="26"/>
    </row>
    <row r="163" spans="1:2" ht="14.25" thickBot="1" thickTop="1">
      <c r="A163" s="23"/>
      <c r="B163" s="26"/>
    </row>
    <row r="164" spans="1:2" ht="14.25" thickBot="1" thickTop="1">
      <c r="A164" s="23"/>
      <c r="B164" s="26"/>
    </row>
    <row r="165" spans="1:2" ht="14.25" thickBot="1" thickTop="1">
      <c r="A165" s="23"/>
      <c r="B165" s="26"/>
    </row>
    <row r="166" spans="1:2" ht="14.25" thickBot="1" thickTop="1">
      <c r="A166" s="23"/>
      <c r="B166" s="26"/>
    </row>
    <row r="167" spans="1:2" ht="14.25" thickBot="1" thickTop="1">
      <c r="A167" s="23"/>
      <c r="B167" s="26"/>
    </row>
    <row r="168" spans="1:2" ht="14.25" thickBot="1" thickTop="1">
      <c r="A168" s="23"/>
      <c r="B168" s="26"/>
    </row>
    <row r="169" spans="1:2" ht="14.25" thickBot="1" thickTop="1">
      <c r="A169" s="23"/>
      <c r="B169" s="26"/>
    </row>
    <row r="170" spans="1:2" ht="14.25" thickBot="1" thickTop="1">
      <c r="A170" s="23"/>
      <c r="B170" s="26"/>
    </row>
    <row r="171" spans="1:2" ht="14.25" thickBot="1" thickTop="1">
      <c r="A171" s="23"/>
      <c r="B171" s="26"/>
    </row>
    <row r="172" spans="1:2" ht="14.25" thickBot="1" thickTop="1">
      <c r="A172" s="23"/>
      <c r="B172" s="26"/>
    </row>
    <row r="173" spans="1:2" ht="14.25" thickBot="1" thickTop="1">
      <c r="A173" s="23"/>
      <c r="B173" s="26"/>
    </row>
    <row r="174" spans="1:2" ht="14.25" thickBot="1" thickTop="1">
      <c r="A174" s="23"/>
      <c r="B174" s="26"/>
    </row>
    <row r="175" spans="1:2" ht="14.25" thickBot="1" thickTop="1">
      <c r="A175" s="23"/>
      <c r="B175" s="26"/>
    </row>
    <row r="176" spans="1:2" ht="14.25" thickBot="1" thickTop="1">
      <c r="A176" s="23"/>
      <c r="B176" s="26"/>
    </row>
    <row r="177" spans="1:2" ht="14.25" thickBot="1" thickTop="1">
      <c r="A177" s="23"/>
      <c r="B177" s="26"/>
    </row>
    <row r="178" spans="1:2" ht="14.25" thickBot="1" thickTop="1">
      <c r="A178" s="23"/>
      <c r="B178" s="26"/>
    </row>
    <row r="179" spans="1:2" ht="14.25" thickBot="1" thickTop="1">
      <c r="A179" s="23"/>
      <c r="B179" s="26"/>
    </row>
    <row r="180" spans="1:2" ht="14.25" thickBot="1" thickTop="1">
      <c r="A180" s="23"/>
      <c r="B180" s="26"/>
    </row>
    <row r="181" spans="1:2" ht="14.25" thickBot="1" thickTop="1">
      <c r="A181" s="23"/>
      <c r="B181" s="26"/>
    </row>
    <row r="182" spans="1:2" ht="14.25" thickBot="1" thickTop="1">
      <c r="A182" s="23"/>
      <c r="B182" s="26"/>
    </row>
    <row r="183" spans="1:2" ht="14.25" thickBot="1" thickTop="1">
      <c r="A183" s="23"/>
      <c r="B183" s="26"/>
    </row>
    <row r="184" spans="1:2" ht="14.25" thickBot="1" thickTop="1">
      <c r="A184" s="23"/>
      <c r="B184" s="26"/>
    </row>
    <row r="185" spans="1:2" ht="14.25" thickBot="1" thickTop="1">
      <c r="A185" s="23"/>
      <c r="B185" s="26"/>
    </row>
    <row r="186" spans="1:2" ht="14.25" thickBot="1" thickTop="1">
      <c r="A186" s="23"/>
      <c r="B186" s="26"/>
    </row>
    <row r="187" spans="1:2" ht="14.25" thickBot="1" thickTop="1">
      <c r="A187" s="23"/>
      <c r="B187" s="26"/>
    </row>
    <row r="188" spans="1:2" ht="14.25" thickBot="1" thickTop="1">
      <c r="A188" s="23"/>
      <c r="B188" s="26"/>
    </row>
    <row r="189" spans="1:2" ht="14.25" thickBot="1" thickTop="1">
      <c r="A189" s="23"/>
      <c r="B189" s="26"/>
    </row>
    <row r="190" spans="1:2" ht="14.25" thickBot="1" thickTop="1">
      <c r="A190" s="23"/>
      <c r="B190" s="26"/>
    </row>
    <row r="191" spans="1:2" ht="14.25" thickBot="1" thickTop="1">
      <c r="A191" s="23"/>
      <c r="B191" s="26"/>
    </row>
    <row r="192" spans="1:2" ht="14.25" thickBot="1" thickTop="1">
      <c r="A192" s="23"/>
      <c r="B192" s="26"/>
    </row>
    <row r="193" spans="1:2" ht="14.25" thickBot="1" thickTop="1">
      <c r="A193" s="23"/>
      <c r="B193" s="26"/>
    </row>
    <row r="194" spans="1:2" ht="14.25" thickBot="1" thickTop="1">
      <c r="A194" s="23"/>
      <c r="B194" s="26"/>
    </row>
    <row r="195" spans="1:2" ht="14.25" thickBot="1" thickTop="1">
      <c r="A195" s="23"/>
      <c r="B195" s="26"/>
    </row>
    <row r="196" spans="1:2" ht="14.25" thickBot="1" thickTop="1">
      <c r="A196" s="23"/>
      <c r="B196" s="26"/>
    </row>
    <row r="197" spans="1:2" ht="14.25" thickBot="1" thickTop="1">
      <c r="A197" s="23"/>
      <c r="B197" s="26"/>
    </row>
    <row r="198" spans="1:2" ht="14.25" thickBot="1" thickTop="1">
      <c r="A198" s="23"/>
      <c r="B198" s="26"/>
    </row>
    <row r="199" spans="1:2" ht="14.25" thickBot="1" thickTop="1">
      <c r="A199" s="23"/>
      <c r="B199" s="26"/>
    </row>
    <row r="200" spans="1:2" ht="14.25" thickBot="1" thickTop="1">
      <c r="A200" s="23"/>
      <c r="B200" s="26"/>
    </row>
    <row r="201" spans="1:2" ht="14.25" thickBot="1" thickTop="1">
      <c r="A201" s="23"/>
      <c r="B201" s="26"/>
    </row>
    <row r="202" spans="1:2" ht="13.5" thickTop="1">
      <c r="A202" s="30"/>
      <c r="B202" s="31"/>
    </row>
  </sheetData>
  <mergeCells count="2">
    <mergeCell ref="B2:B6"/>
    <mergeCell ref="A16:A28"/>
  </mergeCells>
  <hyperlinks>
    <hyperlink ref="B17" location="'Project Description'!A1" display="Project Description"/>
    <hyperlink ref="B20" location="'ERR &amp; Sensitivity Analysis'!A1" display="ERR &amp; Sensitivty Analysis"/>
    <hyperlink ref="B23" location="'Primary Roads'!A2" display="Primary Roads"/>
    <hyperlink ref="B26" location="'Secondary Roads'!A1" display="Secondary Road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C25"/>
  <sheetViews>
    <sheetView showGridLines="0" tabSelected="1" workbookViewId="0" topLeftCell="A1">
      <selection activeCell="A1" sqref="A1"/>
    </sheetView>
  </sheetViews>
  <sheetFormatPr defaultColWidth="9.140625" defaultRowHeight="12.75"/>
  <cols>
    <col min="1" max="1" width="5.7109375" style="10" customWidth="1"/>
    <col min="2" max="2" width="106.421875" style="10" customWidth="1"/>
    <col min="3" max="16384" width="9.140625" style="10" customWidth="1"/>
  </cols>
  <sheetData>
    <row r="1" ht="12.75">
      <c r="B1" s="37" t="s">
        <v>49</v>
      </c>
    </row>
    <row r="2" ht="20.25">
      <c r="B2" s="33" t="s">
        <v>63</v>
      </c>
    </row>
    <row r="3" ht="12.75" customHeight="1">
      <c r="B3" s="33"/>
    </row>
    <row r="4" ht="50.25" customHeight="1">
      <c r="B4" s="254" t="s">
        <v>112</v>
      </c>
    </row>
    <row r="6" ht="12.75">
      <c r="B6" s="249" t="s">
        <v>65</v>
      </c>
    </row>
    <row r="7" ht="6.75" customHeight="1">
      <c r="B7" s="57"/>
    </row>
    <row r="8" spans="2:3" ht="63.75" customHeight="1">
      <c r="B8" s="250" t="s">
        <v>111</v>
      </c>
      <c r="C8" s="57"/>
    </row>
    <row r="10" ht="12.75">
      <c r="B10" s="249" t="s">
        <v>95</v>
      </c>
    </row>
    <row r="11" ht="6.75" customHeight="1"/>
    <row r="12" ht="25.5">
      <c r="B12" s="10" t="s">
        <v>96</v>
      </c>
    </row>
    <row r="13" ht="6.75" customHeight="1"/>
    <row r="14" ht="21" customHeight="1">
      <c r="B14" s="10" t="s">
        <v>97</v>
      </c>
    </row>
    <row r="15" ht="28.5" customHeight="1">
      <c r="B15" s="10" t="s">
        <v>98</v>
      </c>
    </row>
    <row r="16" ht="32.25" customHeight="1">
      <c r="B16" s="10" t="s">
        <v>99</v>
      </c>
    </row>
    <row r="18" ht="12.75">
      <c r="B18" s="249" t="s">
        <v>100</v>
      </c>
    </row>
    <row r="19" ht="6.75" customHeight="1"/>
    <row r="20" ht="67.5" customHeight="1">
      <c r="B20" s="10" t="s">
        <v>107</v>
      </c>
    </row>
    <row r="21" ht="135" customHeight="1">
      <c r="B21" s="10" t="s">
        <v>108</v>
      </c>
    </row>
    <row r="22" ht="123" customHeight="1">
      <c r="B22" s="10" t="s">
        <v>109</v>
      </c>
    </row>
    <row r="25" ht="12.75">
      <c r="B25" s="37" t="s">
        <v>49</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B2:R96"/>
  <sheetViews>
    <sheetView showGridLines="0" workbookViewId="0" topLeftCell="A1">
      <selection activeCell="A1" sqref="A1"/>
    </sheetView>
  </sheetViews>
  <sheetFormatPr defaultColWidth="9.140625" defaultRowHeight="12.75"/>
  <cols>
    <col min="1" max="1" width="5.7109375" style="34" customWidth="1"/>
    <col min="2" max="2" width="18.28125" style="36" customWidth="1"/>
    <col min="3" max="3" width="56.00390625" style="36" customWidth="1"/>
    <col min="4" max="7" width="15.421875" style="36" customWidth="1"/>
    <col min="8" max="8" width="5.421875" style="36" customWidth="1"/>
    <col min="9" max="9" width="19.28125" style="36" customWidth="1"/>
    <col min="10" max="16384" width="9.140625" style="36" customWidth="1"/>
  </cols>
  <sheetData>
    <row r="1" s="10" customFormat="1" ht="12.75"/>
    <row r="2" spans="2:5" s="10" customFormat="1" ht="22.5" customHeight="1">
      <c r="B2" s="261" t="s">
        <v>63</v>
      </c>
      <c r="C2" s="261"/>
      <c r="D2" s="33"/>
      <c r="E2" s="33"/>
    </row>
    <row r="3" spans="2:5" s="10" customFormat="1" ht="12" customHeight="1">
      <c r="B3" s="32"/>
      <c r="C3" s="32"/>
      <c r="D3" s="33"/>
      <c r="E3" s="33"/>
    </row>
    <row r="4" spans="2:14" ht="18">
      <c r="B4" s="35" t="s">
        <v>75</v>
      </c>
      <c r="G4" s="37" t="s">
        <v>49</v>
      </c>
      <c r="N4" s="38"/>
    </row>
    <row r="5" ht="12.75">
      <c r="N5" s="38"/>
    </row>
    <row r="6" spans="2:14" ht="40.5" customHeight="1">
      <c r="B6" s="262" t="s">
        <v>80</v>
      </c>
      <c r="C6" s="262"/>
      <c r="D6" s="262"/>
      <c r="E6" s="262"/>
      <c r="F6" s="262"/>
      <c r="G6" s="262"/>
      <c r="N6" s="38"/>
    </row>
    <row r="7" spans="3:14" ht="12.75">
      <c r="C7" s="39"/>
      <c r="D7" s="39"/>
      <c r="E7" s="39"/>
      <c r="F7" s="39"/>
      <c r="G7" s="39"/>
      <c r="H7" s="39"/>
      <c r="N7" s="38"/>
    </row>
    <row r="8" spans="2:14" ht="15.75">
      <c r="B8" s="263" t="s">
        <v>78</v>
      </c>
      <c r="C8" s="265" t="s">
        <v>68</v>
      </c>
      <c r="D8" s="266" t="s">
        <v>69</v>
      </c>
      <c r="E8" s="266"/>
      <c r="F8" s="266"/>
      <c r="G8" s="266"/>
      <c r="N8" s="38"/>
    </row>
    <row r="9" spans="2:14" ht="38.25">
      <c r="B9" s="264"/>
      <c r="C9" s="265"/>
      <c r="D9" s="40" t="s">
        <v>70</v>
      </c>
      <c r="E9" s="41" t="s">
        <v>71</v>
      </c>
      <c r="F9" s="41" t="s">
        <v>72</v>
      </c>
      <c r="G9" s="41" t="s">
        <v>73</v>
      </c>
      <c r="I9" s="42" t="s">
        <v>77</v>
      </c>
      <c r="N9" s="38"/>
    </row>
    <row r="10" spans="2:14" ht="33" customHeight="1">
      <c r="B10" s="43" t="s">
        <v>65</v>
      </c>
      <c r="C10" s="44" t="s">
        <v>67</v>
      </c>
      <c r="D10" s="45">
        <v>1</v>
      </c>
      <c r="E10" s="46">
        <v>1</v>
      </c>
      <c r="F10" s="47" t="s">
        <v>79</v>
      </c>
      <c r="G10" s="48">
        <f>IF(D10&gt;=0,D10,0)</f>
        <v>1</v>
      </c>
      <c r="I10" s="49" t="str">
        <f>IF(D10=E10,IF(D11=E11,"Y","N"),"N")</f>
        <v>Y</v>
      </c>
      <c r="N10" s="38"/>
    </row>
    <row r="11" spans="2:14" ht="33" customHeight="1">
      <c r="B11" s="50" t="s">
        <v>65</v>
      </c>
      <c r="C11" s="51" t="s">
        <v>66</v>
      </c>
      <c r="D11" s="52">
        <v>1</v>
      </c>
      <c r="E11" s="53">
        <v>1</v>
      </c>
      <c r="F11" s="54" t="s">
        <v>79</v>
      </c>
      <c r="G11" s="55">
        <f>IF(D11&gt;=0,D11,0)</f>
        <v>1</v>
      </c>
      <c r="I11" s="56"/>
      <c r="N11" s="38"/>
    </row>
    <row r="12" spans="3:14" ht="12.75">
      <c r="C12" s="57"/>
      <c r="D12" s="58"/>
      <c r="E12" s="59"/>
      <c r="F12" s="59"/>
      <c r="G12" s="59"/>
      <c r="I12" s="60" t="s">
        <v>76</v>
      </c>
      <c r="N12" s="38"/>
    </row>
    <row r="13" spans="3:18" ht="12.75">
      <c r="C13" s="63" t="s">
        <v>74</v>
      </c>
      <c r="D13" s="64">
        <f>'Primary Roads'!E132</f>
        <v>0.13201053288480183</v>
      </c>
      <c r="I13" s="247"/>
      <c r="N13" s="38"/>
      <c r="O13" s="38"/>
      <c r="P13" s="38"/>
      <c r="Q13" s="38"/>
      <c r="R13" s="38"/>
    </row>
    <row r="14" spans="3:14" ht="12.75">
      <c r="C14" s="63"/>
      <c r="D14" s="65"/>
      <c r="I14" s="61" t="s">
        <v>81</v>
      </c>
      <c r="N14" s="38"/>
    </row>
    <row r="15" spans="3:14" ht="12.75">
      <c r="C15" s="63" t="s">
        <v>83</v>
      </c>
      <c r="D15" s="66">
        <v>0.132</v>
      </c>
      <c r="I15" s="247"/>
      <c r="N15" s="38"/>
    </row>
    <row r="16" spans="9:14" ht="12.75">
      <c r="I16" s="61" t="s">
        <v>82</v>
      </c>
      <c r="N16" s="38"/>
    </row>
    <row r="17" spans="9:14" ht="12.75">
      <c r="I17" s="248"/>
      <c r="N17" s="38"/>
    </row>
    <row r="18" ht="12.75">
      <c r="N18" s="38"/>
    </row>
    <row r="19" ht="12.75">
      <c r="N19" s="38"/>
    </row>
    <row r="20" ht="12.75">
      <c r="N20" s="38"/>
    </row>
    <row r="21" spans="4:14" ht="12.75">
      <c r="D21" s="67"/>
      <c r="N21" s="38"/>
    </row>
    <row r="22" spans="4:14" ht="12.75">
      <c r="D22" s="67"/>
      <c r="N22" s="38"/>
    </row>
    <row r="23" spans="4:14" ht="12.75">
      <c r="D23" s="67"/>
      <c r="N23" s="38"/>
    </row>
    <row r="24" spans="4:14" ht="12.75">
      <c r="D24" s="67"/>
      <c r="N24" s="38"/>
    </row>
    <row r="25" spans="4:14" ht="12.75">
      <c r="D25" s="67"/>
      <c r="N25" s="38"/>
    </row>
    <row r="26" spans="4:14" ht="12.75">
      <c r="D26" s="67"/>
      <c r="N26" s="38"/>
    </row>
    <row r="27" spans="4:14" ht="12.75">
      <c r="D27" s="67"/>
      <c r="N27" s="38"/>
    </row>
    <row r="28" spans="4:14" ht="12.75">
      <c r="D28" s="67"/>
      <c r="N28" s="38"/>
    </row>
    <row r="29" spans="4:14" ht="12.75">
      <c r="D29" s="67"/>
      <c r="N29" s="38"/>
    </row>
    <row r="30" spans="4:14" ht="12.75">
      <c r="D30" s="67"/>
      <c r="N30" s="38"/>
    </row>
    <row r="31" ht="12.75">
      <c r="N31" s="38"/>
    </row>
    <row r="32" ht="12.75">
      <c r="N32" s="38"/>
    </row>
    <row r="33" ht="12.75">
      <c r="N33" s="38"/>
    </row>
    <row r="34" ht="12.75">
      <c r="N34" s="38"/>
    </row>
    <row r="35" spans="3:14" ht="15.75">
      <c r="C35" s="259"/>
      <c r="D35" s="259"/>
      <c r="N35" s="38"/>
    </row>
    <row r="36" ht="12.75">
      <c r="N36" s="38"/>
    </row>
    <row r="37" ht="12.75">
      <c r="N37" s="38"/>
    </row>
    <row r="38" ht="12.75">
      <c r="N38" s="38"/>
    </row>
    <row r="39" ht="12.75">
      <c r="N39" s="38"/>
    </row>
    <row r="40" spans="9:14" ht="12.75">
      <c r="I40" s="38"/>
      <c r="N40" s="38"/>
    </row>
    <row r="41" spans="3:14" ht="12.75">
      <c r="C41" s="260"/>
      <c r="D41" s="260"/>
      <c r="E41" s="260"/>
      <c r="F41" s="38"/>
      <c r="G41" s="38"/>
      <c r="H41" s="38"/>
      <c r="I41" s="38"/>
      <c r="J41" s="38"/>
      <c r="K41" s="38"/>
      <c r="L41" s="38"/>
      <c r="M41" s="38"/>
      <c r="N41" s="38"/>
    </row>
    <row r="42" spans="3:14" ht="12.75">
      <c r="C42" s="38"/>
      <c r="D42" s="38"/>
      <c r="E42" s="38"/>
      <c r="F42" s="38"/>
      <c r="G42" s="38"/>
      <c r="H42" s="38"/>
      <c r="I42" s="38"/>
      <c r="J42" s="38"/>
      <c r="K42" s="38"/>
      <c r="L42" s="38"/>
      <c r="M42" s="38"/>
      <c r="N42" s="38"/>
    </row>
    <row r="43" spans="3:14" ht="12.75">
      <c r="C43" s="38"/>
      <c r="D43" s="38"/>
      <c r="E43" s="38"/>
      <c r="F43" s="38"/>
      <c r="G43" s="38"/>
      <c r="H43" s="38"/>
      <c r="I43" s="38"/>
      <c r="J43" s="38"/>
      <c r="K43" s="38"/>
      <c r="L43" s="38"/>
      <c r="M43" s="38"/>
      <c r="N43" s="38"/>
    </row>
    <row r="44" spans="3:14" ht="12.75">
      <c r="C44" s="38"/>
      <c r="D44" s="38"/>
      <c r="E44" s="38"/>
      <c r="F44" s="38"/>
      <c r="G44" s="38"/>
      <c r="H44" s="38"/>
      <c r="I44" s="38"/>
      <c r="J44" s="38"/>
      <c r="K44" s="38"/>
      <c r="L44" s="38"/>
      <c r="M44" s="38"/>
      <c r="N44" s="38"/>
    </row>
    <row r="45" spans="3:14" ht="12.75">
      <c r="C45" s="38"/>
      <c r="D45" s="38"/>
      <c r="E45" s="68"/>
      <c r="F45" s="38"/>
      <c r="G45" s="38"/>
      <c r="H45" s="38"/>
      <c r="I45" s="38"/>
      <c r="J45" s="38"/>
      <c r="K45" s="38"/>
      <c r="L45" s="38"/>
      <c r="M45" s="38"/>
      <c r="N45" s="38"/>
    </row>
    <row r="46" spans="3:14" ht="12.75">
      <c r="C46" s="38"/>
      <c r="D46" s="38"/>
      <c r="E46" s="38"/>
      <c r="F46" s="38"/>
      <c r="G46" s="38"/>
      <c r="H46" s="38"/>
      <c r="I46" s="38"/>
      <c r="J46" s="38"/>
      <c r="K46" s="38"/>
      <c r="L46" s="38"/>
      <c r="M46" s="38"/>
      <c r="N46" s="38"/>
    </row>
    <row r="47" spans="3:14" ht="12.75">
      <c r="C47" s="38"/>
      <c r="D47" s="38"/>
      <c r="E47" s="68"/>
      <c r="F47" s="38"/>
      <c r="G47" s="38"/>
      <c r="H47" s="38"/>
      <c r="I47" s="38"/>
      <c r="J47" s="38"/>
      <c r="K47" s="38"/>
      <c r="L47" s="38"/>
      <c r="M47" s="38"/>
      <c r="N47" s="38"/>
    </row>
    <row r="48" spans="3:14" ht="12.75">
      <c r="C48" s="38"/>
      <c r="D48" s="38"/>
      <c r="E48" s="38"/>
      <c r="F48" s="38"/>
      <c r="G48" s="38"/>
      <c r="H48" s="38"/>
      <c r="I48" s="38"/>
      <c r="J48" s="38"/>
      <c r="K48" s="38"/>
      <c r="L48" s="38"/>
      <c r="M48" s="38"/>
      <c r="N48" s="38"/>
    </row>
    <row r="49" spans="3:14" ht="12.75">
      <c r="C49" s="38"/>
      <c r="D49" s="38"/>
      <c r="E49" s="38"/>
      <c r="F49" s="38"/>
      <c r="G49" s="38"/>
      <c r="H49" s="38"/>
      <c r="I49" s="69"/>
      <c r="J49" s="38"/>
      <c r="K49" s="38"/>
      <c r="L49" s="38"/>
      <c r="M49" s="38"/>
      <c r="N49" s="38"/>
    </row>
    <row r="50" spans="3:14" ht="12.75">
      <c r="C50" s="70"/>
      <c r="D50" s="70"/>
      <c r="E50" s="69"/>
      <c r="F50" s="69"/>
      <c r="G50" s="69"/>
      <c r="H50" s="69"/>
      <c r="I50" s="62"/>
      <c r="J50" s="69"/>
      <c r="K50" s="69"/>
      <c r="L50" s="69"/>
      <c r="M50" s="69"/>
      <c r="N50" s="69"/>
    </row>
    <row r="51" spans="3:14" ht="12.75">
      <c r="C51" s="38"/>
      <c r="D51" s="38"/>
      <c r="E51" s="62"/>
      <c r="F51" s="62"/>
      <c r="G51" s="62"/>
      <c r="H51" s="62"/>
      <c r="I51" s="62"/>
      <c r="J51" s="62"/>
      <c r="K51" s="62"/>
      <c r="L51" s="62"/>
      <c r="M51" s="62"/>
      <c r="N51" s="62"/>
    </row>
    <row r="52" spans="3:14" ht="12.75">
      <c r="C52" s="38"/>
      <c r="D52" s="38"/>
      <c r="E52" s="62"/>
      <c r="F52" s="62"/>
      <c r="G52" s="62"/>
      <c r="H52" s="62"/>
      <c r="I52" s="71"/>
      <c r="J52" s="62"/>
      <c r="K52" s="62"/>
      <c r="L52" s="62"/>
      <c r="M52" s="62"/>
      <c r="N52" s="62"/>
    </row>
    <row r="53" spans="3:14" ht="12.75">
      <c r="C53" s="38"/>
      <c r="D53" s="38"/>
      <c r="E53" s="72"/>
      <c r="F53" s="72"/>
      <c r="G53" s="71"/>
      <c r="H53" s="71"/>
      <c r="I53" s="71"/>
      <c r="J53" s="62"/>
      <c r="K53" s="62"/>
      <c r="L53" s="62"/>
      <c r="M53" s="62"/>
      <c r="N53" s="62"/>
    </row>
    <row r="54" spans="3:14" ht="12.75">
      <c r="C54" s="38"/>
      <c r="D54" s="38"/>
      <c r="E54" s="73"/>
      <c r="F54" s="73"/>
      <c r="G54" s="73"/>
      <c r="H54" s="73"/>
      <c r="I54" s="62"/>
      <c r="J54" s="62"/>
      <c r="K54" s="62"/>
      <c r="L54" s="62"/>
      <c r="M54" s="62"/>
      <c r="N54" s="62"/>
    </row>
    <row r="55" spans="3:14" ht="12.75">
      <c r="C55" s="38"/>
      <c r="D55" s="38"/>
      <c r="E55" s="62"/>
      <c r="F55" s="62"/>
      <c r="G55" s="62"/>
      <c r="H55" s="62"/>
      <c r="I55" s="38"/>
      <c r="J55" s="62"/>
      <c r="K55" s="62"/>
      <c r="L55" s="62"/>
      <c r="M55" s="62"/>
      <c r="N55" s="62"/>
    </row>
    <row r="56" spans="3:14" ht="12.75">
      <c r="C56" s="38"/>
      <c r="D56" s="38"/>
      <c r="E56" s="74"/>
      <c r="F56" s="38"/>
      <c r="G56" s="38"/>
      <c r="H56" s="38"/>
      <c r="I56" s="38"/>
      <c r="J56" s="38"/>
      <c r="K56" s="38"/>
      <c r="L56" s="38"/>
      <c r="M56" s="38"/>
      <c r="N56" s="38"/>
    </row>
    <row r="57" spans="3:14" ht="12.75">
      <c r="C57" s="38"/>
      <c r="D57" s="38"/>
      <c r="E57" s="38"/>
      <c r="F57" s="75"/>
      <c r="G57" s="38"/>
      <c r="H57" s="38"/>
      <c r="I57" s="62"/>
      <c r="J57" s="38"/>
      <c r="K57" s="38"/>
      <c r="L57" s="38"/>
      <c r="M57" s="38"/>
      <c r="N57" s="38"/>
    </row>
    <row r="58" spans="3:15" ht="12.75">
      <c r="C58" s="38"/>
      <c r="D58" s="38"/>
      <c r="E58" s="62"/>
      <c r="F58" s="62"/>
      <c r="G58" s="62"/>
      <c r="H58" s="62"/>
      <c r="I58" s="76"/>
      <c r="J58" s="62"/>
      <c r="K58" s="62"/>
      <c r="L58" s="62"/>
      <c r="M58" s="62"/>
      <c r="N58" s="62"/>
      <c r="O58" s="62"/>
    </row>
    <row r="59" spans="3:14" ht="12.75">
      <c r="C59" s="38"/>
      <c r="D59" s="38"/>
      <c r="E59" s="76"/>
      <c r="F59" s="76"/>
      <c r="G59" s="76"/>
      <c r="H59" s="76"/>
      <c r="I59" s="76"/>
      <c r="J59" s="76"/>
      <c r="K59" s="76"/>
      <c r="L59" s="76"/>
      <c r="M59" s="76"/>
      <c r="N59" s="76"/>
    </row>
    <row r="60" spans="3:14" ht="12.75">
      <c r="C60" s="249"/>
      <c r="D60" s="249"/>
      <c r="E60" s="249"/>
      <c r="F60" s="249"/>
      <c r="G60" s="76"/>
      <c r="H60" s="76"/>
      <c r="I60" s="38"/>
      <c r="J60" s="76"/>
      <c r="K60" s="76"/>
      <c r="L60" s="76"/>
      <c r="M60" s="76"/>
      <c r="N60" s="76"/>
    </row>
    <row r="61" spans="3:14" ht="15">
      <c r="C61" s="38"/>
      <c r="D61" s="38"/>
      <c r="E61" s="38"/>
      <c r="F61" s="38"/>
      <c r="G61" s="38"/>
      <c r="H61" s="38"/>
      <c r="I61" s="77"/>
      <c r="J61" s="38"/>
      <c r="K61" s="38"/>
      <c r="L61" s="38"/>
      <c r="M61" s="38"/>
      <c r="N61" s="38"/>
    </row>
    <row r="62" spans="3:14" ht="15">
      <c r="C62" s="77"/>
      <c r="D62" s="77"/>
      <c r="E62" s="77"/>
      <c r="F62" s="77"/>
      <c r="G62" s="77"/>
      <c r="H62" s="77"/>
      <c r="I62" s="38"/>
      <c r="J62" s="77"/>
      <c r="K62" s="77"/>
      <c r="L62" s="77"/>
      <c r="M62" s="77"/>
      <c r="N62" s="77"/>
    </row>
    <row r="63" spans="3:14" ht="12.75">
      <c r="C63" s="38"/>
      <c r="D63" s="38"/>
      <c r="E63" s="38"/>
      <c r="F63" s="38"/>
      <c r="G63" s="38"/>
      <c r="H63" s="38"/>
      <c r="I63" s="69"/>
      <c r="J63" s="38"/>
      <c r="K63" s="38"/>
      <c r="L63" s="38"/>
      <c r="M63" s="38"/>
      <c r="N63" s="38"/>
    </row>
    <row r="64" spans="3:14" ht="12.75">
      <c r="C64" s="70"/>
      <c r="D64" s="70"/>
      <c r="E64" s="69"/>
      <c r="F64" s="69"/>
      <c r="G64" s="69"/>
      <c r="H64" s="69"/>
      <c r="I64" s="62"/>
      <c r="J64" s="69"/>
      <c r="K64" s="69"/>
      <c r="L64" s="69"/>
      <c r="M64" s="69"/>
      <c r="N64" s="69"/>
    </row>
    <row r="65" spans="3:14" ht="12.75">
      <c r="C65" s="38"/>
      <c r="D65" s="38"/>
      <c r="E65" s="62"/>
      <c r="F65" s="62"/>
      <c r="G65" s="62"/>
      <c r="H65" s="62"/>
      <c r="I65" s="62"/>
      <c r="J65" s="62"/>
      <c r="K65" s="62"/>
      <c r="L65" s="62"/>
      <c r="M65" s="62"/>
      <c r="N65" s="62"/>
    </row>
    <row r="66" spans="3:14" ht="12.75">
      <c r="C66" s="38"/>
      <c r="D66" s="38"/>
      <c r="E66" s="62"/>
      <c r="F66" s="62"/>
      <c r="G66" s="62"/>
      <c r="H66" s="62"/>
      <c r="I66" s="62"/>
      <c r="J66" s="62"/>
      <c r="K66" s="62"/>
      <c r="L66" s="62"/>
      <c r="M66" s="62"/>
      <c r="N66" s="62"/>
    </row>
    <row r="67" spans="3:14" ht="12.75">
      <c r="C67" s="38"/>
      <c r="D67" s="38"/>
      <c r="E67" s="62"/>
      <c r="F67" s="62"/>
      <c r="G67" s="62"/>
      <c r="H67" s="62"/>
      <c r="I67" s="62"/>
      <c r="J67" s="62"/>
      <c r="K67" s="62"/>
      <c r="L67" s="62"/>
      <c r="M67" s="62"/>
      <c r="N67" s="62"/>
    </row>
    <row r="68" spans="3:14" ht="12.75">
      <c r="C68" s="38"/>
      <c r="D68" s="38"/>
      <c r="E68" s="62"/>
      <c r="F68" s="62"/>
      <c r="G68" s="62"/>
      <c r="H68" s="62"/>
      <c r="I68" s="38"/>
      <c r="J68" s="62"/>
      <c r="K68" s="62"/>
      <c r="L68" s="62"/>
      <c r="M68" s="62"/>
      <c r="N68" s="62"/>
    </row>
    <row r="69" spans="3:14" ht="12.75">
      <c r="C69" s="38"/>
      <c r="D69" s="38"/>
      <c r="E69" s="74"/>
      <c r="F69" s="38"/>
      <c r="G69" s="38"/>
      <c r="H69" s="38"/>
      <c r="I69" s="38"/>
      <c r="J69" s="38"/>
      <c r="K69" s="38"/>
      <c r="L69" s="38"/>
      <c r="M69" s="38"/>
      <c r="N69" s="38"/>
    </row>
    <row r="70" spans="3:14" ht="12.75">
      <c r="C70" s="38"/>
      <c r="D70" s="38"/>
      <c r="E70" s="38"/>
      <c r="F70" s="38"/>
      <c r="G70" s="38"/>
      <c r="H70" s="38"/>
      <c r="I70" s="38"/>
      <c r="J70" s="38"/>
      <c r="K70" s="38"/>
      <c r="L70" s="38"/>
      <c r="M70" s="38"/>
      <c r="N70" s="38"/>
    </row>
    <row r="71" spans="3:14" ht="12.75">
      <c r="C71" s="38"/>
      <c r="D71" s="38"/>
      <c r="E71" s="38"/>
      <c r="F71" s="38"/>
      <c r="G71" s="38"/>
      <c r="H71" s="38"/>
      <c r="I71" s="69"/>
      <c r="J71" s="38"/>
      <c r="K71" s="38"/>
      <c r="L71" s="38"/>
      <c r="M71" s="38"/>
      <c r="N71" s="38"/>
    </row>
    <row r="72" spans="3:14" ht="12.75">
      <c r="C72" s="70"/>
      <c r="D72" s="70"/>
      <c r="E72" s="69"/>
      <c r="F72" s="69"/>
      <c r="G72" s="69"/>
      <c r="H72" s="69"/>
      <c r="I72" s="62"/>
      <c r="J72" s="69"/>
      <c r="K72" s="69"/>
      <c r="L72" s="69"/>
      <c r="M72" s="69"/>
      <c r="N72" s="69"/>
    </row>
    <row r="73" spans="3:14" ht="12.75">
      <c r="C73" s="38"/>
      <c r="D73" s="38"/>
      <c r="E73" s="62"/>
      <c r="F73" s="62"/>
      <c r="G73" s="62"/>
      <c r="H73" s="62"/>
      <c r="I73" s="62"/>
      <c r="J73" s="62"/>
      <c r="K73" s="62"/>
      <c r="L73" s="62"/>
      <c r="M73" s="62"/>
      <c r="N73" s="62"/>
    </row>
    <row r="74" spans="3:14" ht="12.75">
      <c r="C74" s="38"/>
      <c r="D74" s="38"/>
      <c r="E74" s="62"/>
      <c r="F74" s="62"/>
      <c r="G74" s="62"/>
      <c r="H74" s="62"/>
      <c r="I74" s="62"/>
      <c r="J74" s="62"/>
      <c r="K74" s="62"/>
      <c r="L74" s="62"/>
      <c r="M74" s="62"/>
      <c r="N74" s="62"/>
    </row>
    <row r="75" spans="3:14" ht="12.75">
      <c r="C75" s="38"/>
      <c r="D75" s="38"/>
      <c r="E75" s="62"/>
      <c r="F75" s="62"/>
      <c r="G75" s="62"/>
      <c r="H75" s="62"/>
      <c r="I75" s="62"/>
      <c r="J75" s="62"/>
      <c r="K75" s="62"/>
      <c r="L75" s="62"/>
      <c r="M75" s="62"/>
      <c r="N75" s="62"/>
    </row>
    <row r="76" spans="3:14" ht="12.75">
      <c r="C76" s="38"/>
      <c r="D76" s="38"/>
      <c r="E76" s="62"/>
      <c r="F76" s="62"/>
      <c r="G76" s="62"/>
      <c r="H76" s="62"/>
      <c r="I76" s="38"/>
      <c r="J76" s="62"/>
      <c r="K76" s="62"/>
      <c r="L76" s="62"/>
      <c r="M76" s="62"/>
      <c r="N76" s="62"/>
    </row>
    <row r="77" spans="3:14" ht="12.75">
      <c r="C77" s="38"/>
      <c r="D77" s="38"/>
      <c r="E77" s="74"/>
      <c r="F77" s="38"/>
      <c r="G77" s="38"/>
      <c r="H77" s="38"/>
      <c r="J77" s="38"/>
      <c r="K77" s="38"/>
      <c r="L77" s="38"/>
      <c r="M77" s="38"/>
      <c r="N77" s="38"/>
    </row>
    <row r="81" spans="4:14" ht="12.75">
      <c r="D81" s="67"/>
      <c r="N81" s="67"/>
    </row>
    <row r="83" spans="4:9" ht="12.75">
      <c r="D83" s="72"/>
      <c r="E83" s="72"/>
      <c r="F83" s="71"/>
      <c r="G83" s="71"/>
      <c r="H83" s="71"/>
      <c r="I83" s="67"/>
    </row>
    <row r="84" spans="4:13" ht="12.75">
      <c r="D84" s="67"/>
      <c r="E84" s="67"/>
      <c r="F84" s="67"/>
      <c r="G84" s="67"/>
      <c r="H84" s="67"/>
      <c r="J84" s="67"/>
      <c r="K84" s="67"/>
      <c r="L84" s="67"/>
      <c r="M84" s="67"/>
    </row>
    <row r="85" ht="12.75">
      <c r="D85" s="78"/>
    </row>
    <row r="92" ht="13.5" customHeight="1"/>
    <row r="94" ht="12.75">
      <c r="C94" s="78"/>
    </row>
    <row r="96" ht="12.75">
      <c r="C96" s="78"/>
    </row>
  </sheetData>
  <mergeCells count="7">
    <mergeCell ref="C35:D35"/>
    <mergeCell ref="C41:E41"/>
    <mergeCell ref="B2:C2"/>
    <mergeCell ref="B6:G6"/>
    <mergeCell ref="B8:B9"/>
    <mergeCell ref="C8:C9"/>
    <mergeCell ref="D8:G8"/>
  </mergeCells>
  <hyperlinks>
    <hyperlink ref="I14" location="'Project Description'!A1" display="Project Description"/>
    <hyperlink ref="I16" location="'User''s Guide'!A8" display="   User's Guide"/>
  </hyperlink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AY133"/>
  <sheetViews>
    <sheetView workbookViewId="0" topLeftCell="A1">
      <selection activeCell="A2" sqref="A2"/>
    </sheetView>
  </sheetViews>
  <sheetFormatPr defaultColWidth="9.140625" defaultRowHeight="12.75"/>
  <cols>
    <col min="1" max="2" width="9.140625" style="89" customWidth="1"/>
    <col min="3" max="3" width="14.00390625" style="89" bestFit="1" customWidth="1"/>
    <col min="4" max="4" width="12.00390625" style="89" customWidth="1"/>
    <col min="5" max="5" width="12.28125" style="89" customWidth="1"/>
    <col min="6" max="6" width="13.00390625" style="89" customWidth="1"/>
    <col min="7" max="7" width="11.00390625" style="89" customWidth="1"/>
    <col min="8" max="8" width="16.00390625" style="89" bestFit="1" customWidth="1"/>
    <col min="9" max="9" width="12.8515625" style="89" customWidth="1"/>
    <col min="10" max="10" width="11.28125" style="89" customWidth="1"/>
    <col min="11" max="11" width="21.00390625" style="89" customWidth="1"/>
    <col min="12" max="12" width="12.140625" style="89" customWidth="1"/>
    <col min="13" max="14" width="17.00390625" style="89" bestFit="1" customWidth="1"/>
    <col min="15" max="15" width="15.00390625" style="89" bestFit="1" customWidth="1"/>
    <col min="16" max="27" width="9.140625" style="89" customWidth="1"/>
    <col min="28" max="28" width="11.57421875" style="89" customWidth="1"/>
    <col min="29" max="29" width="9.140625" style="89" customWidth="1"/>
    <col min="30" max="30" width="11.7109375" style="89" customWidth="1"/>
    <col min="31" max="31" width="10.7109375" style="89" customWidth="1"/>
    <col min="32" max="32" width="11.140625" style="89" customWidth="1"/>
    <col min="33" max="38" width="9.140625" style="89" customWidth="1"/>
    <col min="39" max="39" width="9.7109375" style="89" customWidth="1"/>
    <col min="40" max="40" width="11.140625" style="89" customWidth="1"/>
    <col min="41" max="41" width="11.00390625" style="89" customWidth="1"/>
    <col min="42" max="42" width="12.421875" style="89" customWidth="1"/>
    <col min="43" max="43" width="9.140625" style="89" customWidth="1"/>
    <col min="44" max="44" width="10.8515625" style="89" customWidth="1"/>
    <col min="45" max="45" width="9.8515625" style="89" customWidth="1"/>
    <col min="46" max="46" width="11.57421875" style="89" customWidth="1"/>
    <col min="47" max="47" width="12.28125" style="89" customWidth="1"/>
    <col min="48" max="48" width="10.7109375" style="89" customWidth="1"/>
    <col min="49" max="54" width="9.140625" style="89" customWidth="1"/>
    <col min="55" max="55" width="10.7109375" style="89" customWidth="1"/>
    <col min="56" max="56" width="11.28125" style="89" customWidth="1"/>
    <col min="57" max="58" width="11.140625" style="89" customWidth="1"/>
    <col min="59" max="16384" width="9.140625" style="89" customWidth="1"/>
  </cols>
  <sheetData>
    <row r="1" spans="1:11" ht="12.75" customHeight="1">
      <c r="A1" s="282">
        <f>IF('ERR &amp; Sensitivity Analysis'!$I$10="N","Note: Current calculations are based on user input and are not the original MCC estimates.",0)</f>
        <v>0</v>
      </c>
      <c r="B1" s="282"/>
      <c r="C1" s="282"/>
      <c r="D1" s="282"/>
      <c r="E1" s="282"/>
      <c r="F1" s="282"/>
      <c r="G1" s="282"/>
      <c r="H1" s="282"/>
      <c r="K1" s="37" t="s">
        <v>49</v>
      </c>
    </row>
    <row r="3" ht="13.5" thickBot="1"/>
    <row r="4" spans="2:22" ht="12.75" customHeight="1">
      <c r="B4" s="276" t="s">
        <v>0</v>
      </c>
      <c r="C4" s="277"/>
      <c r="D4" s="277"/>
      <c r="E4" s="277"/>
      <c r="F4" s="277"/>
      <c r="G4" s="277"/>
      <c r="H4" s="277"/>
      <c r="I4" s="277"/>
      <c r="J4" s="278"/>
      <c r="K4" s="90"/>
      <c r="L4" s="90"/>
      <c r="M4" s="90"/>
      <c r="N4" s="90"/>
      <c r="O4" s="91"/>
      <c r="P4" s="91"/>
      <c r="Q4" s="91"/>
      <c r="R4" s="91"/>
      <c r="S4" s="91"/>
      <c r="T4" s="91"/>
      <c r="U4" s="91"/>
      <c r="V4" s="91"/>
    </row>
    <row r="5" spans="2:22" ht="13.5" thickBot="1">
      <c r="B5" s="279"/>
      <c r="C5" s="280"/>
      <c r="D5" s="280"/>
      <c r="E5" s="280"/>
      <c r="F5" s="280"/>
      <c r="G5" s="280"/>
      <c r="H5" s="280"/>
      <c r="I5" s="280"/>
      <c r="J5" s="281"/>
      <c r="K5" s="90"/>
      <c r="L5" s="90"/>
      <c r="M5" s="90"/>
      <c r="N5" s="90"/>
      <c r="O5" s="91"/>
      <c r="P5" s="91"/>
      <c r="Q5" s="91"/>
      <c r="R5" s="91"/>
      <c r="S5" s="91"/>
      <c r="T5" s="91"/>
      <c r="U5" s="91"/>
      <c r="V5" s="91"/>
    </row>
    <row r="6" spans="2:10" ht="13.5" thickBot="1">
      <c r="B6" s="298" t="s">
        <v>23</v>
      </c>
      <c r="C6" s="291" t="s">
        <v>1</v>
      </c>
      <c r="D6" s="291"/>
      <c r="E6" s="291"/>
      <c r="F6" s="291"/>
      <c r="G6" s="309" t="s">
        <v>2</v>
      </c>
      <c r="H6" s="291"/>
      <c r="I6" s="291"/>
      <c r="J6" s="310"/>
    </row>
    <row r="7" spans="2:51" ht="12.75">
      <c r="B7" s="299"/>
      <c r="C7" s="94"/>
      <c r="D7" s="94"/>
      <c r="E7" s="94"/>
      <c r="F7" s="94"/>
      <c r="G7" s="95"/>
      <c r="H7" s="94"/>
      <c r="I7" s="94"/>
      <c r="J7" s="96"/>
      <c r="M7" s="267" t="s">
        <v>88</v>
      </c>
      <c r="N7" s="251"/>
      <c r="O7" s="251"/>
      <c r="P7" s="251"/>
      <c r="Q7" s="251"/>
      <c r="R7" s="251"/>
      <c r="S7" s="251"/>
      <c r="T7" s="251"/>
      <c r="U7" s="252"/>
      <c r="W7" s="270" t="s">
        <v>89</v>
      </c>
      <c r="X7" s="271"/>
      <c r="Y7" s="271"/>
      <c r="Z7" s="271"/>
      <c r="AA7" s="271"/>
      <c r="AB7" s="271"/>
      <c r="AC7" s="271"/>
      <c r="AD7" s="271"/>
      <c r="AE7" s="272"/>
      <c r="AG7" s="267" t="s">
        <v>90</v>
      </c>
      <c r="AH7" s="251"/>
      <c r="AI7" s="251"/>
      <c r="AJ7" s="251"/>
      <c r="AK7" s="251"/>
      <c r="AL7" s="251"/>
      <c r="AM7" s="251"/>
      <c r="AN7" s="251"/>
      <c r="AO7" s="252"/>
      <c r="AQ7" s="270" t="s">
        <v>91</v>
      </c>
      <c r="AR7" s="271"/>
      <c r="AS7" s="271"/>
      <c r="AT7" s="271"/>
      <c r="AU7" s="271"/>
      <c r="AV7" s="271"/>
      <c r="AW7" s="271"/>
      <c r="AX7" s="271"/>
      <c r="AY7" s="272"/>
    </row>
    <row r="8" spans="2:51" ht="13.5" thickBot="1">
      <c r="B8" s="299"/>
      <c r="C8" s="288" t="s">
        <v>3</v>
      </c>
      <c r="D8" s="289"/>
      <c r="E8" s="311" t="s">
        <v>85</v>
      </c>
      <c r="F8" s="296" t="s">
        <v>6</v>
      </c>
      <c r="G8" s="290" t="s">
        <v>3</v>
      </c>
      <c r="H8" s="289"/>
      <c r="I8" s="313" t="s">
        <v>7</v>
      </c>
      <c r="J8" s="296" t="s">
        <v>6</v>
      </c>
      <c r="M8" s="253"/>
      <c r="N8" s="268"/>
      <c r="O8" s="268"/>
      <c r="P8" s="268"/>
      <c r="Q8" s="268"/>
      <c r="R8" s="268"/>
      <c r="S8" s="268"/>
      <c r="T8" s="268"/>
      <c r="U8" s="269"/>
      <c r="W8" s="273"/>
      <c r="X8" s="274"/>
      <c r="Y8" s="274"/>
      <c r="Z8" s="274"/>
      <c r="AA8" s="274"/>
      <c r="AB8" s="274"/>
      <c r="AC8" s="274"/>
      <c r="AD8" s="274"/>
      <c r="AE8" s="275"/>
      <c r="AG8" s="253"/>
      <c r="AH8" s="268"/>
      <c r="AI8" s="268"/>
      <c r="AJ8" s="268"/>
      <c r="AK8" s="268"/>
      <c r="AL8" s="268"/>
      <c r="AM8" s="268"/>
      <c r="AN8" s="268"/>
      <c r="AO8" s="269"/>
      <c r="AQ8" s="273"/>
      <c r="AR8" s="274"/>
      <c r="AS8" s="274"/>
      <c r="AT8" s="274"/>
      <c r="AU8" s="274"/>
      <c r="AV8" s="274"/>
      <c r="AW8" s="274"/>
      <c r="AX8" s="274"/>
      <c r="AY8" s="275"/>
    </row>
    <row r="9" spans="2:51" ht="13.5" thickBot="1">
      <c r="B9" s="300"/>
      <c r="C9" s="98" t="s">
        <v>4</v>
      </c>
      <c r="D9" s="99" t="s">
        <v>5</v>
      </c>
      <c r="E9" s="312"/>
      <c r="F9" s="297"/>
      <c r="G9" s="100" t="s">
        <v>4</v>
      </c>
      <c r="H9" s="101" t="s">
        <v>5</v>
      </c>
      <c r="I9" s="314"/>
      <c r="J9" s="297"/>
      <c r="M9" s="95"/>
      <c r="N9" s="94" t="s">
        <v>8</v>
      </c>
      <c r="O9" s="94" t="s">
        <v>9</v>
      </c>
      <c r="P9" s="94" t="s">
        <v>10</v>
      </c>
      <c r="Q9" s="94" t="s">
        <v>11</v>
      </c>
      <c r="R9" s="94" t="s">
        <v>12</v>
      </c>
      <c r="S9" s="94" t="s">
        <v>13</v>
      </c>
      <c r="T9" s="94" t="s">
        <v>14</v>
      </c>
      <c r="U9" s="206" t="s">
        <v>15</v>
      </c>
      <c r="W9" s="95"/>
      <c r="X9" s="94" t="s">
        <v>8</v>
      </c>
      <c r="Y9" s="94" t="s">
        <v>9</v>
      </c>
      <c r="Z9" s="94" t="s">
        <v>10</v>
      </c>
      <c r="AA9" s="94" t="s">
        <v>11</v>
      </c>
      <c r="AB9" s="94" t="s">
        <v>12</v>
      </c>
      <c r="AC9" s="94" t="s">
        <v>13</v>
      </c>
      <c r="AD9" s="94" t="s">
        <v>14</v>
      </c>
      <c r="AE9" s="206" t="s">
        <v>15</v>
      </c>
      <c r="AG9" s="95"/>
      <c r="AH9" s="94" t="s">
        <v>8</v>
      </c>
      <c r="AI9" s="94" t="s">
        <v>9</v>
      </c>
      <c r="AJ9" s="94" t="s">
        <v>10</v>
      </c>
      <c r="AK9" s="94" t="s">
        <v>11</v>
      </c>
      <c r="AL9" s="94" t="s">
        <v>12</v>
      </c>
      <c r="AM9" s="94" t="s">
        <v>13</v>
      </c>
      <c r="AN9" s="94" t="s">
        <v>14</v>
      </c>
      <c r="AO9" s="206" t="s">
        <v>15</v>
      </c>
      <c r="AQ9" s="95"/>
      <c r="AR9" s="94" t="s">
        <v>8</v>
      </c>
      <c r="AS9" s="94" t="s">
        <v>9</v>
      </c>
      <c r="AT9" s="94" t="s">
        <v>10</v>
      </c>
      <c r="AU9" s="94" t="s">
        <v>11</v>
      </c>
      <c r="AV9" s="94" t="s">
        <v>12</v>
      </c>
      <c r="AW9" s="94" t="s">
        <v>13</v>
      </c>
      <c r="AX9" s="94" t="s">
        <v>14</v>
      </c>
      <c r="AY9" s="206" t="s">
        <v>15</v>
      </c>
    </row>
    <row r="10" spans="2:51" ht="12.75">
      <c r="B10" s="102">
        <v>2006</v>
      </c>
      <c r="C10" s="103">
        <v>8.5</v>
      </c>
      <c r="D10" s="104">
        <v>8.5</v>
      </c>
      <c r="E10" s="105">
        <f>C10-D10</f>
        <v>0</v>
      </c>
      <c r="F10" s="106">
        <f>E10*H41</f>
        <v>0</v>
      </c>
      <c r="G10" s="107">
        <v>19.514285714285716</v>
      </c>
      <c r="H10" s="108">
        <v>19.514285714285716</v>
      </c>
      <c r="I10" s="109">
        <f>G10-H10</f>
        <v>0</v>
      </c>
      <c r="J10" s="106">
        <f>I10*L41</f>
        <v>0</v>
      </c>
      <c r="M10" s="145">
        <v>2005</v>
      </c>
      <c r="N10" s="207">
        <v>3.1</v>
      </c>
      <c r="O10" s="207">
        <v>4.1</v>
      </c>
      <c r="P10" s="94">
        <v>13.1</v>
      </c>
      <c r="Q10" s="94">
        <v>4.4</v>
      </c>
      <c r="R10" s="94">
        <v>7.2</v>
      </c>
      <c r="S10" s="94">
        <v>11.2</v>
      </c>
      <c r="T10" s="94">
        <v>16.4</v>
      </c>
      <c r="U10" s="208">
        <f>SUM(N10:T10)/7</f>
        <v>8.499999999999998</v>
      </c>
      <c r="W10" s="145">
        <v>2005</v>
      </c>
      <c r="X10" s="207">
        <v>3.1</v>
      </c>
      <c r="Y10" s="207">
        <v>4.1</v>
      </c>
      <c r="Z10" s="94">
        <v>13.1</v>
      </c>
      <c r="AA10" s="94">
        <v>4.4</v>
      </c>
      <c r="AB10" s="94">
        <v>7.2</v>
      </c>
      <c r="AC10" s="94">
        <v>11.2</v>
      </c>
      <c r="AD10" s="94">
        <v>16.4</v>
      </c>
      <c r="AE10" s="208">
        <f>SUM(X10:AD10)/7</f>
        <v>8.499999999999998</v>
      </c>
      <c r="AG10" s="145">
        <v>2005</v>
      </c>
      <c r="AH10" s="94">
        <v>7.6</v>
      </c>
      <c r="AI10" s="94">
        <v>9.8</v>
      </c>
      <c r="AJ10" s="94">
        <v>28.8</v>
      </c>
      <c r="AK10" s="94">
        <v>10.1</v>
      </c>
      <c r="AL10" s="94">
        <v>16.8</v>
      </c>
      <c r="AM10" s="94">
        <v>25.6</v>
      </c>
      <c r="AN10" s="94">
        <v>37.9</v>
      </c>
      <c r="AO10" s="208">
        <f>SUM(AH10:AN10)/7</f>
        <v>19.514285714285716</v>
      </c>
      <c r="AQ10" s="145">
        <v>2005</v>
      </c>
      <c r="AR10" s="94">
        <v>7.6</v>
      </c>
      <c r="AS10" s="94">
        <v>9.8</v>
      </c>
      <c r="AT10" s="94">
        <v>28.8</v>
      </c>
      <c r="AU10" s="94">
        <v>10.1</v>
      </c>
      <c r="AV10" s="94">
        <v>16.8</v>
      </c>
      <c r="AW10" s="94">
        <v>25.6</v>
      </c>
      <c r="AX10" s="94">
        <v>37.9</v>
      </c>
      <c r="AY10" s="208">
        <f>SUM(AR10:AX10)/7</f>
        <v>19.514285714285716</v>
      </c>
    </row>
    <row r="11" spans="2:51" ht="12.75">
      <c r="B11" s="102">
        <v>2007</v>
      </c>
      <c r="C11" s="111">
        <v>8.814285714285715</v>
      </c>
      <c r="D11" s="112">
        <v>8.5</v>
      </c>
      <c r="E11" s="105">
        <f aca="true" t="shared" si="0" ref="E11:E30">C11-D11</f>
        <v>0.31428571428571495</v>
      </c>
      <c r="F11" s="106">
        <f aca="true" t="shared" si="1" ref="F11:F30">E11*H42</f>
        <v>246230.8850353058</v>
      </c>
      <c r="G11" s="107">
        <v>19.62857142857143</v>
      </c>
      <c r="H11" s="108">
        <v>19.514285714285716</v>
      </c>
      <c r="I11" s="109">
        <f aca="true" t="shared" si="2" ref="I11:I30">G11-H11</f>
        <v>0.11428571428571388</v>
      </c>
      <c r="J11" s="106">
        <f aca="true" t="shared" si="3" ref="J11:J30">I11*L42</f>
        <v>48239.74080137211</v>
      </c>
      <c r="M11" s="145">
        <v>2006</v>
      </c>
      <c r="N11" s="207">
        <v>3.3</v>
      </c>
      <c r="O11" s="94">
        <v>4.3</v>
      </c>
      <c r="P11" s="94">
        <v>13.4</v>
      </c>
      <c r="Q11" s="94">
        <v>4.6</v>
      </c>
      <c r="R11" s="94">
        <v>7.5</v>
      </c>
      <c r="S11" s="94">
        <v>11.6</v>
      </c>
      <c r="T11" s="94">
        <v>17</v>
      </c>
      <c r="U11" s="208">
        <f aca="true" t="shared" si="4" ref="U11:U30">SUM(N11:T11)/7</f>
        <v>8.814285714285715</v>
      </c>
      <c r="W11" s="145">
        <v>2006</v>
      </c>
      <c r="X11" s="207">
        <v>3.1</v>
      </c>
      <c r="Y11" s="207">
        <v>4.1</v>
      </c>
      <c r="Z11" s="94">
        <v>13.1</v>
      </c>
      <c r="AA11" s="94">
        <v>4.4</v>
      </c>
      <c r="AB11" s="94">
        <v>7.2</v>
      </c>
      <c r="AC11" s="94">
        <v>11.2</v>
      </c>
      <c r="AD11" s="94">
        <v>16.4</v>
      </c>
      <c r="AE11" s="208">
        <f aca="true" t="shared" si="5" ref="AE11:AE30">SUM(X11:AD11)/7</f>
        <v>8.499999999999998</v>
      </c>
      <c r="AG11" s="145">
        <v>2006</v>
      </c>
      <c r="AH11" s="94">
        <v>7.6</v>
      </c>
      <c r="AI11" s="94">
        <v>9.9</v>
      </c>
      <c r="AJ11" s="94">
        <v>29</v>
      </c>
      <c r="AK11" s="94">
        <v>10.2</v>
      </c>
      <c r="AL11" s="94">
        <v>16.9</v>
      </c>
      <c r="AM11" s="94">
        <v>25.7</v>
      </c>
      <c r="AN11" s="94">
        <v>38.1</v>
      </c>
      <c r="AO11" s="208">
        <f aca="true" t="shared" si="6" ref="AO11:AO30">SUM(AH11:AN11)/7</f>
        <v>19.62857142857143</v>
      </c>
      <c r="AQ11" s="145">
        <v>2006</v>
      </c>
      <c r="AR11" s="94">
        <v>7.6</v>
      </c>
      <c r="AS11" s="94">
        <v>9.8</v>
      </c>
      <c r="AT11" s="94">
        <v>28.8</v>
      </c>
      <c r="AU11" s="94">
        <v>10.1</v>
      </c>
      <c r="AV11" s="94">
        <v>16.8</v>
      </c>
      <c r="AW11" s="94">
        <v>25.6</v>
      </c>
      <c r="AX11" s="94">
        <v>37.9</v>
      </c>
      <c r="AY11" s="208">
        <f aca="true" t="shared" si="7" ref="AY11:AY30">SUM(AR11:AX11)/7</f>
        <v>19.514285714285716</v>
      </c>
    </row>
    <row r="12" spans="2:51" ht="12.75">
      <c r="B12" s="102">
        <v>2008</v>
      </c>
      <c r="C12" s="111">
        <v>9.185714285714285</v>
      </c>
      <c r="D12" s="112">
        <v>7.128571428571428</v>
      </c>
      <c r="E12" s="105">
        <f t="shared" si="0"/>
        <v>2.057142857142857</v>
      </c>
      <c r="F12" s="106">
        <f t="shared" si="1"/>
        <v>1697112.7981669726</v>
      </c>
      <c r="G12" s="107">
        <v>19.814285714285713</v>
      </c>
      <c r="H12" s="108">
        <v>14.62857142857143</v>
      </c>
      <c r="I12" s="109">
        <f t="shared" si="2"/>
        <v>5.185714285714283</v>
      </c>
      <c r="J12" s="106">
        <f>I12*L43</f>
        <v>2304888.7855219655</v>
      </c>
      <c r="M12" s="145">
        <v>2007</v>
      </c>
      <c r="N12" s="207">
        <v>3.5</v>
      </c>
      <c r="O12" s="94">
        <v>4.5</v>
      </c>
      <c r="P12" s="94">
        <v>13.7</v>
      </c>
      <c r="Q12" s="94">
        <v>4.8</v>
      </c>
      <c r="R12" s="94">
        <v>7.9</v>
      </c>
      <c r="S12" s="94">
        <v>12.1</v>
      </c>
      <c r="T12" s="94">
        <v>17.8</v>
      </c>
      <c r="U12" s="208">
        <f t="shared" si="4"/>
        <v>9.185714285714285</v>
      </c>
      <c r="W12" s="145">
        <v>2007</v>
      </c>
      <c r="X12" s="94">
        <v>2.6</v>
      </c>
      <c r="Y12" s="94">
        <v>3.3</v>
      </c>
      <c r="Z12" s="94">
        <v>12.2</v>
      </c>
      <c r="AA12" s="94">
        <v>3.5</v>
      </c>
      <c r="AB12" s="94">
        <v>5.5</v>
      </c>
      <c r="AC12" s="94">
        <v>9.2</v>
      </c>
      <c r="AD12" s="94">
        <v>13.6</v>
      </c>
      <c r="AE12" s="208">
        <f t="shared" si="5"/>
        <v>7.128571428571428</v>
      </c>
      <c r="AG12" s="145">
        <v>2007</v>
      </c>
      <c r="AH12" s="94">
        <v>7.7</v>
      </c>
      <c r="AI12" s="94">
        <v>10</v>
      </c>
      <c r="AJ12" s="94">
        <v>29.1</v>
      </c>
      <c r="AK12" s="94">
        <v>10.3</v>
      </c>
      <c r="AL12" s="94">
        <v>17.1</v>
      </c>
      <c r="AM12" s="94">
        <v>26</v>
      </c>
      <c r="AN12" s="94">
        <v>38.5</v>
      </c>
      <c r="AO12" s="208">
        <f t="shared" si="6"/>
        <v>19.814285714285713</v>
      </c>
      <c r="AQ12" s="145">
        <v>2007</v>
      </c>
      <c r="AR12" s="94">
        <v>5.3</v>
      </c>
      <c r="AS12" s="94">
        <v>6.8</v>
      </c>
      <c r="AT12" s="94">
        <v>24.9</v>
      </c>
      <c r="AU12" s="94">
        <v>7.2</v>
      </c>
      <c r="AV12" s="94">
        <v>11.4</v>
      </c>
      <c r="AW12" s="94">
        <v>18.9</v>
      </c>
      <c r="AX12" s="94">
        <v>27.9</v>
      </c>
      <c r="AY12" s="208">
        <f t="shared" si="7"/>
        <v>14.62857142857143</v>
      </c>
    </row>
    <row r="13" spans="2:51" ht="12.75">
      <c r="B13" s="102">
        <v>2009</v>
      </c>
      <c r="C13" s="111">
        <v>9.685714285714285</v>
      </c>
      <c r="D13" s="112">
        <v>7.142857142857144</v>
      </c>
      <c r="E13" s="105">
        <f t="shared" si="0"/>
        <v>2.542857142857141</v>
      </c>
      <c r="F13" s="106">
        <f t="shared" si="1"/>
        <v>2209004.445914084</v>
      </c>
      <c r="G13" s="107">
        <v>20.042857142857144</v>
      </c>
      <c r="H13" s="108">
        <v>14.642857142857142</v>
      </c>
      <c r="I13" s="109">
        <f t="shared" si="2"/>
        <v>5.400000000000002</v>
      </c>
      <c r="J13" s="106">
        <f t="shared" si="3"/>
        <v>2527339.126326311</v>
      </c>
      <c r="M13" s="145">
        <v>2008</v>
      </c>
      <c r="N13" s="207">
        <v>3.8</v>
      </c>
      <c r="O13" s="94">
        <v>4.9</v>
      </c>
      <c r="P13" s="94">
        <v>14.2</v>
      </c>
      <c r="Q13" s="94">
        <v>5</v>
      </c>
      <c r="R13" s="94">
        <v>8.4</v>
      </c>
      <c r="S13" s="94">
        <v>12.7</v>
      </c>
      <c r="T13" s="94">
        <v>18.8</v>
      </c>
      <c r="U13" s="208">
        <f t="shared" si="4"/>
        <v>9.685714285714285</v>
      </c>
      <c r="W13" s="145">
        <v>2008</v>
      </c>
      <c r="X13" s="94">
        <v>2.6</v>
      </c>
      <c r="Y13" s="94">
        <v>3.3</v>
      </c>
      <c r="Z13" s="94">
        <v>12.2</v>
      </c>
      <c r="AA13" s="94">
        <v>3.5</v>
      </c>
      <c r="AB13" s="94">
        <v>5.6</v>
      </c>
      <c r="AC13" s="94">
        <v>9.2</v>
      </c>
      <c r="AD13" s="94">
        <v>13.6</v>
      </c>
      <c r="AE13" s="208">
        <f t="shared" si="5"/>
        <v>7.142857142857144</v>
      </c>
      <c r="AG13" s="145">
        <v>2008</v>
      </c>
      <c r="AH13" s="94">
        <v>7.9</v>
      </c>
      <c r="AI13" s="94">
        <v>10.2</v>
      </c>
      <c r="AJ13" s="94">
        <v>29.4</v>
      </c>
      <c r="AK13" s="94">
        <v>10.4</v>
      </c>
      <c r="AL13" s="94">
        <v>17.3</v>
      </c>
      <c r="AM13" s="94">
        <v>26.2</v>
      </c>
      <c r="AN13" s="94">
        <v>38.9</v>
      </c>
      <c r="AO13" s="208">
        <f t="shared" si="6"/>
        <v>20.042857142857144</v>
      </c>
      <c r="AQ13" s="145">
        <v>2008</v>
      </c>
      <c r="AR13" s="94">
        <v>5.3</v>
      </c>
      <c r="AS13" s="94">
        <v>6.8</v>
      </c>
      <c r="AT13" s="94">
        <v>25</v>
      </c>
      <c r="AU13" s="94">
        <v>7.2</v>
      </c>
      <c r="AV13" s="94">
        <v>11.4</v>
      </c>
      <c r="AW13" s="94">
        <v>18.9</v>
      </c>
      <c r="AX13" s="94">
        <v>27.9</v>
      </c>
      <c r="AY13" s="208">
        <f t="shared" si="7"/>
        <v>14.642857142857142</v>
      </c>
    </row>
    <row r="14" spans="2:51" ht="12.75">
      <c r="B14" s="102">
        <v>2010</v>
      </c>
      <c r="C14" s="111">
        <v>10.37142857142857</v>
      </c>
      <c r="D14" s="112">
        <v>7.142857142857144</v>
      </c>
      <c r="E14" s="105">
        <f t="shared" si="0"/>
        <v>3.228571428571426</v>
      </c>
      <c r="F14" s="106">
        <f t="shared" si="1"/>
        <v>2953339.6630884376</v>
      </c>
      <c r="G14" s="107">
        <v>20.285714285714285</v>
      </c>
      <c r="H14" s="108">
        <v>14.642857142857142</v>
      </c>
      <c r="I14" s="109">
        <f t="shared" si="2"/>
        <v>5.642857142857142</v>
      </c>
      <c r="J14" s="106">
        <f t="shared" si="3"/>
        <v>2780975.6600754857</v>
      </c>
      <c r="M14" s="145">
        <v>2009</v>
      </c>
      <c r="N14" s="207">
        <v>4.2</v>
      </c>
      <c r="O14" s="94">
        <v>5.4</v>
      </c>
      <c r="P14" s="94">
        <v>15</v>
      </c>
      <c r="Q14" s="94">
        <v>5.4</v>
      </c>
      <c r="R14" s="94">
        <v>9</v>
      </c>
      <c r="S14" s="94">
        <v>13.5</v>
      </c>
      <c r="T14" s="94">
        <v>20.1</v>
      </c>
      <c r="U14" s="208">
        <f t="shared" si="4"/>
        <v>10.37142857142857</v>
      </c>
      <c r="W14" s="145">
        <v>2009</v>
      </c>
      <c r="X14" s="94">
        <v>2.6</v>
      </c>
      <c r="Y14" s="94">
        <v>3.3</v>
      </c>
      <c r="Z14" s="94">
        <v>12.2</v>
      </c>
      <c r="AA14" s="94">
        <v>3.5</v>
      </c>
      <c r="AB14" s="94">
        <v>5.6</v>
      </c>
      <c r="AC14" s="94">
        <v>9.2</v>
      </c>
      <c r="AD14" s="94">
        <v>13.6</v>
      </c>
      <c r="AE14" s="208">
        <f t="shared" si="5"/>
        <v>7.142857142857144</v>
      </c>
      <c r="AG14" s="145">
        <v>2009</v>
      </c>
      <c r="AH14" s="94">
        <v>8</v>
      </c>
      <c r="AI14" s="94">
        <v>10.4</v>
      </c>
      <c r="AJ14" s="94">
        <v>29.6</v>
      </c>
      <c r="AK14" s="94">
        <v>10.5</v>
      </c>
      <c r="AL14" s="94">
        <v>17.6</v>
      </c>
      <c r="AM14" s="94">
        <v>26.5</v>
      </c>
      <c r="AN14" s="94">
        <v>39.4</v>
      </c>
      <c r="AO14" s="208">
        <f t="shared" si="6"/>
        <v>20.285714285714285</v>
      </c>
      <c r="AQ14" s="145">
        <v>2009</v>
      </c>
      <c r="AR14" s="94">
        <v>5.3</v>
      </c>
      <c r="AS14" s="94">
        <v>6.8</v>
      </c>
      <c r="AT14" s="94">
        <v>25</v>
      </c>
      <c r="AU14" s="94">
        <v>7.2</v>
      </c>
      <c r="AV14" s="94">
        <v>11.4</v>
      </c>
      <c r="AW14" s="94">
        <v>18.9</v>
      </c>
      <c r="AX14" s="94">
        <v>27.9</v>
      </c>
      <c r="AY14" s="208">
        <f t="shared" si="7"/>
        <v>14.642857142857142</v>
      </c>
    </row>
    <row r="15" spans="2:51" ht="12.75">
      <c r="B15" s="102">
        <v>2011</v>
      </c>
      <c r="C15" s="111">
        <v>11.185714285714285</v>
      </c>
      <c r="D15" s="112">
        <v>7.142857142857144</v>
      </c>
      <c r="E15" s="105">
        <f t="shared" si="0"/>
        <v>4.042857142857141</v>
      </c>
      <c r="F15" s="106">
        <f t="shared" si="1"/>
        <v>3894213.5675251833</v>
      </c>
      <c r="G15" s="107">
        <v>20.557142857142853</v>
      </c>
      <c r="H15" s="108">
        <v>14.642857142857142</v>
      </c>
      <c r="I15" s="109">
        <f t="shared" si="2"/>
        <v>5.914285714285711</v>
      </c>
      <c r="J15" s="106">
        <f t="shared" si="3"/>
        <v>3069225.5473534856</v>
      </c>
      <c r="M15" s="145">
        <v>2010</v>
      </c>
      <c r="N15" s="207">
        <v>4.7</v>
      </c>
      <c r="O15" s="94">
        <v>6.1</v>
      </c>
      <c r="P15" s="94">
        <v>15.9</v>
      </c>
      <c r="Q15" s="94">
        <v>5.8</v>
      </c>
      <c r="R15" s="94">
        <v>9.8</v>
      </c>
      <c r="S15" s="94">
        <v>14.4</v>
      </c>
      <c r="T15" s="94">
        <v>21.6</v>
      </c>
      <c r="U15" s="208">
        <f t="shared" si="4"/>
        <v>11.185714285714285</v>
      </c>
      <c r="W15" s="145">
        <v>2010</v>
      </c>
      <c r="X15" s="94">
        <v>2.6</v>
      </c>
      <c r="Y15" s="94">
        <v>3.3</v>
      </c>
      <c r="Z15" s="94">
        <v>12.2</v>
      </c>
      <c r="AA15" s="94">
        <v>3.5</v>
      </c>
      <c r="AB15" s="94">
        <v>5.6</v>
      </c>
      <c r="AC15" s="94">
        <v>9.2</v>
      </c>
      <c r="AD15" s="94">
        <v>13.6</v>
      </c>
      <c r="AE15" s="208">
        <f t="shared" si="5"/>
        <v>7.142857142857144</v>
      </c>
      <c r="AG15" s="145">
        <v>2010</v>
      </c>
      <c r="AH15" s="94">
        <v>8.2</v>
      </c>
      <c r="AI15" s="94">
        <v>10.6</v>
      </c>
      <c r="AJ15" s="94">
        <v>29.9</v>
      </c>
      <c r="AK15" s="94">
        <v>10.7</v>
      </c>
      <c r="AL15" s="94">
        <v>17.8</v>
      </c>
      <c r="AM15" s="94">
        <v>26.8</v>
      </c>
      <c r="AN15" s="94">
        <v>39.9</v>
      </c>
      <c r="AO15" s="208">
        <f t="shared" si="6"/>
        <v>20.557142857142853</v>
      </c>
      <c r="AQ15" s="145">
        <v>2010</v>
      </c>
      <c r="AR15" s="94">
        <v>5.3</v>
      </c>
      <c r="AS15" s="94">
        <v>6.8</v>
      </c>
      <c r="AT15" s="94">
        <v>25</v>
      </c>
      <c r="AU15" s="94">
        <v>7.2</v>
      </c>
      <c r="AV15" s="94">
        <v>11.4</v>
      </c>
      <c r="AW15" s="94">
        <v>18.9</v>
      </c>
      <c r="AX15" s="94">
        <v>27.9</v>
      </c>
      <c r="AY15" s="208">
        <f t="shared" si="7"/>
        <v>14.642857142857142</v>
      </c>
    </row>
    <row r="16" spans="2:51" ht="12.75">
      <c r="B16" s="102">
        <v>2012</v>
      </c>
      <c r="C16" s="111">
        <v>11.585714285714285</v>
      </c>
      <c r="D16" s="112">
        <v>7.142857142857144</v>
      </c>
      <c r="E16" s="105">
        <f t="shared" si="0"/>
        <v>4.442857142857141</v>
      </c>
      <c r="F16" s="106">
        <f t="shared" si="1"/>
        <v>4506320.642169079</v>
      </c>
      <c r="G16" s="107">
        <v>20.857142857142858</v>
      </c>
      <c r="H16" s="108">
        <v>14.657142857142857</v>
      </c>
      <c r="I16" s="109">
        <f t="shared" si="2"/>
        <v>6.200000000000001</v>
      </c>
      <c r="J16" s="106">
        <f t="shared" si="3"/>
        <v>3388024.6705112047</v>
      </c>
      <c r="M16" s="145">
        <v>2011</v>
      </c>
      <c r="N16" s="207">
        <v>4.9</v>
      </c>
      <c r="O16" s="94">
        <v>6.4</v>
      </c>
      <c r="P16" s="94">
        <v>16.4</v>
      </c>
      <c r="Q16" s="94">
        <v>6</v>
      </c>
      <c r="R16" s="94">
        <v>10.1</v>
      </c>
      <c r="S16" s="94">
        <v>14.9</v>
      </c>
      <c r="T16" s="94">
        <v>22.4</v>
      </c>
      <c r="U16" s="208">
        <f t="shared" si="4"/>
        <v>11.585714285714285</v>
      </c>
      <c r="W16" s="145">
        <v>2011</v>
      </c>
      <c r="X16" s="94">
        <v>2.6</v>
      </c>
      <c r="Y16" s="94">
        <v>3.3</v>
      </c>
      <c r="Z16" s="94">
        <v>12.2</v>
      </c>
      <c r="AA16" s="94">
        <v>3.5</v>
      </c>
      <c r="AB16" s="94">
        <v>5.6</v>
      </c>
      <c r="AC16" s="94">
        <v>9.2</v>
      </c>
      <c r="AD16" s="94">
        <v>13.6</v>
      </c>
      <c r="AE16" s="208">
        <f t="shared" si="5"/>
        <v>7.142857142857144</v>
      </c>
      <c r="AG16" s="145">
        <v>2011</v>
      </c>
      <c r="AH16" s="94">
        <v>8.4</v>
      </c>
      <c r="AI16" s="94">
        <v>10.8</v>
      </c>
      <c r="AJ16" s="94">
        <v>30.2</v>
      </c>
      <c r="AK16" s="94">
        <v>10.8</v>
      </c>
      <c r="AL16" s="94">
        <v>18.1</v>
      </c>
      <c r="AM16" s="94">
        <v>27.2</v>
      </c>
      <c r="AN16" s="94">
        <v>40.5</v>
      </c>
      <c r="AO16" s="208">
        <f t="shared" si="6"/>
        <v>20.857142857142858</v>
      </c>
      <c r="AQ16" s="145">
        <v>2011</v>
      </c>
      <c r="AR16" s="94">
        <v>5.3</v>
      </c>
      <c r="AS16" s="94">
        <v>6.8</v>
      </c>
      <c r="AT16" s="94">
        <v>25</v>
      </c>
      <c r="AU16" s="94">
        <v>7.2</v>
      </c>
      <c r="AV16" s="94">
        <v>11.4</v>
      </c>
      <c r="AW16" s="94">
        <v>18.9</v>
      </c>
      <c r="AX16" s="94">
        <v>28</v>
      </c>
      <c r="AY16" s="208">
        <f t="shared" si="7"/>
        <v>14.657142857142857</v>
      </c>
    </row>
    <row r="17" spans="2:51" ht="12.75">
      <c r="B17" s="102">
        <v>2013</v>
      </c>
      <c r="C17" s="111">
        <v>11.585714285714285</v>
      </c>
      <c r="D17" s="112">
        <v>7.142857142857144</v>
      </c>
      <c r="E17" s="105">
        <f t="shared" si="0"/>
        <v>4.442857142857141</v>
      </c>
      <c r="F17" s="106">
        <f t="shared" si="1"/>
        <v>4745155.636204042</v>
      </c>
      <c r="G17" s="107">
        <v>21.2</v>
      </c>
      <c r="H17" s="108">
        <v>14.671428571428573</v>
      </c>
      <c r="I17" s="109">
        <f t="shared" si="2"/>
        <v>6.528571428571427</v>
      </c>
      <c r="J17" s="106">
        <f t="shared" si="3"/>
        <v>3756655.806378046</v>
      </c>
      <c r="M17" s="145">
        <v>2012</v>
      </c>
      <c r="N17" s="207">
        <v>4.9</v>
      </c>
      <c r="O17" s="94">
        <v>6.4</v>
      </c>
      <c r="P17" s="94">
        <v>16.4</v>
      </c>
      <c r="Q17" s="94">
        <v>6</v>
      </c>
      <c r="R17" s="94">
        <v>10.1</v>
      </c>
      <c r="S17" s="94">
        <v>14.9</v>
      </c>
      <c r="T17" s="94">
        <v>22.4</v>
      </c>
      <c r="U17" s="208">
        <f t="shared" si="4"/>
        <v>11.585714285714285</v>
      </c>
      <c r="W17" s="145">
        <v>2012</v>
      </c>
      <c r="X17" s="94">
        <v>2.6</v>
      </c>
      <c r="Y17" s="94">
        <v>3.3</v>
      </c>
      <c r="Z17" s="94">
        <v>12.2</v>
      </c>
      <c r="AA17" s="94">
        <v>3.5</v>
      </c>
      <c r="AB17" s="94">
        <v>5.6</v>
      </c>
      <c r="AC17" s="94">
        <v>9.2</v>
      </c>
      <c r="AD17" s="94">
        <v>13.6</v>
      </c>
      <c r="AE17" s="208">
        <f t="shared" si="5"/>
        <v>7.142857142857144</v>
      </c>
      <c r="AG17" s="145">
        <v>2012</v>
      </c>
      <c r="AH17" s="94">
        <v>8.6</v>
      </c>
      <c r="AI17" s="94">
        <v>11.1</v>
      </c>
      <c r="AJ17" s="94">
        <v>30.6</v>
      </c>
      <c r="AK17" s="94">
        <v>11</v>
      </c>
      <c r="AL17" s="94">
        <v>18.4</v>
      </c>
      <c r="AM17" s="94">
        <v>27.6</v>
      </c>
      <c r="AN17" s="94">
        <v>41.1</v>
      </c>
      <c r="AO17" s="208">
        <f t="shared" si="6"/>
        <v>21.199999999999996</v>
      </c>
      <c r="AQ17" s="145">
        <v>2012</v>
      </c>
      <c r="AR17" s="94">
        <v>5.3</v>
      </c>
      <c r="AS17" s="94">
        <v>6.8</v>
      </c>
      <c r="AT17" s="94">
        <v>25</v>
      </c>
      <c r="AU17" s="94">
        <v>7.2</v>
      </c>
      <c r="AV17" s="94">
        <v>11.4</v>
      </c>
      <c r="AW17" s="94">
        <v>19</v>
      </c>
      <c r="AX17" s="94">
        <v>28</v>
      </c>
      <c r="AY17" s="208">
        <f t="shared" si="7"/>
        <v>14.671428571428573</v>
      </c>
    </row>
    <row r="18" spans="2:51" ht="12.75">
      <c r="B18" s="102">
        <v>2014</v>
      </c>
      <c r="C18" s="111">
        <v>11.585714285714285</v>
      </c>
      <c r="D18" s="112">
        <v>7.142857142857144</v>
      </c>
      <c r="E18" s="105">
        <f t="shared" si="0"/>
        <v>4.442857142857141</v>
      </c>
      <c r="F18" s="106">
        <f t="shared" si="1"/>
        <v>4996648.884922856</v>
      </c>
      <c r="G18" s="107">
        <v>21.514285714285716</v>
      </c>
      <c r="H18" s="108">
        <v>14.671428571428573</v>
      </c>
      <c r="I18" s="109">
        <f t="shared" si="2"/>
        <v>6.842857142857143</v>
      </c>
      <c r="J18" s="106">
        <f t="shared" si="3"/>
        <v>4146188.954511167</v>
      </c>
      <c r="M18" s="145">
        <v>2013</v>
      </c>
      <c r="N18" s="207">
        <v>4.9</v>
      </c>
      <c r="O18" s="94">
        <v>6.4</v>
      </c>
      <c r="P18" s="94">
        <v>16.4</v>
      </c>
      <c r="Q18" s="94">
        <v>6</v>
      </c>
      <c r="R18" s="94">
        <v>10.1</v>
      </c>
      <c r="S18" s="94">
        <v>14.9</v>
      </c>
      <c r="T18" s="94">
        <v>22.4</v>
      </c>
      <c r="U18" s="208">
        <f t="shared" si="4"/>
        <v>11.585714285714285</v>
      </c>
      <c r="W18" s="145">
        <v>2013</v>
      </c>
      <c r="X18" s="94">
        <v>2.6</v>
      </c>
      <c r="Y18" s="94">
        <v>3.3</v>
      </c>
      <c r="Z18" s="94">
        <v>12.2</v>
      </c>
      <c r="AA18" s="94">
        <v>3.5</v>
      </c>
      <c r="AB18" s="94">
        <v>5.6</v>
      </c>
      <c r="AC18" s="94">
        <v>9.2</v>
      </c>
      <c r="AD18" s="94">
        <v>13.6</v>
      </c>
      <c r="AE18" s="208">
        <f t="shared" si="5"/>
        <v>7.142857142857144</v>
      </c>
      <c r="AG18" s="145">
        <v>2013</v>
      </c>
      <c r="AH18" s="94">
        <v>8.8</v>
      </c>
      <c r="AI18" s="94">
        <v>11.3</v>
      </c>
      <c r="AJ18" s="94">
        <v>31</v>
      </c>
      <c r="AK18" s="94">
        <v>11.2</v>
      </c>
      <c r="AL18" s="94">
        <v>18.7</v>
      </c>
      <c r="AM18" s="94">
        <v>27.9</v>
      </c>
      <c r="AN18" s="94">
        <v>41.7</v>
      </c>
      <c r="AO18" s="208">
        <f t="shared" si="6"/>
        <v>21.514285714285716</v>
      </c>
      <c r="AQ18" s="145">
        <v>2013</v>
      </c>
      <c r="AR18" s="94">
        <v>5.3</v>
      </c>
      <c r="AS18" s="94">
        <v>6.8</v>
      </c>
      <c r="AT18" s="94">
        <v>25</v>
      </c>
      <c r="AU18" s="94">
        <v>7.2</v>
      </c>
      <c r="AV18" s="94">
        <v>11.4</v>
      </c>
      <c r="AW18" s="94">
        <v>19</v>
      </c>
      <c r="AX18" s="94">
        <v>28</v>
      </c>
      <c r="AY18" s="208">
        <f t="shared" si="7"/>
        <v>14.671428571428573</v>
      </c>
    </row>
    <row r="19" spans="2:51" ht="12.75">
      <c r="B19" s="102">
        <v>2015</v>
      </c>
      <c r="C19" s="111">
        <v>11.585714285714285</v>
      </c>
      <c r="D19" s="112">
        <v>7.142857142857144</v>
      </c>
      <c r="E19" s="105">
        <f t="shared" si="0"/>
        <v>4.442857142857141</v>
      </c>
      <c r="F19" s="106">
        <f t="shared" si="1"/>
        <v>5261471.275823767</v>
      </c>
      <c r="G19" s="107">
        <v>21.87142857142857</v>
      </c>
      <c r="H19" s="108">
        <v>14.671428571428573</v>
      </c>
      <c r="I19" s="109">
        <f t="shared" si="2"/>
        <v>7.1999999999999975</v>
      </c>
      <c r="J19" s="106">
        <f t="shared" si="3"/>
        <v>4593804.243061649</v>
      </c>
      <c r="M19" s="145">
        <v>2014</v>
      </c>
      <c r="N19" s="207">
        <v>4.9</v>
      </c>
      <c r="O19" s="94">
        <v>6.4</v>
      </c>
      <c r="P19" s="94">
        <v>16.4</v>
      </c>
      <c r="Q19" s="94">
        <v>6</v>
      </c>
      <c r="R19" s="94">
        <v>10.1</v>
      </c>
      <c r="S19" s="94">
        <v>14.9</v>
      </c>
      <c r="T19" s="94">
        <v>22.4</v>
      </c>
      <c r="U19" s="208">
        <f t="shared" si="4"/>
        <v>11.585714285714285</v>
      </c>
      <c r="W19" s="145">
        <v>2014</v>
      </c>
      <c r="X19" s="94">
        <v>2.6</v>
      </c>
      <c r="Y19" s="94">
        <v>3.3</v>
      </c>
      <c r="Z19" s="94">
        <v>12.2</v>
      </c>
      <c r="AA19" s="94">
        <v>3.5</v>
      </c>
      <c r="AB19" s="94">
        <v>5.6</v>
      </c>
      <c r="AC19" s="94">
        <v>9.2</v>
      </c>
      <c r="AD19" s="94">
        <v>13.6</v>
      </c>
      <c r="AE19" s="208">
        <f t="shared" si="5"/>
        <v>7.142857142857144</v>
      </c>
      <c r="AG19" s="145">
        <v>2014</v>
      </c>
      <c r="AH19" s="94">
        <v>9</v>
      </c>
      <c r="AI19" s="94">
        <v>11.6</v>
      </c>
      <c r="AJ19" s="94">
        <v>31.4</v>
      </c>
      <c r="AK19" s="94">
        <v>11.3</v>
      </c>
      <c r="AL19" s="94">
        <v>19.1</v>
      </c>
      <c r="AM19" s="94">
        <v>28.3</v>
      </c>
      <c r="AN19" s="94">
        <v>42.4</v>
      </c>
      <c r="AO19" s="208">
        <f t="shared" si="6"/>
        <v>21.87142857142857</v>
      </c>
      <c r="AQ19" s="145">
        <v>2014</v>
      </c>
      <c r="AR19" s="94">
        <v>5.3</v>
      </c>
      <c r="AS19" s="94">
        <v>6.8</v>
      </c>
      <c r="AT19" s="94">
        <v>25</v>
      </c>
      <c r="AU19" s="94">
        <v>7.2</v>
      </c>
      <c r="AV19" s="94">
        <v>11.4</v>
      </c>
      <c r="AW19" s="94">
        <v>19</v>
      </c>
      <c r="AX19" s="94">
        <v>28</v>
      </c>
      <c r="AY19" s="208">
        <f t="shared" si="7"/>
        <v>14.671428571428573</v>
      </c>
    </row>
    <row r="20" spans="2:51" ht="12.75">
      <c r="B20" s="102">
        <v>2016</v>
      </c>
      <c r="C20" s="111">
        <v>11.585714285714285</v>
      </c>
      <c r="D20" s="112">
        <v>7.1571428571428575</v>
      </c>
      <c r="E20" s="105">
        <f t="shared" si="0"/>
        <v>4.428571428571428</v>
      </c>
      <c r="F20" s="106">
        <f t="shared" si="1"/>
        <v>5522514.689926536</v>
      </c>
      <c r="G20" s="107">
        <v>22.22857142857143</v>
      </c>
      <c r="H20" s="108">
        <v>14.671428571428573</v>
      </c>
      <c r="I20" s="109">
        <f t="shared" si="2"/>
        <v>7.557142857142859</v>
      </c>
      <c r="J20" s="106">
        <f t="shared" si="3"/>
        <v>5077220.107425263</v>
      </c>
      <c r="M20" s="145">
        <v>2015</v>
      </c>
      <c r="N20" s="207">
        <v>4.9</v>
      </c>
      <c r="O20" s="94">
        <v>6.4</v>
      </c>
      <c r="P20" s="94">
        <v>16.4</v>
      </c>
      <c r="Q20" s="94">
        <v>6</v>
      </c>
      <c r="R20" s="94">
        <v>10.1</v>
      </c>
      <c r="S20" s="94">
        <v>14.9</v>
      </c>
      <c r="T20" s="94">
        <v>22.4</v>
      </c>
      <c r="U20" s="208">
        <f t="shared" si="4"/>
        <v>11.585714285714285</v>
      </c>
      <c r="W20" s="145">
        <v>2015</v>
      </c>
      <c r="X20" s="94">
        <v>2.6</v>
      </c>
      <c r="Y20" s="94">
        <v>3.3</v>
      </c>
      <c r="Z20" s="94">
        <v>12.2</v>
      </c>
      <c r="AA20" s="94">
        <v>3.5</v>
      </c>
      <c r="AB20" s="94">
        <v>5.6</v>
      </c>
      <c r="AC20" s="94">
        <v>9.3</v>
      </c>
      <c r="AD20" s="94">
        <v>13.6</v>
      </c>
      <c r="AE20" s="208">
        <f t="shared" si="5"/>
        <v>7.1571428571428575</v>
      </c>
      <c r="AG20" s="145">
        <v>2015</v>
      </c>
      <c r="AH20" s="94">
        <v>9.2</v>
      </c>
      <c r="AI20" s="94">
        <v>11.9</v>
      </c>
      <c r="AJ20" s="94">
        <v>31.8</v>
      </c>
      <c r="AK20" s="94">
        <v>11.5</v>
      </c>
      <c r="AL20" s="94">
        <v>19.4</v>
      </c>
      <c r="AM20" s="94">
        <v>28.8</v>
      </c>
      <c r="AN20" s="94">
        <v>43</v>
      </c>
      <c r="AO20" s="208">
        <f t="shared" si="6"/>
        <v>22.22857142857143</v>
      </c>
      <c r="AQ20" s="145">
        <v>2015</v>
      </c>
      <c r="AR20" s="94">
        <v>5.3</v>
      </c>
      <c r="AS20" s="94">
        <v>6.8</v>
      </c>
      <c r="AT20" s="94">
        <v>25</v>
      </c>
      <c r="AU20" s="94">
        <v>7.2</v>
      </c>
      <c r="AV20" s="94">
        <v>11.4</v>
      </c>
      <c r="AW20" s="94">
        <v>19</v>
      </c>
      <c r="AX20" s="94">
        <v>28</v>
      </c>
      <c r="AY20" s="208">
        <f t="shared" si="7"/>
        <v>14.671428571428573</v>
      </c>
    </row>
    <row r="21" spans="2:51" ht="12.75">
      <c r="B21" s="102">
        <v>2017</v>
      </c>
      <c r="C21" s="111">
        <v>11.585714285714285</v>
      </c>
      <c r="D21" s="112">
        <v>7.1571428571428575</v>
      </c>
      <c r="E21" s="105">
        <f t="shared" si="0"/>
        <v>4.428571428571428</v>
      </c>
      <c r="F21" s="106">
        <f t="shared" si="1"/>
        <v>5815207.968492641</v>
      </c>
      <c r="G21" s="107">
        <v>22.6</v>
      </c>
      <c r="H21" s="108">
        <v>14.671428571428573</v>
      </c>
      <c r="I21" s="109">
        <f t="shared" si="2"/>
        <v>7.928571428571429</v>
      </c>
      <c r="J21" s="106">
        <f t="shared" si="3"/>
        <v>5609080.5086596105</v>
      </c>
      <c r="M21" s="145">
        <v>2016</v>
      </c>
      <c r="N21" s="207">
        <v>4.9</v>
      </c>
      <c r="O21" s="94">
        <v>6.4</v>
      </c>
      <c r="P21" s="94">
        <v>16.4</v>
      </c>
      <c r="Q21" s="94">
        <v>6</v>
      </c>
      <c r="R21" s="94">
        <v>10.1</v>
      </c>
      <c r="S21" s="94">
        <v>14.9</v>
      </c>
      <c r="T21" s="94">
        <v>22.4</v>
      </c>
      <c r="U21" s="208">
        <f t="shared" si="4"/>
        <v>11.585714285714285</v>
      </c>
      <c r="W21" s="145">
        <v>2016</v>
      </c>
      <c r="X21" s="94">
        <v>2.6</v>
      </c>
      <c r="Y21" s="94">
        <v>3.3</v>
      </c>
      <c r="Z21" s="94">
        <v>12.2</v>
      </c>
      <c r="AA21" s="94">
        <v>3.5</v>
      </c>
      <c r="AB21" s="94">
        <v>5.6</v>
      </c>
      <c r="AC21" s="94">
        <v>9.3</v>
      </c>
      <c r="AD21" s="94">
        <v>13.6</v>
      </c>
      <c r="AE21" s="208">
        <f t="shared" si="5"/>
        <v>7.1571428571428575</v>
      </c>
      <c r="AG21" s="145">
        <v>2016</v>
      </c>
      <c r="AH21" s="94">
        <v>9.4</v>
      </c>
      <c r="AI21" s="94">
        <v>12.2</v>
      </c>
      <c r="AJ21" s="94">
        <v>32.2</v>
      </c>
      <c r="AK21" s="94">
        <v>11.7</v>
      </c>
      <c r="AL21" s="94">
        <v>19.7</v>
      </c>
      <c r="AM21" s="94">
        <v>29.2</v>
      </c>
      <c r="AN21" s="94">
        <v>43.8</v>
      </c>
      <c r="AO21" s="208">
        <f t="shared" si="6"/>
        <v>22.599999999999998</v>
      </c>
      <c r="AQ21" s="145">
        <v>2016</v>
      </c>
      <c r="AR21" s="94">
        <v>5.3</v>
      </c>
      <c r="AS21" s="94">
        <v>6.8</v>
      </c>
      <c r="AT21" s="94">
        <v>25</v>
      </c>
      <c r="AU21" s="94">
        <v>7.2</v>
      </c>
      <c r="AV21" s="94">
        <v>11.4</v>
      </c>
      <c r="AW21" s="94">
        <v>19</v>
      </c>
      <c r="AX21" s="94">
        <v>28</v>
      </c>
      <c r="AY21" s="208">
        <f t="shared" si="7"/>
        <v>14.671428571428573</v>
      </c>
    </row>
    <row r="22" spans="2:51" ht="12.75">
      <c r="B22" s="102">
        <v>2018</v>
      </c>
      <c r="C22" s="111">
        <v>11.585714285714285</v>
      </c>
      <c r="D22" s="112">
        <v>7.171428571428572</v>
      </c>
      <c r="E22" s="105">
        <f t="shared" si="0"/>
        <v>4.414285714285714</v>
      </c>
      <c r="F22" s="106">
        <f t="shared" si="1"/>
        <v>6103661.042465259</v>
      </c>
      <c r="G22" s="107">
        <v>23</v>
      </c>
      <c r="H22" s="108">
        <v>14.671428571428573</v>
      </c>
      <c r="I22" s="109">
        <f t="shared" si="2"/>
        <v>8.328571428571427</v>
      </c>
      <c r="J22" s="106">
        <f t="shared" si="3"/>
        <v>6204340.387721848</v>
      </c>
      <c r="M22" s="145">
        <v>2017</v>
      </c>
      <c r="N22" s="207">
        <v>4.9</v>
      </c>
      <c r="O22" s="94">
        <v>6.4</v>
      </c>
      <c r="P22" s="94">
        <v>16.4</v>
      </c>
      <c r="Q22" s="94">
        <v>6</v>
      </c>
      <c r="R22" s="94">
        <v>10.1</v>
      </c>
      <c r="S22" s="94">
        <v>14.9</v>
      </c>
      <c r="T22" s="94">
        <v>22.4</v>
      </c>
      <c r="U22" s="208">
        <f t="shared" si="4"/>
        <v>11.585714285714285</v>
      </c>
      <c r="W22" s="145">
        <v>2017</v>
      </c>
      <c r="X22" s="94">
        <v>2.6</v>
      </c>
      <c r="Y22" s="94">
        <v>3.3</v>
      </c>
      <c r="Z22" s="94">
        <v>12.2</v>
      </c>
      <c r="AA22" s="94">
        <v>3.5</v>
      </c>
      <c r="AB22" s="94">
        <v>5.6</v>
      </c>
      <c r="AC22" s="94">
        <v>9.3</v>
      </c>
      <c r="AD22" s="94">
        <v>13.7</v>
      </c>
      <c r="AE22" s="208">
        <f t="shared" si="5"/>
        <v>7.171428571428572</v>
      </c>
      <c r="AG22" s="145">
        <v>2017</v>
      </c>
      <c r="AH22" s="94">
        <v>9.7</v>
      </c>
      <c r="AI22" s="94">
        <v>12.5</v>
      </c>
      <c r="AJ22" s="94">
        <v>32.7</v>
      </c>
      <c r="AK22" s="94">
        <v>11.9</v>
      </c>
      <c r="AL22" s="94">
        <v>20.1</v>
      </c>
      <c r="AM22" s="94">
        <v>29.6</v>
      </c>
      <c r="AN22" s="94">
        <v>44.5</v>
      </c>
      <c r="AO22" s="208">
        <f t="shared" si="6"/>
        <v>23</v>
      </c>
      <c r="AQ22" s="145">
        <v>2017</v>
      </c>
      <c r="AR22" s="94">
        <v>5.3</v>
      </c>
      <c r="AS22" s="94">
        <v>6.8</v>
      </c>
      <c r="AT22" s="94">
        <v>25</v>
      </c>
      <c r="AU22" s="94">
        <v>7.2</v>
      </c>
      <c r="AV22" s="94">
        <v>11.4</v>
      </c>
      <c r="AW22" s="94">
        <v>19</v>
      </c>
      <c r="AX22" s="94">
        <v>28</v>
      </c>
      <c r="AY22" s="208">
        <f t="shared" si="7"/>
        <v>14.671428571428573</v>
      </c>
    </row>
    <row r="23" spans="2:51" ht="12.75">
      <c r="B23" s="102">
        <v>2019</v>
      </c>
      <c r="C23" s="111">
        <v>11.585714285714285</v>
      </c>
      <c r="D23" s="112">
        <v>7.171428571428572</v>
      </c>
      <c r="E23" s="105">
        <f t="shared" si="0"/>
        <v>4.414285714285714</v>
      </c>
      <c r="F23" s="106">
        <f t="shared" si="1"/>
        <v>6427155.077715918</v>
      </c>
      <c r="G23" s="107">
        <v>23.41428571428571</v>
      </c>
      <c r="H23" s="108">
        <v>14.671428571428573</v>
      </c>
      <c r="I23" s="109">
        <f t="shared" si="2"/>
        <v>8.742857142857138</v>
      </c>
      <c r="J23" s="106">
        <f t="shared" si="3"/>
        <v>6858148.031049601</v>
      </c>
      <c r="M23" s="145">
        <v>2018</v>
      </c>
      <c r="N23" s="207">
        <v>4.9</v>
      </c>
      <c r="O23" s="94">
        <v>6.4</v>
      </c>
      <c r="P23" s="94">
        <v>16.4</v>
      </c>
      <c r="Q23" s="94">
        <v>6</v>
      </c>
      <c r="R23" s="94">
        <v>10.1</v>
      </c>
      <c r="S23" s="94">
        <v>14.9</v>
      </c>
      <c r="T23" s="94">
        <v>22.4</v>
      </c>
      <c r="U23" s="208">
        <f t="shared" si="4"/>
        <v>11.585714285714285</v>
      </c>
      <c r="W23" s="145">
        <v>2018</v>
      </c>
      <c r="X23" s="94">
        <v>2.6</v>
      </c>
      <c r="Y23" s="94">
        <v>3.3</v>
      </c>
      <c r="Z23" s="94">
        <v>12.2</v>
      </c>
      <c r="AA23" s="94">
        <v>3.5</v>
      </c>
      <c r="AB23" s="94">
        <v>5.6</v>
      </c>
      <c r="AC23" s="94">
        <v>9.3</v>
      </c>
      <c r="AD23" s="94">
        <v>13.7</v>
      </c>
      <c r="AE23" s="208">
        <f t="shared" si="5"/>
        <v>7.171428571428572</v>
      </c>
      <c r="AG23" s="145">
        <v>2018</v>
      </c>
      <c r="AH23" s="94">
        <v>9.9</v>
      </c>
      <c r="AI23" s="94">
        <v>12.8</v>
      </c>
      <c r="AJ23" s="94">
        <v>33.2</v>
      </c>
      <c r="AK23" s="94">
        <v>12.1</v>
      </c>
      <c r="AL23" s="94">
        <v>20.5</v>
      </c>
      <c r="AM23" s="94">
        <v>30.1</v>
      </c>
      <c r="AN23" s="94">
        <v>45.3</v>
      </c>
      <c r="AO23" s="208">
        <f t="shared" si="6"/>
        <v>23.41428571428571</v>
      </c>
      <c r="AQ23" s="145">
        <v>2018</v>
      </c>
      <c r="AR23" s="94">
        <v>5.3</v>
      </c>
      <c r="AS23" s="94">
        <v>6.8</v>
      </c>
      <c r="AT23" s="94">
        <v>25</v>
      </c>
      <c r="AU23" s="94">
        <v>7.2</v>
      </c>
      <c r="AV23" s="94">
        <v>11.4</v>
      </c>
      <c r="AW23" s="94">
        <v>19</v>
      </c>
      <c r="AX23" s="94">
        <v>28</v>
      </c>
      <c r="AY23" s="208">
        <f t="shared" si="7"/>
        <v>14.671428571428573</v>
      </c>
    </row>
    <row r="24" spans="2:51" ht="12.75">
      <c r="B24" s="102">
        <v>2020</v>
      </c>
      <c r="C24" s="111">
        <v>11.585714285714285</v>
      </c>
      <c r="D24" s="112">
        <v>7.171428571428572</v>
      </c>
      <c r="E24" s="105">
        <f t="shared" si="0"/>
        <v>4.414285714285714</v>
      </c>
      <c r="F24" s="106">
        <f t="shared" si="1"/>
        <v>6767794.296834861</v>
      </c>
      <c r="G24" s="107">
        <v>23.757142857142856</v>
      </c>
      <c r="H24" s="108">
        <v>14.728571428571428</v>
      </c>
      <c r="I24" s="109">
        <f t="shared" si="2"/>
        <v>9.028571428571428</v>
      </c>
      <c r="J24" s="106">
        <f t="shared" si="3"/>
        <v>7457630.853057819</v>
      </c>
      <c r="M24" s="145">
        <v>2019</v>
      </c>
      <c r="N24" s="207">
        <v>4.9</v>
      </c>
      <c r="O24" s="94">
        <v>6.4</v>
      </c>
      <c r="P24" s="94">
        <v>16.4</v>
      </c>
      <c r="Q24" s="94">
        <v>6</v>
      </c>
      <c r="R24" s="94">
        <v>10.1</v>
      </c>
      <c r="S24" s="94">
        <v>14.9</v>
      </c>
      <c r="T24" s="94">
        <v>22.4</v>
      </c>
      <c r="U24" s="208">
        <f t="shared" si="4"/>
        <v>11.585714285714285</v>
      </c>
      <c r="W24" s="145">
        <v>2019</v>
      </c>
      <c r="X24" s="94">
        <v>2.6</v>
      </c>
      <c r="Y24" s="94">
        <v>3.3</v>
      </c>
      <c r="Z24" s="94">
        <v>12.2</v>
      </c>
      <c r="AA24" s="94">
        <v>3.5</v>
      </c>
      <c r="AB24" s="94">
        <v>5.6</v>
      </c>
      <c r="AC24" s="94">
        <v>9.3</v>
      </c>
      <c r="AD24" s="94">
        <v>13.7</v>
      </c>
      <c r="AE24" s="208">
        <f t="shared" si="5"/>
        <v>7.171428571428572</v>
      </c>
      <c r="AG24" s="145">
        <v>2019</v>
      </c>
      <c r="AH24" s="94">
        <v>10.1</v>
      </c>
      <c r="AI24" s="94">
        <v>13.1</v>
      </c>
      <c r="AJ24" s="94">
        <v>33.6</v>
      </c>
      <c r="AK24" s="94">
        <v>12.3</v>
      </c>
      <c r="AL24" s="94">
        <v>20.8</v>
      </c>
      <c r="AM24" s="94">
        <v>30.5</v>
      </c>
      <c r="AN24" s="94">
        <v>45.9</v>
      </c>
      <c r="AO24" s="208">
        <f t="shared" si="6"/>
        <v>23.757142857142856</v>
      </c>
      <c r="AQ24" s="145">
        <v>2019</v>
      </c>
      <c r="AR24" s="94">
        <v>5.3</v>
      </c>
      <c r="AS24" s="94">
        <v>6.8</v>
      </c>
      <c r="AT24" s="94">
        <v>25.1</v>
      </c>
      <c r="AU24" s="94">
        <v>7.2</v>
      </c>
      <c r="AV24" s="94">
        <v>11.5</v>
      </c>
      <c r="AW24" s="94">
        <v>19.1</v>
      </c>
      <c r="AX24" s="94">
        <v>28.1</v>
      </c>
      <c r="AY24" s="208">
        <f t="shared" si="7"/>
        <v>14.728571428571428</v>
      </c>
    </row>
    <row r="25" spans="2:51" ht="12.75">
      <c r="B25" s="102">
        <v>2021</v>
      </c>
      <c r="C25" s="111">
        <v>11.585714285714285</v>
      </c>
      <c r="D25" s="112">
        <v>7.171428571428572</v>
      </c>
      <c r="E25" s="105">
        <f t="shared" si="0"/>
        <v>4.414285714285714</v>
      </c>
      <c r="F25" s="106">
        <f t="shared" si="1"/>
        <v>7126487.394567109</v>
      </c>
      <c r="G25" s="107">
        <v>23.757142857142856</v>
      </c>
      <c r="H25" s="108">
        <v>14.842857142857143</v>
      </c>
      <c r="I25" s="109">
        <f t="shared" si="2"/>
        <v>8.914285714285713</v>
      </c>
      <c r="J25" s="106">
        <f t="shared" si="3"/>
        <v>7753481.67702596</v>
      </c>
      <c r="M25" s="145">
        <v>2020</v>
      </c>
      <c r="N25" s="207">
        <v>4.9</v>
      </c>
      <c r="O25" s="94">
        <v>6.4</v>
      </c>
      <c r="P25" s="94">
        <v>16.4</v>
      </c>
      <c r="Q25" s="94">
        <v>6</v>
      </c>
      <c r="R25" s="94">
        <v>10.1</v>
      </c>
      <c r="S25" s="94">
        <v>14.9</v>
      </c>
      <c r="T25" s="94">
        <v>22.4</v>
      </c>
      <c r="U25" s="208">
        <f t="shared" si="4"/>
        <v>11.585714285714285</v>
      </c>
      <c r="W25" s="145">
        <v>2020</v>
      </c>
      <c r="X25" s="94">
        <v>2.6</v>
      </c>
      <c r="Y25" s="94">
        <v>3.3</v>
      </c>
      <c r="Z25" s="94">
        <v>12.2</v>
      </c>
      <c r="AA25" s="94">
        <v>3.5</v>
      </c>
      <c r="AB25" s="94">
        <v>5.6</v>
      </c>
      <c r="AC25" s="94">
        <v>9.3</v>
      </c>
      <c r="AD25" s="94">
        <v>13.7</v>
      </c>
      <c r="AE25" s="208">
        <f t="shared" si="5"/>
        <v>7.171428571428572</v>
      </c>
      <c r="AG25" s="145">
        <v>2020</v>
      </c>
      <c r="AH25" s="94">
        <v>10.1</v>
      </c>
      <c r="AI25" s="94">
        <v>13.1</v>
      </c>
      <c r="AJ25" s="94">
        <v>33.6</v>
      </c>
      <c r="AK25" s="94">
        <v>12.3</v>
      </c>
      <c r="AL25" s="94">
        <v>20.8</v>
      </c>
      <c r="AM25" s="94">
        <v>30.5</v>
      </c>
      <c r="AN25" s="94">
        <v>45.9</v>
      </c>
      <c r="AO25" s="208">
        <f t="shared" si="6"/>
        <v>23.757142857142856</v>
      </c>
      <c r="AQ25" s="145">
        <v>2020</v>
      </c>
      <c r="AR25" s="94">
        <v>5.3</v>
      </c>
      <c r="AS25" s="94">
        <v>6.9</v>
      </c>
      <c r="AT25" s="94">
        <v>25.1</v>
      </c>
      <c r="AU25" s="94">
        <v>7.3</v>
      </c>
      <c r="AV25" s="94">
        <v>11.6</v>
      </c>
      <c r="AW25" s="94">
        <v>19.3</v>
      </c>
      <c r="AX25" s="94">
        <v>28.4</v>
      </c>
      <c r="AY25" s="208">
        <f t="shared" si="7"/>
        <v>14.842857142857143</v>
      </c>
    </row>
    <row r="26" spans="2:51" ht="12.75">
      <c r="B26" s="102">
        <v>2022</v>
      </c>
      <c r="C26" s="111">
        <v>11.585714285714285</v>
      </c>
      <c r="D26" s="112">
        <v>7.3428571428571425</v>
      </c>
      <c r="E26" s="105">
        <f t="shared" si="0"/>
        <v>4.242857142857143</v>
      </c>
      <c r="F26" s="106">
        <f t="shared" si="1"/>
        <v>7212766.324479976</v>
      </c>
      <c r="G26" s="107">
        <v>23.757142857142856</v>
      </c>
      <c r="H26" s="108">
        <v>15</v>
      </c>
      <c r="I26" s="109">
        <f t="shared" si="2"/>
        <v>8.757142857142856</v>
      </c>
      <c r="J26" s="106">
        <f t="shared" si="3"/>
        <v>8020492.202278543</v>
      </c>
      <c r="M26" s="145">
        <v>2021</v>
      </c>
      <c r="N26" s="207">
        <v>4.9</v>
      </c>
      <c r="O26" s="94">
        <v>6.4</v>
      </c>
      <c r="P26" s="94">
        <v>16.4</v>
      </c>
      <c r="Q26" s="94">
        <v>6</v>
      </c>
      <c r="R26" s="94">
        <v>10.1</v>
      </c>
      <c r="S26" s="94">
        <v>14.9</v>
      </c>
      <c r="T26" s="94">
        <v>22.4</v>
      </c>
      <c r="U26" s="208">
        <f t="shared" si="4"/>
        <v>11.585714285714285</v>
      </c>
      <c r="W26" s="145">
        <v>2021</v>
      </c>
      <c r="X26" s="94">
        <v>2.6</v>
      </c>
      <c r="Y26" s="94">
        <v>3.4</v>
      </c>
      <c r="Z26" s="94">
        <v>12.3</v>
      </c>
      <c r="AA26" s="94">
        <v>3.7</v>
      </c>
      <c r="AB26" s="94">
        <v>5.8</v>
      </c>
      <c r="AC26" s="94">
        <v>9.6</v>
      </c>
      <c r="AD26" s="94">
        <v>14</v>
      </c>
      <c r="AE26" s="208">
        <f t="shared" si="5"/>
        <v>7.3428571428571425</v>
      </c>
      <c r="AG26" s="145">
        <v>2021</v>
      </c>
      <c r="AH26" s="94">
        <v>10.1</v>
      </c>
      <c r="AI26" s="94">
        <v>13.1</v>
      </c>
      <c r="AJ26" s="94">
        <v>33.6</v>
      </c>
      <c r="AK26" s="94">
        <v>12.3</v>
      </c>
      <c r="AL26" s="94">
        <v>20.8</v>
      </c>
      <c r="AM26" s="94">
        <v>30.5</v>
      </c>
      <c r="AN26" s="94">
        <v>45.9</v>
      </c>
      <c r="AO26" s="208">
        <f t="shared" si="6"/>
        <v>23.757142857142856</v>
      </c>
      <c r="AQ26" s="145">
        <v>2021</v>
      </c>
      <c r="AR26" s="94">
        <v>5.3</v>
      </c>
      <c r="AS26" s="94">
        <v>6.9</v>
      </c>
      <c r="AT26" s="94">
        <v>25.2</v>
      </c>
      <c r="AU26" s="94">
        <v>7.5</v>
      </c>
      <c r="AV26" s="94">
        <v>11.9</v>
      </c>
      <c r="AW26" s="94">
        <v>19.5</v>
      </c>
      <c r="AX26" s="94">
        <v>28.7</v>
      </c>
      <c r="AY26" s="208">
        <f t="shared" si="7"/>
        <v>15</v>
      </c>
    </row>
    <row r="27" spans="2:51" ht="12.75">
      <c r="B27" s="102">
        <v>2023</v>
      </c>
      <c r="C27" s="111">
        <v>11.585714285714285</v>
      </c>
      <c r="D27" s="112">
        <v>7.142857142857144</v>
      </c>
      <c r="E27" s="105">
        <f t="shared" si="0"/>
        <v>4.442857142857141</v>
      </c>
      <c r="F27" s="106">
        <f t="shared" si="1"/>
        <v>7953058.431783418</v>
      </c>
      <c r="G27" s="107">
        <v>23.757142857142856</v>
      </c>
      <c r="H27" s="108">
        <v>14.671428571428573</v>
      </c>
      <c r="I27" s="109">
        <f t="shared" si="2"/>
        <v>9.085714285714284</v>
      </c>
      <c r="J27" s="106">
        <f t="shared" si="3"/>
        <v>8762459.69299112</v>
      </c>
      <c r="M27" s="145">
        <v>2022</v>
      </c>
      <c r="N27" s="207">
        <v>4.9</v>
      </c>
      <c r="O27" s="94">
        <v>6.4</v>
      </c>
      <c r="P27" s="94">
        <v>16.4</v>
      </c>
      <c r="Q27" s="94">
        <v>6</v>
      </c>
      <c r="R27" s="94">
        <v>10.1</v>
      </c>
      <c r="S27" s="94">
        <v>14.9</v>
      </c>
      <c r="T27" s="94">
        <v>22.4</v>
      </c>
      <c r="U27" s="208">
        <f t="shared" si="4"/>
        <v>11.585714285714285</v>
      </c>
      <c r="W27" s="145">
        <v>2022</v>
      </c>
      <c r="X27" s="94">
        <v>2.6</v>
      </c>
      <c r="Y27" s="94">
        <v>3.3</v>
      </c>
      <c r="Z27" s="94">
        <v>12.2</v>
      </c>
      <c r="AA27" s="94">
        <v>3.5</v>
      </c>
      <c r="AB27" s="94">
        <v>5.6</v>
      </c>
      <c r="AC27" s="94">
        <v>9.2</v>
      </c>
      <c r="AD27" s="94">
        <v>13.6</v>
      </c>
      <c r="AE27" s="208">
        <f t="shared" si="5"/>
        <v>7.142857142857144</v>
      </c>
      <c r="AG27" s="145">
        <v>2022</v>
      </c>
      <c r="AH27" s="94">
        <v>10.1</v>
      </c>
      <c r="AI27" s="94">
        <v>13.1</v>
      </c>
      <c r="AJ27" s="94">
        <v>33.6</v>
      </c>
      <c r="AK27" s="94">
        <v>12.3</v>
      </c>
      <c r="AL27" s="94">
        <v>20.8</v>
      </c>
      <c r="AM27" s="94">
        <v>30.5</v>
      </c>
      <c r="AN27" s="94">
        <v>45.9</v>
      </c>
      <c r="AO27" s="208">
        <f t="shared" si="6"/>
        <v>23.757142857142856</v>
      </c>
      <c r="AQ27" s="145">
        <v>2022</v>
      </c>
      <c r="AR27" s="94">
        <v>5.3</v>
      </c>
      <c r="AS27" s="94">
        <v>6.8</v>
      </c>
      <c r="AT27" s="94">
        <v>25</v>
      </c>
      <c r="AU27" s="94">
        <v>7.2</v>
      </c>
      <c r="AV27" s="94">
        <v>11.4</v>
      </c>
      <c r="AW27" s="94">
        <v>19</v>
      </c>
      <c r="AX27" s="94">
        <v>28</v>
      </c>
      <c r="AY27" s="208">
        <f t="shared" si="7"/>
        <v>14.671428571428573</v>
      </c>
    </row>
    <row r="28" spans="2:51" ht="12.75">
      <c r="B28" s="102">
        <v>2024</v>
      </c>
      <c r="C28" s="111">
        <v>11.585714285714285</v>
      </c>
      <c r="D28" s="112">
        <v>7.1571428571428575</v>
      </c>
      <c r="E28" s="105">
        <f t="shared" si="0"/>
        <v>4.428571428571428</v>
      </c>
      <c r="F28" s="106">
        <f t="shared" si="1"/>
        <v>8347642.6491545355</v>
      </c>
      <c r="G28" s="107">
        <v>23.757142857142856</v>
      </c>
      <c r="H28" s="108">
        <v>14.671428571428573</v>
      </c>
      <c r="I28" s="109">
        <f t="shared" si="2"/>
        <v>9.085714285714284</v>
      </c>
      <c r="J28" s="106">
        <f t="shared" si="3"/>
        <v>9226870.056719648</v>
      </c>
      <c r="M28" s="145">
        <v>2023</v>
      </c>
      <c r="N28" s="207">
        <v>4.9</v>
      </c>
      <c r="O28" s="94">
        <v>6.4</v>
      </c>
      <c r="P28" s="94">
        <v>16.4</v>
      </c>
      <c r="Q28" s="94">
        <v>6</v>
      </c>
      <c r="R28" s="94">
        <v>10.1</v>
      </c>
      <c r="S28" s="94">
        <v>14.9</v>
      </c>
      <c r="T28" s="94">
        <v>22.4</v>
      </c>
      <c r="U28" s="208">
        <f t="shared" si="4"/>
        <v>11.585714285714285</v>
      </c>
      <c r="W28" s="145">
        <v>2023</v>
      </c>
      <c r="X28" s="94">
        <v>2.6</v>
      </c>
      <c r="Y28" s="94">
        <v>3.3</v>
      </c>
      <c r="Z28" s="94">
        <v>12.2</v>
      </c>
      <c r="AA28" s="94">
        <v>3.5</v>
      </c>
      <c r="AB28" s="94">
        <v>5.6</v>
      </c>
      <c r="AC28" s="94">
        <v>9.3</v>
      </c>
      <c r="AD28" s="94">
        <v>13.6</v>
      </c>
      <c r="AE28" s="208">
        <f t="shared" si="5"/>
        <v>7.1571428571428575</v>
      </c>
      <c r="AG28" s="145">
        <v>2023</v>
      </c>
      <c r="AH28" s="94">
        <v>10.1</v>
      </c>
      <c r="AI28" s="94">
        <v>13.1</v>
      </c>
      <c r="AJ28" s="94">
        <v>33.6</v>
      </c>
      <c r="AK28" s="94">
        <v>12.3</v>
      </c>
      <c r="AL28" s="94">
        <v>20.8</v>
      </c>
      <c r="AM28" s="94">
        <v>30.5</v>
      </c>
      <c r="AN28" s="94">
        <v>45.9</v>
      </c>
      <c r="AO28" s="208">
        <f t="shared" si="6"/>
        <v>23.757142857142856</v>
      </c>
      <c r="AQ28" s="145">
        <v>2023</v>
      </c>
      <c r="AR28" s="94">
        <v>5.3</v>
      </c>
      <c r="AS28" s="94">
        <v>6.8</v>
      </c>
      <c r="AT28" s="94">
        <v>25</v>
      </c>
      <c r="AU28" s="94">
        <v>7.2</v>
      </c>
      <c r="AV28" s="94">
        <v>11.4</v>
      </c>
      <c r="AW28" s="94">
        <v>19</v>
      </c>
      <c r="AX28" s="94">
        <v>28</v>
      </c>
      <c r="AY28" s="208">
        <f t="shared" si="7"/>
        <v>14.671428571428573</v>
      </c>
    </row>
    <row r="29" spans="2:51" ht="12.75">
      <c r="B29" s="102">
        <v>2025</v>
      </c>
      <c r="C29" s="111">
        <v>11.585714285714285</v>
      </c>
      <c r="D29" s="112">
        <v>7.1571428571428575</v>
      </c>
      <c r="E29" s="105">
        <f t="shared" si="0"/>
        <v>4.428571428571428</v>
      </c>
      <c r="F29" s="106">
        <f t="shared" si="1"/>
        <v>8790067.709559726</v>
      </c>
      <c r="G29" s="107">
        <v>23.757142857142856</v>
      </c>
      <c r="H29" s="108">
        <v>14.671428571428573</v>
      </c>
      <c r="I29" s="109">
        <f t="shared" si="2"/>
        <v>9.085714285714284</v>
      </c>
      <c r="J29" s="106">
        <f t="shared" si="3"/>
        <v>9715894.169725789</v>
      </c>
      <c r="M29" s="145">
        <v>2024</v>
      </c>
      <c r="N29" s="207">
        <v>4.9</v>
      </c>
      <c r="O29" s="94">
        <v>6.4</v>
      </c>
      <c r="P29" s="94">
        <v>16.4</v>
      </c>
      <c r="Q29" s="94">
        <v>6</v>
      </c>
      <c r="R29" s="94">
        <v>10.1</v>
      </c>
      <c r="S29" s="94">
        <v>14.9</v>
      </c>
      <c r="T29" s="94">
        <v>22.4</v>
      </c>
      <c r="U29" s="208">
        <f t="shared" si="4"/>
        <v>11.585714285714285</v>
      </c>
      <c r="W29" s="145">
        <v>2024</v>
      </c>
      <c r="X29" s="94">
        <v>2.6</v>
      </c>
      <c r="Y29" s="94">
        <v>3.3</v>
      </c>
      <c r="Z29" s="94">
        <v>12.2</v>
      </c>
      <c r="AA29" s="94">
        <v>3.5</v>
      </c>
      <c r="AB29" s="94">
        <v>5.6</v>
      </c>
      <c r="AC29" s="94">
        <v>9.3</v>
      </c>
      <c r="AD29" s="94">
        <v>13.6</v>
      </c>
      <c r="AE29" s="208">
        <f t="shared" si="5"/>
        <v>7.1571428571428575</v>
      </c>
      <c r="AG29" s="145">
        <v>2024</v>
      </c>
      <c r="AH29" s="94">
        <v>10.1</v>
      </c>
      <c r="AI29" s="94">
        <v>13.1</v>
      </c>
      <c r="AJ29" s="94">
        <v>33.6</v>
      </c>
      <c r="AK29" s="94">
        <v>12.3</v>
      </c>
      <c r="AL29" s="94">
        <v>20.8</v>
      </c>
      <c r="AM29" s="94">
        <v>30.5</v>
      </c>
      <c r="AN29" s="94">
        <v>45.9</v>
      </c>
      <c r="AO29" s="208">
        <f t="shared" si="6"/>
        <v>23.757142857142856</v>
      </c>
      <c r="AQ29" s="145">
        <v>2024</v>
      </c>
      <c r="AR29" s="94">
        <v>5.3</v>
      </c>
      <c r="AS29" s="94">
        <v>6.8</v>
      </c>
      <c r="AT29" s="94">
        <v>25</v>
      </c>
      <c r="AU29" s="94">
        <v>7.2</v>
      </c>
      <c r="AV29" s="94">
        <v>11.4</v>
      </c>
      <c r="AW29" s="94">
        <v>19</v>
      </c>
      <c r="AX29" s="94">
        <v>28</v>
      </c>
      <c r="AY29" s="208">
        <f t="shared" si="7"/>
        <v>14.671428571428573</v>
      </c>
    </row>
    <row r="30" spans="2:51" ht="13.5" thickBot="1">
      <c r="B30" s="113">
        <v>2026</v>
      </c>
      <c r="C30" s="114">
        <v>11.585714285714285</v>
      </c>
      <c r="D30" s="115">
        <v>7.171428571428572</v>
      </c>
      <c r="E30" s="116">
        <f t="shared" si="0"/>
        <v>4.414285714285714</v>
      </c>
      <c r="F30" s="117">
        <f t="shared" si="1"/>
        <v>8761783.285714285</v>
      </c>
      <c r="G30" s="118">
        <v>23.757142857142856</v>
      </c>
      <c r="H30" s="119">
        <v>14.671428571428573</v>
      </c>
      <c r="I30" s="120">
        <f t="shared" si="2"/>
        <v>9.085714285714284</v>
      </c>
      <c r="J30" s="117">
        <f t="shared" si="3"/>
        <v>9716717.14285714</v>
      </c>
      <c r="M30" s="165">
        <v>2025</v>
      </c>
      <c r="N30" s="197">
        <v>4.9</v>
      </c>
      <c r="O30" s="128">
        <v>6.4</v>
      </c>
      <c r="P30" s="128">
        <v>16.4</v>
      </c>
      <c r="Q30" s="128">
        <v>6</v>
      </c>
      <c r="R30" s="128">
        <v>10.1</v>
      </c>
      <c r="S30" s="128">
        <v>14.9</v>
      </c>
      <c r="T30" s="128">
        <v>22.4</v>
      </c>
      <c r="U30" s="209">
        <f t="shared" si="4"/>
        <v>11.585714285714285</v>
      </c>
      <c r="W30" s="165">
        <v>2025</v>
      </c>
      <c r="X30" s="128">
        <v>2.6</v>
      </c>
      <c r="Y30" s="128">
        <v>3.3</v>
      </c>
      <c r="Z30" s="128">
        <v>12.2</v>
      </c>
      <c r="AA30" s="128">
        <v>3.5</v>
      </c>
      <c r="AB30" s="128">
        <v>5.6</v>
      </c>
      <c r="AC30" s="128">
        <v>9.3</v>
      </c>
      <c r="AD30" s="128">
        <v>13.7</v>
      </c>
      <c r="AE30" s="209">
        <f t="shared" si="5"/>
        <v>7.171428571428572</v>
      </c>
      <c r="AG30" s="165">
        <v>2025</v>
      </c>
      <c r="AH30" s="128">
        <v>10.1</v>
      </c>
      <c r="AI30" s="128">
        <v>13.1</v>
      </c>
      <c r="AJ30" s="128">
        <v>33.6</v>
      </c>
      <c r="AK30" s="128">
        <v>12.3</v>
      </c>
      <c r="AL30" s="128">
        <v>20.8</v>
      </c>
      <c r="AM30" s="128">
        <v>30.5</v>
      </c>
      <c r="AN30" s="128">
        <v>45.9</v>
      </c>
      <c r="AO30" s="209">
        <f t="shared" si="6"/>
        <v>23.757142857142856</v>
      </c>
      <c r="AQ30" s="165">
        <v>2025</v>
      </c>
      <c r="AR30" s="128">
        <v>5.3</v>
      </c>
      <c r="AS30" s="128">
        <v>6.8</v>
      </c>
      <c r="AT30" s="128">
        <v>25</v>
      </c>
      <c r="AU30" s="128">
        <v>7.2</v>
      </c>
      <c r="AV30" s="128">
        <v>11.4</v>
      </c>
      <c r="AW30" s="128">
        <v>19</v>
      </c>
      <c r="AX30" s="128">
        <v>28</v>
      </c>
      <c r="AY30" s="209">
        <f t="shared" si="7"/>
        <v>14.671428571428573</v>
      </c>
    </row>
    <row r="35" ht="13.5" thickBot="1"/>
    <row r="36" spans="1:12" ht="12.75" customHeight="1">
      <c r="A36" s="276" t="s">
        <v>16</v>
      </c>
      <c r="B36" s="277"/>
      <c r="C36" s="277"/>
      <c r="D36" s="277"/>
      <c r="E36" s="277"/>
      <c r="F36" s="277"/>
      <c r="G36" s="277"/>
      <c r="H36" s="277"/>
      <c r="I36" s="277"/>
      <c r="J36" s="277"/>
      <c r="K36" s="277"/>
      <c r="L36" s="278"/>
    </row>
    <row r="37" spans="1:12" ht="13.5" thickBot="1">
      <c r="A37" s="279"/>
      <c r="B37" s="280"/>
      <c r="C37" s="280"/>
      <c r="D37" s="280"/>
      <c r="E37" s="280"/>
      <c r="F37" s="280"/>
      <c r="G37" s="280"/>
      <c r="H37" s="280"/>
      <c r="I37" s="280"/>
      <c r="J37" s="280"/>
      <c r="K37" s="280"/>
      <c r="L37" s="281"/>
    </row>
    <row r="38" spans="1:12" ht="13.5" thickBot="1">
      <c r="A38" s="283" t="s">
        <v>86</v>
      </c>
      <c r="B38" s="305" t="s">
        <v>23</v>
      </c>
      <c r="C38" s="301" t="s">
        <v>17</v>
      </c>
      <c r="D38" s="301"/>
      <c r="E38" s="301"/>
      <c r="F38" s="301"/>
      <c r="G38" s="301"/>
      <c r="H38" s="302"/>
      <c r="I38" s="303" t="s">
        <v>18</v>
      </c>
      <c r="J38" s="301"/>
      <c r="K38" s="301"/>
      <c r="L38" s="304"/>
    </row>
    <row r="39" spans="1:12" ht="27" thickBot="1" thickTop="1">
      <c r="A39" s="284"/>
      <c r="B39" s="306"/>
      <c r="C39" s="138" t="s">
        <v>19</v>
      </c>
      <c r="D39" s="139"/>
      <c r="E39" s="140"/>
      <c r="F39" s="140"/>
      <c r="G39" s="140"/>
      <c r="H39" s="141" t="s">
        <v>20</v>
      </c>
      <c r="I39" s="142"/>
      <c r="J39" s="138" t="s">
        <v>21</v>
      </c>
      <c r="K39" s="139"/>
      <c r="L39" s="143" t="s">
        <v>20</v>
      </c>
    </row>
    <row r="40" spans="1:12" ht="12.75">
      <c r="A40" s="95"/>
      <c r="B40" s="134">
        <v>2004</v>
      </c>
      <c r="C40" s="121">
        <v>1935.8347360923538</v>
      </c>
      <c r="D40" s="122"/>
      <c r="E40" s="123"/>
      <c r="F40" s="123"/>
      <c r="G40" s="123"/>
      <c r="H40" s="124">
        <f>C40*365</f>
        <v>706579.6786737092</v>
      </c>
      <c r="I40" s="125"/>
      <c r="J40" s="121">
        <v>1042.9498159724988</v>
      </c>
      <c r="K40" s="122"/>
      <c r="L40" s="144">
        <f>J40*365</f>
        <v>380676.68282996205</v>
      </c>
    </row>
    <row r="41" spans="1:12" ht="12.75">
      <c r="A41" s="95"/>
      <c r="B41" s="134">
        <v>2005</v>
      </c>
      <c r="C41" s="121">
        <v>2038.4339771052485</v>
      </c>
      <c r="D41" s="122">
        <f>C41-C40</f>
        <v>102.59924101289471</v>
      </c>
      <c r="E41" s="123"/>
      <c r="F41" s="123"/>
      <c r="G41" s="123"/>
      <c r="H41" s="124">
        <f aca="true" t="shared" si="8" ref="H41:H61">C41*365</f>
        <v>744028.4016434157</v>
      </c>
      <c r="I41" s="125"/>
      <c r="J41" s="121">
        <v>1098.226156219041</v>
      </c>
      <c r="K41" s="122">
        <f>J41-J40</f>
        <v>55.276340246542304</v>
      </c>
      <c r="L41" s="144">
        <f aca="true" t="shared" si="9" ref="L41:L61">J41*365</f>
        <v>400852.54701995</v>
      </c>
    </row>
    <row r="42" spans="1:12" ht="12.75">
      <c r="A42" s="145">
        <v>1</v>
      </c>
      <c r="B42" s="134">
        <v>2006</v>
      </c>
      <c r="C42" s="121">
        <v>2146.470977891827</v>
      </c>
      <c r="D42" s="122">
        <f aca="true" t="shared" si="10" ref="D42:D60">C42-C41</f>
        <v>108.03700078657835</v>
      </c>
      <c r="E42" s="123"/>
      <c r="F42" s="123"/>
      <c r="G42" s="123"/>
      <c r="H42" s="124">
        <f t="shared" si="8"/>
        <v>783461.9069305168</v>
      </c>
      <c r="I42" s="125"/>
      <c r="J42" s="121">
        <v>1156.4321424986506</v>
      </c>
      <c r="K42" s="122">
        <f aca="true" t="shared" si="11" ref="K42:K60">J42-J41</f>
        <v>58.20598627960953</v>
      </c>
      <c r="L42" s="144">
        <f t="shared" si="9"/>
        <v>422097.73201200744</v>
      </c>
    </row>
    <row r="43" spans="1:12" ht="12.75">
      <c r="A43" s="95">
        <f>A42+1</f>
        <v>2</v>
      </c>
      <c r="B43" s="134">
        <v>2007</v>
      </c>
      <c r="C43" s="121">
        <v>2260.233939720093</v>
      </c>
      <c r="D43" s="122">
        <f t="shared" si="10"/>
        <v>113.76296182826627</v>
      </c>
      <c r="E43" s="123"/>
      <c r="F43" s="123"/>
      <c r="G43" s="123"/>
      <c r="H43" s="124">
        <f t="shared" si="8"/>
        <v>824985.387997834</v>
      </c>
      <c r="I43" s="125"/>
      <c r="J43" s="121">
        <v>1217.7230460510787</v>
      </c>
      <c r="K43" s="122">
        <f t="shared" si="11"/>
        <v>61.29090355242806</v>
      </c>
      <c r="L43" s="144">
        <f t="shared" si="9"/>
        <v>444468.9118086437</v>
      </c>
    </row>
    <row r="44" spans="1:12" ht="12.75">
      <c r="A44" s="95">
        <f aca="true" t="shared" si="12" ref="A44:A61">A43+1</f>
        <v>3</v>
      </c>
      <c r="B44" s="134">
        <v>2008</v>
      </c>
      <c r="C44" s="121">
        <v>2380.026338525258</v>
      </c>
      <c r="D44" s="122">
        <f t="shared" si="10"/>
        <v>119.7923988051648</v>
      </c>
      <c r="E44" s="123"/>
      <c r="F44" s="123"/>
      <c r="G44" s="123"/>
      <c r="H44" s="124">
        <f t="shared" si="8"/>
        <v>868709.6135617191</v>
      </c>
      <c r="I44" s="125"/>
      <c r="J44" s="121">
        <v>1282.2623674917859</v>
      </c>
      <c r="K44" s="122">
        <f t="shared" si="11"/>
        <v>64.53932144070723</v>
      </c>
      <c r="L44" s="144">
        <f t="shared" si="9"/>
        <v>468025.76413450186</v>
      </c>
    </row>
    <row r="45" spans="1:12" ht="12.75">
      <c r="A45" s="95">
        <f t="shared" si="12"/>
        <v>4</v>
      </c>
      <c r="B45" s="134">
        <v>2009</v>
      </c>
      <c r="C45" s="121">
        <v>2506.1677344670966</v>
      </c>
      <c r="D45" s="122">
        <f t="shared" si="10"/>
        <v>126.14139594183871</v>
      </c>
      <c r="E45" s="123"/>
      <c r="F45" s="123"/>
      <c r="G45" s="123"/>
      <c r="H45" s="124">
        <f t="shared" si="8"/>
        <v>914751.2230804903</v>
      </c>
      <c r="I45" s="125"/>
      <c r="J45" s="121">
        <v>1350.2222729688503</v>
      </c>
      <c r="K45" s="122">
        <f t="shared" si="11"/>
        <v>67.95990547706447</v>
      </c>
      <c r="L45" s="144">
        <f t="shared" si="9"/>
        <v>492831.1296336304</v>
      </c>
    </row>
    <row r="46" spans="1:12" ht="12.75">
      <c r="A46" s="145">
        <f t="shared" si="12"/>
        <v>5</v>
      </c>
      <c r="B46" s="134">
        <v>2010</v>
      </c>
      <c r="C46" s="121">
        <v>2638.994624393852</v>
      </c>
      <c r="D46" s="122">
        <f t="shared" si="10"/>
        <v>132.82688992675548</v>
      </c>
      <c r="E46" s="123"/>
      <c r="F46" s="123"/>
      <c r="G46" s="123"/>
      <c r="H46" s="124">
        <f t="shared" si="8"/>
        <v>963233.037903756</v>
      </c>
      <c r="I46" s="125"/>
      <c r="J46" s="121">
        <v>1421.7840534361997</v>
      </c>
      <c r="K46" s="122">
        <f t="shared" si="11"/>
        <v>71.56178046734931</v>
      </c>
      <c r="L46" s="144">
        <f t="shared" si="9"/>
        <v>518951.17950421287</v>
      </c>
    </row>
    <row r="47" spans="1:12" ht="12.75">
      <c r="A47" s="95">
        <f t="shared" si="12"/>
        <v>6</v>
      </c>
      <c r="B47" s="134">
        <v>2011</v>
      </c>
      <c r="C47" s="121">
        <v>2778.8613394867257</v>
      </c>
      <c r="D47" s="122">
        <f t="shared" si="10"/>
        <v>139.86671509287362</v>
      </c>
      <c r="E47" s="123"/>
      <c r="F47" s="123"/>
      <c r="G47" s="123"/>
      <c r="H47" s="124">
        <f t="shared" si="8"/>
        <v>1014284.3889126548</v>
      </c>
      <c r="I47" s="125"/>
      <c r="J47" s="121">
        <v>1497.1386082683182</v>
      </c>
      <c r="K47" s="122">
        <f t="shared" si="11"/>
        <v>75.35455483211854</v>
      </c>
      <c r="L47" s="144">
        <f t="shared" si="9"/>
        <v>546455.5920179362</v>
      </c>
    </row>
    <row r="48" spans="1:12" ht="12.75">
      <c r="A48" s="95">
        <f t="shared" si="12"/>
        <v>7</v>
      </c>
      <c r="B48" s="134">
        <v>2012</v>
      </c>
      <c r="C48" s="121">
        <v>2926.1409904795228</v>
      </c>
      <c r="D48" s="122">
        <f t="shared" si="10"/>
        <v>147.2796509927971</v>
      </c>
      <c r="E48" s="123"/>
      <c r="F48" s="123"/>
      <c r="G48" s="123"/>
      <c r="H48" s="124">
        <f t="shared" si="8"/>
        <v>1068041.4615250258</v>
      </c>
      <c r="I48" s="125"/>
      <c r="J48" s="121">
        <v>1576.4869545065392</v>
      </c>
      <c r="K48" s="122">
        <f t="shared" si="11"/>
        <v>79.34834623822098</v>
      </c>
      <c r="L48" s="144">
        <f t="shared" si="9"/>
        <v>575417.7383948868</v>
      </c>
    </row>
    <row r="49" spans="1:12" ht="12.75">
      <c r="A49" s="95">
        <f t="shared" si="12"/>
        <v>8</v>
      </c>
      <c r="B49" s="134">
        <v>2013</v>
      </c>
      <c r="C49" s="121">
        <v>3081.2264629749375</v>
      </c>
      <c r="D49" s="122">
        <f t="shared" si="10"/>
        <v>155.0854724954147</v>
      </c>
      <c r="E49" s="123"/>
      <c r="F49" s="123"/>
      <c r="G49" s="123"/>
      <c r="H49" s="124">
        <f t="shared" si="8"/>
        <v>1124647.6589858523</v>
      </c>
      <c r="I49" s="125"/>
      <c r="J49" s="121">
        <v>1660.0407630953853</v>
      </c>
      <c r="K49" s="122">
        <f t="shared" si="11"/>
        <v>83.5538085888461</v>
      </c>
      <c r="L49" s="144">
        <f t="shared" si="9"/>
        <v>605914.8785298156</v>
      </c>
    </row>
    <row r="50" spans="1:12" ht="12.75">
      <c r="A50" s="95">
        <f t="shared" si="12"/>
        <v>9</v>
      </c>
      <c r="B50" s="134">
        <v>2014</v>
      </c>
      <c r="C50" s="121">
        <v>3244.531465512609</v>
      </c>
      <c r="D50" s="122">
        <f t="shared" si="10"/>
        <v>163.3050025376715</v>
      </c>
      <c r="E50" s="123"/>
      <c r="F50" s="123"/>
      <c r="G50" s="123"/>
      <c r="H50" s="124">
        <f t="shared" si="8"/>
        <v>1184253.9849121023</v>
      </c>
      <c r="I50" s="125"/>
      <c r="J50" s="121">
        <v>1748.0229235394409</v>
      </c>
      <c r="K50" s="122">
        <f t="shared" si="11"/>
        <v>87.98216044405558</v>
      </c>
      <c r="L50" s="144">
        <f t="shared" si="9"/>
        <v>638028.3670918959</v>
      </c>
    </row>
    <row r="51" spans="1:12" ht="12.75">
      <c r="A51" s="145">
        <f t="shared" si="12"/>
        <v>10</v>
      </c>
      <c r="B51" s="134">
        <v>2015</v>
      </c>
      <c r="C51" s="121">
        <v>3416.491633184777</v>
      </c>
      <c r="D51" s="122">
        <f t="shared" si="10"/>
        <v>171.96016767216815</v>
      </c>
      <c r="E51" s="123"/>
      <c r="F51" s="123"/>
      <c r="G51" s="123"/>
      <c r="H51" s="124">
        <f t="shared" si="8"/>
        <v>1247019.4461124437</v>
      </c>
      <c r="I51" s="125"/>
      <c r="J51" s="121">
        <v>1840.6681384870308</v>
      </c>
      <c r="K51" s="122">
        <f t="shared" si="11"/>
        <v>92.64521494758992</v>
      </c>
      <c r="L51" s="144">
        <f t="shared" si="9"/>
        <v>671843.8705477662</v>
      </c>
    </row>
    <row r="52" spans="1:12" ht="12.75">
      <c r="A52" s="95">
        <f t="shared" si="12"/>
        <v>11</v>
      </c>
      <c r="B52" s="134">
        <v>2016</v>
      </c>
      <c r="C52" s="121">
        <v>3597.56568974357</v>
      </c>
      <c r="D52" s="122">
        <f t="shared" si="10"/>
        <v>181.07405655879302</v>
      </c>
      <c r="E52" s="123"/>
      <c r="F52" s="123"/>
      <c r="G52" s="123"/>
      <c r="H52" s="124">
        <f t="shared" si="8"/>
        <v>1313111.476756403</v>
      </c>
      <c r="I52" s="125"/>
      <c r="J52" s="121">
        <v>1938.2235498268433</v>
      </c>
      <c r="K52" s="122">
        <f t="shared" si="11"/>
        <v>97.55541133981251</v>
      </c>
      <c r="L52" s="144">
        <f t="shared" si="9"/>
        <v>707451.5956867978</v>
      </c>
    </row>
    <row r="53" spans="1:12" ht="12.75">
      <c r="A53" s="95">
        <f t="shared" si="12"/>
        <v>12</v>
      </c>
      <c r="B53" s="134">
        <v>2017</v>
      </c>
      <c r="C53" s="121">
        <v>3788.2366712999797</v>
      </c>
      <c r="D53" s="122">
        <f t="shared" si="10"/>
        <v>190.67098155640952</v>
      </c>
      <c r="E53" s="123"/>
      <c r="F53" s="123"/>
      <c r="G53" s="123"/>
      <c r="H53" s="124">
        <f t="shared" si="8"/>
        <v>1382706.3850244926</v>
      </c>
      <c r="I53" s="125"/>
      <c r="J53" s="121">
        <v>2040.9493979676656</v>
      </c>
      <c r="K53" s="122">
        <f t="shared" si="11"/>
        <v>102.72584814082234</v>
      </c>
      <c r="L53" s="144">
        <f t="shared" si="9"/>
        <v>744946.5302581979</v>
      </c>
    </row>
    <row r="54" spans="1:12" ht="12.75">
      <c r="A54" s="95">
        <f t="shared" si="12"/>
        <v>13</v>
      </c>
      <c r="B54" s="134">
        <v>2018</v>
      </c>
      <c r="C54" s="121">
        <v>3989.013214878879</v>
      </c>
      <c r="D54" s="122">
        <f t="shared" si="10"/>
        <v>200.77654357889924</v>
      </c>
      <c r="E54" s="123"/>
      <c r="F54" s="123"/>
      <c r="G54" s="123"/>
      <c r="H54" s="124">
        <f t="shared" si="8"/>
        <v>1455989.8234307908</v>
      </c>
      <c r="I54" s="125"/>
      <c r="J54" s="121">
        <v>2149.119716059953</v>
      </c>
      <c r="K54" s="122">
        <f t="shared" si="11"/>
        <v>108.17031809228752</v>
      </c>
      <c r="L54" s="144">
        <f t="shared" si="9"/>
        <v>784428.6963618828</v>
      </c>
    </row>
    <row r="55" spans="1:12" ht="12.75">
      <c r="A55" s="95">
        <f t="shared" si="12"/>
        <v>14</v>
      </c>
      <c r="B55" s="134">
        <v>2019</v>
      </c>
      <c r="C55" s="121">
        <v>4200.430915267459</v>
      </c>
      <c r="D55" s="122">
        <f t="shared" si="10"/>
        <v>211.41770038857976</v>
      </c>
      <c r="E55" s="123"/>
      <c r="F55" s="123"/>
      <c r="G55" s="123"/>
      <c r="H55" s="124">
        <f t="shared" si="8"/>
        <v>1533157.2840726224</v>
      </c>
      <c r="I55" s="125"/>
      <c r="J55" s="121">
        <v>2263.0230610111294</v>
      </c>
      <c r="K55" s="122">
        <f t="shared" si="11"/>
        <v>113.90334495117622</v>
      </c>
      <c r="L55" s="144">
        <f t="shared" si="9"/>
        <v>826003.4172690623</v>
      </c>
    </row>
    <row r="56" spans="1:12" ht="12.75">
      <c r="A56" s="95">
        <f t="shared" si="12"/>
        <v>15</v>
      </c>
      <c r="B56" s="134">
        <v>2020</v>
      </c>
      <c r="C56" s="121">
        <v>4423.053753776634</v>
      </c>
      <c r="D56" s="122">
        <f t="shared" si="10"/>
        <v>222.62283850917538</v>
      </c>
      <c r="E56" s="123"/>
      <c r="F56" s="123"/>
      <c r="G56" s="123"/>
      <c r="H56" s="124">
        <f t="shared" si="8"/>
        <v>1614414.6201284714</v>
      </c>
      <c r="I56" s="125"/>
      <c r="J56" s="121">
        <v>2382.9632832447196</v>
      </c>
      <c r="K56" s="122">
        <f t="shared" si="11"/>
        <v>119.94022223359025</v>
      </c>
      <c r="L56" s="144">
        <f t="shared" si="9"/>
        <v>869781.5983843226</v>
      </c>
    </row>
    <row r="57" spans="1:12" ht="12.75">
      <c r="A57" s="95">
        <f t="shared" si="12"/>
        <v>16</v>
      </c>
      <c r="B57" s="134">
        <v>2021</v>
      </c>
      <c r="C57" s="121">
        <v>4657.475602726796</v>
      </c>
      <c r="D57" s="122">
        <f t="shared" si="10"/>
        <v>234.4218489501618</v>
      </c>
      <c r="E57" s="123"/>
      <c r="F57" s="123"/>
      <c r="G57" s="123"/>
      <c r="H57" s="124">
        <f t="shared" si="8"/>
        <v>1699978.5949952805</v>
      </c>
      <c r="I57" s="125"/>
      <c r="J57" s="121">
        <v>2509.26033725669</v>
      </c>
      <c r="K57" s="122">
        <f t="shared" si="11"/>
        <v>126.29705401197043</v>
      </c>
      <c r="L57" s="144">
        <f t="shared" si="9"/>
        <v>915880.0230986918</v>
      </c>
    </row>
    <row r="58" spans="1:12" ht="12.75">
      <c r="A58" s="95">
        <f t="shared" si="12"/>
        <v>17</v>
      </c>
      <c r="B58" s="134">
        <v>2022</v>
      </c>
      <c r="C58" s="121">
        <v>4904.321809671316</v>
      </c>
      <c r="D58" s="122">
        <f t="shared" si="10"/>
        <v>246.84620694452042</v>
      </c>
      <c r="E58" s="123"/>
      <c r="F58" s="123"/>
      <c r="G58" s="123"/>
      <c r="H58" s="124">
        <f t="shared" si="8"/>
        <v>1790077.4605300305</v>
      </c>
      <c r="I58" s="125"/>
      <c r="J58" s="121">
        <v>2642.2511351312937</v>
      </c>
      <c r="K58" s="122">
        <f t="shared" si="11"/>
        <v>132.9907978746037</v>
      </c>
      <c r="L58" s="144">
        <f t="shared" si="9"/>
        <v>964421.6643229222</v>
      </c>
    </row>
    <row r="59" spans="1:12" ht="12.75">
      <c r="A59" s="95">
        <f t="shared" si="12"/>
        <v>18</v>
      </c>
      <c r="B59" s="134">
        <v>2023</v>
      </c>
      <c r="C59" s="121">
        <v>5164.250865583894</v>
      </c>
      <c r="D59" s="122">
        <f t="shared" si="10"/>
        <v>259.9290559125775</v>
      </c>
      <c r="E59" s="123"/>
      <c r="F59" s="123"/>
      <c r="G59" s="123"/>
      <c r="H59" s="124">
        <f t="shared" si="8"/>
        <v>1884951.5659381212</v>
      </c>
      <c r="I59" s="125"/>
      <c r="J59" s="121">
        <v>2782.2904452932517</v>
      </c>
      <c r="K59" s="122">
        <f t="shared" si="11"/>
        <v>140.03931016195793</v>
      </c>
      <c r="L59" s="144">
        <f t="shared" si="9"/>
        <v>1015536.0125320369</v>
      </c>
    </row>
    <row r="60" spans="1:12" ht="12.75">
      <c r="A60" s="95">
        <f t="shared" si="12"/>
        <v>19</v>
      </c>
      <c r="B60" s="134">
        <v>2024</v>
      </c>
      <c r="C60" s="121">
        <v>5437.956161459841</v>
      </c>
      <c r="D60" s="122">
        <f t="shared" si="10"/>
        <v>273.70529587594683</v>
      </c>
      <c r="E60" s="123"/>
      <c r="F60" s="123"/>
      <c r="G60" s="123"/>
      <c r="H60" s="124">
        <f t="shared" si="8"/>
        <v>1984853.9989328417</v>
      </c>
      <c r="I60" s="125"/>
      <c r="J60" s="121">
        <v>2929.7518388937942</v>
      </c>
      <c r="K60" s="122">
        <f t="shared" si="11"/>
        <v>147.46139360054258</v>
      </c>
      <c r="L60" s="144">
        <f t="shared" si="9"/>
        <v>1069359.4211962349</v>
      </c>
    </row>
    <row r="61" spans="1:12" ht="13.5" thickBot="1">
      <c r="A61" s="146">
        <f t="shared" si="12"/>
        <v>20</v>
      </c>
      <c r="B61" s="147">
        <v>2025</v>
      </c>
      <c r="C61" s="148">
        <v>5438</v>
      </c>
      <c r="D61" s="149">
        <v>274</v>
      </c>
      <c r="E61" s="150"/>
      <c r="F61" s="150"/>
      <c r="G61" s="150"/>
      <c r="H61" s="151">
        <f t="shared" si="8"/>
        <v>1984870</v>
      </c>
      <c r="I61" s="152"/>
      <c r="J61" s="148">
        <v>2930</v>
      </c>
      <c r="K61" s="149">
        <v>147</v>
      </c>
      <c r="L61" s="153">
        <f t="shared" si="9"/>
        <v>1069450</v>
      </c>
    </row>
    <row r="63" ht="13.5" thickBot="1"/>
    <row r="64" spans="2:16" ht="12.75" customHeight="1" thickBot="1">
      <c r="B64" s="285" t="s">
        <v>22</v>
      </c>
      <c r="C64" s="286"/>
      <c r="D64" s="286"/>
      <c r="E64" s="286"/>
      <c r="F64" s="286"/>
      <c r="G64" s="287"/>
      <c r="O64" s="91"/>
      <c r="P64" s="91"/>
    </row>
    <row r="65" spans="2:16" ht="12.75">
      <c r="B65" s="154"/>
      <c r="C65" s="81"/>
      <c r="D65" s="82"/>
      <c r="E65" s="81"/>
      <c r="F65" s="80">
        <v>22</v>
      </c>
      <c r="G65" s="155">
        <v>36</v>
      </c>
      <c r="O65" s="91"/>
      <c r="P65" s="91"/>
    </row>
    <row r="66" spans="2:7" ht="26.25" thickBot="1">
      <c r="B66" s="156"/>
      <c r="C66" s="84" t="s">
        <v>23</v>
      </c>
      <c r="D66" s="85" t="s">
        <v>24</v>
      </c>
      <c r="E66" s="84" t="s">
        <v>25</v>
      </c>
      <c r="F66" s="83" t="s">
        <v>26</v>
      </c>
      <c r="G66" s="157" t="s">
        <v>27</v>
      </c>
    </row>
    <row r="67" spans="2:7" ht="12.75">
      <c r="B67" s="158">
        <v>2006</v>
      </c>
      <c r="C67" s="86">
        <v>0</v>
      </c>
      <c r="D67" s="87">
        <v>0</v>
      </c>
      <c r="E67" s="126">
        <f>D67/58</f>
        <v>0</v>
      </c>
      <c r="F67" s="87">
        <f>E67*22</f>
        <v>0</v>
      </c>
      <c r="G67" s="159">
        <f>E67*36</f>
        <v>0</v>
      </c>
    </row>
    <row r="68" spans="2:7" ht="12.75">
      <c r="B68" s="158">
        <v>2007</v>
      </c>
      <c r="C68" s="86">
        <v>1</v>
      </c>
      <c r="D68" s="87">
        <v>20984.98</v>
      </c>
      <c r="E68" s="126">
        <f aca="true" t="shared" si="13" ref="E68:E86">D68/58</f>
        <v>361.81</v>
      </c>
      <c r="F68" s="87">
        <f aca="true" t="shared" si="14" ref="F68:F86">E68*22</f>
        <v>7959.82</v>
      </c>
      <c r="G68" s="159">
        <f aca="true" t="shared" si="15" ref="G68:G86">E68*36</f>
        <v>13025.16</v>
      </c>
    </row>
    <row r="69" spans="2:7" ht="12.75">
      <c r="B69" s="158">
        <v>2008</v>
      </c>
      <c r="C69" s="86">
        <v>2</v>
      </c>
      <c r="D69" s="87">
        <v>21334.72</v>
      </c>
      <c r="E69" s="126">
        <f t="shared" si="13"/>
        <v>367.84000000000003</v>
      </c>
      <c r="F69" s="87">
        <f>E69*22</f>
        <v>8092.4800000000005</v>
      </c>
      <c r="G69" s="159">
        <f t="shared" si="15"/>
        <v>13242.240000000002</v>
      </c>
    </row>
    <row r="70" spans="2:7" ht="12.75">
      <c r="B70" s="158">
        <v>2009</v>
      </c>
      <c r="C70" s="86">
        <v>3</v>
      </c>
      <c r="D70" s="87">
        <v>20460.08</v>
      </c>
      <c r="E70" s="126">
        <f t="shared" si="13"/>
        <v>352.76000000000005</v>
      </c>
      <c r="F70" s="87">
        <f t="shared" si="14"/>
        <v>7760.720000000001</v>
      </c>
      <c r="G70" s="159">
        <f t="shared" si="15"/>
        <v>12699.360000000002</v>
      </c>
    </row>
    <row r="71" spans="2:7" ht="12.75">
      <c r="B71" s="158">
        <v>2010</v>
      </c>
      <c r="C71" s="86">
        <v>4</v>
      </c>
      <c r="D71" s="87">
        <v>18186.48</v>
      </c>
      <c r="E71" s="126">
        <f t="shared" si="13"/>
        <v>313.56</v>
      </c>
      <c r="F71" s="87">
        <f t="shared" si="14"/>
        <v>6898.32</v>
      </c>
      <c r="G71" s="159">
        <f t="shared" si="15"/>
        <v>11288.16</v>
      </c>
    </row>
    <row r="72" spans="2:7" ht="12.75">
      <c r="B72" s="158">
        <v>2011</v>
      </c>
      <c r="C72" s="86">
        <v>5</v>
      </c>
      <c r="D72" s="87">
        <v>48964.18</v>
      </c>
      <c r="E72" s="126">
        <f t="shared" si="13"/>
        <v>844.21</v>
      </c>
      <c r="F72" s="87">
        <f t="shared" si="14"/>
        <v>18572.620000000003</v>
      </c>
      <c r="G72" s="159">
        <f t="shared" si="15"/>
        <v>30391.56</v>
      </c>
    </row>
    <row r="73" spans="2:7" ht="12.75">
      <c r="B73" s="158">
        <v>2012</v>
      </c>
      <c r="C73" s="86">
        <v>6</v>
      </c>
      <c r="D73" s="87">
        <v>21334.72</v>
      </c>
      <c r="E73" s="126">
        <f t="shared" si="13"/>
        <v>367.84000000000003</v>
      </c>
      <c r="F73" s="87">
        <f t="shared" si="14"/>
        <v>8092.4800000000005</v>
      </c>
      <c r="G73" s="159">
        <f t="shared" si="15"/>
        <v>13242.240000000002</v>
      </c>
    </row>
    <row r="74" spans="2:7" ht="12.75">
      <c r="B74" s="158">
        <v>2013</v>
      </c>
      <c r="C74" s="86">
        <v>7</v>
      </c>
      <c r="D74" s="87">
        <v>23082.84</v>
      </c>
      <c r="E74" s="126">
        <f t="shared" si="13"/>
        <v>397.98</v>
      </c>
      <c r="F74" s="87">
        <f t="shared" si="14"/>
        <v>8755.560000000001</v>
      </c>
      <c r="G74" s="159">
        <f t="shared" si="15"/>
        <v>14327.28</v>
      </c>
    </row>
    <row r="75" spans="2:7" ht="12.75">
      <c r="B75" s="158">
        <v>2014</v>
      </c>
      <c r="C75" s="86">
        <v>8</v>
      </c>
      <c r="D75" s="87">
        <v>25006.7</v>
      </c>
      <c r="E75" s="126">
        <f t="shared" si="13"/>
        <v>431.15000000000003</v>
      </c>
      <c r="F75" s="87">
        <f t="shared" si="14"/>
        <v>9485.300000000001</v>
      </c>
      <c r="G75" s="159">
        <f t="shared" si="15"/>
        <v>15521.400000000001</v>
      </c>
    </row>
    <row r="76" spans="2:7" ht="12.75">
      <c r="B76" s="158">
        <v>2015</v>
      </c>
      <c r="C76" s="86">
        <v>9</v>
      </c>
      <c r="D76" s="87">
        <v>27979.78</v>
      </c>
      <c r="E76" s="126">
        <f t="shared" si="13"/>
        <v>482.40999999999997</v>
      </c>
      <c r="F76" s="87">
        <f t="shared" si="14"/>
        <v>10613.019999999999</v>
      </c>
      <c r="G76" s="159">
        <f t="shared" si="15"/>
        <v>17366.76</v>
      </c>
    </row>
    <row r="77" spans="2:7" ht="12.75">
      <c r="B77" s="158">
        <v>2016</v>
      </c>
      <c r="C77" s="86">
        <v>10</v>
      </c>
      <c r="D77" s="87">
        <v>8990000</v>
      </c>
      <c r="E77" s="126">
        <f t="shared" si="13"/>
        <v>155000</v>
      </c>
      <c r="F77" s="87">
        <f t="shared" si="14"/>
        <v>3410000</v>
      </c>
      <c r="G77" s="159">
        <f t="shared" si="15"/>
        <v>5580000</v>
      </c>
    </row>
    <row r="78" spans="2:7" ht="12.75">
      <c r="B78" s="158">
        <v>2017</v>
      </c>
      <c r="C78" s="88">
        <v>11</v>
      </c>
      <c r="D78" s="87">
        <v>20984.98</v>
      </c>
      <c r="E78" s="126">
        <f t="shared" si="13"/>
        <v>361.81</v>
      </c>
      <c r="F78" s="87">
        <f t="shared" si="14"/>
        <v>7959.82</v>
      </c>
      <c r="G78" s="159">
        <f t="shared" si="15"/>
        <v>13025.16</v>
      </c>
    </row>
    <row r="79" spans="2:7" ht="12.75">
      <c r="B79" s="158">
        <v>2018</v>
      </c>
      <c r="C79" s="88">
        <v>12</v>
      </c>
      <c r="D79" s="87">
        <v>21334.72</v>
      </c>
      <c r="E79" s="126">
        <f t="shared" si="13"/>
        <v>367.84000000000003</v>
      </c>
      <c r="F79" s="87">
        <f t="shared" si="14"/>
        <v>8092.4800000000005</v>
      </c>
      <c r="G79" s="159">
        <f t="shared" si="15"/>
        <v>13242.240000000002</v>
      </c>
    </row>
    <row r="80" spans="2:7" ht="12.75">
      <c r="B80" s="158">
        <v>2019</v>
      </c>
      <c r="C80" s="88">
        <v>13</v>
      </c>
      <c r="D80" s="87">
        <v>20460.08</v>
      </c>
      <c r="E80" s="126">
        <f t="shared" si="13"/>
        <v>352.76000000000005</v>
      </c>
      <c r="F80" s="87">
        <f t="shared" si="14"/>
        <v>7760.720000000001</v>
      </c>
      <c r="G80" s="159">
        <f t="shared" si="15"/>
        <v>12699.360000000002</v>
      </c>
    </row>
    <row r="81" spans="2:7" ht="12.75">
      <c r="B81" s="158">
        <v>2020</v>
      </c>
      <c r="C81" s="88">
        <v>14</v>
      </c>
      <c r="D81" s="87">
        <v>18186.48</v>
      </c>
      <c r="E81" s="126">
        <f t="shared" si="13"/>
        <v>313.56</v>
      </c>
      <c r="F81" s="87">
        <f t="shared" si="14"/>
        <v>6898.32</v>
      </c>
      <c r="G81" s="159">
        <f t="shared" si="15"/>
        <v>11288.16</v>
      </c>
    </row>
    <row r="82" spans="2:7" ht="12.75">
      <c r="B82" s="158">
        <v>2021</v>
      </c>
      <c r="C82" s="88">
        <v>15</v>
      </c>
      <c r="D82" s="87">
        <v>48964.18</v>
      </c>
      <c r="E82" s="126">
        <f t="shared" si="13"/>
        <v>844.21</v>
      </c>
      <c r="F82" s="87">
        <f t="shared" si="14"/>
        <v>18572.620000000003</v>
      </c>
      <c r="G82" s="159">
        <f t="shared" si="15"/>
        <v>30391.56</v>
      </c>
    </row>
    <row r="83" spans="2:7" ht="12.75">
      <c r="B83" s="158">
        <v>2022</v>
      </c>
      <c r="C83" s="88">
        <v>16</v>
      </c>
      <c r="D83" s="87">
        <v>21334.72</v>
      </c>
      <c r="E83" s="126">
        <f t="shared" si="13"/>
        <v>367.84000000000003</v>
      </c>
      <c r="F83" s="87">
        <f t="shared" si="14"/>
        <v>8092.4800000000005</v>
      </c>
      <c r="G83" s="159">
        <f t="shared" si="15"/>
        <v>13242.240000000002</v>
      </c>
    </row>
    <row r="84" spans="2:7" ht="12.75">
      <c r="B84" s="158">
        <v>2023</v>
      </c>
      <c r="C84" s="88">
        <v>17</v>
      </c>
      <c r="D84" s="87">
        <v>23082.84</v>
      </c>
      <c r="E84" s="126">
        <f t="shared" si="13"/>
        <v>397.98</v>
      </c>
      <c r="F84" s="87">
        <f t="shared" si="14"/>
        <v>8755.560000000001</v>
      </c>
      <c r="G84" s="159">
        <f t="shared" si="15"/>
        <v>14327.28</v>
      </c>
    </row>
    <row r="85" spans="2:7" ht="12.75">
      <c r="B85" s="158">
        <v>2024</v>
      </c>
      <c r="C85" s="88">
        <v>18</v>
      </c>
      <c r="D85" s="87">
        <v>25006.7</v>
      </c>
      <c r="E85" s="126">
        <f t="shared" si="13"/>
        <v>431.15000000000003</v>
      </c>
      <c r="F85" s="87">
        <f t="shared" si="14"/>
        <v>9485.300000000001</v>
      </c>
      <c r="G85" s="159">
        <f t="shared" si="15"/>
        <v>15521.400000000001</v>
      </c>
    </row>
    <row r="86" spans="2:7" ht="13.5" thickBot="1">
      <c r="B86" s="156">
        <v>2025</v>
      </c>
      <c r="C86" s="160">
        <v>19</v>
      </c>
      <c r="D86" s="161">
        <v>27979.78</v>
      </c>
      <c r="E86" s="162">
        <f t="shared" si="13"/>
        <v>482.40999999999997</v>
      </c>
      <c r="F86" s="161">
        <f t="shared" si="14"/>
        <v>10613.019999999999</v>
      </c>
      <c r="G86" s="163">
        <f t="shared" si="15"/>
        <v>17366.76</v>
      </c>
    </row>
    <row r="87" ht="12.75">
      <c r="J87" s="127"/>
    </row>
    <row r="88" ht="12.75">
      <c r="M88" s="97"/>
    </row>
    <row r="91" ht="13.5" thickBot="1"/>
    <row r="92" spans="2:19" ht="12.75" customHeight="1">
      <c r="B92" s="276" t="s">
        <v>28</v>
      </c>
      <c r="C92" s="277"/>
      <c r="D92" s="277"/>
      <c r="E92" s="277"/>
      <c r="F92" s="277"/>
      <c r="G92" s="277"/>
      <c r="H92" s="277"/>
      <c r="I92" s="277"/>
      <c r="J92" s="277"/>
      <c r="K92" s="278"/>
      <c r="L92" s="1"/>
      <c r="M92" s="1"/>
      <c r="N92" s="90"/>
      <c r="O92" s="90"/>
      <c r="P92" s="90"/>
      <c r="Q92" s="90"/>
      <c r="R92" s="90"/>
      <c r="S92" s="90"/>
    </row>
    <row r="93" spans="2:19" ht="13.5" thickBot="1">
      <c r="B93" s="279"/>
      <c r="C93" s="280"/>
      <c r="D93" s="280"/>
      <c r="E93" s="280"/>
      <c r="F93" s="280"/>
      <c r="G93" s="280"/>
      <c r="H93" s="280"/>
      <c r="I93" s="280"/>
      <c r="J93" s="280"/>
      <c r="K93" s="281"/>
      <c r="L93" s="1"/>
      <c r="M93" s="1"/>
      <c r="N93" s="90"/>
      <c r="O93" s="90"/>
      <c r="P93" s="90"/>
      <c r="Q93" s="90"/>
      <c r="R93" s="90"/>
      <c r="S93" s="90"/>
    </row>
    <row r="94" spans="2:13" ht="26.25" thickBot="1">
      <c r="B94" s="92"/>
      <c r="C94" s="292" t="s">
        <v>1</v>
      </c>
      <c r="D94" s="308"/>
      <c r="E94" s="293"/>
      <c r="F94" s="292" t="s">
        <v>2</v>
      </c>
      <c r="G94" s="308"/>
      <c r="H94" s="293"/>
      <c r="I94" s="292" t="s">
        <v>29</v>
      </c>
      <c r="J94" s="293"/>
      <c r="K94" s="237" t="s">
        <v>93</v>
      </c>
      <c r="L94" s="94"/>
      <c r="M94" s="94"/>
    </row>
    <row r="95" spans="2:13" ht="13.5" thickBot="1">
      <c r="B95" s="93"/>
      <c r="C95" s="98" t="s">
        <v>30</v>
      </c>
      <c r="D95" s="238" t="s">
        <v>31</v>
      </c>
      <c r="E95" s="238" t="s">
        <v>32</v>
      </c>
      <c r="F95" s="239" t="s">
        <v>30</v>
      </c>
      <c r="G95" s="238" t="s">
        <v>31</v>
      </c>
      <c r="H95" s="238" t="s">
        <v>32</v>
      </c>
      <c r="I95" s="240" t="s">
        <v>33</v>
      </c>
      <c r="J95" s="241" t="s">
        <v>32</v>
      </c>
      <c r="K95" s="137" t="s">
        <v>92</v>
      </c>
      <c r="L95" s="129"/>
      <c r="M95" s="94"/>
    </row>
    <row r="96" spans="2:13" ht="12.75">
      <c r="B96" s="102">
        <v>2006</v>
      </c>
      <c r="C96" s="130">
        <f>0*'ERR &amp; Sensitivity Analysis'!G11</f>
        <v>0</v>
      </c>
      <c r="D96" s="130">
        <f>9237043*'ERR &amp; Sensitivity Analysis'!G10</f>
        <v>9237043</v>
      </c>
      <c r="E96" s="131">
        <f>C96-D96</f>
        <v>-9237043</v>
      </c>
      <c r="F96" s="132">
        <f>0*'ERR &amp; Sensitivity Analysis'!G11</f>
        <v>0</v>
      </c>
      <c r="G96" s="133">
        <f>15115162*'ERR &amp; Sensitivity Analysis'!G10</f>
        <v>15115162</v>
      </c>
      <c r="H96" s="131">
        <f>F96-G96</f>
        <v>-15115162</v>
      </c>
      <c r="I96" s="168">
        <f>F96+C96</f>
        <v>0</v>
      </c>
      <c r="J96" s="164">
        <f>H96+E96</f>
        <v>-24352205</v>
      </c>
      <c r="K96" s="243">
        <f>J96+('Secondary Roads'!E6*1000000)</f>
        <v>-24352205</v>
      </c>
      <c r="L96" s="130"/>
      <c r="M96" s="131"/>
    </row>
    <row r="97" spans="2:13" ht="12.75">
      <c r="B97" s="102">
        <v>2007</v>
      </c>
      <c r="C97" s="130">
        <f>F11*'ERR &amp; Sensitivity Analysis'!$G$11</f>
        <v>246230.8850353058</v>
      </c>
      <c r="D97" s="131">
        <f>F68*'ERR &amp; Sensitivity Analysis'!$G$10</f>
        <v>7959.82</v>
      </c>
      <c r="E97" s="131">
        <f aca="true" t="shared" si="16" ref="E97:E115">C97-D97</f>
        <v>238271.0650353058</v>
      </c>
      <c r="F97" s="132">
        <f>J11*'ERR &amp; Sensitivity Analysis'!$G$11</f>
        <v>48239.74080137211</v>
      </c>
      <c r="G97" s="131">
        <f>G68*'ERR &amp; Sensitivity Analysis'!$G$10</f>
        <v>13025.16</v>
      </c>
      <c r="H97" s="131">
        <f aca="true" t="shared" si="17" ref="H97:H115">F97-G97</f>
        <v>35214.58080137211</v>
      </c>
      <c r="I97" s="168">
        <f aca="true" t="shared" si="18" ref="I97:I117">F97+C97</f>
        <v>294470.6258366779</v>
      </c>
      <c r="J97" s="164">
        <f aca="true" t="shared" si="19" ref="J97:J117">H97+E97</f>
        <v>273485.6458366779</v>
      </c>
      <c r="K97" s="236">
        <f>J97+('Secondary Roads'!E7*1000000)</f>
        <v>-29726514.354163323</v>
      </c>
      <c r="L97" s="130"/>
      <c r="M97" s="131"/>
    </row>
    <row r="98" spans="2:13" ht="12.75">
      <c r="B98" s="102">
        <v>2008</v>
      </c>
      <c r="C98" s="130">
        <f>F12*'ERR &amp; Sensitivity Analysis'!$G$11</f>
        <v>1697112.7981669726</v>
      </c>
      <c r="D98" s="131">
        <f>F69*'ERR &amp; Sensitivity Analysis'!$G$10</f>
        <v>8092.4800000000005</v>
      </c>
      <c r="E98" s="131">
        <f t="shared" si="16"/>
        <v>1689020.3181669726</v>
      </c>
      <c r="F98" s="132">
        <f>J12*'ERR &amp; Sensitivity Analysis'!$G$11</f>
        <v>2304888.7855219655</v>
      </c>
      <c r="G98" s="131">
        <f>G69*'ERR &amp; Sensitivity Analysis'!$G$10</f>
        <v>13242.240000000002</v>
      </c>
      <c r="H98" s="131">
        <f t="shared" si="17"/>
        <v>2291646.5455219653</v>
      </c>
      <c r="I98" s="168">
        <f t="shared" si="18"/>
        <v>4002001.583688938</v>
      </c>
      <c r="J98" s="164">
        <f t="shared" si="19"/>
        <v>3980666.863688938</v>
      </c>
      <c r="K98" s="236">
        <f>J98+('Secondary Roads'!E8*1000000)</f>
        <v>9560666.863688938</v>
      </c>
      <c r="L98" s="131"/>
      <c r="M98" s="131"/>
    </row>
    <row r="99" spans="2:13" ht="12.75">
      <c r="B99" s="102">
        <v>2009</v>
      </c>
      <c r="C99" s="130">
        <f>F13*'ERR &amp; Sensitivity Analysis'!$G$11</f>
        <v>2209004.445914084</v>
      </c>
      <c r="D99" s="131">
        <f>F70*'ERR &amp; Sensitivity Analysis'!$G$10</f>
        <v>7760.720000000001</v>
      </c>
      <c r="E99" s="131">
        <f t="shared" si="16"/>
        <v>2201243.725914084</v>
      </c>
      <c r="F99" s="132">
        <f>J13*'ERR &amp; Sensitivity Analysis'!$G$11</f>
        <v>2527339.126326311</v>
      </c>
      <c r="G99" s="131">
        <f>G70*'ERR &amp; Sensitivity Analysis'!$G$10</f>
        <v>12699.360000000002</v>
      </c>
      <c r="H99" s="131">
        <f t="shared" si="17"/>
        <v>2514639.766326311</v>
      </c>
      <c r="I99" s="168">
        <f t="shared" si="18"/>
        <v>4736343.5722403955</v>
      </c>
      <c r="J99" s="164">
        <f t="shared" si="19"/>
        <v>4715883.492240395</v>
      </c>
      <c r="K99" s="236">
        <f>J99+('Secondary Roads'!E9*1000000)</f>
        <v>9737883.492240395</v>
      </c>
      <c r="L99" s="131"/>
      <c r="M99" s="131"/>
    </row>
    <row r="100" spans="2:13" ht="12.75">
      <c r="B100" s="102">
        <v>2010</v>
      </c>
      <c r="C100" s="130">
        <f>F14*'ERR &amp; Sensitivity Analysis'!$G$11</f>
        <v>2953339.6630884376</v>
      </c>
      <c r="D100" s="131">
        <f>F71*'ERR &amp; Sensitivity Analysis'!$G$10</f>
        <v>6898.32</v>
      </c>
      <c r="E100" s="131">
        <f t="shared" si="16"/>
        <v>2946441.343088438</v>
      </c>
      <c r="F100" s="132">
        <f>J14*'ERR &amp; Sensitivity Analysis'!$G$11</f>
        <v>2780975.6600754857</v>
      </c>
      <c r="G100" s="131">
        <f>G71*'ERR &amp; Sensitivity Analysis'!$G$10</f>
        <v>11288.16</v>
      </c>
      <c r="H100" s="131">
        <f t="shared" si="17"/>
        <v>2769687.5000754856</v>
      </c>
      <c r="I100" s="168">
        <f t="shared" si="18"/>
        <v>5734315.323163923</v>
      </c>
      <c r="J100" s="164">
        <f t="shared" si="19"/>
        <v>5716128.843163923</v>
      </c>
      <c r="K100" s="236">
        <f>J100+('Secondary Roads'!E10*1000000)</f>
        <v>10235928.843163922</v>
      </c>
      <c r="L100" s="131"/>
      <c r="M100" s="131"/>
    </row>
    <row r="101" spans="2:13" ht="12.75">
      <c r="B101" s="102">
        <v>2011</v>
      </c>
      <c r="C101" s="130">
        <f>F15*'ERR &amp; Sensitivity Analysis'!$G$11</f>
        <v>3894213.5675251833</v>
      </c>
      <c r="D101" s="131">
        <f>F72*'ERR &amp; Sensitivity Analysis'!$G$10</f>
        <v>18572.620000000003</v>
      </c>
      <c r="E101" s="131">
        <f t="shared" si="16"/>
        <v>3875640.947525183</v>
      </c>
      <c r="F101" s="132">
        <f>J15*'ERR &amp; Sensitivity Analysis'!$G$11</f>
        <v>3069225.5473534856</v>
      </c>
      <c r="G101" s="131">
        <f>G72*'ERR &amp; Sensitivity Analysis'!$G$10</f>
        <v>30391.56</v>
      </c>
      <c r="H101" s="131">
        <f t="shared" si="17"/>
        <v>3038833.9873534855</v>
      </c>
      <c r="I101" s="168">
        <f t="shared" si="18"/>
        <v>6963439.114878669</v>
      </c>
      <c r="J101" s="164">
        <f t="shared" si="19"/>
        <v>6914474.934878669</v>
      </c>
      <c r="K101" s="236">
        <f>J101+('Secondary Roads'!E11*1000000)</f>
        <v>10982294.93487867</v>
      </c>
      <c r="L101" s="131"/>
      <c r="M101" s="131"/>
    </row>
    <row r="102" spans="2:13" ht="12.75">
      <c r="B102" s="102">
        <v>2012</v>
      </c>
      <c r="C102" s="130">
        <f>F16*'ERR &amp; Sensitivity Analysis'!$G$11</f>
        <v>4506320.642169079</v>
      </c>
      <c r="D102" s="131">
        <f>F73*'ERR &amp; Sensitivity Analysis'!$G$10</f>
        <v>8092.4800000000005</v>
      </c>
      <c r="E102" s="131">
        <f t="shared" si="16"/>
        <v>4498228.162169078</v>
      </c>
      <c r="F102" s="132">
        <f>J16*'ERR &amp; Sensitivity Analysis'!$G$11</f>
        <v>3388024.6705112047</v>
      </c>
      <c r="G102" s="131">
        <f>G73*'ERR &amp; Sensitivity Analysis'!$G$10</f>
        <v>13242.240000000002</v>
      </c>
      <c r="H102" s="131">
        <f t="shared" si="17"/>
        <v>3374782.4305112045</v>
      </c>
      <c r="I102" s="168">
        <f t="shared" si="18"/>
        <v>7894345.312680284</v>
      </c>
      <c r="J102" s="164">
        <f t="shared" si="19"/>
        <v>7873010.592680283</v>
      </c>
      <c r="K102" s="236">
        <f>J102+('Secondary Roads'!E12*1000000)</f>
        <v>11534048.592680283</v>
      </c>
      <c r="L102" s="131"/>
      <c r="M102" s="131"/>
    </row>
    <row r="103" spans="2:13" ht="12.75">
      <c r="B103" s="102">
        <v>2013</v>
      </c>
      <c r="C103" s="130">
        <f>F17*'ERR &amp; Sensitivity Analysis'!$G$11</f>
        <v>4745155.636204042</v>
      </c>
      <c r="D103" s="131">
        <f>F74*'ERR &amp; Sensitivity Analysis'!$G$10</f>
        <v>8755.560000000001</v>
      </c>
      <c r="E103" s="131">
        <f t="shared" si="16"/>
        <v>4736400.076204042</v>
      </c>
      <c r="F103" s="132">
        <f>J17*'ERR &amp; Sensitivity Analysis'!$G$11</f>
        <v>3756655.806378046</v>
      </c>
      <c r="G103" s="131">
        <f>G74*'ERR &amp; Sensitivity Analysis'!$G$10</f>
        <v>14327.28</v>
      </c>
      <c r="H103" s="131">
        <f t="shared" si="17"/>
        <v>3742328.5263780463</v>
      </c>
      <c r="I103" s="168">
        <f t="shared" si="18"/>
        <v>8501811.442582088</v>
      </c>
      <c r="J103" s="164">
        <f t="shared" si="19"/>
        <v>8478728.602582088</v>
      </c>
      <c r="K103" s="236">
        <f>J103+('Secondary Roads'!E13*1000000)</f>
        <v>11773662.802582089</v>
      </c>
      <c r="L103" s="131"/>
      <c r="M103" s="131"/>
    </row>
    <row r="104" spans="2:13" ht="12.75">
      <c r="B104" s="102">
        <v>2014</v>
      </c>
      <c r="C104" s="130">
        <f>F18*'ERR &amp; Sensitivity Analysis'!$G$11</f>
        <v>4996648.884922856</v>
      </c>
      <c r="D104" s="131">
        <f>F75*'ERR &amp; Sensitivity Analysis'!$G$10</f>
        <v>9485.300000000001</v>
      </c>
      <c r="E104" s="131">
        <f t="shared" si="16"/>
        <v>4987163.584922857</v>
      </c>
      <c r="F104" s="132">
        <f>J18*'ERR &amp; Sensitivity Analysis'!$G$11</f>
        <v>4146188.954511167</v>
      </c>
      <c r="G104" s="131">
        <f>G75*'ERR &amp; Sensitivity Analysis'!$G$10</f>
        <v>15521.400000000001</v>
      </c>
      <c r="H104" s="131">
        <f t="shared" si="17"/>
        <v>4130667.554511167</v>
      </c>
      <c r="I104" s="168">
        <f t="shared" si="18"/>
        <v>9142837.839434024</v>
      </c>
      <c r="J104" s="164">
        <f t="shared" si="19"/>
        <v>9117831.139434025</v>
      </c>
      <c r="K104" s="236">
        <f>J104+('Secondary Roads'!E14*1000000)</f>
        <v>12083271.919434026</v>
      </c>
      <c r="L104" s="131"/>
      <c r="M104" s="131"/>
    </row>
    <row r="105" spans="2:13" ht="12.75">
      <c r="B105" s="102">
        <v>2015</v>
      </c>
      <c r="C105" s="130">
        <f>F19*'ERR &amp; Sensitivity Analysis'!$G$11</f>
        <v>5261471.275823767</v>
      </c>
      <c r="D105" s="131">
        <f>F76*'ERR &amp; Sensitivity Analysis'!$G$10</f>
        <v>10613.019999999999</v>
      </c>
      <c r="E105" s="131">
        <f t="shared" si="16"/>
        <v>5250858.255823768</v>
      </c>
      <c r="F105" s="132">
        <f>J19*'ERR &amp; Sensitivity Analysis'!$G$11</f>
        <v>4593804.243061649</v>
      </c>
      <c r="G105" s="131">
        <f>G76*'ERR &amp; Sensitivity Analysis'!$G$10</f>
        <v>17366.76</v>
      </c>
      <c r="H105" s="131">
        <f t="shared" si="17"/>
        <v>4576437.483061649</v>
      </c>
      <c r="I105" s="168">
        <f t="shared" si="18"/>
        <v>9855275.518885415</v>
      </c>
      <c r="J105" s="164">
        <f t="shared" si="19"/>
        <v>9827295.738885418</v>
      </c>
      <c r="K105" s="236">
        <f>J105+('Secondary Roads'!E15*1000000)</f>
        <v>12496192.440885417</v>
      </c>
      <c r="L105" s="131"/>
      <c r="M105" s="131"/>
    </row>
    <row r="106" spans="2:13" ht="12.75">
      <c r="B106" s="102">
        <v>2016</v>
      </c>
      <c r="C106" s="130">
        <f>F20*'ERR &amp; Sensitivity Analysis'!$G$11</f>
        <v>5522514.689926536</v>
      </c>
      <c r="D106" s="131">
        <f>F77*'ERR &amp; Sensitivity Analysis'!$G$10</f>
        <v>3410000</v>
      </c>
      <c r="E106" s="131">
        <f t="shared" si="16"/>
        <v>2112514.689926536</v>
      </c>
      <c r="F106" s="132">
        <f>J20*'ERR &amp; Sensitivity Analysis'!$G$11</f>
        <v>5077220.107425263</v>
      </c>
      <c r="G106" s="131">
        <f>G77*'ERR &amp; Sensitivity Analysis'!$G$10</f>
        <v>5580000</v>
      </c>
      <c r="H106" s="131">
        <f t="shared" si="17"/>
        <v>-502779.89257473685</v>
      </c>
      <c r="I106" s="168">
        <f t="shared" si="18"/>
        <v>10599734.7973518</v>
      </c>
      <c r="J106" s="164">
        <f t="shared" si="19"/>
        <v>1609734.797351799</v>
      </c>
      <c r="K106" s="236">
        <f>J106+('Secondary Roads'!E16*1000000)</f>
        <v>4011741.8291517994</v>
      </c>
      <c r="L106" s="131"/>
      <c r="M106" s="131"/>
    </row>
    <row r="107" spans="2:13" ht="12.75">
      <c r="B107" s="102">
        <v>2017</v>
      </c>
      <c r="C107" s="130">
        <f>F21*'ERR &amp; Sensitivity Analysis'!$G$11</f>
        <v>5815207.968492641</v>
      </c>
      <c r="D107" s="131">
        <f>F78*'ERR &amp; Sensitivity Analysis'!$G$10</f>
        <v>7959.82</v>
      </c>
      <c r="E107" s="131">
        <f t="shared" si="16"/>
        <v>5807248.148492641</v>
      </c>
      <c r="F107" s="132">
        <f>J21*'ERR &amp; Sensitivity Analysis'!$G$11</f>
        <v>5609080.5086596105</v>
      </c>
      <c r="G107" s="131">
        <f>G78*'ERR &amp; Sensitivity Analysis'!$G$10</f>
        <v>13025.16</v>
      </c>
      <c r="H107" s="131">
        <f t="shared" si="17"/>
        <v>5596055.34865961</v>
      </c>
      <c r="I107" s="168">
        <f t="shared" si="18"/>
        <v>11424288.47715225</v>
      </c>
      <c r="J107" s="164">
        <f t="shared" si="19"/>
        <v>11403303.49715225</v>
      </c>
      <c r="K107" s="236">
        <f>J107+('Secondary Roads'!E17*1000000)</f>
        <v>13565109.82577225</v>
      </c>
      <c r="L107" s="131"/>
      <c r="M107" s="131"/>
    </row>
    <row r="108" spans="2:13" ht="12.75">
      <c r="B108" s="102">
        <v>2018</v>
      </c>
      <c r="C108" s="130">
        <f>F22*'ERR &amp; Sensitivity Analysis'!$G$11</f>
        <v>6103661.042465259</v>
      </c>
      <c r="D108" s="131">
        <f>F79*'ERR &amp; Sensitivity Analysis'!$G$10</f>
        <v>8092.4800000000005</v>
      </c>
      <c r="E108" s="131">
        <f t="shared" si="16"/>
        <v>6095568.562465259</v>
      </c>
      <c r="F108" s="132">
        <f>J22*'ERR &amp; Sensitivity Analysis'!$G$11</f>
        <v>6204340.387721848</v>
      </c>
      <c r="G108" s="131">
        <f>G79*'ERR &amp; Sensitivity Analysis'!$G$10</f>
        <v>13242.240000000002</v>
      </c>
      <c r="H108" s="131">
        <f t="shared" si="17"/>
        <v>6191098.1477218475</v>
      </c>
      <c r="I108" s="168">
        <f t="shared" si="18"/>
        <v>12308001.430187106</v>
      </c>
      <c r="J108" s="164">
        <f t="shared" si="19"/>
        <v>12286666.710187107</v>
      </c>
      <c r="K108" s="236">
        <f>J108+('Secondary Roads'!E18*1000000)</f>
        <v>14232292.405945107</v>
      </c>
      <c r="L108" s="131"/>
      <c r="M108" s="131"/>
    </row>
    <row r="109" spans="2:13" ht="12.75">
      <c r="B109" s="102">
        <v>2019</v>
      </c>
      <c r="C109" s="130">
        <f>F23*'ERR &amp; Sensitivity Analysis'!$G$11</f>
        <v>6427155.077715918</v>
      </c>
      <c r="D109" s="131">
        <f>F80*'ERR &amp; Sensitivity Analysis'!$G$10</f>
        <v>7760.720000000001</v>
      </c>
      <c r="E109" s="131">
        <f t="shared" si="16"/>
        <v>6419394.357715919</v>
      </c>
      <c r="F109" s="132">
        <f>J23*'ERR &amp; Sensitivity Analysis'!$G$11</f>
        <v>6858148.031049601</v>
      </c>
      <c r="G109" s="131">
        <f>G80*'ERR &amp; Sensitivity Analysis'!$G$10</f>
        <v>12699.360000000002</v>
      </c>
      <c r="H109" s="131">
        <f t="shared" si="17"/>
        <v>6845448.6710496005</v>
      </c>
      <c r="I109" s="168">
        <f t="shared" si="18"/>
        <v>13285303.10876552</v>
      </c>
      <c r="J109" s="164">
        <f t="shared" si="19"/>
        <v>13264843.028765518</v>
      </c>
      <c r="K109" s="236">
        <f>J109+('Secondary Roads'!E19*1000000)</f>
        <v>15015906.154947719</v>
      </c>
      <c r="L109" s="131"/>
      <c r="M109" s="131"/>
    </row>
    <row r="110" spans="2:13" ht="12.75">
      <c r="B110" s="102">
        <v>2020</v>
      </c>
      <c r="C110" s="130">
        <f>F24*'ERR &amp; Sensitivity Analysis'!$G$11</f>
        <v>6767794.296834861</v>
      </c>
      <c r="D110" s="131">
        <f>F81*'ERR &amp; Sensitivity Analysis'!$G$10</f>
        <v>6898.32</v>
      </c>
      <c r="E110" s="131">
        <f t="shared" si="16"/>
        <v>6760895.976834861</v>
      </c>
      <c r="F110" s="132">
        <f>J24*'ERR &amp; Sensitivity Analysis'!$G$11</f>
        <v>7457630.853057819</v>
      </c>
      <c r="G110" s="131">
        <f>G81*'ERR &amp; Sensitivity Analysis'!$G$10</f>
        <v>11288.16</v>
      </c>
      <c r="H110" s="131">
        <f t="shared" si="17"/>
        <v>7446342.693057819</v>
      </c>
      <c r="I110" s="168">
        <f t="shared" si="18"/>
        <v>14225425.14989268</v>
      </c>
      <c r="J110" s="164">
        <f t="shared" si="19"/>
        <v>14207238.66989268</v>
      </c>
      <c r="K110" s="236">
        <f>J110+('Secondary Roads'!E20*1000000)</f>
        <v>15783195.48345666</v>
      </c>
      <c r="L110" s="131"/>
      <c r="M110" s="131"/>
    </row>
    <row r="111" spans="2:13" ht="12.75">
      <c r="B111" s="102">
        <v>2021</v>
      </c>
      <c r="C111" s="130">
        <f>F25*'ERR &amp; Sensitivity Analysis'!$G$11</f>
        <v>7126487.394567109</v>
      </c>
      <c r="D111" s="131">
        <f>F82*'ERR &amp; Sensitivity Analysis'!$G$10</f>
        <v>18572.620000000003</v>
      </c>
      <c r="E111" s="131">
        <f t="shared" si="16"/>
        <v>7107914.774567109</v>
      </c>
      <c r="F111" s="132">
        <f>J25*'ERR &amp; Sensitivity Analysis'!$G$11</f>
        <v>7753481.67702596</v>
      </c>
      <c r="G111" s="131">
        <f>G82*'ERR &amp; Sensitivity Analysis'!$G$10</f>
        <v>30391.56</v>
      </c>
      <c r="H111" s="131">
        <f t="shared" si="17"/>
        <v>7723090.11702596</v>
      </c>
      <c r="I111" s="168">
        <f t="shared" si="18"/>
        <v>14879969.071593069</v>
      </c>
      <c r="J111" s="164">
        <f t="shared" si="19"/>
        <v>14831004.891593069</v>
      </c>
      <c r="K111" s="236">
        <f>J111+('Secondary Roads'!E21*1000000)</f>
        <v>16249366.02380065</v>
      </c>
      <c r="L111" s="131"/>
      <c r="M111" s="131"/>
    </row>
    <row r="112" spans="2:13" ht="12.75">
      <c r="B112" s="102">
        <v>2022</v>
      </c>
      <c r="C112" s="130">
        <f>F26*'ERR &amp; Sensitivity Analysis'!$G$11</f>
        <v>7212766.324479976</v>
      </c>
      <c r="D112" s="131">
        <f>F83*'ERR &amp; Sensitivity Analysis'!$G$10</f>
        <v>8092.4800000000005</v>
      </c>
      <c r="E112" s="131">
        <f t="shared" si="16"/>
        <v>7204673.844479975</v>
      </c>
      <c r="F112" s="132">
        <f>J26*'ERR &amp; Sensitivity Analysis'!$G$11</f>
        <v>8020492.202278543</v>
      </c>
      <c r="G112" s="131">
        <f>G83*'ERR &amp; Sensitivity Analysis'!$G$10</f>
        <v>13242.240000000002</v>
      </c>
      <c r="H112" s="131">
        <f t="shared" si="17"/>
        <v>8007249.962278543</v>
      </c>
      <c r="I112" s="168">
        <f t="shared" si="18"/>
        <v>15233258.526758518</v>
      </c>
      <c r="J112" s="164">
        <f t="shared" si="19"/>
        <v>15211923.80675852</v>
      </c>
      <c r="K112" s="236">
        <f>J112+('Secondary Roads'!E22*1000000)</f>
        <v>16488448.825745344</v>
      </c>
      <c r="L112" s="131"/>
      <c r="M112" s="131"/>
    </row>
    <row r="113" spans="2:13" ht="12.75">
      <c r="B113" s="102">
        <v>2023</v>
      </c>
      <c r="C113" s="130">
        <f>F27*'ERR &amp; Sensitivity Analysis'!$G$11</f>
        <v>7953058.431783418</v>
      </c>
      <c r="D113" s="131">
        <f>F84*'ERR &amp; Sensitivity Analysis'!$G$10</f>
        <v>8755.560000000001</v>
      </c>
      <c r="E113" s="131">
        <f t="shared" si="16"/>
        <v>7944302.871783419</v>
      </c>
      <c r="F113" s="132">
        <f>J27*'ERR &amp; Sensitivity Analysis'!$G$11</f>
        <v>8762459.69299112</v>
      </c>
      <c r="G113" s="131">
        <f>G84*'ERR &amp; Sensitivity Analysis'!$G$10</f>
        <v>14327.28</v>
      </c>
      <c r="H113" s="131">
        <f t="shared" si="17"/>
        <v>8748132.412991121</v>
      </c>
      <c r="I113" s="168">
        <f t="shared" si="18"/>
        <v>16715518.124774538</v>
      </c>
      <c r="J113" s="164">
        <f t="shared" si="19"/>
        <v>16692435.28477454</v>
      </c>
      <c r="K113" s="236">
        <f>J113+('Secondary Roads'!E23*1000000)</f>
        <v>17841307.801862683</v>
      </c>
      <c r="L113" s="131"/>
      <c r="M113" s="131"/>
    </row>
    <row r="114" spans="2:13" ht="12.75">
      <c r="B114" s="102">
        <v>2024</v>
      </c>
      <c r="C114" s="130">
        <f>F28*'ERR &amp; Sensitivity Analysis'!$G$11</f>
        <v>8347642.6491545355</v>
      </c>
      <c r="D114" s="131">
        <f>F85*'ERR &amp; Sensitivity Analysis'!$G$10</f>
        <v>9485.300000000001</v>
      </c>
      <c r="E114" s="131">
        <f t="shared" si="16"/>
        <v>8338157.349154536</v>
      </c>
      <c r="F114" s="132">
        <f>J28*'ERR &amp; Sensitivity Analysis'!$G$11</f>
        <v>9226870.056719648</v>
      </c>
      <c r="G114" s="131">
        <f>G85*'ERR &amp; Sensitivity Analysis'!$G$10</f>
        <v>15521.400000000001</v>
      </c>
      <c r="H114" s="131">
        <f t="shared" si="17"/>
        <v>9211348.656719647</v>
      </c>
      <c r="I114" s="168">
        <f t="shared" si="18"/>
        <v>17574512.705874182</v>
      </c>
      <c r="J114" s="164">
        <f t="shared" si="19"/>
        <v>17549506.005874183</v>
      </c>
      <c r="K114" s="236">
        <f>J114+('Secondary Roads'!E24*1000000)</f>
        <v>18583491.27125351</v>
      </c>
      <c r="L114" s="131"/>
      <c r="M114" s="131"/>
    </row>
    <row r="115" spans="2:13" ht="12.75">
      <c r="B115" s="102">
        <v>2025</v>
      </c>
      <c r="C115" s="130">
        <f>F29*'ERR &amp; Sensitivity Analysis'!$G$11</f>
        <v>8790067.709559726</v>
      </c>
      <c r="D115" s="131">
        <f>F86*'ERR &amp; Sensitivity Analysis'!$G$10</f>
        <v>10613.019999999999</v>
      </c>
      <c r="E115" s="131">
        <f t="shared" si="16"/>
        <v>8779454.689559726</v>
      </c>
      <c r="F115" s="132">
        <f>J29*'ERR &amp; Sensitivity Analysis'!$G$11</f>
        <v>9715894.169725789</v>
      </c>
      <c r="G115" s="131">
        <f>G86*'ERR &amp; Sensitivity Analysis'!$G$10</f>
        <v>17366.76</v>
      </c>
      <c r="H115" s="131">
        <f t="shared" si="17"/>
        <v>9698527.409725789</v>
      </c>
      <c r="I115" s="168">
        <f t="shared" si="18"/>
        <v>18505961.879285514</v>
      </c>
      <c r="J115" s="164">
        <f t="shared" si="19"/>
        <v>18477982.099285513</v>
      </c>
      <c r="K115" s="236">
        <f>J115+('Secondary Roads'!E25*1000000)</f>
        <v>19408568.83812691</v>
      </c>
      <c r="L115" s="131"/>
      <c r="M115" s="131"/>
    </row>
    <row r="116" spans="2:13" ht="13.5" thickBot="1">
      <c r="B116" s="113"/>
      <c r="C116" s="130">
        <f>F30*'ERR &amp; Sensitivity Analysis'!$G$11</f>
        <v>8761783.285714285</v>
      </c>
      <c r="D116" s="166">
        <f>D115</f>
        <v>10613.019999999999</v>
      </c>
      <c r="E116" s="166">
        <f>C116-D116</f>
        <v>8751170.265714286</v>
      </c>
      <c r="F116" s="132">
        <f>J30*'ERR &amp; Sensitivity Analysis'!$G$11</f>
        <v>9716717.14285714</v>
      </c>
      <c r="G116" s="166">
        <f>G115</f>
        <v>17366.76</v>
      </c>
      <c r="H116" s="166">
        <f>F116-G116</f>
        <v>9699350.38285714</v>
      </c>
      <c r="I116" s="169">
        <f t="shared" si="18"/>
        <v>18478500.428571425</v>
      </c>
      <c r="J116" s="167">
        <f>H116+E116</f>
        <v>18450520.648571424</v>
      </c>
      <c r="K116" s="244">
        <f>J116+('Secondary Roads'!E26*1000000)</f>
        <v>19288048.713528678</v>
      </c>
      <c r="L116" s="131"/>
      <c r="M116" s="131"/>
    </row>
    <row r="117" spans="2:13" ht="12.75">
      <c r="B117" s="170" t="s">
        <v>87</v>
      </c>
      <c r="C117" s="172">
        <f>SUM(C96:C116)</f>
        <v>109337636.669544</v>
      </c>
      <c r="D117" s="172">
        <f>SUM(D96:D116)</f>
        <v>12830116.660000004</v>
      </c>
      <c r="E117" s="172">
        <f>C117-D117</f>
        <v>96507520.00954399</v>
      </c>
      <c r="F117" s="174">
        <f>SUM(F96:F116)</f>
        <v>111017677.36405303</v>
      </c>
      <c r="G117" s="172">
        <f>SUM(G96:G116)</f>
        <v>20994737.08</v>
      </c>
      <c r="H117" s="173">
        <f>F117-G117</f>
        <v>90022940.28405303</v>
      </c>
      <c r="I117" s="171">
        <f t="shared" si="18"/>
        <v>220355314.03359702</v>
      </c>
      <c r="J117" s="173">
        <f t="shared" si="19"/>
        <v>186530460.293597</v>
      </c>
      <c r="K117" s="245">
        <f>SUM(K96:K116)</f>
        <v>204792707.70898175</v>
      </c>
      <c r="L117" s="94"/>
      <c r="M117" s="94"/>
    </row>
    <row r="118" spans="2:13" ht="13.5" thickBot="1">
      <c r="B118" s="175"/>
      <c r="C118" s="176"/>
      <c r="D118" s="177" t="s">
        <v>34</v>
      </c>
      <c r="E118" s="204">
        <f>IRR(E96:E116)</f>
        <v>0.28818827253956203</v>
      </c>
      <c r="F118" s="178"/>
      <c r="G118" s="177" t="s">
        <v>34</v>
      </c>
      <c r="H118" s="205">
        <f>IRR(H96:H116)</f>
        <v>0.19374054560164705</v>
      </c>
      <c r="I118" s="177" t="s">
        <v>34</v>
      </c>
      <c r="J118" s="205">
        <f>IRR(J96:J116)</f>
        <v>0.2325825657794699</v>
      </c>
      <c r="K118" s="246"/>
      <c r="L118" s="134"/>
      <c r="M118" s="135"/>
    </row>
    <row r="119" spans="9:11" ht="12.75">
      <c r="I119" s="94"/>
      <c r="J119" s="136"/>
      <c r="K119" s="94"/>
    </row>
    <row r="120" ht="13.5" thickBot="1"/>
    <row r="121" spans="2:6" ht="12.75">
      <c r="B121" s="179"/>
      <c r="C121" s="180"/>
      <c r="D121" s="180"/>
      <c r="E121" s="307"/>
      <c r="F121" s="307"/>
    </row>
    <row r="122" spans="2:6" ht="13.5" thickBot="1">
      <c r="B122" s="181"/>
      <c r="C122" s="182" t="s">
        <v>35</v>
      </c>
      <c r="D122" s="182" t="s">
        <v>36</v>
      </c>
      <c r="E122" s="307"/>
      <c r="F122" s="307"/>
    </row>
    <row r="123" spans="2:6" ht="26.25" thickBot="1">
      <c r="B123" s="183" t="s">
        <v>17</v>
      </c>
      <c r="C123" s="184" t="s">
        <v>37</v>
      </c>
      <c r="D123" s="185">
        <v>22</v>
      </c>
      <c r="E123" s="186"/>
      <c r="F123" s="186"/>
    </row>
    <row r="124" spans="2:6" ht="26.25" thickBot="1">
      <c r="B124" s="183" t="s">
        <v>18</v>
      </c>
      <c r="C124" s="187" t="s">
        <v>38</v>
      </c>
      <c r="D124" s="188">
        <v>36</v>
      </c>
      <c r="E124" s="186"/>
      <c r="F124" s="186"/>
    </row>
    <row r="125" spans="2:6" ht="12.75">
      <c r="B125" s="110"/>
      <c r="C125" s="110"/>
      <c r="D125" s="110"/>
      <c r="E125" s="110"/>
      <c r="F125" s="110"/>
    </row>
    <row r="126" spans="2:6" ht="12.75">
      <c r="B126" s="110"/>
      <c r="C126" s="110"/>
      <c r="D126" s="110"/>
      <c r="E126" s="110"/>
      <c r="F126" s="110"/>
    </row>
    <row r="127" spans="2:6" ht="13.5" thickBot="1">
      <c r="B127" s="110"/>
      <c r="C127" s="110"/>
      <c r="D127" s="110"/>
      <c r="E127" s="110"/>
      <c r="F127" s="110"/>
    </row>
    <row r="128" spans="2:6" ht="39" thickBot="1">
      <c r="B128" s="110"/>
      <c r="C128" s="189"/>
      <c r="D128" s="190" t="s">
        <v>39</v>
      </c>
      <c r="E128" s="191" t="s">
        <v>34</v>
      </c>
      <c r="F128" s="191" t="s">
        <v>40</v>
      </c>
    </row>
    <row r="129" spans="2:6" ht="12.75">
      <c r="B129" s="110"/>
      <c r="C129" s="179" t="s">
        <v>41</v>
      </c>
      <c r="D129" s="192">
        <v>12</v>
      </c>
      <c r="E129" s="200">
        <f>E118</f>
        <v>0.28818827253956203</v>
      </c>
      <c r="F129" s="193">
        <v>32023152</v>
      </c>
    </row>
    <row r="130" spans="2:6" ht="12.75">
      <c r="B130" s="110"/>
      <c r="C130" s="194"/>
      <c r="D130" s="195">
        <v>20</v>
      </c>
      <c r="E130" s="201">
        <f>H118</f>
        <v>0.19374054560164705</v>
      </c>
      <c r="F130" s="196"/>
    </row>
    <row r="131" spans="2:6" ht="13.5" thickBot="1">
      <c r="B131" s="110"/>
      <c r="C131" s="181" t="s">
        <v>42</v>
      </c>
      <c r="D131" s="197">
        <v>60</v>
      </c>
      <c r="E131" s="202">
        <f>'Secondary Roads'!E3</f>
        <v>0.08019831404823473</v>
      </c>
      <c r="F131" s="198">
        <v>60000000</v>
      </c>
    </row>
    <row r="132" spans="2:6" ht="23.25" customHeight="1" thickBot="1">
      <c r="B132" s="110"/>
      <c r="C132" s="294" t="s">
        <v>43</v>
      </c>
      <c r="D132" s="295"/>
      <c r="E132" s="203">
        <f>D129/92*E129+D130/92*E130+D131/92*E131</f>
        <v>0.13201053288480183</v>
      </c>
      <c r="F132" s="199"/>
    </row>
    <row r="133" spans="2:6" ht="12.75">
      <c r="B133" s="110"/>
      <c r="C133" s="110"/>
      <c r="D133" s="110"/>
      <c r="E133" s="110"/>
      <c r="F133" s="110"/>
    </row>
  </sheetData>
  <mergeCells count="28">
    <mergeCell ref="G6:J6"/>
    <mergeCell ref="E8:E9"/>
    <mergeCell ref="F8:F9"/>
    <mergeCell ref="I8:I9"/>
    <mergeCell ref="E121:E122"/>
    <mergeCell ref="F121:F122"/>
    <mergeCell ref="C94:E94"/>
    <mergeCell ref="F94:H94"/>
    <mergeCell ref="I94:J94"/>
    <mergeCell ref="C132:D132"/>
    <mergeCell ref="M7:U8"/>
    <mergeCell ref="W7:AE8"/>
    <mergeCell ref="A36:L37"/>
    <mergeCell ref="J8:J9"/>
    <mergeCell ref="B6:B9"/>
    <mergeCell ref="C38:H38"/>
    <mergeCell ref="I38:L38"/>
    <mergeCell ref="B38:B39"/>
    <mergeCell ref="AG7:AO8"/>
    <mergeCell ref="AQ7:AY8"/>
    <mergeCell ref="B92:K93"/>
    <mergeCell ref="A1:H1"/>
    <mergeCell ref="A38:A39"/>
    <mergeCell ref="B64:G64"/>
    <mergeCell ref="C8:D8"/>
    <mergeCell ref="G8:H8"/>
    <mergeCell ref="B4:J5"/>
    <mergeCell ref="C6:F6"/>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4"/>
  <dimension ref="A1:J31"/>
  <sheetViews>
    <sheetView workbookViewId="0" topLeftCell="A1">
      <selection activeCell="A1" sqref="A1:E2"/>
    </sheetView>
  </sheetViews>
  <sheetFormatPr defaultColWidth="9.140625" defaultRowHeight="12.75"/>
  <cols>
    <col min="1" max="16384" width="9.140625" style="110" customWidth="1"/>
  </cols>
  <sheetData>
    <row r="1" spans="1:8" ht="12.75">
      <c r="A1" s="309" t="s">
        <v>44</v>
      </c>
      <c r="B1" s="291"/>
      <c r="C1" s="291"/>
      <c r="D1" s="291"/>
      <c r="E1" s="310"/>
      <c r="H1" s="37" t="s">
        <v>49</v>
      </c>
    </row>
    <row r="2" spans="1:5" ht="12.75">
      <c r="A2" s="315"/>
      <c r="B2" s="316"/>
      <c r="C2" s="316"/>
      <c r="D2" s="316"/>
      <c r="E2" s="317"/>
    </row>
    <row r="3" spans="1:5" ht="13.5" thickBot="1">
      <c r="A3" s="210" t="s">
        <v>45</v>
      </c>
      <c r="B3" s="211"/>
      <c r="C3" s="211"/>
      <c r="D3" s="212">
        <f>IRR(D5:D25)</f>
        <v>0.08019831404823473</v>
      </c>
      <c r="E3" s="213">
        <f>IRR(E6:E26)</f>
        <v>0.08019831404823473</v>
      </c>
    </row>
    <row r="4" spans="1:5" ht="26.25" thickBot="1">
      <c r="A4" s="214" t="s">
        <v>23</v>
      </c>
      <c r="B4" s="215" t="s">
        <v>31</v>
      </c>
      <c r="C4" s="216" t="s">
        <v>46</v>
      </c>
      <c r="D4" s="216" t="s">
        <v>47</v>
      </c>
      <c r="E4" s="217" t="s">
        <v>47</v>
      </c>
    </row>
    <row r="5" spans="1:5" ht="12.75">
      <c r="A5" s="214">
        <v>0</v>
      </c>
      <c r="B5" s="218">
        <f>0*'ERR &amp; Sensitivity Analysis'!G10</f>
        <v>0</v>
      </c>
      <c r="C5" s="219"/>
      <c r="D5" s="219"/>
      <c r="E5" s="220"/>
    </row>
    <row r="6" spans="1:5" ht="12.75">
      <c r="A6" s="221">
        <v>1</v>
      </c>
      <c r="B6" s="222">
        <f>30*'ERR &amp; Sensitivity Analysis'!$G$10</f>
        <v>30</v>
      </c>
      <c r="C6" s="223">
        <f>E6</f>
        <v>0</v>
      </c>
      <c r="D6" s="224">
        <f>-B6</f>
        <v>-30</v>
      </c>
      <c r="E6" s="225"/>
    </row>
    <row r="7" spans="1:5" ht="12.75">
      <c r="A7" s="221">
        <f aca="true" t="shared" si="0" ref="A7:A25">A6+1</f>
        <v>2</v>
      </c>
      <c r="B7" s="222">
        <f>30*'ERR &amp; Sensitivity Analysis'!$G$10</f>
        <v>30</v>
      </c>
      <c r="C7" s="223">
        <f>D7</f>
        <v>5.58</v>
      </c>
      <c r="D7" s="224">
        <f>5.58*'ERR &amp; Sensitivity Analysis'!G11</f>
        <v>5.58</v>
      </c>
      <c r="E7" s="225">
        <f>-B7</f>
        <v>-30</v>
      </c>
    </row>
    <row r="8" spans="1:5" ht="12.75">
      <c r="A8" s="234">
        <f t="shared" si="0"/>
        <v>3</v>
      </c>
      <c r="B8" s="235">
        <f>0*'ERR &amp; Sensitivity Analysis'!G10</f>
        <v>0</v>
      </c>
      <c r="C8" s="226">
        <f>D8+E8</f>
        <v>10.602</v>
      </c>
      <c r="D8" s="224">
        <f>D7*0.9</f>
        <v>5.022</v>
      </c>
      <c r="E8" s="225">
        <f>5.58*'ERR &amp; Sensitivity Analysis'!G11</f>
        <v>5.58</v>
      </c>
    </row>
    <row r="9" spans="1:5" ht="12.75">
      <c r="A9" s="221">
        <f t="shared" si="0"/>
        <v>4</v>
      </c>
      <c r="B9" s="222">
        <f>0*'ERR &amp; Sensitivity Analysis'!G10</f>
        <v>0</v>
      </c>
      <c r="C9" s="226">
        <f aca="true" t="shared" si="1" ref="C9:C26">D9+E9</f>
        <v>9.5418</v>
      </c>
      <c r="D9" s="224">
        <f aca="true" t="shared" si="2" ref="D9:E25">D8*0.9</f>
        <v>4.5198</v>
      </c>
      <c r="E9" s="225">
        <f>E8*0.9</f>
        <v>5.022</v>
      </c>
    </row>
    <row r="10" spans="1:5" ht="12.75">
      <c r="A10" s="221">
        <f t="shared" si="0"/>
        <v>5</v>
      </c>
      <c r="B10" s="222"/>
      <c r="C10" s="226">
        <f t="shared" si="1"/>
        <v>8.587620000000001</v>
      </c>
      <c r="D10" s="224">
        <f t="shared" si="2"/>
        <v>4.06782</v>
      </c>
      <c r="E10" s="225">
        <f t="shared" si="2"/>
        <v>4.5198</v>
      </c>
    </row>
    <row r="11" spans="1:5" ht="12.75">
      <c r="A11" s="221">
        <f t="shared" si="0"/>
        <v>6</v>
      </c>
      <c r="B11" s="222"/>
      <c r="C11" s="226">
        <f t="shared" si="1"/>
        <v>7.728858000000001</v>
      </c>
      <c r="D11" s="224">
        <f t="shared" si="2"/>
        <v>3.6610380000000005</v>
      </c>
      <c r="E11" s="225">
        <f t="shared" si="2"/>
        <v>4.06782</v>
      </c>
    </row>
    <row r="12" spans="1:5" ht="12.75">
      <c r="A12" s="221">
        <f t="shared" si="0"/>
        <v>7</v>
      </c>
      <c r="B12" s="222"/>
      <c r="C12" s="226">
        <f t="shared" si="1"/>
        <v>6.9559722000000015</v>
      </c>
      <c r="D12" s="224">
        <f t="shared" si="2"/>
        <v>3.2949342000000006</v>
      </c>
      <c r="E12" s="225">
        <f t="shared" si="2"/>
        <v>3.6610380000000005</v>
      </c>
    </row>
    <row r="13" spans="1:5" ht="12.75">
      <c r="A13" s="221">
        <f t="shared" si="0"/>
        <v>8</v>
      </c>
      <c r="B13" s="222"/>
      <c r="C13" s="226">
        <f t="shared" si="1"/>
        <v>6.260374980000002</v>
      </c>
      <c r="D13" s="224">
        <f t="shared" si="2"/>
        <v>2.9654407800000007</v>
      </c>
      <c r="E13" s="225">
        <f t="shared" si="2"/>
        <v>3.2949342000000006</v>
      </c>
    </row>
    <row r="14" spans="1:5" ht="12.75">
      <c r="A14" s="221">
        <f t="shared" si="0"/>
        <v>9</v>
      </c>
      <c r="B14" s="222"/>
      <c r="C14" s="226">
        <f t="shared" si="1"/>
        <v>5.634337482000001</v>
      </c>
      <c r="D14" s="224">
        <f t="shared" si="2"/>
        <v>2.6688967020000005</v>
      </c>
      <c r="E14" s="225">
        <f t="shared" si="2"/>
        <v>2.9654407800000007</v>
      </c>
    </row>
    <row r="15" spans="1:5" ht="12.75">
      <c r="A15" s="221">
        <f t="shared" si="0"/>
        <v>10</v>
      </c>
      <c r="B15" s="222"/>
      <c r="C15" s="226">
        <f t="shared" si="1"/>
        <v>5.070903733800002</v>
      </c>
      <c r="D15" s="224">
        <f t="shared" si="2"/>
        <v>2.4020070318000006</v>
      </c>
      <c r="E15" s="225">
        <f t="shared" si="2"/>
        <v>2.6688967020000005</v>
      </c>
    </row>
    <row r="16" spans="1:5" ht="12.75">
      <c r="A16" s="221">
        <f t="shared" si="0"/>
        <v>11</v>
      </c>
      <c r="B16" s="222"/>
      <c r="C16" s="226">
        <f t="shared" si="1"/>
        <v>4.563813360420001</v>
      </c>
      <c r="D16" s="224">
        <f t="shared" si="2"/>
        <v>2.1618063286200004</v>
      </c>
      <c r="E16" s="225">
        <f t="shared" si="2"/>
        <v>2.4020070318000006</v>
      </c>
    </row>
    <row r="17" spans="1:5" ht="12.75">
      <c r="A17" s="221">
        <f t="shared" si="0"/>
        <v>12</v>
      </c>
      <c r="B17" s="222"/>
      <c r="C17" s="226">
        <f t="shared" si="1"/>
        <v>4.107432024378001</v>
      </c>
      <c r="D17" s="224">
        <f t="shared" si="2"/>
        <v>1.9456256957580005</v>
      </c>
      <c r="E17" s="225">
        <f t="shared" si="2"/>
        <v>2.1618063286200004</v>
      </c>
    </row>
    <row r="18" spans="1:5" ht="12.75">
      <c r="A18" s="221">
        <f t="shared" si="0"/>
        <v>13</v>
      </c>
      <c r="B18" s="222"/>
      <c r="C18" s="226">
        <f t="shared" si="1"/>
        <v>3.696688821940201</v>
      </c>
      <c r="D18" s="224">
        <f t="shared" si="2"/>
        <v>1.7510631261822005</v>
      </c>
      <c r="E18" s="225">
        <f t="shared" si="2"/>
        <v>1.9456256957580005</v>
      </c>
    </row>
    <row r="19" spans="1:5" ht="12.75">
      <c r="A19" s="221">
        <f t="shared" si="0"/>
        <v>14</v>
      </c>
      <c r="B19" s="222"/>
      <c r="C19" s="226">
        <f t="shared" si="1"/>
        <v>3.3270199397461813</v>
      </c>
      <c r="D19" s="224">
        <f t="shared" si="2"/>
        <v>1.5759568135639805</v>
      </c>
      <c r="E19" s="225">
        <f t="shared" si="2"/>
        <v>1.7510631261822005</v>
      </c>
    </row>
    <row r="20" spans="1:5" ht="12.75">
      <c r="A20" s="221">
        <f t="shared" si="0"/>
        <v>15</v>
      </c>
      <c r="B20" s="222"/>
      <c r="C20" s="226">
        <f t="shared" si="1"/>
        <v>2.994317945771563</v>
      </c>
      <c r="D20" s="224">
        <f t="shared" si="2"/>
        <v>1.4183611322075824</v>
      </c>
      <c r="E20" s="225">
        <f t="shared" si="2"/>
        <v>1.5759568135639805</v>
      </c>
    </row>
    <row r="21" spans="1:5" ht="12.75">
      <c r="A21" s="221">
        <f t="shared" si="0"/>
        <v>16</v>
      </c>
      <c r="B21" s="222"/>
      <c r="C21" s="226">
        <f t="shared" si="1"/>
        <v>2.6948861511944067</v>
      </c>
      <c r="D21" s="224">
        <f t="shared" si="2"/>
        <v>1.2765250189868242</v>
      </c>
      <c r="E21" s="225">
        <f t="shared" si="2"/>
        <v>1.4183611322075824</v>
      </c>
    </row>
    <row r="22" spans="1:5" ht="12.75">
      <c r="A22" s="221">
        <f t="shared" si="0"/>
        <v>17</v>
      </c>
      <c r="B22" s="222"/>
      <c r="C22" s="226">
        <f t="shared" si="1"/>
        <v>2.425397536074966</v>
      </c>
      <c r="D22" s="224">
        <f t="shared" si="2"/>
        <v>1.1488725170881418</v>
      </c>
      <c r="E22" s="225">
        <f t="shared" si="2"/>
        <v>1.2765250189868242</v>
      </c>
    </row>
    <row r="23" spans="1:5" ht="12.75">
      <c r="A23" s="221">
        <f t="shared" si="0"/>
        <v>18</v>
      </c>
      <c r="B23" s="222"/>
      <c r="C23" s="226">
        <f t="shared" si="1"/>
        <v>2.1828577824674693</v>
      </c>
      <c r="D23" s="224">
        <f t="shared" si="2"/>
        <v>1.0339852653793276</v>
      </c>
      <c r="E23" s="225">
        <f t="shared" si="2"/>
        <v>1.1488725170881418</v>
      </c>
    </row>
    <row r="24" spans="1:5" ht="12.75">
      <c r="A24" s="221">
        <f t="shared" si="0"/>
        <v>19</v>
      </c>
      <c r="B24" s="222"/>
      <c r="C24" s="226">
        <f t="shared" si="1"/>
        <v>1.9645720042207224</v>
      </c>
      <c r="D24" s="224">
        <f t="shared" si="2"/>
        <v>0.9305867388413949</v>
      </c>
      <c r="E24" s="225">
        <f t="shared" si="2"/>
        <v>1.0339852653793276</v>
      </c>
    </row>
    <row r="25" spans="1:5" ht="12.75">
      <c r="A25" s="221">
        <f t="shared" si="0"/>
        <v>20</v>
      </c>
      <c r="B25" s="222"/>
      <c r="C25" s="226">
        <f t="shared" si="1"/>
        <v>1.7681148037986503</v>
      </c>
      <c r="D25" s="224">
        <f t="shared" si="2"/>
        <v>0.8375280649572554</v>
      </c>
      <c r="E25" s="225">
        <f t="shared" si="2"/>
        <v>0.9305867388413949</v>
      </c>
    </row>
    <row r="26" spans="1:5" ht="13.5" thickBot="1">
      <c r="A26" s="227"/>
      <c r="B26" s="228"/>
      <c r="C26" s="229">
        <f t="shared" si="1"/>
        <v>0.8375280649572554</v>
      </c>
      <c r="D26" s="230"/>
      <c r="E26" s="231">
        <f>E25*0.9</f>
        <v>0.8375280649572554</v>
      </c>
    </row>
    <row r="27" spans="1:5" ht="13.5" thickBot="1">
      <c r="A27" s="232" t="s">
        <v>48</v>
      </c>
      <c r="B27" s="228">
        <f>SUM(B6:B8)</f>
        <v>60</v>
      </c>
      <c r="C27" s="230"/>
      <c r="D27" s="230"/>
      <c r="E27" s="233"/>
    </row>
    <row r="29" ht="12.75">
      <c r="A29" s="242" t="s">
        <v>94</v>
      </c>
    </row>
    <row r="31" spans="1:10" ht="12.75" customHeight="1">
      <c r="A31" s="282">
        <f>IF('ERR &amp; Sensitivity Analysis'!$I$10="N","Note: Current calculations are based on user input and are not the original MCC estimates.",0)</f>
        <v>0</v>
      </c>
      <c r="B31" s="282"/>
      <c r="C31" s="282"/>
      <c r="D31" s="282"/>
      <c r="E31" s="282"/>
      <c r="F31" s="282"/>
      <c r="G31" s="282"/>
      <c r="H31" s="282"/>
      <c r="I31" s="282"/>
      <c r="J31" s="282"/>
    </row>
  </sheetData>
  <mergeCells count="2">
    <mergeCell ref="A1:E2"/>
    <mergeCell ref="A31:J31"/>
  </mergeCells>
  <conditionalFormatting sqref="A31">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Breitbarth</dc:creator>
  <cp:keywords/>
  <dc:description/>
  <cp:lastModifiedBy>Tim Breitbarth</cp:lastModifiedBy>
  <dcterms:created xsi:type="dcterms:W3CDTF">2008-06-10T15:38:14Z</dcterms:created>
  <dcterms:modified xsi:type="dcterms:W3CDTF">2008-08-07T14:38:18Z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