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61" windowWidth="12630" windowHeight="7815" tabRatio="633" activeTab="0"/>
  </bookViews>
  <sheets>
    <sheet name="Instruction Sheet" sheetId="1" r:id="rId1"/>
    <sheet name="Ranking Sheet" sheetId="2" r:id="rId2"/>
    <sheet name="Estimate Sheet" sheetId="3" r:id="rId3"/>
    <sheet name="State Office Use" sheetId="4" r:id="rId4"/>
  </sheets>
  <definedNames>
    <definedName name="_xlnm.Print_Area" localSheetId="2">'Estimate Sheet'!$A$1:$I$56</definedName>
    <definedName name="_xlnm.Print_Area" localSheetId="1">'Ranking Sheet'!$A$1:$F$128</definedName>
  </definedNames>
  <calcPr fullCalcOnLoad="1"/>
</workbook>
</file>

<file path=xl/comments2.xml><?xml version="1.0" encoding="utf-8"?>
<comments xmlns="http://schemas.openxmlformats.org/spreadsheetml/2006/main">
  <authors>
    <author>victor.shelton</author>
  </authors>
  <commentList>
    <comment ref="D26" authorId="0">
      <text>
        <r>
          <rPr>
            <sz val="8"/>
            <rFont val="Tahoma"/>
            <family val="0"/>
          </rPr>
          <t xml:space="preserve">Points are allocated as follows:
80-100 % = 35 points
70-79 % = 30 points
60-69 % = 25 points
50-59 % = 20 points
40-49 % = 15 points
30-39 % = 10 points
20-29 % = 5 points
1-19 % = 1 point
</t>
        </r>
      </text>
    </comment>
    <comment ref="D35" authorId="0">
      <text>
        <r>
          <rPr>
            <sz val="8"/>
            <rFont val="Tahoma"/>
            <family val="0"/>
          </rPr>
          <t>Points are allocated as follows:
Populations of
&gt;140/sq mile = 10 points
61-140/sq mile = 20 points
31-60/sq mile = 35 points
10-30/sq mile = 20 points
&lt;10/sq mile = 5</t>
        </r>
      </text>
    </comment>
    <comment ref="D96" authorId="0">
      <text>
        <r>
          <rPr>
            <sz val="8"/>
            <rFont val="Tahoma"/>
            <family val="2"/>
          </rPr>
          <t>3 Points allocated if present</t>
        </r>
      </text>
    </comment>
    <comment ref="D97" authorId="0">
      <text>
        <r>
          <rPr>
            <sz val="8"/>
            <rFont val="Tahoma"/>
            <family val="2"/>
          </rPr>
          <t>3 Points allocated if present</t>
        </r>
      </text>
    </comment>
    <comment ref="D98" authorId="0">
      <text>
        <r>
          <rPr>
            <sz val="8"/>
            <rFont val="Tahoma"/>
            <family val="2"/>
          </rPr>
          <t>2 Points allocated if present</t>
        </r>
      </text>
    </comment>
    <comment ref="D99" authorId="0">
      <text>
        <r>
          <rPr>
            <sz val="8"/>
            <rFont val="Tahoma"/>
            <family val="2"/>
          </rPr>
          <t>2 Points allocated if present</t>
        </r>
      </text>
    </comment>
    <comment ref="D106" authorId="0">
      <text>
        <r>
          <rPr>
            <sz val="8"/>
            <rFont val="Tahoma"/>
            <family val="0"/>
          </rPr>
          <t>Points are allocated as follows:
&gt;640 acres = 10 points
480-639 acres = 8 points
320-479 acres = 6 points
160-319 acres = 4 points
40-159 acres = 2 points
5-39 acres = 1 point
.5-4 acres = .5 points</t>
        </r>
      </text>
    </comment>
    <comment ref="D119" authorId="0">
      <text>
        <r>
          <rPr>
            <sz val="8"/>
            <rFont val="Tahoma"/>
            <family val="0"/>
          </rPr>
          <t>Points allocated as follows:
Permanent Easement = 5 points
30 Year Easement = 4 points
30 Year Rental = 4 points
20 Year Rental = 3 points
15 Year Rental = 2 points
10 Year Rental = 1 point</t>
        </r>
      </text>
    </comment>
    <comment ref="D46" authorId="0">
      <text>
        <r>
          <rPr>
            <sz val="8"/>
            <rFont val="Tahoma"/>
            <family val="0"/>
          </rPr>
          <t xml:space="preserve">50 points allocated according to percent
</t>
        </r>
      </text>
    </comment>
    <comment ref="D47" authorId="0">
      <text>
        <r>
          <rPr>
            <sz val="8"/>
            <rFont val="Tahoma"/>
            <family val="0"/>
          </rPr>
          <t>25 points allocated according to percent</t>
        </r>
      </text>
    </comment>
    <comment ref="D48" authorId="0">
      <text>
        <r>
          <rPr>
            <sz val="8"/>
            <rFont val="Tahoma"/>
            <family val="2"/>
          </rPr>
          <t>10 points allocated according to percent</t>
        </r>
      </text>
    </comment>
    <comment ref="D50" authorId="0">
      <text>
        <r>
          <rPr>
            <sz val="8"/>
            <rFont val="Tahoma"/>
            <family val="2"/>
          </rPr>
          <t>20 points allocated according to percent</t>
        </r>
      </text>
    </comment>
    <comment ref="D54" authorId="0">
      <text>
        <r>
          <rPr>
            <sz val="8"/>
            <rFont val="Tahoma"/>
            <family val="2"/>
          </rPr>
          <t>10 points allocated according to percent</t>
        </r>
      </text>
    </comment>
    <comment ref="D58" authorId="0">
      <text>
        <r>
          <rPr>
            <sz val="8"/>
            <rFont val="Tahoma"/>
            <family val="2"/>
          </rPr>
          <t>15 points allocated according to percent</t>
        </r>
      </text>
    </comment>
    <comment ref="D76" authorId="0">
      <text>
        <r>
          <rPr>
            <sz val="8"/>
            <rFont val="Tahoma"/>
            <family val="2"/>
          </rPr>
          <t>35 points allocated according to percent</t>
        </r>
      </text>
    </comment>
    <comment ref="D77" authorId="0">
      <text>
        <r>
          <rPr>
            <sz val="8"/>
            <rFont val="Tahoma"/>
            <family val="2"/>
          </rPr>
          <t>25 points allocated according to percent</t>
        </r>
      </text>
    </comment>
    <comment ref="D78" authorId="0">
      <text>
        <r>
          <rPr>
            <sz val="8"/>
            <rFont val="Tahoma"/>
            <family val="2"/>
          </rPr>
          <t>15 points allocated according to percent</t>
        </r>
      </text>
    </comment>
    <comment ref="D79" authorId="0">
      <text>
        <r>
          <rPr>
            <sz val="8"/>
            <rFont val="Tahoma"/>
            <family val="2"/>
          </rPr>
          <t>5 points allocated according to percent</t>
        </r>
      </text>
    </comment>
    <comment ref="D80" authorId="0">
      <text>
        <r>
          <rPr>
            <sz val="8"/>
            <rFont val="Tahoma"/>
            <family val="2"/>
          </rPr>
          <t>1 point allocated according to percent</t>
        </r>
      </text>
    </comment>
    <comment ref="D87" authorId="0">
      <text>
        <r>
          <rPr>
            <sz val="8"/>
            <rFont val="Tahoma"/>
            <family val="2"/>
          </rPr>
          <t>5 points allocated according to percent.  Must be one of last two plant communities.</t>
        </r>
      </text>
    </comment>
    <comment ref="D88" authorId="0">
      <text>
        <r>
          <rPr>
            <sz val="8"/>
            <rFont val="Tahoma"/>
            <family val="2"/>
          </rPr>
          <t>10 points allocated according to percent.  Must be one of last two plant communities.</t>
        </r>
      </text>
    </comment>
    <comment ref="D89" authorId="0">
      <text>
        <r>
          <rPr>
            <sz val="8"/>
            <rFont val="Tahoma"/>
            <family val="2"/>
          </rPr>
          <t>8 points allocated according to percent.  Must be one of two last plant communities.</t>
        </r>
      </text>
    </comment>
    <comment ref="A45" authorId="0">
      <text>
        <r>
          <rPr>
            <sz val="8"/>
            <rFont val="Tahoma"/>
            <family val="0"/>
          </rPr>
          <t xml:space="preserve">These systems are presently being utilized for pasture.  An approved system meets NRCS Standards and Specifications. </t>
        </r>
        <r>
          <rPr>
            <b/>
            <sz val="8"/>
            <color indexed="10"/>
            <rFont val="Tahoma"/>
            <family val="2"/>
          </rPr>
          <t xml:space="preserve"> Grazed woodlands are not eligible.</t>
        </r>
        <r>
          <rPr>
            <sz val="8"/>
            <rFont val="Tahoma"/>
            <family val="0"/>
          </rPr>
          <t xml:space="preserve">
</t>
        </r>
      </text>
    </comment>
    <comment ref="A49" authorId="0">
      <text>
        <r>
          <rPr>
            <sz val="8"/>
            <rFont val="Tahoma"/>
            <family val="0"/>
          </rPr>
          <t xml:space="preserve">These systems are being used only for hay production presently.
</t>
        </r>
      </text>
    </comment>
    <comment ref="A53" authorId="0">
      <text>
        <r>
          <rPr>
            <sz val="8"/>
            <rFont val="Tahoma"/>
            <family val="0"/>
          </rPr>
          <t xml:space="preserve">These sites are being used only for wildlife use and have not been used for livestock.  Wooded areas are not eligible.   </t>
        </r>
        <r>
          <rPr>
            <sz val="8"/>
            <color indexed="10"/>
            <rFont val="Tahoma"/>
            <family val="2"/>
          </rPr>
          <t>Small wooded inclusions within open pastures should be included in this section.</t>
        </r>
        <r>
          <rPr>
            <sz val="8"/>
            <rFont val="Tahoma"/>
            <family val="0"/>
          </rPr>
          <t xml:space="preserve">
</t>
        </r>
      </text>
    </comment>
    <comment ref="A57" authorId="0">
      <text>
        <r>
          <rPr>
            <sz val="8"/>
            <rFont val="Tahoma"/>
            <family val="0"/>
          </rPr>
          <t>These sites are presently cropland and have been utilized for row crop production and will be converted to grassland for livestock use.</t>
        </r>
      </text>
    </comment>
    <comment ref="D51" authorId="0">
      <text>
        <r>
          <rPr>
            <sz val="8"/>
            <rFont val="Tahoma"/>
            <family val="0"/>
          </rPr>
          <t>10 points allocated according to percent</t>
        </r>
      </text>
    </comment>
    <comment ref="D52" authorId="0">
      <text>
        <r>
          <rPr>
            <sz val="8"/>
            <rFont val="Tahoma"/>
            <family val="2"/>
          </rPr>
          <t>5 points allocated according to percent</t>
        </r>
      </text>
    </comment>
    <comment ref="D55" authorId="0">
      <text>
        <r>
          <rPr>
            <sz val="8"/>
            <rFont val="Tahoma"/>
            <family val="0"/>
          </rPr>
          <t>5 points allocated according to percent</t>
        </r>
      </text>
    </comment>
    <comment ref="D56" authorId="0">
      <text>
        <r>
          <rPr>
            <sz val="8"/>
            <rFont val="Tahoma"/>
            <family val="2"/>
          </rPr>
          <t>1 point allocated according to percent</t>
        </r>
      </text>
    </comment>
    <comment ref="D59" authorId="0">
      <text>
        <r>
          <rPr>
            <sz val="8"/>
            <rFont val="Tahoma"/>
            <family val="2"/>
          </rPr>
          <t>10 points allocated according to percent</t>
        </r>
      </text>
    </comment>
  </commentList>
</comments>
</file>

<file path=xl/sharedStrings.xml><?xml version="1.0" encoding="utf-8"?>
<sst xmlns="http://schemas.openxmlformats.org/spreadsheetml/2006/main" count="301" uniqueCount="231">
  <si>
    <t>1.  PRIME, OR STATEWIDE IMPORTANT FARMLAND (Section II, FOTG)</t>
  </si>
  <si>
    <t>Conservation Plan is developed for</t>
  </si>
  <si>
    <t>Conservation Plan is developed and fully implemented for</t>
  </si>
  <si>
    <t>Conservation Grazing Plan is developed and fully implemented for</t>
  </si>
  <si>
    <t>2 or more improved (CS) grasses and 2 or more legumes</t>
  </si>
  <si>
    <t>Single improved (CS) grass and a legume</t>
  </si>
  <si>
    <t>&gt; 75% Warm Season Grasses (WSG's) with legumes or forbs</t>
  </si>
  <si>
    <t>PROGRAM, STATE OR FEDERAL PARK, NATURAL OR WILDLIFE AREAS)</t>
  </si>
  <si>
    <t>Acres</t>
  </si>
  <si>
    <t>Permanent Easement</t>
  </si>
  <si>
    <t>30-year Rental Agreement</t>
  </si>
  <si>
    <t>20-year Rental Agreement</t>
  </si>
  <si>
    <t>15-year Rental Agreement</t>
  </si>
  <si>
    <t>10-year Rental Agreement</t>
  </si>
  <si>
    <t>Points awarded =</t>
  </si>
  <si>
    <t>Adjacent Protected land =</t>
  </si>
  <si>
    <t>Subtotal of Points for Section A =</t>
  </si>
  <si>
    <t>Population density =</t>
  </si>
  <si>
    <t>Percent of acreage that is prime farmland as indicated in Section II, FOTG =</t>
  </si>
  <si>
    <t>Percent</t>
  </si>
  <si>
    <t>APPLICANT NAME:</t>
  </si>
  <si>
    <t>FARM NUMBER:</t>
  </si>
  <si>
    <t>TRACT NUMBER:</t>
  </si>
  <si>
    <t>DATE:</t>
  </si>
  <si>
    <t>FIELD NUMBERS:</t>
  </si>
  <si>
    <t>COMPLETED BY:</t>
  </si>
  <si>
    <t xml:space="preserve"> </t>
  </si>
  <si>
    <t>A.  RISK OF CONVERSION</t>
  </si>
  <si>
    <t xml:space="preserve"> 2. GRASSLAND AT RISK FOR URBAN CONVERSION </t>
  </si>
  <si>
    <t>(200 Max Points)</t>
  </si>
  <si>
    <t>(10 Max Points)</t>
  </si>
  <si>
    <t>B. SUPPORT FOR GRAZING OPERATIONS</t>
  </si>
  <si>
    <t>Total offered acres=</t>
  </si>
  <si>
    <t>(50 Max Points)</t>
  </si>
  <si>
    <t>Name:</t>
  </si>
  <si>
    <t>Estimated on:</t>
  </si>
  <si>
    <t>Tract #:</t>
  </si>
  <si>
    <t>County:</t>
  </si>
  <si>
    <t>Practice</t>
  </si>
  <si>
    <t>Total Practice</t>
  </si>
  <si>
    <t>Practices</t>
  </si>
  <si>
    <t>Code</t>
  </si>
  <si>
    <t>Unit</t>
  </si>
  <si>
    <t>No.</t>
  </si>
  <si>
    <t>Totals</t>
  </si>
  <si>
    <t>Cost/Unit</t>
  </si>
  <si>
    <t>Cost</t>
  </si>
  <si>
    <t>Pasture &amp; Hay Planting (WSG)</t>
  </si>
  <si>
    <t>Ac</t>
  </si>
  <si>
    <t>Pasture &amp; Hay Planting (CSG)</t>
  </si>
  <si>
    <t>Frost seeding legumes w/fert</t>
  </si>
  <si>
    <t>Frost seeding legumes only</t>
  </si>
  <si>
    <t>Ft</t>
  </si>
  <si>
    <t>Fence - External Standard</t>
  </si>
  <si>
    <t>Fence - External Energized HT</t>
  </si>
  <si>
    <t>Fence - External Non-Energized HT</t>
  </si>
  <si>
    <t>Fence - Internal Energized HT</t>
  </si>
  <si>
    <t>Stream Crossing</t>
  </si>
  <si>
    <t>Pipeline</t>
  </si>
  <si>
    <t>Pipeline - Hydrants</t>
  </si>
  <si>
    <t>Pond</t>
  </si>
  <si>
    <t>Pumping Plant for Water Control</t>
  </si>
  <si>
    <t>Spring Development</t>
  </si>
  <si>
    <t>Water Well</t>
  </si>
  <si>
    <t>Trough or Tank - All Weather</t>
  </si>
  <si>
    <t>Trough or Tank - Portable</t>
  </si>
  <si>
    <t>Critical Area Seeding</t>
  </si>
  <si>
    <t>Practice Ave.</t>
  </si>
  <si>
    <t>30-year Easement</t>
  </si>
  <si>
    <t>(Improved species are released named species with improved quality)</t>
  </si>
  <si>
    <t>Single non-improved species (includes cropland being converted &amp; Ky 31 Fescue)</t>
  </si>
  <si>
    <t xml:space="preserve">  Each species needs to make up at least 5% of the stand to be considered</t>
  </si>
  <si>
    <r>
      <t>1/</t>
    </r>
    <r>
      <rPr>
        <i/>
        <sz val="8"/>
        <color indexed="10"/>
        <rFont val="Arial"/>
        <family val="2"/>
      </rPr>
      <t xml:space="preserve"> Legumes must be improved species, not black medic &amp; wild ladino</t>
    </r>
  </si>
  <si>
    <t>WSG's can include big &amp; little bluestem, indiangrass, switchgrass, &amp; sideoats grama</t>
  </si>
  <si>
    <t>Actively being grazed:</t>
  </si>
  <si>
    <t>Hayland:</t>
  </si>
  <si>
    <t>Wildlife use or idle:</t>
  </si>
  <si>
    <t>Cropland to be converted to forages:</t>
  </si>
  <si>
    <t>Public water supply</t>
  </si>
  <si>
    <t xml:space="preserve">  Perennial stream (blue line on a USGS topographic map)</t>
  </si>
  <si>
    <t>Sinkhole</t>
  </si>
  <si>
    <t xml:space="preserve">               Offered acreage is within 500 feet of a:</t>
  </si>
  <si>
    <t xml:space="preserve">    Addition of a legume(s) to current stand with no improved legumes present   </t>
  </si>
  <si>
    <t>% of Offerage</t>
  </si>
  <si>
    <t xml:space="preserve">   Points allocated</t>
  </si>
  <si>
    <t xml:space="preserve">    Addition/conversion of offered acreage to Warm-season Grass(es)   </t>
  </si>
  <si>
    <r>
      <t>2/</t>
    </r>
    <r>
      <rPr>
        <i/>
        <sz val="8"/>
        <color indexed="10"/>
        <rFont val="Arial"/>
        <family val="2"/>
      </rPr>
      <t xml:space="preserve">  i.e. alkaloid species such as Kentucky 31 Tall Fescue, Reed Canarygrass</t>
    </r>
  </si>
  <si>
    <r>
      <t xml:space="preserve">Conversion of the offered acreage with problem species </t>
    </r>
    <r>
      <rPr>
        <vertAlign val="subscript"/>
        <sz val="8"/>
        <rFont val="Arial"/>
        <family val="0"/>
      </rPr>
      <t>2/</t>
    </r>
    <r>
      <rPr>
        <sz val="8"/>
        <rFont val="Arial"/>
        <family val="0"/>
      </rPr>
      <t xml:space="preserve"> to improved grass(es) &amp; legume(s)     </t>
    </r>
  </si>
  <si>
    <t>BY EASEMENT (WRP, LAND TRUST GROUP, FARM AND RANCH LAND PROTECTION</t>
  </si>
  <si>
    <t>Points allocated</t>
  </si>
  <si>
    <t>no</t>
  </si>
  <si>
    <t>Predetermined Rental Value per acre =</t>
  </si>
  <si>
    <t>Potential Rental Agreement Value per year =</t>
  </si>
  <si>
    <t>Potential Rental Agreement Total Value =</t>
  </si>
  <si>
    <t>Potential 30 year Easement Value per Acre =</t>
  </si>
  <si>
    <t>Potential Total 30 year Easement Value =</t>
  </si>
  <si>
    <t>Potential Permanent Easement Value per Acre =</t>
  </si>
  <si>
    <t>Potential Total Permanent Easement Value =</t>
  </si>
  <si>
    <t xml:space="preserve">Rental Years = </t>
  </si>
  <si>
    <r>
      <t xml:space="preserve">Fence - Temp Internal - Poly </t>
    </r>
    <r>
      <rPr>
        <vertAlign val="superscript"/>
        <sz val="10"/>
        <rFont val="Arial"/>
        <family val="2"/>
      </rPr>
      <t xml:space="preserve">(2640') </t>
    </r>
    <r>
      <rPr>
        <vertAlign val="subscript"/>
        <sz val="10"/>
        <color indexed="10"/>
        <rFont val="Arial"/>
        <family val="2"/>
      </rPr>
      <t>1/</t>
    </r>
  </si>
  <si>
    <r>
      <t>1/</t>
    </r>
    <r>
      <rPr>
        <i/>
        <sz val="8"/>
        <color indexed="10"/>
        <rFont val="Arial"/>
        <family val="2"/>
      </rPr>
      <t xml:space="preserve"> Normal temporary fence supply - 2640' polywire, 4 reels &amp; 50 step-in posts; insert 2640 for 1 set</t>
    </r>
  </si>
  <si>
    <r>
      <t>2/</t>
    </r>
    <r>
      <rPr>
        <i/>
        <sz val="8"/>
        <color indexed="10"/>
        <rFont val="Arial"/>
        <family val="2"/>
      </rPr>
      <t xml:space="preserve"> Use actual number of square feet in block, report as Acres</t>
    </r>
  </si>
  <si>
    <t>Estimated Total System Costs =</t>
  </si>
  <si>
    <t>Cost Share Rate for Pasture Planting (512) =</t>
  </si>
  <si>
    <t xml:space="preserve">Cost Share Rate for All Other Practices = </t>
  </si>
  <si>
    <t>Estimated Producer Costs =</t>
  </si>
  <si>
    <t>Estimated Cost-share =</t>
  </si>
  <si>
    <t>Not to Exceed</t>
  </si>
  <si>
    <t>EDIT BLOCKS IN GREEN ONLY</t>
  </si>
  <si>
    <t xml:space="preserve">             EDIT BLOCKS IN GREEN ONLY</t>
  </si>
  <si>
    <t xml:space="preserve">      Minimum acreage accepted will be 18 acres (must be contiguous) </t>
  </si>
  <si>
    <t>Victor Shelton</t>
  </si>
  <si>
    <t>(Must total 100%)</t>
  </si>
  <si>
    <t>By:</t>
  </si>
  <si>
    <t>Cost Estimate for Grazing System &amp; Contract</t>
  </si>
  <si>
    <t>Running Tally</t>
  </si>
  <si>
    <t>Enter Yes if True</t>
  </si>
  <si>
    <t>Proceed to Estimate Sheet</t>
  </si>
  <si>
    <t>Applicant signature:</t>
  </si>
  <si>
    <t>Date signed:</t>
  </si>
  <si>
    <t>Grazing Plan is developed but not fully applied or approved system is applied w/o a plan for</t>
  </si>
  <si>
    <t>Conservation Grazing Plan is to be developed and/or there is no approved system applied for</t>
  </si>
  <si>
    <t>Plan is developed but not fully applied or approved system is applied w/o a plan for</t>
  </si>
  <si>
    <t>Conservation Plan is to be developed and/or there is no approved system applied for</t>
  </si>
  <si>
    <r>
      <t>&gt;= 10% WSG's with remaining having 2 improved cool season (CS) grasses and 2 legumes</t>
    </r>
    <r>
      <rPr>
        <vertAlign val="subscript"/>
        <sz val="8"/>
        <rFont val="Arial"/>
        <family val="0"/>
      </rPr>
      <t xml:space="preserve"> 1/</t>
    </r>
  </si>
  <si>
    <r>
      <t xml:space="preserve">Ac </t>
    </r>
    <r>
      <rPr>
        <vertAlign val="subscript"/>
        <sz val="10"/>
        <color indexed="10"/>
        <rFont val="Arial"/>
        <family val="2"/>
      </rPr>
      <t>2/</t>
    </r>
  </si>
  <si>
    <t>Has the offered acreage ever been cultivated? (Enter Yes or No)</t>
  </si>
  <si>
    <t>I confirm that the above information is correct to the best of my knowledge,</t>
  </si>
  <si>
    <t>Certified Wetland as determined by a Reg IV Wetland Delineator</t>
  </si>
  <si>
    <t>Windbreak/Shelterbelt Establishment</t>
  </si>
  <si>
    <r>
      <t xml:space="preserve">Animal Trails and Walkways </t>
    </r>
    <r>
      <rPr>
        <vertAlign val="subscript"/>
        <sz val="10"/>
        <color indexed="10"/>
        <rFont val="Arial"/>
        <family val="2"/>
      </rPr>
      <t>3/</t>
    </r>
  </si>
  <si>
    <r>
      <t>Pad for water or feeding</t>
    </r>
    <r>
      <rPr>
        <vertAlign val="subscript"/>
        <sz val="10"/>
        <rFont val="Arial"/>
        <family val="2"/>
      </rPr>
      <t xml:space="preserve"> </t>
    </r>
    <r>
      <rPr>
        <vertAlign val="subscript"/>
        <sz val="10"/>
        <color indexed="10"/>
        <rFont val="Arial"/>
        <family val="2"/>
      </rPr>
      <t>2/ 3/</t>
    </r>
  </si>
  <si>
    <r>
      <t>3/</t>
    </r>
    <r>
      <rPr>
        <i/>
        <sz val="8"/>
        <color indexed="10"/>
        <rFont val="Arial"/>
        <family val="2"/>
      </rPr>
      <t xml:space="preserve"> Report as Heavy Use Area Protection (561) in Acres</t>
    </r>
  </si>
  <si>
    <t>COUNTY FIPS CODE:</t>
  </si>
  <si>
    <t>The estimated total costshare and rental payments will be based on the values in this spreadsheet.</t>
  </si>
  <si>
    <t>If this application is funded, these values will be used to provide funding level for this application.</t>
  </si>
  <si>
    <t>Be sure that quantity and practices are correct for this conservation system before submitting.</t>
  </si>
  <si>
    <t>You will not be able to edit these values once they have been submitted to the NRCS State Office.</t>
  </si>
  <si>
    <t>Farm No.</t>
  </si>
  <si>
    <t>Tract No.</t>
  </si>
  <si>
    <t>Field No.(s)</t>
  </si>
  <si>
    <t>FIPS Code</t>
  </si>
  <si>
    <t>Completed by</t>
  </si>
  <si>
    <t>Offered Ac</t>
  </si>
  <si>
    <t>Private Owned</t>
  </si>
  <si>
    <t>Contiguous</t>
  </si>
  <si>
    <t>Cultivated</t>
  </si>
  <si>
    <t>Applicant Name</t>
  </si>
  <si>
    <t>30-Year Easement</t>
  </si>
  <si>
    <t>30-Year Rental</t>
  </si>
  <si>
    <t>20-Year Rental</t>
  </si>
  <si>
    <t>15-Year Rental</t>
  </si>
  <si>
    <t>10-Year Rental</t>
  </si>
  <si>
    <t>Total Points</t>
  </si>
  <si>
    <t>Local Land Value</t>
  </si>
  <si>
    <t>Rental $ per Year</t>
  </si>
  <si>
    <t>Total Rental $</t>
  </si>
  <si>
    <t>Total 30 Year Easement $</t>
  </si>
  <si>
    <t>Total Perm. Easement $</t>
  </si>
  <si>
    <t>P&amp;H Planting 512 $</t>
  </si>
  <si>
    <t>Trails &amp; Walkways 561 $</t>
  </si>
  <si>
    <t>Fence 382 $</t>
  </si>
  <si>
    <t>Water &amp; Feed Pads 561 $</t>
  </si>
  <si>
    <t>Stream Crossing 578 $</t>
  </si>
  <si>
    <t>Pipeline 516 $</t>
  </si>
  <si>
    <t>Pond 378 $</t>
  </si>
  <si>
    <t>Pumping Plant 533 $</t>
  </si>
  <si>
    <t>Spring Development 574 $</t>
  </si>
  <si>
    <t>Water Well 642 $</t>
  </si>
  <si>
    <t>Trough &amp; Tank 614 $</t>
  </si>
  <si>
    <t>Critical Area Seeding 342 $</t>
  </si>
  <si>
    <t>Windbreak Shelterbelt 380 $</t>
  </si>
  <si>
    <t>Water &amp; Feed Pads 561 (Ac)</t>
  </si>
  <si>
    <t>Trails &amp; Walkways 561 (Ac)</t>
  </si>
  <si>
    <t>P&amp;H Planting 512 (Ac)</t>
  </si>
  <si>
    <t>Fence 382 (Ft)</t>
  </si>
  <si>
    <t>Stream Crossing 578 (No)</t>
  </si>
  <si>
    <t>Pipeline 516 (Ft)</t>
  </si>
  <si>
    <t>Pond 378 (No)</t>
  </si>
  <si>
    <t>Pumping Plant 533 (No)</t>
  </si>
  <si>
    <t>Spring Development 574 (No)</t>
  </si>
  <si>
    <t>Water Well 642 (No)</t>
  </si>
  <si>
    <t>Trough &amp; Tank 614 (No)</t>
  </si>
  <si>
    <t>Critical Area Seeding 342 (Ac)</t>
  </si>
  <si>
    <t>Windbreak Shelterbelt 380 (Ft)</t>
  </si>
  <si>
    <t>(Enter a number within range indicated)</t>
  </si>
  <si>
    <t>Only last two plant communities eligible</t>
  </si>
  <si>
    <r>
      <t>4/</t>
    </r>
    <r>
      <rPr>
        <i/>
        <sz val="10"/>
        <color indexed="10"/>
        <rFont val="Arial"/>
        <family val="2"/>
      </rPr>
      <t xml:space="preserve"> Subject to change by State Office Staff and/or appraisal</t>
    </r>
  </si>
  <si>
    <r>
      <t xml:space="preserve">Local Land Value  </t>
    </r>
    <r>
      <rPr>
        <vertAlign val="subscript"/>
        <sz val="10"/>
        <color indexed="10"/>
        <rFont val="Arial"/>
        <family val="2"/>
      </rPr>
      <t>4/</t>
    </r>
    <r>
      <rPr>
        <vertAlign val="subscript"/>
        <sz val="10"/>
        <rFont val="Arial"/>
        <family val="2"/>
      </rPr>
      <t xml:space="preserve"> </t>
    </r>
    <r>
      <rPr>
        <sz val="10"/>
        <rFont val="Arial"/>
        <family val="2"/>
      </rPr>
      <t>=</t>
    </r>
  </si>
  <si>
    <t>yes</t>
  </si>
  <si>
    <t>(70 Max Points)</t>
  </si>
  <si>
    <t>C. BIODIVERSITY OF OPERATION</t>
  </si>
  <si>
    <t>Is the offered acreage private ownership? (Enter Yes or No)</t>
  </si>
  <si>
    <t>Is the offered acreage contiguous? (Enter Yes or No)</t>
  </si>
  <si>
    <t>Livestock do not have to travel more than 1200 feet to water?</t>
  </si>
  <si>
    <t>Livestock do not have to travel more than 600 feet to water?</t>
  </si>
  <si>
    <t>Livestock are excluded or allowed &lt;2 day access to ponds, streams, rivers and sinkholes?</t>
  </si>
  <si>
    <r>
      <t xml:space="preserve">1. </t>
    </r>
    <r>
      <rPr>
        <b/>
        <i/>
        <sz val="10"/>
        <color indexed="10"/>
        <rFont val="Arial"/>
        <family val="2"/>
      </rPr>
      <t>EXISTING</t>
    </r>
    <r>
      <rPr>
        <b/>
        <sz val="10"/>
        <rFont val="Arial"/>
        <family val="2"/>
      </rPr>
      <t xml:space="preserve"> GRASSLAND PLANT COMMUNITY -  Offered acres include:</t>
    </r>
  </si>
  <si>
    <r>
      <t xml:space="preserve">2. RESTORATION BY LANDOWNER </t>
    </r>
    <r>
      <rPr>
        <b/>
        <i/>
        <sz val="8"/>
        <rFont val="Arial"/>
        <family val="2"/>
      </rPr>
      <t>(Not for future replacement/maintenance)</t>
    </r>
  </si>
  <si>
    <t>3. ENVIRONMENTALLY SENSITIVE AREAS</t>
  </si>
  <si>
    <t>4. OFFERED ACRES WITHIN 1000 FEET OF LAND PERMANENTLY PROTECTED</t>
  </si>
  <si>
    <t>1. LANDUSE of offered acreage is presently:</t>
  </si>
  <si>
    <t>D. LENGTH OF EASEMENT OR CONTRACT</t>
  </si>
  <si>
    <t>Subtotal for Section B=</t>
  </si>
  <si>
    <t>There are 8 or more paddocks in the grazing system?</t>
  </si>
  <si>
    <t>Subtotal for Section C=</t>
  </si>
  <si>
    <t>(55 Max Points)</t>
  </si>
  <si>
    <t>(35 Max Points)</t>
  </si>
  <si>
    <t>Subtotal for Section D =</t>
  </si>
  <si>
    <t>(5 Max Points)</t>
  </si>
  <si>
    <t>(20 Max Points)</t>
  </si>
  <si>
    <t>2. MANAGEMENT of offered acreage presently:</t>
  </si>
  <si>
    <t>Is fertilizer applied according to Tri-state recommendations &amp; soil tests?</t>
  </si>
  <si>
    <t>(Arcview overlay provided using 2000 census data)</t>
  </si>
  <si>
    <t>Woodlands within the tract with canopy cover &gt;30% are excluded from grazing livestock?</t>
  </si>
  <si>
    <t xml:space="preserve">Average local selling price for similar land type, condition and location:   </t>
  </si>
  <si>
    <t>points subtracted</t>
  </si>
  <si>
    <t>easement?</t>
  </si>
  <si>
    <t>over 3000</t>
  </si>
  <si>
    <t>Total Cost Effectiveness Points =</t>
  </si>
  <si>
    <t>if easement</t>
  </si>
  <si>
    <t>cs/easement cost</t>
  </si>
  <si>
    <t>double check if easement</t>
  </si>
  <si>
    <t>subtracted points</t>
  </si>
  <si>
    <t xml:space="preserve">price point cut </t>
  </si>
  <si>
    <r>
      <t xml:space="preserve">(Enter </t>
    </r>
    <r>
      <rPr>
        <b/>
        <i/>
        <sz val="10"/>
        <color indexed="10"/>
        <rFont val="Arial"/>
        <family val="2"/>
      </rPr>
      <t>yes</t>
    </r>
    <r>
      <rPr>
        <i/>
        <sz val="10"/>
        <color indexed="10"/>
        <rFont val="Arial"/>
        <family val="0"/>
      </rPr>
      <t xml:space="preserve"> in only one box for selected contract)</t>
    </r>
  </si>
  <si>
    <t>John Brown</t>
  </si>
  <si>
    <t>1-5</t>
  </si>
  <si>
    <t>Restoration Cost Ratio</t>
  </si>
  <si>
    <t>point elements</t>
  </si>
  <si>
    <t>point element recheck</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</si>
</sst>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0.000"/>
    <numFmt numFmtId="168" formatCode="&quot;$&quot;#,##0.000"/>
    <numFmt numFmtId="169" formatCode="mmmm\ d\,\ yyyy"/>
    <numFmt numFmtId="170" formatCode="&quot;$&quot;#,##0.0000"/>
    <numFmt numFmtId="171" formatCode="&quot;$&quot;#,##0.0"/>
    <numFmt numFmtId="172" formatCode="0.0000"/>
    <numFmt numFmtId="173" formatCode="[$-409]dddd\,\ mmmm\ dd\,\ yyyy"/>
    <numFmt numFmtId="174" formatCode="mm/dd/yy;@"/>
  </numFmts>
  <fonts count="48">
    <font>
      <sz val="10"/>
      <name val="Arial"/>
      <family val="0"/>
    </font>
    <font>
      <sz val="8"/>
      <name val="Arial"/>
      <family val="0"/>
    </font>
    <font>
      <b/>
      <sz val="10"/>
      <color indexed="10"/>
      <name val="Arial"/>
      <family val="0"/>
    </font>
    <font>
      <vertAlign val="subscript"/>
      <sz val="10"/>
      <name val="Arial"/>
      <family val="2"/>
    </font>
    <font>
      <b/>
      <sz val="10"/>
      <name val="Arial"/>
      <family val="2"/>
    </font>
    <font>
      <sz val="10"/>
      <color indexed="58"/>
      <name val="Arial"/>
      <family val="0"/>
    </font>
    <font>
      <sz val="10"/>
      <color indexed="10"/>
      <name val="Arial"/>
      <family val="0"/>
    </font>
    <font>
      <b/>
      <i/>
      <sz val="10"/>
      <color indexed="10"/>
      <name val="Arial"/>
      <family val="2"/>
    </font>
    <font>
      <b/>
      <sz val="10"/>
      <color indexed="58"/>
      <name val="Arial"/>
      <family val="0"/>
    </font>
    <font>
      <i/>
      <sz val="10"/>
      <color indexed="58"/>
      <name val="Arial"/>
      <family val="2"/>
    </font>
    <font>
      <u val="single"/>
      <sz val="10"/>
      <color indexed="12"/>
      <name val="Arial"/>
      <family val="0"/>
    </font>
    <font>
      <u val="single"/>
      <sz val="10"/>
      <color indexed="36"/>
      <name val="Arial"/>
      <family val="0"/>
    </font>
    <font>
      <sz val="10"/>
      <color indexed="16"/>
      <name val="Arial"/>
      <family val="2"/>
    </font>
    <font>
      <b/>
      <sz val="14"/>
      <name val="Arial"/>
      <family val="2"/>
    </font>
    <font>
      <b/>
      <u val="single"/>
      <sz val="8"/>
      <name val="Arial"/>
      <family val="2"/>
    </font>
    <font>
      <b/>
      <u val="single"/>
      <sz val="10"/>
      <name val="Arial"/>
      <family val="2"/>
    </font>
    <font>
      <i/>
      <sz val="8"/>
      <name val="Arial"/>
      <family val="2"/>
    </font>
    <font>
      <sz val="10"/>
      <color indexed="57"/>
      <name val="Arial"/>
      <family val="2"/>
    </font>
    <font>
      <vertAlign val="superscript"/>
      <sz val="10"/>
      <name val="Arial"/>
      <family val="2"/>
    </font>
    <font>
      <b/>
      <i/>
      <sz val="12"/>
      <color indexed="10"/>
      <name val="Arial"/>
      <family val="2"/>
    </font>
    <font>
      <sz val="9"/>
      <name val="Arial"/>
      <family val="0"/>
    </font>
    <font>
      <i/>
      <vertAlign val="subscript"/>
      <sz val="8"/>
      <color indexed="10"/>
      <name val="Arial"/>
      <family val="2"/>
    </font>
    <font>
      <i/>
      <sz val="8"/>
      <color indexed="10"/>
      <name val="Arial"/>
      <family val="2"/>
    </font>
    <font>
      <b/>
      <i/>
      <sz val="10"/>
      <color indexed="17"/>
      <name val="Arial"/>
      <family val="2"/>
    </font>
    <font>
      <sz val="8"/>
      <name val="Tahoma"/>
      <family val="0"/>
    </font>
    <font>
      <vertAlign val="subscript"/>
      <sz val="8"/>
      <name val="Arial"/>
      <family val="0"/>
    </font>
    <font>
      <i/>
      <sz val="10"/>
      <color indexed="10"/>
      <name val="Arial"/>
      <family val="0"/>
    </font>
    <font>
      <i/>
      <vertAlign val="subscript"/>
      <sz val="10"/>
      <color indexed="10"/>
      <name val="Arial"/>
      <family val="2"/>
    </font>
    <font>
      <vertAlign val="subscript"/>
      <sz val="10"/>
      <color indexed="10"/>
      <name val="Arial"/>
      <family val="2"/>
    </font>
    <font>
      <b/>
      <sz val="14"/>
      <color indexed="17"/>
      <name val="Arial"/>
      <family val="2"/>
    </font>
    <font>
      <b/>
      <i/>
      <sz val="12"/>
      <color indexed="17"/>
      <name val="Arial"/>
      <family val="2"/>
    </font>
    <font>
      <b/>
      <u val="single"/>
      <sz val="14"/>
      <color indexed="17"/>
      <name val="Arial"/>
      <family val="2"/>
    </font>
    <font>
      <i/>
      <sz val="10"/>
      <color indexed="17"/>
      <name val="Arial"/>
      <family val="0"/>
    </font>
    <font>
      <b/>
      <i/>
      <sz val="8"/>
      <name val="Arial"/>
      <family val="2"/>
    </font>
    <font>
      <b/>
      <sz val="10"/>
      <color indexed="17"/>
      <name val="Arial"/>
      <family val="2"/>
    </font>
    <font>
      <b/>
      <i/>
      <sz val="11"/>
      <color indexed="10"/>
      <name val="Arial"/>
      <family val="0"/>
    </font>
    <font>
      <b/>
      <sz val="8"/>
      <color indexed="10"/>
      <name val="Tahoma"/>
      <family val="2"/>
    </font>
    <font>
      <sz val="10"/>
      <color indexed="18"/>
      <name val="Script"/>
      <family val="4"/>
    </font>
    <font>
      <b/>
      <i/>
      <sz val="9"/>
      <color indexed="10"/>
      <name val="Arial"/>
      <family val="0"/>
    </font>
    <font>
      <sz val="8"/>
      <color indexed="10"/>
      <name val="Tahoma"/>
      <family val="2"/>
    </font>
    <font>
      <i/>
      <u val="single"/>
      <sz val="10"/>
      <color indexed="10"/>
      <name val="Arial"/>
      <family val="2"/>
    </font>
    <font>
      <i/>
      <sz val="9"/>
      <color indexed="17"/>
      <name val="Arial"/>
      <family val="2"/>
    </font>
    <font>
      <b/>
      <sz val="12"/>
      <color indexed="58"/>
      <name val="Arial"/>
      <family val="2"/>
    </font>
    <font>
      <sz val="10"/>
      <color indexed="22"/>
      <name val="Arial"/>
      <family val="0"/>
    </font>
    <font>
      <sz val="7"/>
      <color indexed="10"/>
      <name val="Arial"/>
      <family val="2"/>
    </font>
    <font>
      <b/>
      <sz val="9"/>
      <name val="Arial"/>
      <family val="2"/>
    </font>
    <font>
      <i/>
      <sz val="9"/>
      <name val="Arial"/>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26"/>
        <bgColor indexed="64"/>
      </patternFill>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Alignment="1" applyProtection="1">
      <alignment/>
      <protection hidden="1"/>
    </xf>
    <xf numFmtId="0" fontId="0" fillId="0" borderId="0" xfId="0" applyAlignment="1" applyProtection="1">
      <alignment horizontal="right"/>
      <protection hidden="1"/>
    </xf>
    <xf numFmtId="0" fontId="0" fillId="0" borderId="0" xfId="0" applyFill="1" applyBorder="1" applyAlignment="1" applyProtection="1">
      <alignment horizontal="right"/>
      <protection hidden="1"/>
    </xf>
    <xf numFmtId="0" fontId="4" fillId="0" borderId="0" xfId="0" applyFont="1" applyAlignment="1" applyProtection="1">
      <alignment/>
      <protection hidden="1"/>
    </xf>
    <xf numFmtId="0" fontId="0" fillId="0" borderId="0" xfId="0" applyAlignment="1" applyProtection="1">
      <alignment horizontal="center"/>
      <protection hidden="1"/>
    </xf>
    <xf numFmtId="0" fontId="3" fillId="0" borderId="0" xfId="0" applyFont="1" applyAlignment="1" applyProtection="1">
      <alignment/>
      <protection hidden="1"/>
    </xf>
    <xf numFmtId="0" fontId="2" fillId="0" borderId="0" xfId="0" applyFont="1" applyBorder="1" applyAlignment="1" applyProtection="1">
      <alignment horizontal="center"/>
      <protection hidden="1"/>
    </xf>
    <xf numFmtId="0" fontId="2" fillId="0" borderId="0" xfId="0" applyFont="1" applyAlignment="1" applyProtection="1">
      <alignment/>
      <protection hidden="1"/>
    </xf>
    <xf numFmtId="0" fontId="7" fillId="0" borderId="0" xfId="0" applyFont="1" applyAlignment="1" applyProtection="1">
      <alignment/>
      <protection hidden="1"/>
    </xf>
    <xf numFmtId="0" fontId="5" fillId="2" borderId="1" xfId="0" applyFont="1" applyFill="1" applyBorder="1" applyAlignment="1" applyProtection="1">
      <alignment horizontal="center"/>
      <protection hidden="1" locked="0"/>
    </xf>
    <xf numFmtId="164" fontId="8" fillId="2" borderId="1" xfId="0" applyNumberFormat="1" applyFont="1" applyFill="1" applyBorder="1" applyAlignment="1" applyProtection="1">
      <alignment horizontal="center"/>
      <protection hidden="1" locked="0"/>
    </xf>
    <xf numFmtId="1" fontId="2" fillId="3" borderId="1" xfId="0" applyNumberFormat="1" applyFont="1" applyFill="1" applyBorder="1" applyAlignment="1" applyProtection="1">
      <alignment horizontal="center"/>
      <protection hidden="1"/>
    </xf>
    <xf numFmtId="0" fontId="12" fillId="0" borderId="2" xfId="0" applyFont="1" applyBorder="1" applyAlignment="1" applyProtection="1">
      <alignment horizontal="center"/>
      <protection hidden="1"/>
    </xf>
    <xf numFmtId="15" fontId="0" fillId="0" borderId="0" xfId="0" applyNumberFormat="1" applyAlignment="1" applyProtection="1">
      <alignment horizontal="center"/>
      <protection hidden="1"/>
    </xf>
    <xf numFmtId="0" fontId="12" fillId="0" borderId="3" xfId="0" applyFont="1" applyBorder="1" applyAlignment="1" applyProtection="1">
      <alignment horizontal="center"/>
      <protection hidden="1"/>
    </xf>
    <xf numFmtId="0" fontId="13" fillId="0" borderId="0" xfId="0" applyFont="1" applyAlignment="1" applyProtection="1">
      <alignment/>
      <protection hidden="1"/>
    </xf>
    <xf numFmtId="0" fontId="14" fillId="0" borderId="0" xfId="0" applyFont="1" applyAlignment="1" applyProtection="1">
      <alignment horizontal="center"/>
      <protection hidden="1"/>
    </xf>
    <xf numFmtId="0" fontId="15" fillId="0" borderId="0" xfId="0" applyFont="1" applyAlignment="1" applyProtection="1">
      <alignment horizontal="center"/>
      <protection hidden="1"/>
    </xf>
    <xf numFmtId="0" fontId="16" fillId="0" borderId="0" xfId="0" applyFont="1" applyAlignment="1" applyProtection="1">
      <alignment/>
      <protection hidden="1"/>
    </xf>
    <xf numFmtId="0" fontId="17" fillId="0" borderId="1" xfId="0" applyFont="1" applyBorder="1" applyAlignment="1" applyProtection="1">
      <alignment horizontal="center"/>
      <protection hidden="1" locked="0"/>
    </xf>
    <xf numFmtId="0" fontId="7" fillId="0" borderId="0" xfId="0" applyFont="1" applyBorder="1" applyAlignment="1" applyProtection="1">
      <alignment horizontal="center"/>
      <protection hidden="1"/>
    </xf>
    <xf numFmtId="166" fontId="2" fillId="0" borderId="0" xfId="0" applyNumberFormat="1" applyFont="1" applyBorder="1" applyAlignment="1" applyProtection="1">
      <alignment horizontal="center"/>
      <protection hidden="1"/>
    </xf>
    <xf numFmtId="165" fontId="6" fillId="0" borderId="0" xfId="0" applyNumberFormat="1" applyFont="1" applyAlignment="1" applyProtection="1">
      <alignment horizontal="center"/>
      <protection hidden="1"/>
    </xf>
    <xf numFmtId="166" fontId="2" fillId="0" borderId="1" xfId="0" applyNumberFormat="1" applyFont="1" applyBorder="1" applyAlignment="1" applyProtection="1">
      <alignment horizontal="center"/>
      <protection hidden="1"/>
    </xf>
    <xf numFmtId="0" fontId="0" fillId="0" borderId="0" xfId="0" applyBorder="1" applyAlignment="1" applyProtection="1">
      <alignment/>
      <protection hidden="1"/>
    </xf>
    <xf numFmtId="1" fontId="7"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165" fontId="0" fillId="0" borderId="0" xfId="0" applyNumberFormat="1" applyFont="1" applyAlignment="1" applyProtection="1">
      <alignment horizontal="center"/>
      <protection hidden="1"/>
    </xf>
    <xf numFmtId="0" fontId="7" fillId="0" borderId="0" xfId="0" applyFont="1" applyAlignment="1" applyProtection="1">
      <alignment/>
      <protection hidden="1"/>
    </xf>
    <xf numFmtId="167" fontId="2" fillId="3" borderId="1"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19" fillId="0" borderId="0" xfId="0" applyFont="1" applyAlignment="1" applyProtection="1">
      <alignment/>
      <protection hidden="1"/>
    </xf>
    <xf numFmtId="9" fontId="5" fillId="2" borderId="1" xfId="0" applyNumberFormat="1" applyFont="1" applyFill="1" applyBorder="1" applyAlignment="1" applyProtection="1">
      <alignment horizontal="center"/>
      <protection hidden="1" locked="0"/>
    </xf>
    <xf numFmtId="9" fontId="0" fillId="0" borderId="0" xfId="0" applyNumberFormat="1" applyAlignment="1" applyProtection="1">
      <alignment horizontal="center"/>
      <protection hidden="1"/>
    </xf>
    <xf numFmtId="9" fontId="0" fillId="0" borderId="0" xfId="0" applyNumberFormat="1" applyAlignment="1" applyProtection="1">
      <alignment/>
      <protection hidden="1"/>
    </xf>
    <xf numFmtId="0" fontId="20" fillId="0" borderId="0" xfId="0" applyFont="1" applyAlignment="1" applyProtection="1">
      <alignment horizontal="right"/>
      <protection hidden="1"/>
    </xf>
    <xf numFmtId="0" fontId="21" fillId="0" borderId="0" xfId="0" applyFont="1" applyAlignment="1" applyProtection="1">
      <alignment/>
      <protection hidden="1"/>
    </xf>
    <xf numFmtId="0" fontId="22" fillId="0" borderId="0" xfId="0" applyFont="1" applyAlignment="1" applyProtection="1">
      <alignment/>
      <protection hidden="1"/>
    </xf>
    <xf numFmtId="0" fontId="22" fillId="0" borderId="0" xfId="0" applyFont="1" applyAlignment="1" applyProtection="1">
      <alignment/>
      <protection hidden="1"/>
    </xf>
    <xf numFmtId="0" fontId="23" fillId="0" borderId="0" xfId="0" applyFont="1" applyAlignment="1" applyProtection="1">
      <alignment/>
      <protection hidden="1"/>
    </xf>
    <xf numFmtId="0" fontId="19" fillId="0" borderId="0" xfId="0" applyFont="1" applyAlignment="1" applyProtection="1">
      <alignment horizontal="right"/>
      <protection hidden="1"/>
    </xf>
    <xf numFmtId="0" fontId="4" fillId="0" borderId="0" xfId="0" applyFont="1" applyAlignment="1" applyProtection="1">
      <alignment horizontal="left"/>
      <protection hidden="1"/>
    </xf>
    <xf numFmtId="0" fontId="1" fillId="0" borderId="0" xfId="0" applyFont="1" applyAlignment="1" applyProtection="1">
      <alignment horizontal="right"/>
      <protection hidden="1"/>
    </xf>
    <xf numFmtId="164" fontId="2" fillId="3" borderId="1" xfId="0" applyNumberFormat="1" applyFont="1" applyFill="1" applyBorder="1" applyAlignment="1" applyProtection="1">
      <alignment horizontal="center"/>
      <protection hidden="1"/>
    </xf>
    <xf numFmtId="0" fontId="26" fillId="0" borderId="0" xfId="0" applyFont="1" applyAlignment="1" applyProtection="1">
      <alignment horizontal="center"/>
      <protection hidden="1"/>
    </xf>
    <xf numFmtId="0" fontId="26" fillId="0" borderId="0" xfId="0" applyFont="1" applyAlignment="1" applyProtection="1">
      <alignment horizontal="center"/>
      <protection hidden="1"/>
    </xf>
    <xf numFmtId="0" fontId="26" fillId="0" borderId="0" xfId="0" applyFont="1" applyAlignment="1" applyProtection="1">
      <alignment/>
      <protection hidden="1"/>
    </xf>
    <xf numFmtId="0" fontId="22" fillId="0" borderId="0" xfId="0" applyFont="1" applyAlignment="1" applyProtection="1">
      <alignment horizontal="right"/>
      <protection hidden="1"/>
    </xf>
    <xf numFmtId="0" fontId="22" fillId="0" borderId="0" xfId="0" applyFont="1" applyAlignment="1" applyProtection="1">
      <alignment horizontal="right"/>
      <protection hidden="1"/>
    </xf>
    <xf numFmtId="165" fontId="2" fillId="3" borderId="1" xfId="0" applyNumberFormat="1" applyFont="1" applyFill="1" applyBorder="1" applyAlignment="1" applyProtection="1">
      <alignment horizontal="center"/>
      <protection hidden="1"/>
    </xf>
    <xf numFmtId="166" fontId="2" fillId="3" borderId="1" xfId="0" applyNumberFormat="1" applyFont="1" applyFill="1" applyBorder="1" applyAlignment="1" applyProtection="1">
      <alignment horizontal="center"/>
      <protection hidden="1"/>
    </xf>
    <xf numFmtId="3" fontId="0" fillId="0" borderId="0" xfId="0" applyNumberFormat="1" applyAlignment="1" applyProtection="1">
      <alignment horizontal="center"/>
      <protection hidden="1"/>
    </xf>
    <xf numFmtId="0" fontId="27" fillId="0" borderId="0" xfId="0" applyFont="1" applyAlignment="1" applyProtection="1">
      <alignment/>
      <protection hidden="1"/>
    </xf>
    <xf numFmtId="0" fontId="7" fillId="0" borderId="0" xfId="0" applyFont="1" applyFill="1" applyBorder="1" applyAlignment="1" applyProtection="1">
      <alignment/>
      <protection hidden="1"/>
    </xf>
    <xf numFmtId="0" fontId="0" fillId="0" borderId="0" xfId="0" applyAlignment="1" applyProtection="1">
      <alignment horizontal="right" vertical="center"/>
      <protection hidden="1"/>
    </xf>
    <xf numFmtId="164" fontId="8" fillId="2" borderId="1" xfId="0" applyNumberFormat="1" applyFont="1" applyFill="1" applyBorder="1" applyAlignment="1" applyProtection="1">
      <alignment horizontal="center" vertical="center"/>
      <protection hidden="1" locked="0"/>
    </xf>
    <xf numFmtId="0" fontId="0" fillId="0" borderId="0" xfId="0" applyAlignment="1" applyProtection="1">
      <alignment vertical="center"/>
      <protection hidden="1"/>
    </xf>
    <xf numFmtId="0" fontId="19" fillId="0" borderId="0" xfId="0" applyFont="1" applyAlignment="1" applyProtection="1">
      <alignment horizontal="right" vertical="center"/>
      <protection hidden="1"/>
    </xf>
    <xf numFmtId="0" fontId="7" fillId="0" borderId="0" xfId="0" applyFont="1" applyFill="1" applyBorder="1" applyAlignment="1" applyProtection="1">
      <alignment horizontal="right"/>
      <protection hidden="1"/>
    </xf>
    <xf numFmtId="9" fontId="2" fillId="0" borderId="0" xfId="0" applyNumberFormat="1" applyFont="1" applyBorder="1" applyAlignment="1" applyProtection="1">
      <alignment horizontal="center"/>
      <protection hidden="1"/>
    </xf>
    <xf numFmtId="0" fontId="23" fillId="0" borderId="0" xfId="0" applyFont="1" applyAlignment="1" applyProtection="1">
      <alignment/>
      <protection hidden="1"/>
    </xf>
    <xf numFmtId="1" fontId="2" fillId="0" borderId="0" xfId="0" applyNumberFormat="1" applyFont="1" applyFill="1" applyBorder="1" applyAlignment="1" applyProtection="1">
      <alignment horizontal="center"/>
      <protection hidden="1"/>
    </xf>
    <xf numFmtId="0" fontId="9" fillId="2" borderId="1" xfId="0" applyFont="1" applyFill="1" applyBorder="1" applyAlignment="1" applyProtection="1">
      <alignment horizontal="center"/>
      <protection hidden="1" locked="0"/>
    </xf>
    <xf numFmtId="49" fontId="9" fillId="2" borderId="1" xfId="0" applyNumberFormat="1" applyFont="1" applyFill="1" applyBorder="1" applyAlignment="1" applyProtection="1">
      <alignment horizontal="center"/>
      <protection hidden="1" locked="0"/>
    </xf>
    <xf numFmtId="0" fontId="30" fillId="0" borderId="0" xfId="0" applyFont="1" applyAlignment="1" applyProtection="1">
      <alignment/>
      <protection hidden="1"/>
    </xf>
    <xf numFmtId="0" fontId="31" fillId="0" borderId="0" xfId="0" applyFont="1" applyAlignment="1" applyProtection="1">
      <alignment horizontal="left"/>
      <protection hidden="1"/>
    </xf>
    <xf numFmtId="9" fontId="32" fillId="0" borderId="0" xfId="0" applyNumberFormat="1" applyFont="1" applyBorder="1" applyAlignment="1" applyProtection="1">
      <alignment horizontal="center"/>
      <protection hidden="1"/>
    </xf>
    <xf numFmtId="9" fontId="32" fillId="0" borderId="0" xfId="0" applyNumberFormat="1" applyFont="1" applyAlignment="1" applyProtection="1">
      <alignment horizontal="center"/>
      <protection hidden="1"/>
    </xf>
    <xf numFmtId="0" fontId="32" fillId="0" borderId="0" xfId="0" applyFont="1" applyAlignment="1" applyProtection="1">
      <alignment horizontal="left"/>
      <protection hidden="1"/>
    </xf>
    <xf numFmtId="0" fontId="34" fillId="0" borderId="0" xfId="0" applyFont="1" applyAlignment="1" applyProtection="1">
      <alignment horizontal="right"/>
      <protection hidden="1"/>
    </xf>
    <xf numFmtId="0" fontId="35" fillId="0" borderId="0" xfId="0" applyFont="1" applyAlignment="1" applyProtection="1">
      <alignment/>
      <protection hidden="1"/>
    </xf>
    <xf numFmtId="0" fontId="37" fillId="0" borderId="2" xfId="0" applyFont="1" applyBorder="1" applyAlignment="1" applyProtection="1">
      <alignment/>
      <protection hidden="1"/>
    </xf>
    <xf numFmtId="165" fontId="38" fillId="0" borderId="0" xfId="0" applyNumberFormat="1" applyFont="1" applyAlignment="1" applyProtection="1">
      <alignment horizontal="left"/>
      <protection hidden="1"/>
    </xf>
    <xf numFmtId="0" fontId="16" fillId="0" borderId="0" xfId="0" applyFont="1" applyAlignment="1" applyProtection="1">
      <alignment horizontal="right"/>
      <protection hidden="1"/>
    </xf>
    <xf numFmtId="0" fontId="20" fillId="0" borderId="0" xfId="0" applyFont="1" applyAlignment="1" applyProtection="1">
      <alignment/>
      <protection hidden="1"/>
    </xf>
    <xf numFmtId="0" fontId="0" fillId="0" borderId="0" xfId="0" applyFont="1" applyAlignment="1" applyProtection="1">
      <alignment horizontal="center"/>
      <protection hidden="1"/>
    </xf>
    <xf numFmtId="0" fontId="20" fillId="0" borderId="0" xfId="0" applyFont="1" applyFill="1" applyBorder="1" applyAlignment="1" applyProtection="1">
      <alignment horizontal="right"/>
      <protection hidden="1"/>
    </xf>
    <xf numFmtId="9" fontId="32" fillId="0" borderId="0" xfId="0" applyNumberFormat="1" applyFont="1" applyAlignment="1" applyProtection="1">
      <alignment horizontal="center" vertical="center"/>
      <protection hidden="1"/>
    </xf>
    <xf numFmtId="1" fontId="9" fillId="2" borderId="1" xfId="0" applyNumberFormat="1" applyFont="1" applyFill="1" applyBorder="1" applyAlignment="1" applyProtection="1">
      <alignment horizontal="center"/>
      <protection hidden="1" locked="0"/>
    </xf>
    <xf numFmtId="166" fontId="2" fillId="0" borderId="0" xfId="0" applyNumberFormat="1" applyFont="1" applyFill="1" applyBorder="1" applyAlignment="1" applyProtection="1">
      <alignment horizontal="center"/>
      <protection hidden="1"/>
    </xf>
    <xf numFmtId="166" fontId="0" fillId="0" borderId="0" xfId="0" applyNumberFormat="1" applyAlignment="1" applyProtection="1">
      <alignment horizontal="center"/>
      <protection/>
    </xf>
    <xf numFmtId="49" fontId="0" fillId="0" borderId="0" xfId="0" applyNumberFormat="1" applyAlignment="1" applyProtection="1">
      <alignment horizontal="center"/>
      <protection hidden="1"/>
    </xf>
    <xf numFmtId="164" fontId="0" fillId="0" borderId="0" xfId="0" applyNumberFormat="1" applyAlignment="1" applyProtection="1">
      <alignment horizontal="center"/>
      <protection hidden="1"/>
    </xf>
    <xf numFmtId="166" fontId="0" fillId="0" borderId="0" xfId="0" applyNumberFormat="1" applyAlignment="1" applyProtection="1">
      <alignment horizontal="center"/>
      <protection hidden="1"/>
    </xf>
    <xf numFmtId="172" fontId="0" fillId="0" borderId="0" xfId="0" applyNumberFormat="1" applyAlignment="1" applyProtection="1">
      <alignment horizontal="center"/>
      <protection hidden="1"/>
    </xf>
    <xf numFmtId="164" fontId="6" fillId="3" borderId="1" xfId="0" applyNumberFormat="1" applyFont="1" applyFill="1" applyBorder="1" applyAlignment="1" applyProtection="1">
      <alignment horizontal="center"/>
      <protection hidden="1"/>
    </xf>
    <xf numFmtId="164" fontId="6" fillId="3" borderId="1" xfId="0" applyNumberFormat="1" applyFont="1" applyFill="1" applyBorder="1" applyAlignment="1" applyProtection="1">
      <alignment horizontal="center"/>
      <protection hidden="1"/>
    </xf>
    <xf numFmtId="164" fontId="0" fillId="0" borderId="0" xfId="0" applyNumberFormat="1" applyAlignment="1" applyProtection="1">
      <alignment/>
      <protection hidden="1"/>
    </xf>
    <xf numFmtId="0" fontId="40" fillId="0" borderId="0" xfId="0" applyFont="1" applyAlignment="1" applyProtection="1">
      <alignment horizontal="right"/>
      <protection hidden="1"/>
    </xf>
    <xf numFmtId="164" fontId="6" fillId="0" borderId="0" xfId="0" applyNumberFormat="1" applyFont="1" applyFill="1" applyBorder="1" applyAlignment="1" applyProtection="1">
      <alignment horizontal="center"/>
      <protection hidden="1"/>
    </xf>
    <xf numFmtId="0" fontId="0" fillId="0" borderId="1" xfId="0" applyBorder="1" applyAlignment="1" applyProtection="1">
      <alignment horizontal="center" vertical="center" textRotation="90" wrapText="1"/>
      <protection hidden="1"/>
    </xf>
    <xf numFmtId="166" fontId="1" fillId="0" borderId="1" xfId="0" applyNumberFormat="1" applyFont="1" applyBorder="1" applyAlignment="1" applyProtection="1">
      <alignment horizontal="center" vertical="center" textRotation="90" wrapText="1"/>
      <protection hidden="1"/>
    </xf>
    <xf numFmtId="166" fontId="0" fillId="0" borderId="1" xfId="0" applyNumberFormat="1" applyBorder="1" applyAlignment="1" applyProtection="1">
      <alignment horizontal="center" vertical="center" textRotation="90" wrapText="1"/>
      <protection hidden="1"/>
    </xf>
    <xf numFmtId="0" fontId="1" fillId="0" borderId="0" xfId="0" applyFont="1" applyAlignment="1" applyProtection="1">
      <alignment/>
      <protection hidden="1"/>
    </xf>
    <xf numFmtId="0" fontId="41" fillId="0" borderId="0" xfId="0" applyFont="1" applyAlignment="1" applyProtection="1">
      <alignment/>
      <protection hidden="1"/>
    </xf>
    <xf numFmtId="167" fontId="0" fillId="0" borderId="0" xfId="0" applyNumberFormat="1" applyAlignment="1" applyProtection="1">
      <alignment horizontal="center"/>
      <protection hidden="1"/>
    </xf>
    <xf numFmtId="166" fontId="2" fillId="3" borderId="1" xfId="0" applyNumberFormat="1" applyFont="1" applyFill="1" applyBorder="1" applyAlignment="1" applyProtection="1">
      <alignment horizontal="center"/>
      <protection hidden="1"/>
    </xf>
    <xf numFmtId="0" fontId="4" fillId="0" borderId="0" xfId="0" applyFont="1" applyAlignment="1" applyProtection="1">
      <alignment horizontal="right"/>
      <protection hidden="1"/>
    </xf>
    <xf numFmtId="0" fontId="43" fillId="0" borderId="0" xfId="0" applyFont="1" applyAlignment="1" applyProtection="1">
      <alignment/>
      <protection hidden="1"/>
    </xf>
    <xf numFmtId="166" fontId="42" fillId="2" borderId="1" xfId="0" applyNumberFormat="1" applyFont="1" applyFill="1" applyBorder="1" applyAlignment="1" applyProtection="1">
      <alignment horizontal="center" vertical="center"/>
      <protection hidden="1" locked="0"/>
    </xf>
    <xf numFmtId="0" fontId="43" fillId="0" borderId="0" xfId="0" applyFont="1" applyAlignment="1" applyProtection="1">
      <alignment horizontal="center"/>
      <protection hidden="1"/>
    </xf>
    <xf numFmtId="0" fontId="44" fillId="0" borderId="0" xfId="0" applyFont="1" applyAlignment="1" applyProtection="1">
      <alignment horizontal="right"/>
      <protection hidden="1"/>
    </xf>
    <xf numFmtId="174" fontId="8" fillId="2" borderId="1" xfId="0" applyNumberFormat="1" applyFont="1" applyFill="1" applyBorder="1" applyAlignment="1" applyProtection="1">
      <alignment horizontal="center"/>
      <protection hidden="1" locked="0"/>
    </xf>
    <xf numFmtId="0" fontId="0" fillId="0" borderId="0" xfId="0" applyBorder="1" applyAlignment="1" applyProtection="1">
      <alignment horizontal="center" vertical="center" textRotation="90"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jpeg" /><Relationship Id="rId3"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9525</xdr:rowOff>
    </xdr:from>
    <xdr:to>
      <xdr:col>9</xdr:col>
      <xdr:colOff>581025</xdr:colOff>
      <xdr:row>55</xdr:row>
      <xdr:rowOff>123825</xdr:rowOff>
    </xdr:to>
    <xdr:sp>
      <xdr:nvSpPr>
        <xdr:cNvPr id="1" name="TextBox 1"/>
        <xdr:cNvSpPr txBox="1">
          <a:spLocks noChangeArrowheads="1"/>
        </xdr:cNvSpPr>
      </xdr:nvSpPr>
      <xdr:spPr>
        <a:xfrm>
          <a:off x="495300" y="657225"/>
          <a:ext cx="5572125" cy="83724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If the offered area includes cropland, look on the prairie map located at F:\geodata\project_data\nrcs\prairie_a_in.shp.  This map indicates well documented areas of original prairie.  Only acreage included on this map is eligible to be converted from cropland and enrolled in GRP, otherwise it willl need to be already in permanent vegetative cover.  
2. </a:t>
          </a:r>
          <a:r>
            <a:rPr lang="en-US" cap="none" sz="900" b="1" i="0" u="none" baseline="0">
              <a:latin typeface="Arial"/>
              <a:ea typeface="Arial"/>
              <a:cs typeface="Arial"/>
            </a:rPr>
            <a:t>Maximum</a:t>
          </a:r>
          <a:r>
            <a:rPr lang="en-US" cap="none" sz="900" b="0" i="0" u="none" baseline="0">
              <a:latin typeface="Arial"/>
              <a:ea typeface="Arial"/>
              <a:cs typeface="Arial"/>
            </a:rPr>
            <a:t> incidental area is 10% for rental agreements and 20% for easements.  Measure the incidental area using Arc-View and if it exceeds these amounts then work to reduce it and keep the applicant eligible.
3. It is important that the “average local selling price for similar land type, condition, and location” is a reasonable value resulting from discussion with local realtors or appraisers, as</a:t>
          </a:r>
          <a:r>
            <a:rPr lang="en-US" cap="none" sz="900" b="0" i="1" u="none" baseline="0">
              <a:latin typeface="Arial"/>
              <a:ea typeface="Arial"/>
              <a:cs typeface="Arial"/>
            </a:rPr>
            <a:t> this value will have an impact on the final score</a:t>
          </a:r>
          <a:r>
            <a:rPr lang="en-US" cap="none" sz="900" b="0" i="0" u="none" baseline="0">
              <a:latin typeface="Arial"/>
              <a:ea typeface="Arial"/>
              <a:cs typeface="Arial"/>
            </a:rPr>
            <a:t>.  The average local selling price would include consideration of market demands in the local area and the influence of urban expansion. 
4. </a:t>
          </a:r>
          <a:r>
            <a:rPr lang="en-US" cap="none" sz="900" b="1" i="0" u="none" baseline="0">
              <a:latin typeface="Arial"/>
              <a:ea typeface="Arial"/>
              <a:cs typeface="Arial"/>
            </a:rPr>
            <a:t>All sites</a:t>
          </a:r>
          <a:r>
            <a:rPr lang="en-US" cap="none" sz="900" b="0" i="0" u="none" baseline="0">
              <a:latin typeface="Arial"/>
              <a:ea typeface="Arial"/>
              <a:cs typeface="Arial"/>
            </a:rPr>
            <a:t> selected for funding will be field reviewed by a Grazing Specialist or other qualified person prior to final funding decision.
5. Grazed areas that have less than 30% canopy cover are considered </a:t>
          </a:r>
          <a:r>
            <a:rPr lang="en-US" cap="none" sz="900" b="0" i="1" u="none" baseline="0">
              <a:latin typeface="Arial"/>
              <a:ea typeface="Arial"/>
              <a:cs typeface="Arial"/>
            </a:rPr>
            <a:t>Pasture with Trees</a:t>
          </a:r>
          <a:r>
            <a:rPr lang="en-US" cap="none" sz="900" b="0" i="0" u="none" baseline="0">
              <a:latin typeface="Arial"/>
              <a:ea typeface="Arial"/>
              <a:cs typeface="Arial"/>
            </a:rPr>
            <a:t> and are eligible for GRP.  Grazed areas that have greater than 30% canopy are considered </a:t>
          </a:r>
          <a:r>
            <a:rPr lang="en-US" cap="none" sz="900" b="0" i="1" u="none" baseline="0">
              <a:latin typeface="Arial"/>
              <a:ea typeface="Arial"/>
              <a:cs typeface="Arial"/>
            </a:rPr>
            <a:t>Grazed Woodland</a:t>
          </a:r>
          <a:r>
            <a:rPr lang="en-US" cap="none" sz="900" b="0" i="0" u="none" baseline="0">
              <a:latin typeface="Arial"/>
              <a:ea typeface="Arial"/>
              <a:cs typeface="Arial"/>
            </a:rPr>
            <a:t> and </a:t>
          </a:r>
          <a:r>
            <a:rPr lang="en-US" cap="none" sz="900" b="1" i="0" u="none" baseline="0">
              <a:latin typeface="Arial"/>
              <a:ea typeface="Arial"/>
              <a:cs typeface="Arial"/>
            </a:rPr>
            <a:t>not eligible</a:t>
          </a:r>
          <a:r>
            <a:rPr lang="en-US" cap="none" sz="900" b="0" i="0" u="none" baseline="0">
              <a:latin typeface="Arial"/>
              <a:ea typeface="Arial"/>
              <a:cs typeface="Arial"/>
            </a:rPr>
            <a:t> for GRP.  30% canopy is not equal to 30% incidental land.
6. On easements, document existing conditions, especially forages present during sign-up.  This information will help with the Baseline Inventory Report for accepted easements.  The baseline Inventory Report will include, but not be limited to, landscape description(s), forages, fences, water resources, and other improvements including buildings.  Pictures of the baseline conditions will be a required in the report.
7. Use the prime farm land information found in Section II of the FOTG to determine percentage of prime farmland of the offered acreage.  Use the Arc-View Census Map located on your F drive (F:geodata/census) to determine the population density the offered acreage.  The acreage must fall within the category to count.
8. Landuse is a weighted average.  Enter as </a:t>
          </a:r>
          <a:r>
            <a:rPr lang="en-US" cap="none" sz="900" b="1" i="0" u="none" baseline="0">
              <a:latin typeface="Arial"/>
              <a:ea typeface="Arial"/>
              <a:cs typeface="Arial"/>
            </a:rPr>
            <a:t>present use</a:t>
          </a:r>
          <a:r>
            <a:rPr lang="en-US" cap="none" sz="900" b="0" i="0" u="none" baseline="0">
              <a:latin typeface="Arial"/>
              <a:ea typeface="Arial"/>
              <a:cs typeface="Arial"/>
            </a:rPr>
            <a:t>, not intended use.  Enter the percent of each land use and system.  It must total 100%.  Incidental land will fall into the wildlife/idle category, remember, this</a:t>
          </a:r>
          <a:r>
            <a:rPr lang="en-US" cap="none" sz="900" b="1" i="0" u="none" baseline="0">
              <a:latin typeface="Arial"/>
              <a:ea typeface="Arial"/>
              <a:cs typeface="Arial"/>
            </a:rPr>
            <a:t> can</a:t>
          </a:r>
          <a:r>
            <a:rPr lang="en-US" cap="none" sz="900" b="0" i="0" u="none" baseline="0">
              <a:latin typeface="Arial"/>
              <a:ea typeface="Arial"/>
              <a:cs typeface="Arial"/>
            </a:rPr>
            <a:t> </a:t>
          </a:r>
          <a:r>
            <a:rPr lang="en-US" cap="none" sz="900" b="1" i="0" u="none" baseline="0">
              <a:latin typeface="Arial"/>
              <a:ea typeface="Arial"/>
              <a:cs typeface="Arial"/>
            </a:rPr>
            <a:t>not exceed</a:t>
          </a:r>
          <a:r>
            <a:rPr lang="en-US" cap="none" sz="900" b="0" i="0" u="none" baseline="0">
              <a:latin typeface="Arial"/>
              <a:ea typeface="Arial"/>
              <a:cs typeface="Arial"/>
            </a:rPr>
            <a:t> 10% for rental agreements or 20% for easements.
9. Management options must be </a:t>
          </a:r>
          <a:r>
            <a:rPr lang="en-US" cap="none" sz="900" b="1" i="0" u="none" baseline="0">
              <a:latin typeface="Arial"/>
              <a:ea typeface="Arial"/>
              <a:cs typeface="Arial"/>
            </a:rPr>
            <a:t>presently being used </a:t>
          </a:r>
          <a:r>
            <a:rPr lang="en-US" cap="none" sz="900" b="0" i="0" u="none" baseline="0">
              <a:latin typeface="Arial"/>
              <a:ea typeface="Arial"/>
              <a:cs typeface="Arial"/>
            </a:rPr>
            <a:t>to mark </a:t>
          </a:r>
          <a:r>
            <a:rPr lang="en-US" cap="none" sz="900" b="0" i="1" u="none" baseline="0">
              <a:latin typeface="Arial"/>
              <a:ea typeface="Arial"/>
              <a:cs typeface="Arial"/>
            </a:rPr>
            <a:t>yes</a:t>
          </a:r>
          <a:r>
            <a:rPr lang="en-US" cap="none" sz="900" b="0" i="0" u="none" baseline="0">
              <a:latin typeface="Arial"/>
              <a:ea typeface="Arial"/>
              <a:cs typeface="Arial"/>
            </a:rPr>
            <a:t>.
10. Existing plant community is what is there </a:t>
          </a:r>
          <a:r>
            <a:rPr lang="en-US" cap="none" sz="900" b="1" i="0" u="none" baseline="0">
              <a:latin typeface="Arial"/>
              <a:ea typeface="Arial"/>
              <a:cs typeface="Arial"/>
            </a:rPr>
            <a:t>presently</a:t>
          </a:r>
          <a:r>
            <a:rPr lang="en-US" cap="none" sz="900" b="0" i="0" u="none" baseline="0">
              <a:latin typeface="Arial"/>
              <a:ea typeface="Arial"/>
              <a:cs typeface="Arial"/>
            </a:rPr>
            <a:t>.  An improved grass </a:t>
          </a:r>
          <a:r>
            <a:rPr lang="en-US" cap="none" sz="900" b="1" i="0" u="none" baseline="0">
              <a:latin typeface="Arial"/>
              <a:ea typeface="Arial"/>
              <a:cs typeface="Arial"/>
            </a:rPr>
            <a:t>does not include Kentucky 31 Tall Fescue</a:t>
          </a:r>
          <a:r>
            <a:rPr lang="en-US" cap="none" sz="900" b="0" i="0" u="none" baseline="0">
              <a:latin typeface="Arial"/>
              <a:ea typeface="Arial"/>
              <a:cs typeface="Arial"/>
            </a:rPr>
            <a:t>.  If any cropland is eligible, it must be marked in the “Single, non-improved species line”.  
11. Restoration can only be done for the last two categories in the existing plant community, otherwise no points are awarded.
12. The cost estimate sheet </a:t>
          </a:r>
          <a:r>
            <a:rPr lang="en-US" cap="none" sz="900" b="1" i="0" u="none" baseline="0">
              <a:latin typeface="Arial"/>
              <a:ea typeface="Arial"/>
              <a:cs typeface="Arial"/>
            </a:rPr>
            <a:t>MUST</a:t>
          </a:r>
          <a:r>
            <a:rPr lang="en-US" cap="none" sz="900" b="0" i="0" u="none" baseline="0">
              <a:latin typeface="Arial"/>
              <a:ea typeface="Arial"/>
              <a:cs typeface="Arial"/>
            </a:rPr>
            <a:t> be completed prior to saving, printing, signing, or sending the ranking sheet as it will affect the final point score.  
13. Once the ranking and estimate is completed, do a “save as” to your hard drive and e-mail a copy to Jim Dunaway.  Use the following file naming convention to save your rankings, </a:t>
          </a:r>
          <a:r>
            <a:rPr lang="en-US" cap="none" sz="900" b="1" i="0" u="none" baseline="0">
              <a:latin typeface="Arial"/>
              <a:ea typeface="Arial"/>
              <a:cs typeface="Arial"/>
            </a:rPr>
            <a:t>last 3 digits of county FIPS code + producer last name + tract number</a:t>
          </a:r>
          <a:r>
            <a:rPr lang="en-US" cap="none" sz="900" b="0" i="0" u="none" baseline="0">
              <a:latin typeface="Arial"/>
              <a:ea typeface="Arial"/>
              <a:cs typeface="Arial"/>
            </a:rPr>
            <a:t>.  Example: </a:t>
          </a:r>
          <a:r>
            <a:rPr lang="en-US" cap="none" sz="900" b="1" i="0" u="none" baseline="0">
              <a:latin typeface="Arial"/>
              <a:ea typeface="Arial"/>
              <a:cs typeface="Arial"/>
            </a:rPr>
            <a:t>117brown27395</a:t>
          </a:r>
          <a:r>
            <a:rPr lang="en-US" cap="none" sz="900" b="0" i="0" u="none" baseline="0">
              <a:latin typeface="Arial"/>
              <a:ea typeface="Arial"/>
              <a:cs typeface="Arial"/>
            </a:rPr>
            <a:t>.  This will help us keep track of the rankings by county as they come in, and will eliminate the need for us to rename every file so we can copy it to our master list. 
14. Have the producer sign the ranking sheet after #12 is completed.  Keep the signed copy in the case file.</a:t>
          </a:r>
          <a:r>
            <a:rPr lang="en-US" cap="none" sz="1000" b="0" i="0" u="none" baseline="0">
              <a:latin typeface="Arial"/>
              <a:ea typeface="Arial"/>
              <a:cs typeface="Arial"/>
            </a:rPr>
            <a:t>
</a:t>
          </a:r>
        </a:p>
      </xdr:txBody>
    </xdr:sp>
    <xdr:clientData/>
  </xdr:twoCellAnchor>
  <xdr:twoCellAnchor>
    <xdr:from>
      <xdr:col>1</xdr:col>
      <xdr:colOff>9525</xdr:colOff>
      <xdr:row>0</xdr:row>
      <xdr:rowOff>57150</xdr:rowOff>
    </xdr:from>
    <xdr:to>
      <xdr:col>9</xdr:col>
      <xdr:colOff>85725</xdr:colOff>
      <xdr:row>3</xdr:row>
      <xdr:rowOff>85725</xdr:rowOff>
    </xdr:to>
    <xdr:sp>
      <xdr:nvSpPr>
        <xdr:cNvPr id="2" name="TextBox 2"/>
        <xdr:cNvSpPr txBox="1">
          <a:spLocks noChangeArrowheads="1"/>
        </xdr:cNvSpPr>
      </xdr:nvSpPr>
      <xdr:spPr>
        <a:xfrm>
          <a:off x="619125" y="57150"/>
          <a:ext cx="4953000" cy="514350"/>
        </a:xfrm>
        <a:prstGeom prst="rect">
          <a:avLst/>
        </a:prstGeom>
        <a:solidFill>
          <a:srgbClr val="CCFFCC">
            <a:alpha val="68000"/>
          </a:srgbClr>
        </a:solidFill>
        <a:ln w="9525" cmpd="sng">
          <a:solidFill>
            <a:srgbClr val="000000"/>
          </a:solidFill>
          <a:headEnd type="none"/>
          <a:tailEnd type="none"/>
        </a:ln>
      </xdr:spPr>
      <xdr:txBody>
        <a:bodyPr vertOverflow="clip" wrap="square"/>
        <a:p>
          <a:pPr algn="ctr">
            <a:defRPr/>
          </a:pPr>
          <a:r>
            <a:rPr lang="en-US" cap="none" sz="1400" b="1" i="0" u="none" baseline="0">
              <a:solidFill>
                <a:srgbClr val="008000"/>
              </a:solidFill>
              <a:latin typeface="Arial"/>
              <a:ea typeface="Arial"/>
              <a:cs typeface="Arial"/>
            </a:rPr>
            <a:t>Instructions and Guidelines for 
GRP Ranking Form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0</xdr:row>
      <xdr:rowOff>9525</xdr:rowOff>
    </xdr:from>
    <xdr:to>
      <xdr:col>5</xdr:col>
      <xdr:colOff>142875</xdr:colOff>
      <xdr:row>3</xdr:row>
      <xdr:rowOff>85725</xdr:rowOff>
    </xdr:to>
    <xdr:sp>
      <xdr:nvSpPr>
        <xdr:cNvPr id="1" name="TextBox 1"/>
        <xdr:cNvSpPr txBox="1">
          <a:spLocks noChangeArrowheads="1"/>
        </xdr:cNvSpPr>
      </xdr:nvSpPr>
      <xdr:spPr>
        <a:xfrm>
          <a:off x="1009650" y="9525"/>
          <a:ext cx="4210050" cy="561975"/>
        </a:xfrm>
        <a:prstGeom prst="rect">
          <a:avLst/>
        </a:prstGeom>
        <a:solidFill>
          <a:srgbClr val="FFFFFF"/>
        </a:solidFill>
        <a:ln w="9525" cmpd="sng">
          <a:noFill/>
        </a:ln>
      </xdr:spPr>
      <xdr:txBody>
        <a:bodyPr vertOverflow="clip" wrap="square"/>
        <a:p>
          <a:pPr algn="ctr">
            <a:defRPr/>
          </a:pPr>
          <a:r>
            <a:rPr lang="en-US" cap="none" sz="1400" b="1" i="0" u="none" baseline="0">
              <a:solidFill>
                <a:srgbClr val="008000"/>
              </a:solidFill>
              <a:latin typeface="Arial"/>
              <a:ea typeface="Arial"/>
              <a:cs typeface="Arial"/>
            </a:rPr>
            <a:t>GRASSLAND RESERVE PROGRAM</a:t>
          </a:r>
          <a:r>
            <a:rPr lang="en-US" cap="none" sz="1000" b="1" i="0" u="none" baseline="0">
              <a:latin typeface="Arial"/>
              <a:ea typeface="Arial"/>
              <a:cs typeface="Arial"/>
            </a:rPr>
            <a:t>
INDIANA RANKING FORM
FISCAL YEAR 2004</a:t>
          </a:r>
          <a:r>
            <a:rPr lang="en-US" cap="none" sz="1000" b="0" i="0" u="none" baseline="0">
              <a:latin typeface="Arial"/>
              <a:ea typeface="Arial"/>
              <a:cs typeface="Arial"/>
            </a:rPr>
            <a:t>
</a:t>
          </a:r>
        </a:p>
      </xdr:txBody>
    </xdr:sp>
    <xdr:clientData/>
  </xdr:twoCellAnchor>
  <xdr:twoCellAnchor>
    <xdr:from>
      <xdr:col>0</xdr:col>
      <xdr:colOff>228600</xdr:colOff>
      <xdr:row>31</xdr:row>
      <xdr:rowOff>95250</xdr:rowOff>
    </xdr:from>
    <xdr:to>
      <xdr:col>2</xdr:col>
      <xdr:colOff>1971675</xdr:colOff>
      <xdr:row>38</xdr:row>
      <xdr:rowOff>123825</xdr:rowOff>
    </xdr:to>
    <xdr:sp>
      <xdr:nvSpPr>
        <xdr:cNvPr id="2" name="TextBox 5"/>
        <xdr:cNvSpPr txBox="1">
          <a:spLocks noChangeArrowheads="1"/>
        </xdr:cNvSpPr>
      </xdr:nvSpPr>
      <xdr:spPr>
        <a:xfrm>
          <a:off x="228600" y="4324350"/>
          <a:ext cx="2943225" cy="981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 Land that is included within the population densities of:
• Greater than 140 people per square mile
• 61 to 140 people per square mile
• 31 to 60 people per square mile
• 10 to 30 people per square mile
• Less than 10 people per square mile</a:t>
          </a:r>
        </a:p>
      </xdr:txBody>
    </xdr:sp>
    <xdr:clientData/>
  </xdr:twoCellAnchor>
  <xdr:twoCellAnchor>
    <xdr:from>
      <xdr:col>4</xdr:col>
      <xdr:colOff>533400</xdr:colOff>
      <xdr:row>1</xdr:row>
      <xdr:rowOff>9525</xdr:rowOff>
    </xdr:from>
    <xdr:to>
      <xdr:col>5</xdr:col>
      <xdr:colOff>428625</xdr:colOff>
      <xdr:row>3</xdr:row>
      <xdr:rowOff>133350</xdr:rowOff>
    </xdr:to>
    <xdr:sp>
      <xdr:nvSpPr>
        <xdr:cNvPr id="3" name="AutoShape 48"/>
        <xdr:cNvSpPr>
          <a:spLocks/>
        </xdr:cNvSpPr>
      </xdr:nvSpPr>
      <xdr:spPr>
        <a:xfrm rot="20952478">
          <a:off x="4924425" y="171450"/>
          <a:ext cx="581025" cy="447675"/>
        </a:xfrm>
        <a:prstGeom prst="rect"/>
        <a:noFill/>
      </xdr:spPr>
      <xdr:txBody>
        <a:bodyPr fromWordArt="1" wrap="none">
          <a:prstTxWarp prst="textCascadeUp">
            <a:avLst>
              <a:gd name="adj" fmla="val 84314"/>
            </a:avLst>
          </a:prstTxWarp>
          <a:scene3d>
            <a:camera prst="legacyPerspectiveTopLeft">
              <a:rot lat="0" lon="20520000" rev="0"/>
            </a:camera>
            <a:lightRig rig="legacyHarsh3" dir="r"/>
          </a:scene3d>
          <a:sp3d extrusionH="430200" prstMaterial="legacyMatte">
            <a:extrusionClr>
              <a:srgbClr val="006600"/>
            </a:extrusionClr>
          </a:sp3d>
        </a:bodyPr>
        <a:p>
          <a:pPr algn="ctr"/>
          <a:r>
            <a:rPr sz="1800" kern="10" spc="0">
              <a:ln w="9525" cmpd="sng">
                <a:solidFill>
                  <a:srgbClr val="000000"/>
                </a:solidFill>
                <a:headEnd type="none"/>
                <a:tailEnd type="none"/>
              </a:ln>
              <a:blipFill>
                <a:blip r:embed="rId3"/>
                <a:srcRect/>
                <a:stretch>
                  <a:fillRect/>
                </a:stretch>
              </a:blipFill>
              <a:latin typeface="Arial Black"/>
              <a:cs typeface="Arial Black"/>
            </a:rPr>
            <a:t>GRP</a:t>
          </a:r>
        </a:p>
      </xdr:txBody>
    </xdr:sp>
    <xdr:clientData/>
  </xdr:twoCellAnchor>
  <xdr:twoCellAnchor editAs="oneCell">
    <xdr:from>
      <xdr:col>0</xdr:col>
      <xdr:colOff>47625</xdr:colOff>
      <xdr:row>0</xdr:row>
      <xdr:rowOff>76200</xdr:rowOff>
    </xdr:from>
    <xdr:to>
      <xdr:col>1</xdr:col>
      <xdr:colOff>342900</xdr:colOff>
      <xdr:row>2</xdr:row>
      <xdr:rowOff>57150</xdr:rowOff>
    </xdr:to>
    <xdr:pic>
      <xdr:nvPicPr>
        <xdr:cNvPr id="4" name="CommandButton1"/>
        <xdr:cNvPicPr preferRelativeResize="1">
          <a:picLocks noChangeAspect="1"/>
        </xdr:cNvPicPr>
      </xdr:nvPicPr>
      <xdr:blipFill>
        <a:blip r:embed="rId1"/>
        <a:stretch>
          <a:fillRect/>
        </a:stretch>
      </xdr:blipFill>
      <xdr:spPr>
        <a:xfrm>
          <a:off x="47625" y="76200"/>
          <a:ext cx="876300" cy="304800"/>
        </a:xfrm>
        <a:prstGeom prst="rect">
          <a:avLst/>
        </a:prstGeom>
        <a:noFill/>
        <a:ln w="9525" cmpd="sng">
          <a:noFill/>
        </a:ln>
      </xdr:spPr>
    </xdr:pic>
    <xdr:clientData fPrintsWithSheet="0"/>
  </xdr:twoCellAnchor>
  <xdr:twoCellAnchor editAs="oneCell">
    <xdr:from>
      <xdr:col>0</xdr:col>
      <xdr:colOff>209550</xdr:colOff>
      <xdr:row>111</xdr:row>
      <xdr:rowOff>57150</xdr:rowOff>
    </xdr:from>
    <xdr:to>
      <xdr:col>2</xdr:col>
      <xdr:colOff>1095375</xdr:colOff>
      <xdr:row>122</xdr:row>
      <xdr:rowOff>19050</xdr:rowOff>
    </xdr:to>
    <xdr:pic>
      <xdr:nvPicPr>
        <xdr:cNvPr id="5" name="Picture 63"/>
        <xdr:cNvPicPr preferRelativeResize="1">
          <a:picLocks noChangeAspect="1"/>
        </xdr:cNvPicPr>
      </xdr:nvPicPr>
      <xdr:blipFill>
        <a:blip r:embed="rId2"/>
        <a:stretch>
          <a:fillRect/>
        </a:stretch>
      </xdr:blipFill>
      <xdr:spPr>
        <a:xfrm>
          <a:off x="209550" y="16030575"/>
          <a:ext cx="2085975"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685800</xdr:colOff>
      <xdr:row>28</xdr:row>
      <xdr:rowOff>38100</xdr:rowOff>
    </xdr:from>
    <xdr:to>
      <xdr:col>7</xdr:col>
      <xdr:colOff>47625</xdr:colOff>
      <xdr:row>29</xdr:row>
      <xdr:rowOff>133350</xdr:rowOff>
    </xdr:to>
    <xdr:sp>
      <xdr:nvSpPr>
        <xdr:cNvPr id="1" name="AutoShape 1"/>
        <xdr:cNvSpPr>
          <a:spLocks/>
        </xdr:cNvSpPr>
      </xdr:nvSpPr>
      <xdr:spPr>
        <a:xfrm>
          <a:off x="4819650" y="4819650"/>
          <a:ext cx="133350" cy="257175"/>
        </a:xfrm>
        <a:prstGeom prst="rightBrace">
          <a:avLst>
            <a:gd name="adj" fmla="val 3148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638175</xdr:colOff>
      <xdr:row>22</xdr:row>
      <xdr:rowOff>38100</xdr:rowOff>
    </xdr:from>
    <xdr:to>
      <xdr:col>7</xdr:col>
      <xdr:colOff>57150</xdr:colOff>
      <xdr:row>23</xdr:row>
      <xdr:rowOff>133350</xdr:rowOff>
    </xdr:to>
    <xdr:sp>
      <xdr:nvSpPr>
        <xdr:cNvPr id="2" name="AutoShape 2"/>
        <xdr:cNvSpPr>
          <a:spLocks/>
        </xdr:cNvSpPr>
      </xdr:nvSpPr>
      <xdr:spPr>
        <a:xfrm>
          <a:off x="4772025" y="3848100"/>
          <a:ext cx="190500" cy="257175"/>
        </a:xfrm>
        <a:prstGeom prst="rightBrace">
          <a:avLst>
            <a:gd name="adj" fmla="val 3148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647700</xdr:colOff>
      <xdr:row>10</xdr:row>
      <xdr:rowOff>47625</xdr:rowOff>
    </xdr:from>
    <xdr:to>
      <xdr:col>7</xdr:col>
      <xdr:colOff>38100</xdr:colOff>
      <xdr:row>14</xdr:row>
      <xdr:rowOff>0</xdr:rowOff>
    </xdr:to>
    <xdr:sp>
      <xdr:nvSpPr>
        <xdr:cNvPr id="3" name="AutoShape 3"/>
        <xdr:cNvSpPr>
          <a:spLocks/>
        </xdr:cNvSpPr>
      </xdr:nvSpPr>
      <xdr:spPr>
        <a:xfrm>
          <a:off x="4781550" y="1800225"/>
          <a:ext cx="161925" cy="600075"/>
        </a:xfrm>
        <a:prstGeom prst="righ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457200</xdr:colOff>
      <xdr:row>10</xdr:row>
      <xdr:rowOff>57150</xdr:rowOff>
    </xdr:from>
    <xdr:to>
      <xdr:col>5</xdr:col>
      <xdr:colOff>85725</xdr:colOff>
      <xdr:row>13</xdr:row>
      <xdr:rowOff>133350</xdr:rowOff>
    </xdr:to>
    <xdr:sp>
      <xdr:nvSpPr>
        <xdr:cNvPr id="4" name="AutoShape 5"/>
        <xdr:cNvSpPr>
          <a:spLocks/>
        </xdr:cNvSpPr>
      </xdr:nvSpPr>
      <xdr:spPr>
        <a:xfrm>
          <a:off x="3629025" y="1809750"/>
          <a:ext cx="95250" cy="561975"/>
        </a:xfrm>
        <a:prstGeom prst="righ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28</xdr:row>
      <xdr:rowOff>66675</xdr:rowOff>
    </xdr:from>
    <xdr:to>
      <xdr:col>5</xdr:col>
      <xdr:colOff>47625</xdr:colOff>
      <xdr:row>29</xdr:row>
      <xdr:rowOff>142875</xdr:rowOff>
    </xdr:to>
    <xdr:sp>
      <xdr:nvSpPr>
        <xdr:cNvPr id="5" name="AutoShape 6"/>
        <xdr:cNvSpPr>
          <a:spLocks/>
        </xdr:cNvSpPr>
      </xdr:nvSpPr>
      <xdr:spPr>
        <a:xfrm>
          <a:off x="3609975" y="4848225"/>
          <a:ext cx="76200" cy="238125"/>
        </a:xfrm>
        <a:prstGeom prst="rightBrace">
          <a:avLst>
            <a:gd name="adj" fmla="val 3000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685800</xdr:colOff>
      <xdr:row>15</xdr:row>
      <xdr:rowOff>76200</xdr:rowOff>
    </xdr:from>
    <xdr:to>
      <xdr:col>7</xdr:col>
      <xdr:colOff>114300</xdr:colOff>
      <xdr:row>19</xdr:row>
      <xdr:rowOff>142875</xdr:rowOff>
    </xdr:to>
    <xdr:sp>
      <xdr:nvSpPr>
        <xdr:cNvPr id="6" name="AutoShape 8"/>
        <xdr:cNvSpPr>
          <a:spLocks/>
        </xdr:cNvSpPr>
      </xdr:nvSpPr>
      <xdr:spPr>
        <a:xfrm>
          <a:off x="4819650" y="2676525"/>
          <a:ext cx="200025" cy="714375"/>
        </a:xfrm>
        <a:prstGeom prst="righ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15</xdr:row>
      <xdr:rowOff>66675</xdr:rowOff>
    </xdr:from>
    <xdr:to>
      <xdr:col>5</xdr:col>
      <xdr:colOff>114300</xdr:colOff>
      <xdr:row>19</xdr:row>
      <xdr:rowOff>133350</xdr:rowOff>
    </xdr:to>
    <xdr:sp>
      <xdr:nvSpPr>
        <xdr:cNvPr id="7" name="AutoShape 9"/>
        <xdr:cNvSpPr>
          <a:spLocks/>
        </xdr:cNvSpPr>
      </xdr:nvSpPr>
      <xdr:spPr>
        <a:xfrm>
          <a:off x="3552825" y="2667000"/>
          <a:ext cx="200025" cy="714375"/>
        </a:xfrm>
        <a:prstGeom prst="rightBrace">
          <a:avLst>
            <a:gd name="adj" fmla="val 3333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19050</xdr:colOff>
      <xdr:row>2</xdr:row>
      <xdr:rowOff>9525</xdr:rowOff>
    </xdr:from>
    <xdr:to>
      <xdr:col>5</xdr:col>
      <xdr:colOff>66675</xdr:colOff>
      <xdr:row>6</xdr:row>
      <xdr:rowOff>0</xdr:rowOff>
    </xdr:to>
    <xdr:pic>
      <xdr:nvPicPr>
        <xdr:cNvPr id="8" name="CommandButton1"/>
        <xdr:cNvPicPr preferRelativeResize="1">
          <a:picLocks noChangeAspect="1"/>
        </xdr:cNvPicPr>
      </xdr:nvPicPr>
      <xdr:blipFill>
        <a:blip r:embed="rId1"/>
        <a:stretch>
          <a:fillRect/>
        </a:stretch>
      </xdr:blipFill>
      <xdr:spPr>
        <a:xfrm>
          <a:off x="2886075" y="400050"/>
          <a:ext cx="819150" cy="704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dimension ref="N16:O20"/>
  <sheetViews>
    <sheetView tabSelected="1" workbookViewId="0" topLeftCell="A1">
      <selection activeCell="G61" sqref="G61"/>
    </sheetView>
  </sheetViews>
  <sheetFormatPr defaultColWidth="9.140625" defaultRowHeight="12.75"/>
  <sheetData>
    <row r="16" spans="14:15" ht="12.75">
      <c r="N16" s="70"/>
      <c r="O16" s="95"/>
    </row>
    <row r="17" spans="14:15" ht="12.75">
      <c r="N17" s="1"/>
      <c r="O17" s="95"/>
    </row>
    <row r="18" spans="14:15" ht="12.75">
      <c r="N18" s="1"/>
      <c r="O18" s="95"/>
    </row>
    <row r="19" spans="14:15" ht="12.75">
      <c r="N19" s="1"/>
      <c r="O19" s="95"/>
    </row>
    <row r="20" spans="14:15" ht="12.75">
      <c r="N20" s="1"/>
      <c r="O20" s="95"/>
    </row>
  </sheetData>
  <sheetProtection password="E702" sheet="1" objects="1" scenarios="1" selectLockedCells="1"/>
  <printOptions/>
  <pageMargins left="0.5" right="0.5" top="0.75" bottom="0.25" header="0.2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A5:V129"/>
  <sheetViews>
    <sheetView workbookViewId="0" topLeftCell="A85">
      <selection activeCell="E64" sqref="E64"/>
    </sheetView>
  </sheetViews>
  <sheetFormatPr defaultColWidth="9.140625" defaultRowHeight="12.75"/>
  <cols>
    <col min="1" max="1" width="8.7109375" style="1" customWidth="1"/>
    <col min="2" max="2" width="9.28125" style="1" customWidth="1"/>
    <col min="3" max="3" width="36.28125" style="1" customWidth="1"/>
    <col min="4" max="4" width="11.57421875" style="1" customWidth="1"/>
    <col min="5" max="5" width="10.28125" style="1" customWidth="1"/>
    <col min="6" max="6" width="17.7109375" style="1" customWidth="1"/>
    <col min="7" max="16384" width="9.140625" style="1" customWidth="1"/>
  </cols>
  <sheetData>
    <row r="1" ht="12.75"/>
    <row r="2" ht="12.75"/>
    <row r="3" ht="12.75"/>
    <row r="4" ht="10.5" customHeight="1"/>
    <row r="5" spans="2:3" ht="12.75">
      <c r="B5" s="2" t="s">
        <v>20</v>
      </c>
      <c r="C5" s="63" t="s">
        <v>226</v>
      </c>
    </row>
    <row r="6" spans="2:4" ht="12.75">
      <c r="B6" s="2" t="s">
        <v>21</v>
      </c>
      <c r="C6" s="63">
        <v>1234</v>
      </c>
      <c r="D6" s="61" t="s">
        <v>109</v>
      </c>
    </row>
    <row r="7" spans="2:3" ht="12.75">
      <c r="B7" s="2" t="s">
        <v>22</v>
      </c>
      <c r="C7" s="63">
        <v>12345</v>
      </c>
    </row>
    <row r="8" spans="2:6" ht="12.75">
      <c r="B8" s="2" t="s">
        <v>24</v>
      </c>
      <c r="C8" s="64" t="s">
        <v>227</v>
      </c>
      <c r="E8" s="2" t="s">
        <v>23</v>
      </c>
      <c r="F8" s="103">
        <f ca="1">NOW()</f>
        <v>38177.39250335648</v>
      </c>
    </row>
    <row r="9" spans="2:5" ht="12.75">
      <c r="B9" s="77" t="s">
        <v>133</v>
      </c>
      <c r="C9" s="79">
        <v>27</v>
      </c>
      <c r="E9" s="9">
        <f>IF(F10&gt;=18,"","Less than 18 acres not eligible")</f>
      </c>
    </row>
    <row r="10" spans="2:6" ht="12.75">
      <c r="B10" s="3" t="s">
        <v>25</v>
      </c>
      <c r="C10" s="63" t="s">
        <v>111</v>
      </c>
      <c r="E10" s="2" t="s">
        <v>32</v>
      </c>
      <c r="F10" s="11">
        <v>40</v>
      </c>
    </row>
    <row r="11" ht="2.25" customHeight="1"/>
    <row r="12" ht="15">
      <c r="B12" s="65" t="s">
        <v>110</v>
      </c>
    </row>
    <row r="13" ht="3" customHeight="1">
      <c r="B13" s="32"/>
    </row>
    <row r="14" spans="2:6" ht="15">
      <c r="B14" s="32"/>
      <c r="E14" s="55" t="s">
        <v>192</v>
      </c>
      <c r="F14" s="56" t="s">
        <v>189</v>
      </c>
    </row>
    <row r="15" spans="5:6" ht="12.75" customHeight="1">
      <c r="E15" s="57"/>
      <c r="F15" s="58">
        <f>IF(F14="yes","","Not Eligible, must be private ownership")</f>
      </c>
    </row>
    <row r="16" spans="5:6" ht="12.75" customHeight="1">
      <c r="E16" s="55" t="s">
        <v>215</v>
      </c>
      <c r="F16" s="100">
        <v>5000</v>
      </c>
    </row>
    <row r="17" spans="5:6" ht="12.75" customHeight="1">
      <c r="E17" s="57"/>
      <c r="F17" s="58"/>
    </row>
    <row r="18" spans="5:6" ht="12.75">
      <c r="E18" s="55" t="s">
        <v>193</v>
      </c>
      <c r="F18" s="56" t="s">
        <v>189</v>
      </c>
    </row>
    <row r="19" spans="5:6" ht="12.75" customHeight="1">
      <c r="E19" s="57"/>
      <c r="F19" s="58">
        <f>IF(F18="yes","","Not Eligible, must be contiguous")</f>
      </c>
    </row>
    <row r="20" spans="5:6" ht="12.75" customHeight="1">
      <c r="E20" s="55" t="s">
        <v>126</v>
      </c>
      <c r="F20" s="56" t="s">
        <v>90</v>
      </c>
    </row>
    <row r="21" ht="2.25" customHeight="1">
      <c r="F21" s="41"/>
    </row>
    <row r="22" ht="12.75">
      <c r="A22" s="8" t="s">
        <v>27</v>
      </c>
    </row>
    <row r="23" ht="1.5" customHeight="1"/>
    <row r="24" ht="12.75">
      <c r="A24" s="4" t="s">
        <v>0</v>
      </c>
    </row>
    <row r="25" ht="3.75" customHeight="1"/>
    <row r="26" spans="4:6" ht="12.75">
      <c r="D26" s="2" t="s">
        <v>18</v>
      </c>
      <c r="E26" s="10">
        <v>10</v>
      </c>
      <c r="F26" s="1" t="s">
        <v>19</v>
      </c>
    </row>
    <row r="27" ht="8.25" customHeight="1">
      <c r="E27" s="7"/>
    </row>
    <row r="28" spans="4:6" ht="12.75">
      <c r="D28" s="2" t="s">
        <v>14</v>
      </c>
      <c r="E28" s="12">
        <f>IF(E26&gt;=80,35,IF(E26&gt;=70,30,IF(E26&gt;=60,25,IF(E26&gt;=50,20,IF(E26&gt;=40,15,IF(E26&gt;=30,10,IF(E26&gt;=20,5,IF(E26&gt;=1,1))))))))</f>
        <v>1</v>
      </c>
      <c r="F28" s="94" t="s">
        <v>207</v>
      </c>
    </row>
    <row r="29" ht="3.75" customHeight="1"/>
    <row r="30" ht="12.75">
      <c r="A30" s="4" t="s">
        <v>28</v>
      </c>
    </row>
    <row r="31" ht="12.75">
      <c r="B31" s="1" t="s">
        <v>213</v>
      </c>
    </row>
    <row r="32" ht="9.75" customHeight="1"/>
    <row r="33" ht="12.75">
      <c r="E33" s="45"/>
    </row>
    <row r="34" ht="12.75">
      <c r="E34" s="45" t="s">
        <v>185</v>
      </c>
    </row>
    <row r="35" spans="4:5" ht="12.75">
      <c r="D35" s="2" t="s">
        <v>17</v>
      </c>
      <c r="E35" s="10">
        <v>43</v>
      </c>
    </row>
    <row r="36" ht="12.75"/>
    <row r="37" ht="12.75"/>
    <row r="38" ht="1.5" customHeight="1"/>
    <row r="39" spans="4:6" ht="12.75">
      <c r="D39" s="2" t="s">
        <v>14</v>
      </c>
      <c r="E39" s="12">
        <f>IF(E35&gt;140,10,IF(E35&gt;60,20,IF(E35&gt;30,35,IF(E35&gt;=10,20,IF(E35&gt;=1,5)))))</f>
        <v>35</v>
      </c>
      <c r="F39" s="94" t="s">
        <v>207</v>
      </c>
    </row>
    <row r="40" spans="4:6" ht="12.75">
      <c r="D40" s="2" t="s">
        <v>16</v>
      </c>
      <c r="E40" s="12">
        <f>IF(E28+E39&lt;=110,(E28+E39),IF(E28+E39&gt;110,110))</f>
        <v>36</v>
      </c>
      <c r="F40" s="94" t="s">
        <v>190</v>
      </c>
    </row>
    <row r="41" ht="2.25" customHeight="1"/>
    <row r="42" ht="12.75">
      <c r="A42" s="8" t="s">
        <v>31</v>
      </c>
    </row>
    <row r="43" ht="1.5" customHeight="1">
      <c r="A43" s="8"/>
    </row>
    <row r="44" spans="1:5" ht="12.75">
      <c r="A44" s="4" t="s">
        <v>201</v>
      </c>
      <c r="E44" s="49" t="s">
        <v>83</v>
      </c>
    </row>
    <row r="45" spans="1:6" ht="12.75">
      <c r="A45" s="40" t="s">
        <v>74</v>
      </c>
      <c r="E45" s="102" t="s">
        <v>112</v>
      </c>
      <c r="F45" s="46" t="s">
        <v>89</v>
      </c>
    </row>
    <row r="46" spans="1:6" ht="12.75">
      <c r="A46" s="40"/>
      <c r="D46" s="2" t="s">
        <v>3</v>
      </c>
      <c r="E46" s="33">
        <v>0.5</v>
      </c>
      <c r="F46" s="87">
        <f>((E46*F10)/F10)*50</f>
        <v>25</v>
      </c>
    </row>
    <row r="47" spans="1:6" ht="12.75">
      <c r="A47" s="40"/>
      <c r="D47" s="43" t="s">
        <v>120</v>
      </c>
      <c r="E47" s="33">
        <v>0</v>
      </c>
      <c r="F47" s="87">
        <f>((E47*F10)/F10)*25</f>
        <v>0</v>
      </c>
    </row>
    <row r="48" spans="1:6" ht="12.75">
      <c r="A48" s="40"/>
      <c r="D48" s="43" t="s">
        <v>121</v>
      </c>
      <c r="E48" s="33">
        <v>0</v>
      </c>
      <c r="F48" s="87">
        <f>((E48*F10)/F10)*10</f>
        <v>0</v>
      </c>
    </row>
    <row r="49" spans="1:6" ht="12.75">
      <c r="A49" s="40" t="s">
        <v>75</v>
      </c>
      <c r="E49" s="34"/>
      <c r="F49" s="88"/>
    </row>
    <row r="50" spans="1:6" ht="12.75">
      <c r="A50" s="40"/>
      <c r="D50" s="2" t="s">
        <v>2</v>
      </c>
      <c r="E50" s="33">
        <v>0</v>
      </c>
      <c r="F50" s="87">
        <f>((E50*F10)/F10)*20</f>
        <v>0</v>
      </c>
    </row>
    <row r="51" spans="1:6" ht="12.75">
      <c r="A51" s="40"/>
      <c r="D51" s="43" t="s">
        <v>122</v>
      </c>
      <c r="E51" s="33">
        <v>0.5</v>
      </c>
      <c r="F51" s="87">
        <f>((E51*F10)/F10)*10</f>
        <v>5</v>
      </c>
    </row>
    <row r="52" spans="1:6" ht="12.75">
      <c r="A52" s="40"/>
      <c r="D52" s="43" t="s">
        <v>123</v>
      </c>
      <c r="E52" s="33">
        <v>0</v>
      </c>
      <c r="F52" s="87">
        <f>((E52*F10)/F10)*5</f>
        <v>0</v>
      </c>
    </row>
    <row r="53" spans="1:6" ht="12.75">
      <c r="A53" s="40" t="s">
        <v>76</v>
      </c>
      <c r="D53" s="2"/>
      <c r="E53" s="35"/>
      <c r="F53" s="88"/>
    </row>
    <row r="54" spans="1:6" ht="12.75">
      <c r="A54" s="40"/>
      <c r="D54" s="2" t="s">
        <v>2</v>
      </c>
      <c r="E54" s="33">
        <v>0</v>
      </c>
      <c r="F54" s="87">
        <f>((E54*F10)/F10)*10</f>
        <v>0</v>
      </c>
    </row>
    <row r="55" spans="1:6" ht="12.75">
      <c r="A55" s="40"/>
      <c r="D55" s="43" t="s">
        <v>122</v>
      </c>
      <c r="E55" s="33">
        <v>0</v>
      </c>
      <c r="F55" s="87">
        <f>((E55*F10)/F10)*5</f>
        <v>0</v>
      </c>
    </row>
    <row r="56" spans="1:6" ht="12.75">
      <c r="A56" s="40"/>
      <c r="D56" s="43" t="s">
        <v>123</v>
      </c>
      <c r="E56" s="33">
        <v>0</v>
      </c>
      <c r="F56" s="87">
        <f>((E56*F10)/F10)*1</f>
        <v>0</v>
      </c>
    </row>
    <row r="57" spans="1:6" ht="12.75">
      <c r="A57" s="40" t="s">
        <v>77</v>
      </c>
      <c r="D57" s="2"/>
      <c r="E57" s="35"/>
      <c r="F57" s="88"/>
    </row>
    <row r="58" spans="4:7" ht="12.75">
      <c r="D58" s="2" t="s">
        <v>1</v>
      </c>
      <c r="E58" s="33">
        <v>0</v>
      </c>
      <c r="F58" s="87">
        <f>((E58*F10)/F10)*15</f>
        <v>0</v>
      </c>
      <c r="G58" s="69" t="s">
        <v>115</v>
      </c>
    </row>
    <row r="59" spans="4:7" ht="12.75">
      <c r="D59" s="43" t="s">
        <v>123</v>
      </c>
      <c r="E59" s="33">
        <v>0</v>
      </c>
      <c r="F59" s="87">
        <f>((E59*F10)/F10)*10</f>
        <v>0</v>
      </c>
      <c r="G59" s="67">
        <f>(E46+E47+E48+E50+E51+E52+E54+E55+E56+E58+E59)</f>
        <v>1</v>
      </c>
    </row>
    <row r="60" ht="13.5" customHeight="1">
      <c r="E60" s="9">
        <f>IF(E46+E47+E48+E50+E51+E52+E54+E55+E56+E58+E59=100%,"","Does not add up to 100%")</f>
      </c>
    </row>
    <row r="61" spans="4:6" ht="12.75">
      <c r="D61" s="2" t="s">
        <v>14</v>
      </c>
      <c r="E61" s="12">
        <f>IF(F46+F47+F48+F50+F51+F52+F54+F55+F56+F58+F59&gt;=50,50,(F46+F47+F48+F50+F51+F52+F54+F55+F56+F58+F59))</f>
        <v>30</v>
      </c>
      <c r="F61" s="94" t="s">
        <v>33</v>
      </c>
    </row>
    <row r="62" spans="4:5" ht="4.5" customHeight="1">
      <c r="D62" s="2"/>
      <c r="E62" s="62"/>
    </row>
    <row r="63" spans="1:6" ht="13.5" customHeight="1">
      <c r="A63" s="4" t="s">
        <v>211</v>
      </c>
      <c r="D63" s="2"/>
      <c r="E63" s="48" t="s">
        <v>116</v>
      </c>
      <c r="F63" s="47" t="s">
        <v>84</v>
      </c>
    </row>
    <row r="64" spans="1:6" ht="13.5" customHeight="1">
      <c r="A64" s="4"/>
      <c r="D64" s="2" t="s">
        <v>194</v>
      </c>
      <c r="E64" s="10" t="s">
        <v>189</v>
      </c>
      <c r="F64" s="12">
        <f>IF(E64="yes",2,0)</f>
        <v>2</v>
      </c>
    </row>
    <row r="65" spans="1:6" ht="13.5" customHeight="1">
      <c r="A65" s="4"/>
      <c r="D65" s="2" t="s">
        <v>195</v>
      </c>
      <c r="E65" s="10" t="s">
        <v>90</v>
      </c>
      <c r="F65" s="12">
        <f>IF(E65="yes",3,0)</f>
        <v>0</v>
      </c>
    </row>
    <row r="66" spans="4:6" ht="13.5" customHeight="1">
      <c r="D66" s="2" t="s">
        <v>204</v>
      </c>
      <c r="E66" s="10" t="s">
        <v>189</v>
      </c>
      <c r="F66" s="12">
        <f>IF(E66="yes",3,0)</f>
        <v>3</v>
      </c>
    </row>
    <row r="67" spans="4:6" ht="13.5" customHeight="1">
      <c r="D67" s="2" t="s">
        <v>212</v>
      </c>
      <c r="E67" s="10" t="s">
        <v>189</v>
      </c>
      <c r="F67" s="12">
        <f>IF(E67="yes",2,0)</f>
        <v>2</v>
      </c>
    </row>
    <row r="68" spans="4:6" ht="13.5" customHeight="1">
      <c r="D68" s="43" t="s">
        <v>214</v>
      </c>
      <c r="E68" s="10" t="s">
        <v>90</v>
      </c>
      <c r="F68" s="12">
        <f>IF(E68="yes",5,0)</f>
        <v>0</v>
      </c>
    </row>
    <row r="69" spans="4:6" ht="12.75" customHeight="1">
      <c r="D69" s="43" t="s">
        <v>196</v>
      </c>
      <c r="E69" s="10" t="s">
        <v>90</v>
      </c>
      <c r="F69" s="12">
        <f>IF(E69="yes",5,0)</f>
        <v>0</v>
      </c>
    </row>
    <row r="70" spans="4:5" ht="8.25" customHeight="1">
      <c r="D70" s="2"/>
      <c r="E70" s="62"/>
    </row>
    <row r="71" spans="4:6" ht="12.75" customHeight="1">
      <c r="D71" s="2" t="s">
        <v>14</v>
      </c>
      <c r="E71" s="12">
        <f>F64+F65+F66+F67+F68+F69</f>
        <v>7</v>
      </c>
      <c r="F71" s="94" t="s">
        <v>210</v>
      </c>
    </row>
    <row r="72" spans="4:6" ht="12.75" customHeight="1">
      <c r="D72" s="2" t="s">
        <v>203</v>
      </c>
      <c r="E72" s="12">
        <f>E61+E71</f>
        <v>37</v>
      </c>
      <c r="F72" s="94" t="s">
        <v>190</v>
      </c>
    </row>
    <row r="73" spans="4:6" ht="5.25" customHeight="1">
      <c r="D73" s="2"/>
      <c r="E73" s="62"/>
      <c r="F73" s="94"/>
    </row>
    <row r="74" spans="1:5" ht="12.75">
      <c r="A74" s="8" t="s">
        <v>191</v>
      </c>
      <c r="E74" s="49" t="s">
        <v>83</v>
      </c>
    </row>
    <row r="75" spans="1:6" ht="12.75">
      <c r="A75" s="4" t="s">
        <v>197</v>
      </c>
      <c r="E75" s="102" t="s">
        <v>112</v>
      </c>
      <c r="F75" s="47" t="s">
        <v>84</v>
      </c>
    </row>
    <row r="76" spans="4:11" ht="12.75">
      <c r="D76" s="2" t="s">
        <v>6</v>
      </c>
      <c r="E76" s="33">
        <v>0</v>
      </c>
      <c r="F76" s="87">
        <f>((E76*F10)/F10)*35</f>
        <v>0</v>
      </c>
      <c r="K76" s="35"/>
    </row>
    <row r="77" spans="4:6" ht="12.75">
      <c r="D77" s="43" t="s">
        <v>124</v>
      </c>
      <c r="E77" s="33">
        <v>0</v>
      </c>
      <c r="F77" s="87">
        <f>((E77*F10)/F10)*25</f>
        <v>0</v>
      </c>
    </row>
    <row r="78" spans="4:6" ht="12.75">
      <c r="D78" s="2" t="s">
        <v>4</v>
      </c>
      <c r="E78" s="33">
        <v>0.5</v>
      </c>
      <c r="F78" s="87">
        <f>((E78*F10)/F10)*15</f>
        <v>7.5</v>
      </c>
    </row>
    <row r="79" spans="4:6" ht="12.75">
      <c r="D79" s="2" t="s">
        <v>5</v>
      </c>
      <c r="E79" s="33">
        <v>0.5</v>
      </c>
      <c r="F79" s="87">
        <f>((E79*F10)/F10)*5</f>
        <v>2.5</v>
      </c>
    </row>
    <row r="80" spans="4:22" ht="12.75">
      <c r="D80" s="36" t="s">
        <v>70</v>
      </c>
      <c r="E80" s="33">
        <v>0</v>
      </c>
      <c r="F80" s="87">
        <f>((E80*F10)/F10)*1</f>
        <v>0</v>
      </c>
      <c r="V80" s="35">
        <f>SUM(E79:E80)</f>
        <v>0.5</v>
      </c>
    </row>
    <row r="81" spans="1:7" ht="12.75">
      <c r="A81" s="38" t="s">
        <v>71</v>
      </c>
      <c r="E81" s="9">
        <f>IF((E76+E77+E78+E79+E80)=100%,"","Does not add up to 100%")</f>
      </c>
      <c r="G81" s="69" t="s">
        <v>115</v>
      </c>
    </row>
    <row r="82" spans="1:7" ht="12.75">
      <c r="A82" s="37" t="s">
        <v>72</v>
      </c>
      <c r="G82" s="68">
        <f>(E76+E77+E78+E79+E80)</f>
        <v>1</v>
      </c>
    </row>
    <row r="83" spans="1:6" ht="12.75">
      <c r="A83" s="38" t="s">
        <v>69</v>
      </c>
      <c r="D83" s="2" t="s">
        <v>14</v>
      </c>
      <c r="E83" s="44">
        <f>SUM(F76:F80)</f>
        <v>10</v>
      </c>
      <c r="F83" s="94" t="s">
        <v>207</v>
      </c>
    </row>
    <row r="84" ht="12.75">
      <c r="A84" s="39" t="s">
        <v>73</v>
      </c>
    </row>
    <row r="85" ht="13.5" customHeight="1">
      <c r="F85" s="89" t="s">
        <v>186</v>
      </c>
    </row>
    <row r="86" spans="1:6" ht="12.75">
      <c r="A86" s="4" t="s">
        <v>198</v>
      </c>
      <c r="E86" s="49" t="s">
        <v>83</v>
      </c>
      <c r="F86" s="47" t="s">
        <v>84</v>
      </c>
    </row>
    <row r="87" spans="4:8" ht="12.75">
      <c r="D87" s="36" t="s">
        <v>82</v>
      </c>
      <c r="E87" s="33">
        <v>0.5</v>
      </c>
      <c r="F87" s="86">
        <f>((((E87/(E79+E80+0.001))*F10)/F10)*V80)*5</f>
        <v>2.49500998003992</v>
      </c>
      <c r="H87" s="90"/>
    </row>
    <row r="88" spans="4:6" ht="12.75">
      <c r="D88" s="36" t="s">
        <v>85</v>
      </c>
      <c r="E88" s="33">
        <v>0</v>
      </c>
      <c r="F88" s="86">
        <f>((((E88/(E79+E80+0.001))*F10)/F10)*V80)*10</f>
        <v>0</v>
      </c>
    </row>
    <row r="89" spans="4:7" ht="12.75">
      <c r="D89" s="43" t="s">
        <v>87</v>
      </c>
      <c r="E89" s="33">
        <v>0</v>
      </c>
      <c r="F89" s="86">
        <f>((((E89/(E79+E80+0.001))*F10)/F10)*V80)*8</f>
        <v>0</v>
      </c>
      <c r="G89" s="69" t="s">
        <v>115</v>
      </c>
    </row>
    <row r="90" spans="1:7" ht="12.75">
      <c r="A90" s="37" t="s">
        <v>86</v>
      </c>
      <c r="D90" s="9" t="s">
        <v>26</v>
      </c>
      <c r="E90" s="9">
        <f>IF((E87+E88+E89)&lt;=(E79+E80),"","Exceeds Eligible Acreage")</f>
      </c>
      <c r="G90" s="78">
        <f>(E87+E88+E89)</f>
        <v>0.5</v>
      </c>
    </row>
    <row r="91" ht="2.25" customHeight="1">
      <c r="A91" s="6"/>
    </row>
    <row r="92" spans="1:6" ht="15.75">
      <c r="A92" s="6"/>
      <c r="D92" s="2" t="s">
        <v>14</v>
      </c>
      <c r="E92" s="44">
        <f>IF(F87+F88+F89&gt;=10,10,(F87+F88+F89))</f>
        <v>2.49500998003992</v>
      </c>
      <c r="F92" s="94" t="s">
        <v>30</v>
      </c>
    </row>
    <row r="93" ht="4.5" customHeight="1"/>
    <row r="94" ht="12.75">
      <c r="A94" s="4" t="s">
        <v>199</v>
      </c>
    </row>
    <row r="95" spans="1:7" ht="12.75">
      <c r="A95" s="42" t="s">
        <v>81</v>
      </c>
      <c r="E95" s="48" t="s">
        <v>116</v>
      </c>
      <c r="F95" s="47" t="s">
        <v>84</v>
      </c>
      <c r="G95" s="1" t="s">
        <v>26</v>
      </c>
    </row>
    <row r="96" spans="4:6" ht="14.25" customHeight="1">
      <c r="D96" s="2" t="s">
        <v>79</v>
      </c>
      <c r="E96" s="10" t="s">
        <v>189</v>
      </c>
      <c r="F96" s="12">
        <f>IF(E96="yes",3,0)</f>
        <v>3</v>
      </c>
    </row>
    <row r="97" spans="4:6" ht="12.75">
      <c r="D97" s="2" t="s">
        <v>128</v>
      </c>
      <c r="E97" s="10" t="s">
        <v>90</v>
      </c>
      <c r="F97" s="12">
        <f>IF(E97="yes",3,0)</f>
        <v>0</v>
      </c>
    </row>
    <row r="98" spans="4:6" ht="12.75">
      <c r="D98" s="2" t="s">
        <v>80</v>
      </c>
      <c r="E98" s="10" t="s">
        <v>189</v>
      </c>
      <c r="F98" s="12">
        <f>IF(E98="yes",2,0)</f>
        <v>2</v>
      </c>
    </row>
    <row r="99" spans="4:6" ht="12.75">
      <c r="D99" s="2" t="s">
        <v>78</v>
      </c>
      <c r="E99" s="10" t="s">
        <v>90</v>
      </c>
      <c r="F99" s="12">
        <f>IF(E99="yes",2,0)</f>
        <v>0</v>
      </c>
    </row>
    <row r="100" spans="4:5" ht="3.75" customHeight="1">
      <c r="D100" s="2"/>
      <c r="E100" s="62"/>
    </row>
    <row r="101" spans="1:6" ht="12.75">
      <c r="A101" s="37"/>
      <c r="E101" s="2" t="s">
        <v>14</v>
      </c>
      <c r="F101" s="12">
        <f>SUM(F96:F99)</f>
        <v>5</v>
      </c>
    </row>
    <row r="102" spans="1:6" ht="3.75" customHeight="1">
      <c r="A102" s="37"/>
      <c r="F102" s="62"/>
    </row>
    <row r="103" ht="12.75">
      <c r="A103" s="4" t="s">
        <v>200</v>
      </c>
    </row>
    <row r="104" ht="12.75">
      <c r="A104" s="4" t="s">
        <v>88</v>
      </c>
    </row>
    <row r="105" ht="12.75">
      <c r="A105" s="4" t="s">
        <v>7</v>
      </c>
    </row>
    <row r="106" spans="4:6" ht="12.75">
      <c r="D106" s="2" t="s">
        <v>15</v>
      </c>
      <c r="E106" s="10">
        <v>1</v>
      </c>
      <c r="F106" s="1" t="s">
        <v>8</v>
      </c>
    </row>
    <row r="107" ht="7.5" customHeight="1"/>
    <row r="108" spans="4:5" ht="12.75">
      <c r="D108" s="2" t="s">
        <v>14</v>
      </c>
      <c r="E108" s="44">
        <f>IF(E106&gt;=640,10,IF(E106&gt;=480,8,IF(E106&gt;=320,6,IF(E106&gt;=160,4,IF(E106&gt;=40,2,IF(E106&gt;=5,1,IF(E106&gt;=0.5,0.5,IF(E106&lt;0.5,0))))))))</f>
        <v>0.5</v>
      </c>
    </row>
    <row r="109" spans="4:6" ht="12.75" customHeight="1">
      <c r="D109" s="2" t="s">
        <v>205</v>
      </c>
      <c r="E109" s="12">
        <f>E92+E83+F101+E108</f>
        <v>17.99500998003992</v>
      </c>
      <c r="F109" s="94" t="s">
        <v>206</v>
      </c>
    </row>
    <row r="110" ht="5.25" customHeight="1"/>
    <row r="111" spans="1:17" ht="12.75">
      <c r="A111" s="8" t="s">
        <v>202</v>
      </c>
      <c r="E111" s="45" t="s">
        <v>225</v>
      </c>
      <c r="M111" s="99"/>
      <c r="N111" s="99"/>
      <c r="O111" s="99"/>
      <c r="P111" s="99"/>
      <c r="Q111" s="99"/>
    </row>
    <row r="112" spans="4:17" ht="12.75">
      <c r="D112" s="2" t="s">
        <v>9</v>
      </c>
      <c r="E112" s="10" t="s">
        <v>189</v>
      </c>
      <c r="M112" s="99"/>
      <c r="N112" s="99">
        <f aca="true" t="shared" si="0" ref="N112:N117">IF(E112="yes",1,0)</f>
        <v>1</v>
      </c>
      <c r="O112" s="99"/>
      <c r="P112" s="99"/>
      <c r="Q112" s="99"/>
    </row>
    <row r="113" spans="4:17" ht="12.75">
      <c r="D113" s="2" t="s">
        <v>68</v>
      </c>
      <c r="E113" s="10" t="s">
        <v>90</v>
      </c>
      <c r="M113" s="99"/>
      <c r="N113" s="99">
        <f t="shared" si="0"/>
        <v>0</v>
      </c>
      <c r="O113" s="99"/>
      <c r="P113" s="99"/>
      <c r="Q113" s="99"/>
    </row>
    <row r="114" spans="4:17" ht="12.75">
      <c r="D114" s="2" t="s">
        <v>10</v>
      </c>
      <c r="E114" s="10" t="s">
        <v>90</v>
      </c>
      <c r="M114" s="99"/>
      <c r="N114" s="99">
        <f t="shared" si="0"/>
        <v>0</v>
      </c>
      <c r="O114" s="99"/>
      <c r="P114" s="99"/>
      <c r="Q114" s="99"/>
    </row>
    <row r="115" spans="4:17" ht="12.75">
      <c r="D115" s="2" t="s">
        <v>11</v>
      </c>
      <c r="E115" s="10" t="s">
        <v>90</v>
      </c>
      <c r="M115" s="99"/>
      <c r="N115" s="99">
        <f t="shared" si="0"/>
        <v>0</v>
      </c>
      <c r="O115" s="99"/>
      <c r="P115" s="99"/>
      <c r="Q115" s="99"/>
    </row>
    <row r="116" spans="4:17" ht="12.75">
      <c r="D116" s="2" t="s">
        <v>12</v>
      </c>
      <c r="E116" s="10" t="s">
        <v>90</v>
      </c>
      <c r="M116" s="99"/>
      <c r="N116" s="99">
        <f t="shared" si="0"/>
        <v>0</v>
      </c>
      <c r="O116" s="99"/>
      <c r="P116" s="99"/>
      <c r="Q116" s="99"/>
    </row>
    <row r="117" spans="4:17" ht="12.75">
      <c r="D117" s="2" t="s">
        <v>13</v>
      </c>
      <c r="E117" s="10" t="s">
        <v>90</v>
      </c>
      <c r="M117" s="99"/>
      <c r="N117" s="99">
        <f t="shared" si="0"/>
        <v>0</v>
      </c>
      <c r="O117" s="99"/>
      <c r="P117" s="99"/>
      <c r="Q117" s="99"/>
    </row>
    <row r="118" spans="5:17" ht="12.75" customHeight="1">
      <c r="E118" s="29">
        <f>IF(N118=1,"","ERROR, Please pick ONE")</f>
      </c>
      <c r="M118" s="99"/>
      <c r="N118" s="99">
        <f>SUM(N112:N117)</f>
        <v>1</v>
      </c>
      <c r="O118" s="99"/>
      <c r="P118" s="99"/>
      <c r="Q118" s="99"/>
    </row>
    <row r="119" spans="4:17" ht="12.75">
      <c r="D119" s="2" t="s">
        <v>208</v>
      </c>
      <c r="E119" s="12">
        <f>IF(N112=1,5,IF(N113=1,4,IF(N114=1,4,IF(N115=1,3,IF(N116=1,2,IF(N117=1,1))))))</f>
        <v>5</v>
      </c>
      <c r="F119" s="94" t="s">
        <v>209</v>
      </c>
      <c r="M119" s="99"/>
      <c r="N119" s="99"/>
      <c r="O119" s="99"/>
      <c r="P119" s="99"/>
      <c r="Q119" s="99"/>
    </row>
    <row r="120" spans="6:17" ht="9.75" customHeight="1">
      <c r="F120" s="94"/>
      <c r="M120" s="99"/>
      <c r="N120" s="99"/>
      <c r="O120" s="99"/>
      <c r="P120" s="99"/>
      <c r="Q120" s="99"/>
    </row>
    <row r="121" spans="4:17" ht="12.75">
      <c r="D121" s="98" t="s">
        <v>219</v>
      </c>
      <c r="E121" s="30">
        <f>(E40+E72+E109+E119)-N127-N128</f>
        <v>93.99500998003992</v>
      </c>
      <c r="F121" s="94" t="s">
        <v>29</v>
      </c>
      <c r="M121" s="99"/>
      <c r="N121" s="99"/>
      <c r="O121" s="99"/>
      <c r="P121" s="99"/>
      <c r="Q121" s="99"/>
    </row>
    <row r="122" spans="13:17" ht="2.25" customHeight="1">
      <c r="M122" s="99"/>
      <c r="N122" s="99"/>
      <c r="O122" s="99"/>
      <c r="P122" s="99"/>
      <c r="Q122" s="99"/>
    </row>
    <row r="123" spans="13:17" ht="12.75">
      <c r="M123" s="99"/>
      <c r="N123" s="99">
        <f>IF((N112+N113)=1,1,0)</f>
        <v>1</v>
      </c>
      <c r="O123" s="99" t="s">
        <v>220</v>
      </c>
      <c r="P123" s="99"/>
      <c r="Q123" s="99"/>
    </row>
    <row r="124" spans="13:17" ht="4.5" customHeight="1">
      <c r="M124" s="99"/>
      <c r="N124" s="99"/>
      <c r="O124" s="99"/>
      <c r="P124" s="99"/>
      <c r="Q124" s="99"/>
    </row>
    <row r="125" spans="3:17" ht="11.25" customHeight="1">
      <c r="C125" s="74" t="s">
        <v>127</v>
      </c>
      <c r="E125" s="96"/>
      <c r="M125" s="99">
        <f>IF(N112&gt;=1,'Estimate Sheet'!H46,'Estimate Sheet'!H44)</f>
        <v>134000</v>
      </c>
      <c r="N125" s="99">
        <f>'Estimate Sheet'!I39/M125</f>
        <v>0</v>
      </c>
      <c r="O125" s="99" t="s">
        <v>221</v>
      </c>
      <c r="P125" s="99"/>
      <c r="Q125" s="99"/>
    </row>
    <row r="126" spans="2:17" ht="34.5" customHeight="1">
      <c r="B126" s="2" t="s">
        <v>118</v>
      </c>
      <c r="C126" s="72"/>
      <c r="D126" s="2" t="s">
        <v>119</v>
      </c>
      <c r="E126" s="72"/>
      <c r="M126" s="99"/>
      <c r="N126" s="99">
        <f>N123*N125</f>
        <v>0</v>
      </c>
      <c r="O126" s="99" t="s">
        <v>222</v>
      </c>
      <c r="P126" s="99"/>
      <c r="Q126" s="99"/>
    </row>
    <row r="127" spans="13:17" ht="11.25" customHeight="1">
      <c r="M127" s="99"/>
      <c r="N127" s="99">
        <f>N126/0.1</f>
        <v>0</v>
      </c>
      <c r="O127" s="99" t="s">
        <v>223</v>
      </c>
      <c r="P127" s="99"/>
      <c r="Q127" s="99"/>
    </row>
    <row r="128" spans="5:17" ht="12.75" customHeight="1">
      <c r="E128" s="71" t="s">
        <v>117</v>
      </c>
      <c r="M128" s="99"/>
      <c r="N128" s="99">
        <f>'Estimate Sheet'!P49</f>
        <v>2</v>
      </c>
      <c r="O128" s="99" t="s">
        <v>224</v>
      </c>
      <c r="P128" s="99"/>
      <c r="Q128" s="99"/>
    </row>
    <row r="129" spans="5:17" ht="12.75">
      <c r="E129" s="31"/>
      <c r="M129" s="99"/>
      <c r="N129" s="99"/>
      <c r="O129" s="99"/>
      <c r="P129" s="99"/>
      <c r="Q129" s="99"/>
    </row>
    <row r="132" ht="12.75"/>
    <row r="133" ht="12.75"/>
    <row r="134" ht="12.75"/>
    <row r="135" ht="12.75"/>
    <row r="136" ht="12.75"/>
    <row r="137" ht="12.75"/>
    <row r="138" ht="12.75"/>
    <row r="139" ht="12.75"/>
    <row r="140" ht="12.75"/>
  </sheetData>
  <sheetProtection password="E702" sheet="1" objects="1" scenarios="1" selectLockedCells="1"/>
  <printOptions/>
  <pageMargins left="0.5" right="0.25" top="0.4" bottom="0.5" header="0.2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14"/>
  <dimension ref="A1:AC59"/>
  <sheetViews>
    <sheetView workbookViewId="0" topLeftCell="A1">
      <selection activeCell="E22" sqref="E22"/>
    </sheetView>
  </sheetViews>
  <sheetFormatPr defaultColWidth="9.140625" defaultRowHeight="12.75"/>
  <cols>
    <col min="1" max="1" width="7.140625" style="1" customWidth="1"/>
    <col min="2" max="2" width="30.28125" style="1" customWidth="1"/>
    <col min="3" max="3" width="5.57421875" style="1" customWidth="1"/>
    <col min="4" max="4" width="4.57421875" style="1" customWidth="1"/>
    <col min="5" max="5" width="7.00390625" style="1" customWidth="1"/>
    <col min="6" max="6" width="7.421875" style="1" customWidth="1"/>
    <col min="7" max="7" width="11.57421875" style="1" customWidth="1"/>
    <col min="8" max="8" width="12.140625" style="1" customWidth="1"/>
    <col min="9" max="9" width="15.28125" style="1" customWidth="1"/>
    <col min="10" max="10" width="11.28125" style="1" customWidth="1"/>
    <col min="11" max="14" width="9.140625" style="1" customWidth="1"/>
    <col min="15" max="15" width="0.71875" style="1" customWidth="1"/>
    <col min="16" max="16384" width="9.140625" style="1" customWidth="1"/>
  </cols>
  <sheetData>
    <row r="1" ht="18">
      <c r="A1" s="66" t="s">
        <v>114</v>
      </c>
    </row>
    <row r="3" spans="1:8" ht="12.75">
      <c r="A3" s="2" t="s">
        <v>34</v>
      </c>
      <c r="B3" s="13" t="str">
        <f>'Ranking Sheet'!C5</f>
        <v>John Brown</v>
      </c>
      <c r="G3" s="2" t="s">
        <v>35</v>
      </c>
      <c r="H3" s="14">
        <f>'Ranking Sheet'!F8</f>
        <v>38177.39250335648</v>
      </c>
    </row>
    <row r="4" spans="1:8" ht="12.75">
      <c r="A4" s="2" t="s">
        <v>36</v>
      </c>
      <c r="B4" s="13">
        <f>'Ranking Sheet'!C7</f>
        <v>12345</v>
      </c>
      <c r="G4" s="2" t="s">
        <v>113</v>
      </c>
      <c r="H4" s="1" t="str">
        <f>'Ranking Sheet'!C10</f>
        <v>Victor Shelton</v>
      </c>
    </row>
    <row r="5" spans="1:3" ht="18">
      <c r="A5" s="2" t="s">
        <v>37</v>
      </c>
      <c r="B5" s="15">
        <f>'Ranking Sheet'!C9</f>
        <v>27</v>
      </c>
      <c r="C5" s="16"/>
    </row>
    <row r="6" ht="12.75">
      <c r="A6" s="1" t="s">
        <v>26</v>
      </c>
    </row>
    <row r="7" ht="12.75">
      <c r="B7" s="61" t="s">
        <v>108</v>
      </c>
    </row>
    <row r="8" spans="6:9" ht="12.75">
      <c r="F8" s="17" t="s">
        <v>38</v>
      </c>
      <c r="G8" s="17" t="s">
        <v>107</v>
      </c>
      <c r="H8" s="17" t="s">
        <v>67</v>
      </c>
      <c r="I8" s="17" t="s">
        <v>39</v>
      </c>
    </row>
    <row r="9" spans="2:9" ht="12.75">
      <c r="B9" s="18" t="s">
        <v>40</v>
      </c>
      <c r="C9" s="17" t="s">
        <v>41</v>
      </c>
      <c r="D9" s="17" t="s">
        <v>42</v>
      </c>
      <c r="E9" s="18" t="s">
        <v>43</v>
      </c>
      <c r="F9" s="17" t="s">
        <v>44</v>
      </c>
      <c r="G9" s="17" t="s">
        <v>45</v>
      </c>
      <c r="H9" s="17" t="s">
        <v>45</v>
      </c>
      <c r="I9" s="17" t="s">
        <v>46</v>
      </c>
    </row>
    <row r="11" spans="1:7" ht="12.75">
      <c r="A11" s="19" t="s">
        <v>26</v>
      </c>
      <c r="B11" s="1" t="s">
        <v>47</v>
      </c>
      <c r="C11" s="5">
        <v>512</v>
      </c>
      <c r="D11" s="5" t="s">
        <v>48</v>
      </c>
      <c r="E11" s="20">
        <v>0</v>
      </c>
      <c r="F11" s="21"/>
      <c r="G11" s="28">
        <v>150</v>
      </c>
    </row>
    <row r="12" spans="1:9" ht="12.75">
      <c r="A12" s="19"/>
      <c r="B12" s="1" t="s">
        <v>49</v>
      </c>
      <c r="C12" s="5">
        <v>512</v>
      </c>
      <c r="D12" s="5" t="s">
        <v>48</v>
      </c>
      <c r="E12" s="20">
        <v>0</v>
      </c>
      <c r="F12" s="21" t="s">
        <v>26</v>
      </c>
      <c r="G12" s="28">
        <v>120</v>
      </c>
      <c r="I12" s="22"/>
    </row>
    <row r="13" spans="1:9" ht="12.75">
      <c r="A13" s="19"/>
      <c r="B13" s="1" t="s">
        <v>50</v>
      </c>
      <c r="C13" s="5">
        <v>512</v>
      </c>
      <c r="D13" s="5" t="s">
        <v>48</v>
      </c>
      <c r="E13" s="20">
        <v>0</v>
      </c>
      <c r="F13" s="21"/>
      <c r="G13" s="28">
        <v>75</v>
      </c>
      <c r="H13" s="73">
        <f>IF(F14&gt;'Ranking Sheet'!F10,"Can not exceed offered acreage","")</f>
      </c>
      <c r="I13" s="22"/>
    </row>
    <row r="14" spans="1:9" ht="12.75">
      <c r="A14" s="19"/>
      <c r="B14" s="1" t="s">
        <v>51</v>
      </c>
      <c r="C14" s="5">
        <v>512</v>
      </c>
      <c r="D14" s="5" t="s">
        <v>48</v>
      </c>
      <c r="E14" s="20">
        <v>0</v>
      </c>
      <c r="F14" s="21">
        <f>E13+E14+E11+E12</f>
        <v>0</v>
      </c>
      <c r="G14" s="28">
        <v>30</v>
      </c>
      <c r="H14" s="23">
        <f>((E11*G11)+(E12*G12)+(E13*G13)+(E14*G14))/((E11+E12+E13+E14)+0.001)</f>
        <v>0</v>
      </c>
      <c r="I14" s="24">
        <f>SUM(E11:E14)*H14</f>
        <v>0</v>
      </c>
    </row>
    <row r="15" spans="1:9" ht="15.75">
      <c r="A15" s="19"/>
      <c r="B15" s="1" t="s">
        <v>130</v>
      </c>
      <c r="C15" s="5">
        <v>561</v>
      </c>
      <c r="D15" s="5" t="s">
        <v>52</v>
      </c>
      <c r="E15" s="20">
        <v>0</v>
      </c>
      <c r="F15" s="21">
        <f>E15</f>
        <v>0</v>
      </c>
      <c r="G15" s="28">
        <v>4</v>
      </c>
      <c r="H15" s="23">
        <f>G15*F15</f>
        <v>0</v>
      </c>
      <c r="I15" s="24">
        <f>E15*G15</f>
        <v>0</v>
      </c>
    </row>
    <row r="16" spans="1:9" ht="12.75">
      <c r="A16" s="19"/>
      <c r="B16" s="1" t="s">
        <v>53</v>
      </c>
      <c r="C16" s="5">
        <v>382</v>
      </c>
      <c r="D16" s="5" t="s">
        <v>52</v>
      </c>
      <c r="E16" s="20">
        <v>0</v>
      </c>
      <c r="F16" s="21"/>
      <c r="G16" s="28">
        <v>2</v>
      </c>
      <c r="H16" s="23"/>
      <c r="I16" s="22"/>
    </row>
    <row r="17" spans="1:9" ht="12.75">
      <c r="A17" s="19"/>
      <c r="B17" s="1" t="s">
        <v>54</v>
      </c>
      <c r="C17" s="5">
        <v>382</v>
      </c>
      <c r="D17" s="5" t="s">
        <v>52</v>
      </c>
      <c r="E17" s="20">
        <v>0</v>
      </c>
      <c r="F17" s="21"/>
      <c r="G17" s="28">
        <v>1.5</v>
      </c>
      <c r="H17" s="23"/>
      <c r="I17" s="22"/>
    </row>
    <row r="18" spans="1:9" ht="12.75">
      <c r="A18" s="19"/>
      <c r="B18" s="1" t="s">
        <v>55</v>
      </c>
      <c r="C18" s="5">
        <v>382</v>
      </c>
      <c r="D18" s="5" t="s">
        <v>52</v>
      </c>
      <c r="E18" s="20">
        <v>0</v>
      </c>
      <c r="F18" s="21"/>
      <c r="G18" s="28">
        <v>1.5</v>
      </c>
      <c r="H18" s="23"/>
      <c r="I18" s="22"/>
    </row>
    <row r="19" spans="1:9" ht="12.75">
      <c r="A19" s="19"/>
      <c r="B19" s="1" t="s">
        <v>56</v>
      </c>
      <c r="C19" s="5">
        <v>382</v>
      </c>
      <c r="D19" s="5" t="s">
        <v>52</v>
      </c>
      <c r="E19" s="20">
        <v>0</v>
      </c>
      <c r="F19" s="21"/>
      <c r="G19" s="28">
        <v>0.75</v>
      </c>
      <c r="H19" s="23"/>
      <c r="I19" s="25"/>
    </row>
    <row r="20" spans="1:9" ht="15.75">
      <c r="A20" s="19"/>
      <c r="B20" s="1" t="s">
        <v>99</v>
      </c>
      <c r="C20" s="5">
        <v>382</v>
      </c>
      <c r="D20" s="5" t="s">
        <v>52</v>
      </c>
      <c r="E20" s="20">
        <v>0</v>
      </c>
      <c r="F20" s="21">
        <f>E16+E17+E18+E19+E20</f>
        <v>0</v>
      </c>
      <c r="G20" s="28">
        <v>0.25</v>
      </c>
      <c r="H20" s="23">
        <f>((E16*G16)+(E17*G17)+(E18*G18)+(E19*G19)+(E20*G20))/((E16+E17+E18+E19+E20)+0.001)</f>
        <v>0</v>
      </c>
      <c r="I20" s="24">
        <f>H20*(F20)</f>
        <v>0</v>
      </c>
    </row>
    <row r="21" spans="1:9" ht="15.75">
      <c r="A21" s="19"/>
      <c r="B21" s="1" t="s">
        <v>131</v>
      </c>
      <c r="C21" s="5">
        <v>561</v>
      </c>
      <c r="D21" s="5" t="s">
        <v>125</v>
      </c>
      <c r="E21" s="20">
        <v>0</v>
      </c>
      <c r="F21" s="26">
        <f>E21</f>
        <v>0</v>
      </c>
      <c r="G21" s="28">
        <v>1.39</v>
      </c>
      <c r="H21" s="23">
        <f>IF(F21&gt;=1,1.39,0)</f>
        <v>0</v>
      </c>
      <c r="I21" s="24">
        <f>E21*H21</f>
        <v>0</v>
      </c>
    </row>
    <row r="22" spans="1:9" ht="12.75">
      <c r="A22" s="19"/>
      <c r="B22" s="1" t="s">
        <v>57</v>
      </c>
      <c r="C22" s="5">
        <v>578</v>
      </c>
      <c r="D22" s="5" t="s">
        <v>43</v>
      </c>
      <c r="E22" s="20">
        <v>0</v>
      </c>
      <c r="F22" s="21">
        <f>E22</f>
        <v>0</v>
      </c>
      <c r="G22" s="28">
        <v>1500</v>
      </c>
      <c r="H22" s="23">
        <f>G22*F22</f>
        <v>0</v>
      </c>
      <c r="I22" s="24">
        <f>G22*F22</f>
        <v>0</v>
      </c>
    </row>
    <row r="23" spans="1:9" ht="12.75">
      <c r="A23" s="19"/>
      <c r="B23" s="1" t="s">
        <v>58</v>
      </c>
      <c r="C23" s="5">
        <v>516</v>
      </c>
      <c r="D23" s="5" t="s">
        <v>52</v>
      </c>
      <c r="E23" s="20">
        <v>0</v>
      </c>
      <c r="F23" s="21">
        <f>E23</f>
        <v>0</v>
      </c>
      <c r="G23" s="28">
        <v>1.5</v>
      </c>
      <c r="H23" s="23"/>
      <c r="I23" s="22" t="s">
        <v>26</v>
      </c>
    </row>
    <row r="24" spans="1:9" ht="12.75">
      <c r="A24" s="19"/>
      <c r="B24" s="1" t="s">
        <v>59</v>
      </c>
      <c r="C24" s="5">
        <v>516</v>
      </c>
      <c r="D24" s="5" t="s">
        <v>43</v>
      </c>
      <c r="E24" s="20">
        <v>0</v>
      </c>
      <c r="F24" s="21" t="s">
        <v>26</v>
      </c>
      <c r="G24" s="28">
        <v>75</v>
      </c>
      <c r="H24" s="23">
        <f>((G23*E23)+(E24*G24))/((E23+E24)+0.0001)</f>
        <v>0</v>
      </c>
      <c r="I24" s="24">
        <f>H24*E23</f>
        <v>0</v>
      </c>
    </row>
    <row r="25" spans="1:9" ht="12.75">
      <c r="A25" s="19"/>
      <c r="B25" s="1" t="s">
        <v>60</v>
      </c>
      <c r="C25" s="5">
        <v>378</v>
      </c>
      <c r="D25" s="5" t="s">
        <v>43</v>
      </c>
      <c r="E25" s="20">
        <v>0</v>
      </c>
      <c r="F25" s="21">
        <f>E25</f>
        <v>0</v>
      </c>
      <c r="G25" s="28">
        <v>8000</v>
      </c>
      <c r="H25" s="23">
        <f>G25*F25</f>
        <v>0</v>
      </c>
      <c r="I25" s="24">
        <f>E25*G25</f>
        <v>0</v>
      </c>
    </row>
    <row r="26" spans="1:9" ht="12.75">
      <c r="A26" s="19"/>
      <c r="B26" s="1" t="s">
        <v>61</v>
      </c>
      <c r="C26" s="5">
        <v>533</v>
      </c>
      <c r="D26" s="5" t="s">
        <v>43</v>
      </c>
      <c r="E26" s="20">
        <v>0</v>
      </c>
      <c r="F26" s="21">
        <f>E26</f>
        <v>0</v>
      </c>
      <c r="G26" s="28">
        <v>2000</v>
      </c>
      <c r="H26" s="23">
        <f>G26*F26</f>
        <v>0</v>
      </c>
      <c r="I26" s="24">
        <f>E26*G26</f>
        <v>0</v>
      </c>
    </row>
    <row r="27" spans="1:9" ht="12.75">
      <c r="A27" s="19"/>
      <c r="B27" s="1" t="s">
        <v>62</v>
      </c>
      <c r="C27" s="5">
        <v>574</v>
      </c>
      <c r="D27" s="5" t="s">
        <v>43</v>
      </c>
      <c r="E27" s="20">
        <v>0</v>
      </c>
      <c r="F27" s="21">
        <f>E27</f>
        <v>0</v>
      </c>
      <c r="G27" s="28">
        <v>2000</v>
      </c>
      <c r="H27" s="23">
        <f>G27*F27</f>
        <v>0</v>
      </c>
      <c r="I27" s="24">
        <f>E27*G27</f>
        <v>0</v>
      </c>
    </row>
    <row r="28" spans="1:29" ht="12.75">
      <c r="A28" s="19"/>
      <c r="B28" s="1" t="s">
        <v>63</v>
      </c>
      <c r="C28" s="5">
        <v>642</v>
      </c>
      <c r="D28" s="5" t="s">
        <v>43</v>
      </c>
      <c r="E28" s="20">
        <v>0</v>
      </c>
      <c r="F28" s="21">
        <f>E28</f>
        <v>0</v>
      </c>
      <c r="G28" s="28">
        <v>3500</v>
      </c>
      <c r="H28" s="23">
        <f>G28*F28</f>
        <v>0</v>
      </c>
      <c r="I28" s="24">
        <f>E28*G28</f>
        <v>0</v>
      </c>
      <c r="Y28" s="81">
        <f>'Estimate Sheet'!H42</f>
        <v>5000</v>
      </c>
      <c r="Z28" s="81">
        <f>'Estimate Sheet'!H50</f>
        <v>660</v>
      </c>
      <c r="AA28" s="81">
        <f>'Estimate Sheet'!H51</f>
        <v>0</v>
      </c>
      <c r="AB28" s="81">
        <f>'Estimate Sheet'!H44</f>
        <v>40200</v>
      </c>
      <c r="AC28" s="81">
        <f>'Estimate Sheet'!H46</f>
        <v>134000</v>
      </c>
    </row>
    <row r="29" spans="1:9" ht="12.75">
      <c r="A29" s="19"/>
      <c r="B29" s="1" t="s">
        <v>64</v>
      </c>
      <c r="C29" s="5">
        <v>614</v>
      </c>
      <c r="D29" s="5" t="s">
        <v>43</v>
      </c>
      <c r="E29" s="20">
        <v>0</v>
      </c>
      <c r="F29" s="21"/>
      <c r="G29" s="28">
        <v>600</v>
      </c>
      <c r="H29" s="23"/>
      <c r="I29" s="27"/>
    </row>
    <row r="30" spans="1:9" ht="12.75">
      <c r="A30" s="19"/>
      <c r="B30" s="1" t="s">
        <v>65</v>
      </c>
      <c r="C30" s="5">
        <v>614</v>
      </c>
      <c r="D30" s="5" t="s">
        <v>43</v>
      </c>
      <c r="E30" s="20">
        <v>0</v>
      </c>
      <c r="F30" s="21">
        <f>E29+E30</f>
        <v>0</v>
      </c>
      <c r="G30" s="28">
        <v>200</v>
      </c>
      <c r="H30" s="23">
        <f>((E29*G29)+(E30*G30))/((E29+E30)+0.001)</f>
        <v>0</v>
      </c>
      <c r="I30" s="24">
        <f>H30*(E29+E30)</f>
        <v>0</v>
      </c>
    </row>
    <row r="31" spans="1:9" ht="12.75">
      <c r="A31" s="19" t="s">
        <v>26</v>
      </c>
      <c r="B31" s="1" t="s">
        <v>66</v>
      </c>
      <c r="C31" s="5">
        <v>342</v>
      </c>
      <c r="D31" s="5" t="s">
        <v>48</v>
      </c>
      <c r="E31" s="20">
        <v>0</v>
      </c>
      <c r="F31" s="21">
        <f>E31</f>
        <v>0</v>
      </c>
      <c r="G31" s="28">
        <v>500</v>
      </c>
      <c r="H31" s="23">
        <f>G31*F31</f>
        <v>0</v>
      </c>
      <c r="I31" s="24">
        <f>E31*G31</f>
        <v>0</v>
      </c>
    </row>
    <row r="32" spans="1:9" ht="12.75">
      <c r="A32" s="19" t="s">
        <v>26</v>
      </c>
      <c r="B32" s="75" t="s">
        <v>129</v>
      </c>
      <c r="C32" s="76">
        <v>380</v>
      </c>
      <c r="D32" s="76" t="s">
        <v>52</v>
      </c>
      <c r="E32" s="20">
        <v>0</v>
      </c>
      <c r="F32" s="21">
        <f>E32</f>
        <v>0</v>
      </c>
      <c r="G32" s="28">
        <v>1</v>
      </c>
      <c r="H32" s="23">
        <f>G32*F32</f>
        <v>0</v>
      </c>
      <c r="I32" s="24">
        <f>E32*G32</f>
        <v>0</v>
      </c>
    </row>
    <row r="33" ht="8.25" customHeight="1"/>
    <row r="34" spans="2:6" ht="12.75">
      <c r="B34" s="37" t="s">
        <v>100</v>
      </c>
      <c r="C34" s="5"/>
      <c r="D34" s="5"/>
      <c r="E34" s="5"/>
      <c r="F34" s="5"/>
    </row>
    <row r="35" spans="2:6" ht="12.75">
      <c r="B35" s="37" t="s">
        <v>101</v>
      </c>
      <c r="C35" s="5"/>
      <c r="D35" s="5"/>
      <c r="E35" s="5"/>
      <c r="F35" s="5"/>
    </row>
    <row r="36" spans="2:9" ht="12.75">
      <c r="B36" s="37" t="s">
        <v>132</v>
      </c>
      <c r="C36" s="5"/>
      <c r="D36" s="5"/>
      <c r="E36" s="5"/>
      <c r="F36" s="5"/>
      <c r="H36" s="2" t="s">
        <v>103</v>
      </c>
      <c r="I36" s="60">
        <f>IF('Ranking Sheet'!F20="no",0.9,0.75)</f>
        <v>0.9</v>
      </c>
    </row>
    <row r="37" spans="3:9" ht="12.75">
      <c r="C37" s="5"/>
      <c r="D37" s="5"/>
      <c r="E37" s="5"/>
      <c r="F37" s="5"/>
      <c r="H37" s="2" t="s">
        <v>104</v>
      </c>
      <c r="I37" s="60">
        <v>0.5</v>
      </c>
    </row>
    <row r="38" spans="3:9" ht="12.75">
      <c r="C38" s="5"/>
      <c r="D38" s="5"/>
      <c r="E38" s="5"/>
      <c r="F38" s="5"/>
      <c r="H38" s="2" t="s">
        <v>102</v>
      </c>
      <c r="I38" s="24">
        <f>SUM(I12:I32)</f>
        <v>0</v>
      </c>
    </row>
    <row r="39" spans="3:9" ht="12.75">
      <c r="C39" s="5"/>
      <c r="D39" s="5"/>
      <c r="E39" s="5"/>
      <c r="F39" s="5"/>
      <c r="H39" s="2" t="s">
        <v>106</v>
      </c>
      <c r="I39" s="24">
        <f>(I14*I36)+(I15*I37)+(I20*I37)+(I21*I37)+(I22*I37)+(I24*I37)+(I25*I37)+(I26*I37)+(I27*I37)+(I28*I37)+(I30*I37)+(I31*I37)+(I32*I37)</f>
        <v>0</v>
      </c>
    </row>
    <row r="40" spans="5:9" ht="12.75">
      <c r="E40" s="54"/>
      <c r="F40" s="54"/>
      <c r="G40" s="54"/>
      <c r="H40" s="2" t="s">
        <v>105</v>
      </c>
      <c r="I40" s="24">
        <f>I38-I39</f>
        <v>0</v>
      </c>
    </row>
    <row r="41" spans="5:9" ht="9" customHeight="1">
      <c r="E41" s="54"/>
      <c r="F41" s="54"/>
      <c r="G41" s="54"/>
      <c r="H41" s="59"/>
      <c r="I41" s="54"/>
    </row>
    <row r="42" spans="1:18" ht="15.75">
      <c r="A42" s="53" t="s">
        <v>187</v>
      </c>
      <c r="F42" s="54"/>
      <c r="G42" s="2" t="s">
        <v>188</v>
      </c>
      <c r="H42" s="97">
        <f>'Ranking Sheet'!F16</f>
        <v>5000</v>
      </c>
      <c r="I42" s="54" t="s">
        <v>26</v>
      </c>
      <c r="P42" s="99"/>
      <c r="Q42" s="99"/>
      <c r="R42" s="99"/>
    </row>
    <row r="43" spans="6:18" ht="12.75">
      <c r="F43" s="54"/>
      <c r="G43" s="2" t="s">
        <v>94</v>
      </c>
      <c r="H43" s="51">
        <f>(H45*0.3)</f>
        <v>1005</v>
      </c>
      <c r="I43" s="54"/>
      <c r="P43" s="99"/>
      <c r="Q43" s="99"/>
      <c r="R43" s="99"/>
    </row>
    <row r="44" spans="6:18" ht="12.75">
      <c r="F44" s="54"/>
      <c r="G44" s="2" t="s">
        <v>95</v>
      </c>
      <c r="H44" s="51">
        <f>H43*'Ranking Sheet'!F10</f>
        <v>40200</v>
      </c>
      <c r="I44" s="54"/>
      <c r="P44" s="101">
        <f>IF(H49&gt;0,0,H42)</f>
        <v>5000</v>
      </c>
      <c r="Q44" s="99" t="s">
        <v>217</v>
      </c>
      <c r="R44" s="99"/>
    </row>
    <row r="45" spans="6:18" ht="12.75">
      <c r="F45" s="54"/>
      <c r="G45" s="2" t="s">
        <v>96</v>
      </c>
      <c r="H45" s="51">
        <f>H42-(H42*0.33)</f>
        <v>3350</v>
      </c>
      <c r="I45" s="54"/>
      <c r="P45" s="101">
        <f>IF(P44&gt;=1,(P44-3000),0)</f>
        <v>2000</v>
      </c>
      <c r="Q45" s="99" t="s">
        <v>218</v>
      </c>
      <c r="R45" s="99"/>
    </row>
    <row r="46" spans="6:18" ht="12.75">
      <c r="F46" s="54"/>
      <c r="G46" s="2" t="s">
        <v>97</v>
      </c>
      <c r="H46" s="51">
        <f>H45*'Ranking Sheet'!F10</f>
        <v>134000</v>
      </c>
      <c r="I46" s="54"/>
      <c r="P46" s="101">
        <f>P45/500</f>
        <v>4</v>
      </c>
      <c r="Q46" s="99" t="s">
        <v>229</v>
      </c>
      <c r="R46" s="99"/>
    </row>
    <row r="47" spans="16:18" ht="8.25" customHeight="1">
      <c r="P47" s="99"/>
      <c r="Q47" s="99"/>
      <c r="R47" s="99"/>
    </row>
    <row r="48" spans="7:18" ht="12.75">
      <c r="G48" s="2" t="s">
        <v>91</v>
      </c>
      <c r="H48" s="50">
        <v>16.5</v>
      </c>
      <c r="P48" s="101">
        <f>IF(P46&gt;0,P46,0)</f>
        <v>4</v>
      </c>
      <c r="Q48" s="99" t="s">
        <v>230</v>
      </c>
      <c r="R48" s="99"/>
    </row>
    <row r="49" spans="3:18" ht="12.75">
      <c r="C49" s="2"/>
      <c r="G49" s="2" t="s">
        <v>98</v>
      </c>
      <c r="H49" s="52">
        <f>IF('Ranking Sheet'!N114=1,30,IF('Ranking Sheet'!N115=1,20,IF('Ranking Sheet'!N116=1,15,IF('Ranking Sheet'!N117=1,10,0))))</f>
        <v>0</v>
      </c>
      <c r="P49" s="101">
        <f>P48*0.5</f>
        <v>2</v>
      </c>
      <c r="Q49" s="99" t="s">
        <v>216</v>
      </c>
      <c r="R49" s="99"/>
    </row>
    <row r="50" spans="7:18" ht="12.75">
      <c r="G50" s="2" t="s">
        <v>92</v>
      </c>
      <c r="H50" s="51">
        <f>H48*'Ranking Sheet'!F10</f>
        <v>660</v>
      </c>
      <c r="P50" s="99"/>
      <c r="Q50" s="99"/>
      <c r="R50" s="99"/>
    </row>
    <row r="51" spans="7:18" ht="12.75">
      <c r="G51" s="2" t="s">
        <v>93</v>
      </c>
      <c r="H51" s="51">
        <f>(H50*('Ranking Sheet'!N114*30))+(H50*('Ranking Sheet'!N115*20))+(H50*('Ranking Sheet'!N116*15))+(H50*(('Ranking Sheet'!N117*10)))</f>
        <v>0</v>
      </c>
      <c r="P51" s="99"/>
      <c r="Q51" s="99"/>
      <c r="R51" s="99"/>
    </row>
    <row r="52" spans="7:8" ht="9.75" customHeight="1">
      <c r="G52" s="2"/>
      <c r="H52" s="80"/>
    </row>
    <row r="53" spans="1:2" ht="12.75">
      <c r="A53" s="43"/>
      <c r="B53" s="54" t="s">
        <v>134</v>
      </c>
    </row>
    <row r="54" ht="12.75">
      <c r="B54" s="54" t="s">
        <v>135</v>
      </c>
    </row>
    <row r="55" ht="12.75">
      <c r="B55" s="54" t="s">
        <v>136</v>
      </c>
    </row>
    <row r="56" ht="12.75">
      <c r="B56" s="54" t="s">
        <v>137</v>
      </c>
    </row>
    <row r="57" ht="12.75">
      <c r="B57" s="54"/>
    </row>
    <row r="58" ht="12.75">
      <c r="B58" s="54"/>
    </row>
    <row r="59" ht="12.75">
      <c r="B59" s="54"/>
    </row>
  </sheetData>
  <sheetProtection password="E702" sheet="1" objects="1" scenarios="1" selectLockedCells="1"/>
  <printOptions/>
  <pageMargins left="0.25" right="0" top="0.5" bottom="0.5" header="0.5" footer="0.2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AW2"/>
  <sheetViews>
    <sheetView workbookViewId="0" topLeftCell="AF1">
      <selection activeCell="AW2" sqref="AW2"/>
    </sheetView>
  </sheetViews>
  <sheetFormatPr defaultColWidth="9.140625" defaultRowHeight="12.75"/>
  <cols>
    <col min="1" max="1" width="22.00390625" style="5" customWidth="1"/>
    <col min="2" max="2" width="6.140625" style="5" customWidth="1"/>
    <col min="3" max="3" width="6.57421875" style="5" customWidth="1"/>
    <col min="4" max="4" width="11.00390625" style="5" customWidth="1"/>
    <col min="5" max="5" width="6.28125" style="5" customWidth="1"/>
    <col min="6" max="6" width="21.8515625" style="5" customWidth="1"/>
    <col min="7" max="7" width="7.57421875" style="5" customWidth="1"/>
    <col min="8" max="8" width="5.28125" style="5" customWidth="1"/>
    <col min="9" max="9" width="4.8515625" style="5" customWidth="1"/>
    <col min="10" max="10" width="5.28125" style="5" customWidth="1"/>
    <col min="11" max="11" width="4.8515625" style="5" customWidth="1"/>
    <col min="12" max="12" width="4.421875" style="5" customWidth="1"/>
    <col min="13" max="13" width="4.00390625" style="5" customWidth="1"/>
    <col min="14" max="14" width="4.28125" style="5" customWidth="1"/>
    <col min="15" max="16" width="4.421875" style="5" customWidth="1"/>
    <col min="17" max="17" width="5.421875" style="5" customWidth="1"/>
    <col min="18" max="20" width="9.140625" style="84" customWidth="1"/>
    <col min="21" max="21" width="11.7109375" style="84" customWidth="1"/>
    <col min="22" max="22" width="11.00390625" style="84" customWidth="1"/>
    <col min="23" max="23" width="6.57421875" style="5" customWidth="1"/>
    <col min="24" max="24" width="8.421875" style="5" customWidth="1"/>
    <col min="25" max="25" width="8.57421875" style="5" customWidth="1"/>
    <col min="26" max="26" width="8.421875" style="5" customWidth="1"/>
    <col min="27" max="28" width="7.28125" style="5" customWidth="1"/>
    <col min="29" max="29" width="8.140625" style="5" customWidth="1"/>
    <col min="30" max="30" width="8.8515625" style="5" customWidth="1"/>
    <col min="31" max="31" width="5.421875" style="5" customWidth="1"/>
    <col min="32" max="32" width="8.140625" style="5" customWidth="1"/>
    <col min="33" max="33" width="6.421875" style="5" customWidth="1"/>
    <col min="34" max="34" width="7.421875" style="5" customWidth="1"/>
    <col min="35" max="35" width="4.8515625" style="5" customWidth="1"/>
    <col min="36" max="36" width="8.28125" style="5" customWidth="1"/>
    <col min="37" max="37" width="4.57421875" style="5" customWidth="1"/>
    <col min="38" max="38" width="8.00390625" style="5" customWidth="1"/>
    <col min="39" max="39" width="4.7109375" style="5" customWidth="1"/>
    <col min="40" max="40" width="9.00390625" style="5" customWidth="1"/>
    <col min="41" max="41" width="4.8515625" style="5" customWidth="1"/>
    <col min="42" max="42" width="7.28125" style="5" customWidth="1"/>
    <col min="43" max="43" width="4.28125" style="5" customWidth="1"/>
    <col min="44" max="44" width="7.140625" style="5" customWidth="1"/>
    <col min="45" max="45" width="4.8515625" style="5" customWidth="1"/>
    <col min="46" max="46" width="8.00390625" style="5" customWidth="1"/>
    <col min="47" max="47" width="7.140625" style="5" customWidth="1"/>
    <col min="48" max="48" width="7.7109375" style="5" customWidth="1"/>
    <col min="49" max="16384" width="9.140625" style="5" customWidth="1"/>
  </cols>
  <sheetData>
    <row r="1" spans="1:49" s="104" customFormat="1" ht="136.5" customHeight="1">
      <c r="A1" s="91" t="s">
        <v>147</v>
      </c>
      <c r="B1" s="91" t="s">
        <v>138</v>
      </c>
      <c r="C1" s="91" t="s">
        <v>139</v>
      </c>
      <c r="D1" s="91" t="s">
        <v>140</v>
      </c>
      <c r="E1" s="91" t="s">
        <v>141</v>
      </c>
      <c r="F1" s="91" t="s">
        <v>142</v>
      </c>
      <c r="G1" s="91" t="s">
        <v>143</v>
      </c>
      <c r="H1" s="91" t="s">
        <v>144</v>
      </c>
      <c r="I1" s="91" t="s">
        <v>145</v>
      </c>
      <c r="J1" s="91" t="s">
        <v>146</v>
      </c>
      <c r="K1" s="91" t="s">
        <v>9</v>
      </c>
      <c r="L1" s="91" t="s">
        <v>148</v>
      </c>
      <c r="M1" s="91" t="s">
        <v>149</v>
      </c>
      <c r="N1" s="91" t="s">
        <v>150</v>
      </c>
      <c r="O1" s="91" t="s">
        <v>151</v>
      </c>
      <c r="P1" s="91" t="s">
        <v>152</v>
      </c>
      <c r="Q1" s="91" t="s">
        <v>153</v>
      </c>
      <c r="R1" s="92" t="s">
        <v>154</v>
      </c>
      <c r="S1" s="93" t="s">
        <v>155</v>
      </c>
      <c r="T1" s="93" t="s">
        <v>156</v>
      </c>
      <c r="U1" s="93" t="s">
        <v>157</v>
      </c>
      <c r="V1" s="93" t="s">
        <v>158</v>
      </c>
      <c r="W1" s="91" t="s">
        <v>174</v>
      </c>
      <c r="X1" s="91" t="s">
        <v>159</v>
      </c>
      <c r="Y1" s="91" t="s">
        <v>173</v>
      </c>
      <c r="Z1" s="91" t="s">
        <v>160</v>
      </c>
      <c r="AA1" s="91" t="s">
        <v>175</v>
      </c>
      <c r="AB1" s="91" t="s">
        <v>161</v>
      </c>
      <c r="AC1" s="91" t="s">
        <v>172</v>
      </c>
      <c r="AD1" s="91" t="s">
        <v>162</v>
      </c>
      <c r="AE1" s="91" t="s">
        <v>176</v>
      </c>
      <c r="AF1" s="91" t="s">
        <v>163</v>
      </c>
      <c r="AG1" s="91" t="s">
        <v>177</v>
      </c>
      <c r="AH1" s="91" t="s">
        <v>164</v>
      </c>
      <c r="AI1" s="91" t="s">
        <v>178</v>
      </c>
      <c r="AJ1" s="91" t="s">
        <v>165</v>
      </c>
      <c r="AK1" s="91" t="s">
        <v>179</v>
      </c>
      <c r="AL1" s="91" t="s">
        <v>166</v>
      </c>
      <c r="AM1" s="91" t="s">
        <v>180</v>
      </c>
      <c r="AN1" s="91" t="s">
        <v>167</v>
      </c>
      <c r="AO1" s="91" t="s">
        <v>181</v>
      </c>
      <c r="AP1" s="91" t="s">
        <v>168</v>
      </c>
      <c r="AQ1" s="91" t="s">
        <v>182</v>
      </c>
      <c r="AR1" s="91" t="s">
        <v>169</v>
      </c>
      <c r="AS1" s="91" t="s">
        <v>183</v>
      </c>
      <c r="AT1" s="91" t="s">
        <v>170</v>
      </c>
      <c r="AU1" s="91" t="s">
        <v>184</v>
      </c>
      <c r="AV1" s="91" t="s">
        <v>171</v>
      </c>
      <c r="AW1" s="91" t="s">
        <v>228</v>
      </c>
    </row>
    <row r="2" spans="1:49" ht="12.75">
      <c r="A2" s="5" t="str">
        <f>'Ranking Sheet'!C5</f>
        <v>John Brown</v>
      </c>
      <c r="B2" s="5">
        <f>'Ranking Sheet'!C6</f>
        <v>1234</v>
      </c>
      <c r="C2" s="5">
        <f>'Ranking Sheet'!C7</f>
        <v>12345</v>
      </c>
      <c r="D2" s="82" t="str">
        <f>'Ranking Sheet'!C8</f>
        <v>1-5</v>
      </c>
      <c r="E2" s="5">
        <f>'Ranking Sheet'!C9+18000</f>
        <v>18027</v>
      </c>
      <c r="F2" s="5" t="str">
        <f>'Ranking Sheet'!C10</f>
        <v>Victor Shelton</v>
      </c>
      <c r="G2" s="83">
        <f>'Ranking Sheet'!F10</f>
        <v>40</v>
      </c>
      <c r="H2" s="5" t="str">
        <f>'Ranking Sheet'!F14</f>
        <v>yes</v>
      </c>
      <c r="I2" s="5" t="str">
        <f>'Ranking Sheet'!F18</f>
        <v>yes</v>
      </c>
      <c r="J2" s="5" t="str">
        <f>'Ranking Sheet'!F20</f>
        <v>no</v>
      </c>
      <c r="K2" s="5">
        <f>IF('Ranking Sheet'!E112="yes",1,0)</f>
        <v>1</v>
      </c>
      <c r="L2" s="5">
        <f>IF('Ranking Sheet'!E113="yes",1,0)</f>
        <v>0</v>
      </c>
      <c r="M2" s="5">
        <f>IF('Ranking Sheet'!E114="yes",1,0)</f>
        <v>0</v>
      </c>
      <c r="N2" s="5">
        <f>IF('Ranking Sheet'!E115="yes",1,0)</f>
        <v>0</v>
      </c>
      <c r="O2" s="5">
        <f>IF('Ranking Sheet'!E116="yes",1,0)</f>
        <v>0</v>
      </c>
      <c r="P2" s="5">
        <f>IF('Ranking Sheet'!E117="yes",1,0)</f>
        <v>0</v>
      </c>
      <c r="Q2" s="5">
        <f>'Ranking Sheet'!E121</f>
        <v>93.99500998003992</v>
      </c>
      <c r="R2" s="84">
        <f>(K2+L2)*'Estimate Sheet'!Y28</f>
        <v>5000</v>
      </c>
      <c r="S2" s="84">
        <f>(M2+N2+O2+P2)*'Estimate Sheet'!Z28</f>
        <v>0</v>
      </c>
      <c r="T2" s="84">
        <f>(M2+N2+O2+P2)*'Estimate Sheet'!AA28</f>
        <v>0</v>
      </c>
      <c r="U2" s="84">
        <f>L2*'Estimate Sheet'!AB28</f>
        <v>0</v>
      </c>
      <c r="V2" s="84">
        <f>K2*'Estimate Sheet'!AC28</f>
        <v>134000</v>
      </c>
      <c r="W2" s="5">
        <f>'Estimate Sheet'!F14</f>
        <v>0</v>
      </c>
      <c r="X2" s="84">
        <f>'Estimate Sheet'!I14</f>
        <v>0</v>
      </c>
      <c r="Y2" s="85">
        <f>('Estimate Sheet'!F15*8)/43560</f>
        <v>0</v>
      </c>
      <c r="Z2" s="84">
        <f>'Estimate Sheet'!I15</f>
        <v>0</v>
      </c>
      <c r="AA2" s="5">
        <f>'Estimate Sheet'!F20</f>
        <v>0</v>
      </c>
      <c r="AB2" s="84">
        <f>'Estimate Sheet'!I20</f>
        <v>0</v>
      </c>
      <c r="AC2" s="85">
        <f>'Estimate Sheet'!F21/43560</f>
        <v>0</v>
      </c>
      <c r="AD2" s="84">
        <f>'Estimate Sheet'!I21</f>
        <v>0</v>
      </c>
      <c r="AE2" s="5">
        <f>'Estimate Sheet'!F22</f>
        <v>0</v>
      </c>
      <c r="AF2" s="84">
        <f>'Estimate Sheet'!I22</f>
        <v>0</v>
      </c>
      <c r="AG2" s="5">
        <f>'Estimate Sheet'!F23</f>
        <v>0</v>
      </c>
      <c r="AH2" s="84">
        <f>'Estimate Sheet'!I24</f>
        <v>0</v>
      </c>
      <c r="AI2" s="5">
        <f>'Estimate Sheet'!F25</f>
        <v>0</v>
      </c>
      <c r="AJ2" s="84">
        <f>'Estimate Sheet'!I25</f>
        <v>0</v>
      </c>
      <c r="AK2" s="5">
        <f>'Estimate Sheet'!F26</f>
        <v>0</v>
      </c>
      <c r="AL2" s="84">
        <f>'Estimate Sheet'!I26</f>
        <v>0</v>
      </c>
      <c r="AM2" s="5">
        <f>'Estimate Sheet'!F27</f>
        <v>0</v>
      </c>
      <c r="AN2" s="84">
        <f>'Estimate Sheet'!I27</f>
        <v>0</v>
      </c>
      <c r="AO2" s="5">
        <f>'Estimate Sheet'!F28</f>
        <v>0</v>
      </c>
      <c r="AP2" s="84">
        <f>'Estimate Sheet'!I28</f>
        <v>0</v>
      </c>
      <c r="AQ2" s="5">
        <f>'Estimate Sheet'!F30</f>
        <v>0</v>
      </c>
      <c r="AR2" s="84">
        <f>'Estimate Sheet'!I30</f>
        <v>0</v>
      </c>
      <c r="AS2" s="5">
        <f>'Estimate Sheet'!F31</f>
        <v>0</v>
      </c>
      <c r="AT2" s="84">
        <f>'Estimate Sheet'!I31</f>
        <v>0</v>
      </c>
      <c r="AU2" s="5">
        <f>'Estimate Sheet'!F32</f>
        <v>0</v>
      </c>
      <c r="AV2" s="84">
        <f>'Estimate Sheet'!I32</f>
        <v>0</v>
      </c>
      <c r="AW2" s="5">
        <f>'Ranking Sheet'!N125</f>
        <v>0</v>
      </c>
    </row>
  </sheetData>
  <sheetProtection sheet="1" objects="1" scenarios="1" selectLockedCells="1"/>
  <printOptions/>
  <pageMargins left="0.5" right="0.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dunaway</dc:creator>
  <cp:keywords/>
  <dc:description/>
  <cp:lastModifiedBy>jim.dunaway2</cp:lastModifiedBy>
  <cp:lastPrinted>2004-07-09T14:18:02Z</cp:lastPrinted>
  <dcterms:created xsi:type="dcterms:W3CDTF">2003-12-03T12:56:40Z</dcterms:created>
  <dcterms:modified xsi:type="dcterms:W3CDTF">2004-07-09T14:25:25Z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-861298673</vt:i4>
  </property>
  <property fmtid="{D5CDD505-2E9C-101B-9397-08002B2CF9AE}" pid="3" name="_EmailSubject">
    <vt:lpwstr>GRP Ranking Sheet 06-04.xls</vt:lpwstr>
  </property>
  <property fmtid="{D5CDD505-2E9C-101B-9397-08002B2CF9AE}" pid="4" name="_AuthorEmail">
    <vt:lpwstr>Victor.Shelton@in.usda.gov</vt:lpwstr>
  </property>
  <property fmtid="{D5CDD505-2E9C-101B-9397-08002B2CF9AE}" pid="5" name="_AuthorEmailDisplayName">
    <vt:lpwstr>Shelton, Victor - Vincennes, IN</vt:lpwstr>
  </property>
  <property fmtid="{D5CDD505-2E9C-101B-9397-08002B2CF9AE}" pid="6" name="_PreviousAdHocReviewCycleID">
    <vt:i4>1624499652</vt:i4>
  </property>
  <property fmtid="{D5CDD505-2E9C-101B-9397-08002B2CF9AE}" pid="7" name="_ReviewingToolsShownOnce">
    <vt:lpwstr/>
  </property>
</Properties>
</file>