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0" windowWidth="15480" windowHeight="4860" tabRatio="807" activeTab="0"/>
  </bookViews>
  <sheets>
    <sheet name="Input" sheetId="1" r:id="rId1"/>
    <sheet name="Kf Calculation" sheetId="2" r:id="rId2"/>
    <sheet name="Output" sheetId="3" r:id="rId3"/>
    <sheet name="Complete" sheetId="4" r:id="rId4"/>
    <sheet name="FRAG conversion" sheetId="5" r:id="rId5"/>
    <sheet name="AWC+K" sheetId="6" r:id="rId6"/>
    <sheet name="Percent Passing" sheetId="7" r:id="rId7"/>
    <sheet name="Source Data" sheetId="8" r:id="rId8"/>
    <sheet name="CEC Tables" sheetId="9" r:id="rId9"/>
    <sheet name="LL &amp; PI" sheetId="10" r:id="rId10"/>
    <sheet name="Notes" sheetId="11" state="hidden" r:id="rId11"/>
  </sheets>
  <definedNames>
    <definedName name="Active">'CEC Tables'!$AA$3:$AL$72</definedName>
    <definedName name="AWCashy">'AWC+K'!$A$90:$P$110</definedName>
    <definedName name="AWCmedial">'AWC+K'!$A$118:$P$138</definedName>
    <definedName name="AWCTable1">'AWC+K'!$A$6:$P$26</definedName>
    <definedName name="AWCTable2">'AWC+K'!$A$34:$Q$54</definedName>
    <definedName name="AWCvit">'AWC+K'!$A$62:$P$82</definedName>
    <definedName name="change">'LL &amp; PI'!$A$3:$C$29</definedName>
    <definedName name="change2">'LL &amp; PI'!$E$3:$G$29</definedName>
    <definedName name="change3">'LL &amp; PI'!$I$3:$K$29</definedName>
    <definedName name="change4">'LL &amp; PI'!$M$3:$O$29</definedName>
    <definedName name="change5">'CEC Tables'!$A$3:$L$36</definedName>
    <definedName name="change6">'CEC Tables'!$N$3:$Y$36</definedName>
    <definedName name="change7">'CEC Tables'!$AA$3:$AL$36</definedName>
    <definedName name="change8">'CEC Tables'!$AN$3:$AY$36</definedName>
    <definedName name="Kaolinitic">'LL &amp; PI'!$M$3:$O$29</definedName>
    <definedName name="Kf">'AWC+K'!$AH$4:$AM$24</definedName>
    <definedName name="Kw">'AWC+K'!$AO$3:$AP$66</definedName>
    <definedName name="LL">'LL &amp; PI'!$R$26:$AD$46</definedName>
    <definedName name="Montmorillonitic">'LL &amp; PI'!$A$3:$C$29</definedName>
    <definedName name="Onetoone">'LL &amp; PI'!$I$3:$K$29</definedName>
    <definedName name="pp200">'Percent Passing'!$A$27:$L$47</definedName>
    <definedName name="pp40">'Percent Passing'!$A$3:$L$23</definedName>
    <definedName name="_xlnm.Print_Area" localSheetId="2">'Output'!$A$1:$AQ$51</definedName>
    <definedName name="Semiactive">'CEC Tables'!$N$3:$Y$72</definedName>
    <definedName name="Subactive">'CEC Tables'!$A$3:$L$72</definedName>
    <definedName name="Superactive">'CEC Tables'!$AN$3:$AY$72</definedName>
    <definedName name="Twotoone">'LL &amp; PI'!$E$3:$G$29</definedName>
  </definedNames>
  <calcPr fullCalcOnLoad="1"/>
</workbook>
</file>

<file path=xl/comments1.xml><?xml version="1.0" encoding="utf-8"?>
<comments xmlns="http://schemas.openxmlformats.org/spreadsheetml/2006/main">
  <authors>
    <author>Sharon Walker</author>
  </authors>
  <commentList>
    <comment ref="AH19" authorId="0">
      <text>
        <r>
          <rPr>
            <b/>
            <sz val="9"/>
            <rFont val="Tahoma"/>
            <family val="2"/>
          </rPr>
          <t>L and H values must match outer limits of pH ranges</t>
        </r>
        <r>
          <rPr>
            <b/>
            <sz val="8"/>
            <rFont val="Tahoma"/>
            <family val="0"/>
          </rPr>
          <t xml:space="preserve">
</t>
        </r>
      </text>
    </comment>
    <comment ref="A46" authorId="0">
      <text>
        <r>
          <rPr>
            <b/>
            <sz val="9"/>
            <rFont val="Tahoma"/>
            <family val="2"/>
          </rPr>
          <t>Enter in %</t>
        </r>
      </text>
    </comment>
    <comment ref="AJ6" authorId="0">
      <text>
        <r>
          <rPr>
            <b/>
            <sz val="9"/>
            <rFont val="Tahoma"/>
            <family val="2"/>
          </rPr>
          <t>Values for COS, COSL, LCOS and LFS were interpolated from existing Blewitt values</t>
        </r>
      </text>
    </comment>
    <comment ref="AV6" authorId="0">
      <text>
        <r>
          <rPr>
            <b/>
            <sz val="9"/>
            <rFont val="Tahoma"/>
            <family val="2"/>
          </rPr>
          <t>Values for COS, COSL, LCOS and LFS were interpolated from existing Blewitt values</t>
        </r>
      </text>
    </comment>
    <comment ref="W6" authorId="0">
      <text>
        <r>
          <rPr>
            <b/>
            <sz val="9"/>
            <rFont val="Tahoma"/>
            <family val="2"/>
          </rPr>
          <t xml:space="preserve">Default value of 2.7 </t>
        </r>
      </text>
    </comment>
    <comment ref="AT33" authorId="0">
      <text>
        <r>
          <rPr>
            <b/>
            <sz val="10"/>
            <rFont val="Tahoma"/>
            <family val="2"/>
          </rPr>
          <t>Values for S, COS, VFS, LCOS, COSL and SI were interpolated from existing tables.</t>
        </r>
      </text>
    </comment>
  </commentList>
</comments>
</file>

<file path=xl/comments10.xml><?xml version="1.0" encoding="utf-8"?>
<comments xmlns="http://schemas.openxmlformats.org/spreadsheetml/2006/main">
  <authors>
    <author>amanda.wright</author>
  </authors>
  <commentList>
    <comment ref="A33" authorId="0">
      <text>
        <r>
          <rPr>
            <b/>
            <sz val="8"/>
            <rFont val="Tahoma"/>
            <family val="0"/>
          </rPr>
          <t>amanda.wright:</t>
        </r>
        <r>
          <rPr>
            <sz val="8"/>
            <rFont val="Tahoma"/>
            <family val="0"/>
          </rPr>
          <t xml:space="preserve">
If the AWC Type on the input table is either andisols or vitrandic, PI will be assigned seperately.  If the AWC Type is not andisols or vitrandic, the PI is calculated based on %clay and type of clay and these fields will not be populated.</t>
        </r>
      </text>
    </comment>
  </commentList>
</comments>
</file>

<file path=xl/comments3.xml><?xml version="1.0" encoding="utf-8"?>
<comments xmlns="http://schemas.openxmlformats.org/spreadsheetml/2006/main">
  <authors>
    <author>Sharon Walker</author>
  </authors>
  <commentList>
    <comment ref="G15" authorId="0">
      <text>
        <r>
          <rPr>
            <b/>
            <sz val="8"/>
            <rFont val="Tahoma"/>
            <family val="0"/>
          </rPr>
          <t xml:space="preserve">Based on Stone values.  Boulders not taken into acount.
</t>
        </r>
      </text>
    </comment>
    <comment ref="J15" authorId="0">
      <text>
        <r>
          <rPr>
            <sz val="8"/>
            <rFont val="Tahoma"/>
            <family val="0"/>
          </rPr>
          <t>Based on Cobble information.</t>
        </r>
      </text>
    </comment>
    <comment ref="M15" authorId="0">
      <text>
        <r>
          <rPr>
            <sz val="8"/>
            <rFont val="Tahoma"/>
            <family val="0"/>
          </rPr>
          <t>5% added to #10 sieve, prior to rounding</t>
        </r>
      </text>
    </comment>
    <comment ref="Y27" authorId="0">
      <text>
        <r>
          <rPr>
            <b/>
            <sz val="8"/>
            <rFont val="Tahoma"/>
            <family val="0"/>
          </rPr>
          <t>Value rounded to NASIS allowed entries</t>
        </r>
      </text>
    </comment>
  </commentList>
</comments>
</file>

<file path=xl/comments4.xml><?xml version="1.0" encoding="utf-8"?>
<comments xmlns="http://schemas.openxmlformats.org/spreadsheetml/2006/main">
  <authors>
    <author>Sharon Walker</author>
  </authors>
  <commentList>
    <comment ref="AC6" authorId="0">
      <text>
        <r>
          <rPr>
            <b/>
            <sz val="8"/>
            <rFont val="Tahoma"/>
            <family val="0"/>
          </rPr>
          <t xml:space="preserve">Requires Db RV and Stone Vol be populated before autofill
</t>
        </r>
      </text>
    </comment>
    <comment ref="AO6" authorId="0">
      <text>
        <r>
          <rPr>
            <b/>
            <sz val="8"/>
            <rFont val="Tahoma"/>
            <family val="0"/>
          </rPr>
          <t>Requires Db RV and GR Vol be populated before autofill
REMOVE?</t>
        </r>
      </text>
    </comment>
    <comment ref="AR6" authorId="0">
      <text>
        <r>
          <rPr>
            <b/>
            <sz val="8"/>
            <rFont val="Tahoma"/>
            <family val="0"/>
          </rPr>
          <t xml:space="preserve">Based on #10 data
</t>
        </r>
      </text>
    </comment>
    <comment ref="AU6" authorId="0">
      <text>
        <r>
          <rPr>
            <b/>
            <sz val="8"/>
            <rFont val="Tahoma"/>
            <family val="0"/>
          </rPr>
          <t xml:space="preserve">Autofill based </t>
        </r>
      </text>
    </comment>
    <comment ref="Q32" authorId="0">
      <text>
        <r>
          <rPr>
            <b/>
            <sz val="8"/>
            <rFont val="Tahoma"/>
            <family val="0"/>
          </rPr>
          <t>Requires clay (%) and clay composition columns to be populated</t>
        </r>
      </text>
    </comment>
    <comment ref="T32" authorId="0">
      <text>
        <r>
          <rPr>
            <b/>
            <sz val="8"/>
            <rFont val="Tahoma"/>
            <family val="0"/>
          </rPr>
          <t>Requires clay (%) and clay composition columns to be populated</t>
        </r>
      </text>
    </comment>
    <comment ref="AI6" authorId="0">
      <text>
        <r>
          <rPr>
            <b/>
            <sz val="8"/>
            <rFont val="Tahoma"/>
            <family val="0"/>
          </rPr>
          <t>Requires Db and Cobb. Vol columns be populated</t>
        </r>
      </text>
    </comment>
  </commentList>
</comments>
</file>

<file path=xl/comments6.xml><?xml version="1.0" encoding="utf-8"?>
<comments xmlns="http://schemas.openxmlformats.org/spreadsheetml/2006/main">
  <authors>
    <author>Sharon Walker</author>
  </authors>
  <commentList>
    <comment ref="A69" authorId="0">
      <text>
        <r>
          <rPr>
            <b/>
            <sz val="8"/>
            <rFont val="Tahoma"/>
            <family val="0"/>
          </rPr>
          <t>Sharon Walker:</t>
        </r>
        <r>
          <rPr>
            <sz val="8"/>
            <rFont val="Tahoma"/>
            <family val="0"/>
          </rPr>
          <t xml:space="preserve">
*1.1
</t>
        </r>
      </text>
    </comment>
    <comment ref="P76" authorId="0">
      <text>
        <r>
          <rPr>
            <b/>
            <sz val="8"/>
            <rFont val="Tahoma"/>
            <family val="0"/>
          </rPr>
          <t>Sharon Walker:</t>
        </r>
        <r>
          <rPr>
            <sz val="8"/>
            <rFont val="Tahoma"/>
            <family val="0"/>
          </rPr>
          <t xml:space="preserve">
*1.2
</t>
        </r>
      </text>
    </comment>
    <comment ref="A21" authorId="0">
      <text>
        <r>
          <rPr>
            <b/>
            <sz val="8"/>
            <rFont val="Tahoma"/>
            <family val="0"/>
          </rPr>
          <t>Sharon Walker:</t>
        </r>
        <r>
          <rPr>
            <sz val="8"/>
            <rFont val="Tahoma"/>
            <family val="0"/>
          </rPr>
          <t xml:space="preserve">
.01 less than fs</t>
        </r>
      </text>
    </comment>
    <comment ref="A22" authorId="0">
      <text>
        <r>
          <rPr>
            <b/>
            <sz val="8"/>
            <rFont val="Tahoma"/>
            <family val="0"/>
          </rPr>
          <t>Sharon Walker:</t>
        </r>
        <r>
          <rPr>
            <sz val="8"/>
            <rFont val="Tahoma"/>
            <family val="0"/>
          </rPr>
          <t xml:space="preserve">
same as s</t>
        </r>
      </text>
    </comment>
    <comment ref="A23" authorId="0">
      <text>
        <r>
          <rPr>
            <b/>
            <sz val="8"/>
            <rFont val="Tahoma"/>
            <family val="0"/>
          </rPr>
          <t>Sharon Walker:</t>
        </r>
        <r>
          <rPr>
            <sz val="8"/>
            <rFont val="Tahoma"/>
            <family val="0"/>
          </rPr>
          <t xml:space="preserve">
Between FS and LVFS - skewed toward LVFS</t>
        </r>
      </text>
    </comment>
    <comment ref="A24" authorId="0">
      <text>
        <r>
          <rPr>
            <b/>
            <sz val="8"/>
            <rFont val="Tahoma"/>
            <family val="0"/>
          </rPr>
          <t>Sharon Walker:</t>
        </r>
        <r>
          <rPr>
            <sz val="8"/>
            <rFont val="Tahoma"/>
            <family val="0"/>
          </rPr>
          <t xml:space="preserve">
Between ls and cos - skewed toward cos
</t>
        </r>
      </text>
    </comment>
    <comment ref="A25" authorId="0">
      <text>
        <r>
          <rPr>
            <b/>
            <sz val="8"/>
            <rFont val="Tahoma"/>
            <family val="0"/>
          </rPr>
          <t>Sharon Walker:</t>
        </r>
        <r>
          <rPr>
            <sz val="8"/>
            <rFont val="Tahoma"/>
            <family val="0"/>
          </rPr>
          <t xml:space="preserve">
Between sl and ls - skewed toward sl</t>
        </r>
      </text>
    </comment>
    <comment ref="A26" authorId="0">
      <text>
        <r>
          <rPr>
            <b/>
            <sz val="8"/>
            <rFont val="Tahoma"/>
            <family val="0"/>
          </rPr>
          <t>Sharon Walker:</t>
        </r>
        <r>
          <rPr>
            <sz val="8"/>
            <rFont val="Tahoma"/>
            <family val="0"/>
          </rPr>
          <t xml:space="preserve">
Based on sil - </t>
        </r>
      </text>
    </comment>
    <comment ref="A49" authorId="0">
      <text>
        <r>
          <rPr>
            <b/>
            <sz val="8"/>
            <rFont val="Tahoma"/>
            <family val="0"/>
          </rPr>
          <t>Sharon Walker:</t>
        </r>
        <r>
          <rPr>
            <sz val="8"/>
            <rFont val="Tahoma"/>
            <family val="0"/>
          </rPr>
          <t xml:space="preserve">
.01 less than fs
</t>
        </r>
      </text>
    </comment>
    <comment ref="A50" authorId="0">
      <text>
        <r>
          <rPr>
            <b/>
            <sz val="8"/>
            <rFont val="Tahoma"/>
            <family val="0"/>
          </rPr>
          <t>Sharon Walker:</t>
        </r>
        <r>
          <rPr>
            <sz val="8"/>
            <rFont val="Tahoma"/>
            <family val="0"/>
          </rPr>
          <t xml:space="preserve">
Same as s</t>
        </r>
      </text>
    </comment>
    <comment ref="A51" authorId="0">
      <text>
        <r>
          <rPr>
            <b/>
            <sz val="8"/>
            <rFont val="Tahoma"/>
            <family val="0"/>
          </rPr>
          <t>Sharon Walker:</t>
        </r>
        <r>
          <rPr>
            <sz val="8"/>
            <rFont val="Tahoma"/>
            <family val="0"/>
          </rPr>
          <t xml:space="preserve">
Between fs and lvfs - skewed toward lvfs</t>
        </r>
      </text>
    </comment>
    <comment ref="A52" authorId="0">
      <text>
        <r>
          <rPr>
            <b/>
            <sz val="8"/>
            <rFont val="Tahoma"/>
            <family val="0"/>
          </rPr>
          <t>Sharon Walker:</t>
        </r>
        <r>
          <rPr>
            <sz val="8"/>
            <rFont val="Tahoma"/>
            <family val="0"/>
          </rPr>
          <t xml:space="preserve">
Between ls and cos - skewed toward cos</t>
        </r>
      </text>
    </comment>
    <comment ref="A53" authorId="0">
      <text>
        <r>
          <rPr>
            <b/>
            <sz val="8"/>
            <rFont val="Tahoma"/>
            <family val="0"/>
          </rPr>
          <t>Sharon Walker:</t>
        </r>
        <r>
          <rPr>
            <sz val="8"/>
            <rFont val="Tahoma"/>
            <family val="0"/>
          </rPr>
          <t xml:space="preserve">
Between sl and ls - skewed toward sl</t>
        </r>
      </text>
    </comment>
    <comment ref="A54" authorId="0">
      <text>
        <r>
          <rPr>
            <b/>
            <sz val="8"/>
            <rFont val="Tahoma"/>
            <family val="0"/>
          </rPr>
          <t>Sharon Walker:</t>
        </r>
        <r>
          <rPr>
            <sz val="8"/>
            <rFont val="Tahoma"/>
            <family val="0"/>
          </rPr>
          <t xml:space="preserve">
Same as sil</t>
        </r>
      </text>
    </comment>
  </commentList>
</comments>
</file>

<file path=xl/comments8.xml><?xml version="1.0" encoding="utf-8"?>
<comments xmlns="http://schemas.openxmlformats.org/spreadsheetml/2006/main">
  <authors>
    <author>Sharon Walker</author>
  </authors>
  <commentList>
    <comment ref="AN30" authorId="0">
      <text>
        <r>
          <rPr>
            <b/>
            <sz val="8"/>
            <rFont val="Tahoma"/>
            <family val="0"/>
          </rPr>
          <t>Sharon Walker:</t>
        </r>
        <r>
          <rPr>
            <sz val="8"/>
            <rFont val="Tahoma"/>
            <family val="0"/>
          </rPr>
          <t xml:space="preserve">
Sent comment on this value to Russ.
</t>
        </r>
      </text>
    </comment>
  </commentList>
</comments>
</file>

<file path=xl/comments9.xml><?xml version="1.0" encoding="utf-8"?>
<comments xmlns="http://schemas.openxmlformats.org/spreadsheetml/2006/main">
  <authors>
    <author>Sharon Walker</author>
  </authors>
  <commentList>
    <comment ref="O35" authorId="0">
      <text>
        <r>
          <rPr>
            <b/>
            <sz val="8"/>
            <rFont val="Tahoma"/>
            <family val="0"/>
          </rPr>
          <t>Sharon Walker:</t>
        </r>
        <r>
          <rPr>
            <sz val="8"/>
            <rFont val="Tahoma"/>
            <family val="0"/>
          </rPr>
          <t xml:space="preserve">
Source table had these values as 19
</t>
        </r>
      </text>
    </comment>
  </commentList>
</comments>
</file>

<file path=xl/sharedStrings.xml><?xml version="1.0" encoding="utf-8"?>
<sst xmlns="http://schemas.openxmlformats.org/spreadsheetml/2006/main" count="3684" uniqueCount="875">
  <si>
    <t>Or, poorly drained soils with fluctuating water table</t>
  </si>
  <si>
    <t>&lt;8</t>
  </si>
  <si>
    <t>8-12</t>
  </si>
  <si>
    <t>&gt;=12</t>
  </si>
  <si>
    <t>&gt;=5,000</t>
  </si>
  <si>
    <t>2,000 - 5,000</t>
  </si>
  <si>
    <t>&lt;2,000</t>
  </si>
  <si>
    <t>&lt;0.3</t>
  </si>
  <si>
    <t>.03-.08</t>
  </si>
  <si>
    <t>&gt;=0.8</t>
  </si>
  <si>
    <t xml:space="preserve">1. Based on data in the publication "Underground Corrosion," table 99, p. 167, Circular 579, U.S. Dept. of Commerce, National Bureau of Standards. </t>
  </si>
  <si>
    <t>2.  Total acidity is roughly equal to extractable acidity (as determined by Soil Survey Laboratories Method 6H1a, Soil Survey Investigations Report No. 42, Soil Survey Laboratory Methods Manual, August 1992).</t>
  </si>
  <si>
    <t>Concrete Corrosion - NSSH Exhibit 618-2</t>
  </si>
  <si>
    <t>Limits*</t>
  </si>
  <si>
    <t>Texture and reaction</t>
  </si>
  <si>
    <t>Sandy and organic soils with pH &gt; 6.5 or medium and fine textured soils with pH &gt; 6.0</t>
  </si>
  <si>
    <t>Sandy and organic soils with pH 5.5 - 6.5 or medium and fine textured soils with pH 5.0 - 6.0</t>
  </si>
  <si>
    <t>Sandy and organic soils with pH &lt; 5.5 or medium and fine textured soils with pH &lt; 5.0</t>
  </si>
  <si>
    <t>Na and/or Mg sulfate (ppm)</t>
  </si>
  <si>
    <t>Less than 1,000</t>
  </si>
  <si>
    <t>1,000 to 7,000</t>
  </si>
  <si>
    <t>More than 7,000</t>
  </si>
  <si>
    <t>NaCl (ppm)</t>
  </si>
  <si>
    <t>Less than 2,000</t>
  </si>
  <si>
    <t>2,000 to 10,000</t>
  </si>
  <si>
    <t>Slightly alkaline</t>
  </si>
  <si>
    <t xml:space="preserve">More than 10,000 </t>
  </si>
  <si>
    <t>* Based on data in National Handbook of Conservation Practices, Standard 606, Subsurface Drain, 1980.</t>
  </si>
  <si>
    <t>NSSH Exhibit 618-5.  Potential Frost Action</t>
  </si>
  <si>
    <t>Soil moisture regime</t>
  </si>
  <si>
    <t>Aquic</t>
  </si>
  <si>
    <t>Cindery
Fragmental
Pumiceous</t>
  </si>
  <si>
    <t>Sandy
Sandy-skeletal</t>
  </si>
  <si>
    <t>Coarse-loamy
Fine-loamy
Coarse-silty
Fine-silty
Loamy-skeletal
Clayey and clayey-skeletal
Organic soil materials
Ashy, ashy-pumiceous and ashy-skeletal
Medial, medial-pumiceous and medial-skeletal
Hydrous-pumiceous
Hydrous-skeletal
Hydrous</t>
  </si>
  <si>
    <t>Udic, Xeric, 
Ustic (when irrigated)
Aridic (when irrigated)</t>
  </si>
  <si>
    <t>Fragmental
Cindery
Sandy
Sandy-skeletal
Pumiceous</t>
  </si>
  <si>
    <t>Coarse-loamy
Fine-loamy
Loamy-skeletal
Clayey
Clayey-skeletal
Ashy-pumiceous
Ashy-skeletal
Hydrous-skeletal
Medial-skeletal
Medial-pumiceous</t>
  </si>
  <si>
    <t>Coarse-silty
Fine-silty
Ashy
Medial
Hydrous-pumiceous
Hydrous</t>
  </si>
  <si>
    <t>Ustic, Aridic</t>
  </si>
  <si>
    <t>Fragmental
Sandy
Sandy-skeletal
Clayey
Clayey-skeletal
Cindery
Ashy, ashy-pumiceous and ashy-skeletal
Medial and medial-skeletal
Pumiceous</t>
  </si>
  <si>
    <t>NASIS_ENTRY_v7d</t>
  </si>
  <si>
    <t>Coarse-loamy
Fine-loamy
Coarse-silty
Fine-silty
Loamy-skeletal
Medial-pumiceous
Hydrous-pumiceous
Hydrous-skeletal
Hydrous</t>
  </si>
  <si>
    <t>1. Family texture classes apply to the whole soil to the depth of frost penetration</t>
  </si>
  <si>
    <t>NSSH Exhibit 618-16. Wind Erodibility Groups (WEG) and Index</t>
  </si>
  <si>
    <t>Properties of soil surface layer</t>
  </si>
  <si>
    <t>Dry soil aggregates &gt; .84 mm (wt.%)</t>
  </si>
  <si>
    <t>Wind Erodibility Index (I) (tons/ac/yr)</t>
  </si>
  <si>
    <t xml:space="preserve">1
2
3
5
7   </t>
  </si>
  <si>
    <t>310
250
220
180
160</t>
  </si>
  <si>
    <t>VFSL, FSL, SL, COSL, and noncalcareous SIL that has 25 to 50 % VFS and 5 to 12 % clay</t>
  </si>
  <si>
    <t>4L</t>
  </si>
  <si>
    <t>Noncalcareous L and noncalcareous SIL that have 12 to 20 % clay (but do not meet WEG criterion 3); noncalcareous SCL, noncalcareous SC; and hemic materials (as defined in Soil Taxonomy)</t>
  </si>
  <si>
    <t>Noncalcareous L and SIL that have &gt; 20 % clay; noncalcareous CL and noncalcareous SICL that has &lt; 35 % clay; SIL that has parasesquic, ferritic or kaolinitic mineralogy (high iron oxide content).</t>
  </si>
  <si>
    <t>Soils not susceptible to wind erosion due to rock and pararock fragments at the surface and/or wetness; and Folists</t>
  </si>
  <si>
    <r>
      <t>2</t>
    </r>
    <r>
      <rPr>
        <sz val="8"/>
        <rFont val="Arial"/>
        <family val="2"/>
      </rPr>
      <t xml:space="preserve"> The "I" values for WEG 1 vary from 160 for coarse sands to 310 for very fine sands.  Use an "I" of 220 as an average figure.</t>
    </r>
  </si>
  <si>
    <r>
      <t>3</t>
    </r>
    <r>
      <rPr>
        <sz val="8"/>
        <rFont val="Arial"/>
        <family val="2"/>
      </rPr>
      <t xml:space="preserve"> All material that meets criterion 2 in the requirements for andic soil properties in Soil Taxonomy, regardless of the fine earth texture, are placed in WEG 2.</t>
    </r>
  </si>
  <si>
    <r>
      <t xml:space="preserve">5 </t>
    </r>
    <r>
      <rPr>
        <sz val="8"/>
        <rFont val="Arial"/>
        <family val="2"/>
      </rPr>
      <t>Surface layers or horizons that do not meet andic soil properties criteria but do meet Vitrandic, Vitriorrandic and Vitrixerandic subgroup critera (thickness requirement excluded) move one group with less favorable rating.</t>
    </r>
  </si>
  <si>
    <t>Table WA-SIR-28 (MO-1 NASIS Guide 13) LEP.  Soil Limitation Rating for Shrink-swell Behavior</t>
  </si>
  <si>
    <t>Soil Property or Quality</t>
  </si>
  <si>
    <t>Degrees of Limitation</t>
  </si>
  <si>
    <t>Very High</t>
  </si>
  <si>
    <t>Percent clay and predominant clay mineral</t>
  </si>
  <si>
    <t>0-18%: any clay mineral
or
0-35%: kaolinitic clay</t>
  </si>
  <si>
    <t>18-35%: mixed or smectitic clays
or
&gt;35% kaolinitic clay</t>
  </si>
  <si>
    <t>&gt;35% mixed or smectitic clays</t>
  </si>
  <si>
    <t>&gt;60% mixed or smectitic clays</t>
  </si>
  <si>
    <t>Coefficient of Linear Extensibility (COLE) (in./in.)</t>
  </si>
  <si>
    <t>medial</t>
  </si>
  <si>
    <t>Coast R. Andisol (A1)</t>
  </si>
  <si>
    <t>Less than 0.03</t>
  </si>
  <si>
    <t>0.03 - 0.059</t>
  </si>
  <si>
    <t>0.059 - 0.09</t>
  </si>
  <si>
    <t>&gt;0.09</t>
  </si>
  <si>
    <t>Less than 5.0</t>
  </si>
  <si>
    <t>5.0 - 7.0</t>
  </si>
  <si>
    <t>&gt; 7.0</t>
  </si>
  <si>
    <t>NASIS Entry</t>
  </si>
  <si>
    <t>1 - 1.5 - 2.9</t>
  </si>
  <si>
    <t>3.0 - 4.5 - 5.9</t>
  </si>
  <si>
    <t>MO-1 Tech. Note No. 27.  Soil Drainage Class Guide</t>
  </si>
  <si>
    <t xml:space="preserve">Drainage Class </t>
  </si>
  <si>
    <t>Soil Taxonomy Link</t>
  </si>
  <si>
    <t xml:space="preserve">Notes </t>
  </si>
  <si>
    <t>MLRA's</t>
  </si>
  <si>
    <t>A-1, A-2, A-3, A-4, A-5</t>
  </si>
  <si>
    <t>B-6, B-7, B-8, B-9, B-10, B-11, B-12, B-13, D-21, D-23, D-24, D-25, E-43</t>
  </si>
  <si>
    <t xml:space="preserve">Excessively drained </t>
  </si>
  <si>
    <t xml:space="preserve">&gt; 60 inches </t>
  </si>
  <si>
    <t>Typically Udic, Ustic, Xeric, Aridic, or Typic subgroup class</t>
  </si>
  <si>
    <t xml:space="preserve">Absent </t>
  </si>
  <si>
    <t>Water is removed very rapidly. The occurrence of internal free water commonly is very rare or very deep. The soils are commonly coarse textured and have very high hydraulic conductivity. Coarse sands and sands, loamy sand and sands with rock fragments.</t>
  </si>
  <si>
    <t>Somewhat excessively drained</t>
  </si>
  <si>
    <t>Water is removed very rapidly. The occurrence of internal free water commonly is very rare or very deep. The soils are commonly moderately coarse and coarse textured with high saturated hydraulic conductivity. Medium sand, fine sand, loamy fine sands.</t>
  </si>
  <si>
    <t xml:space="preserve">Well drained  </t>
  </si>
  <si>
    <t>40 to 60 inches</t>
  </si>
  <si>
    <r>
      <t>Absent - Transitory</t>
    </r>
    <r>
      <rPr>
        <sz val="8"/>
        <rFont val="Arial"/>
        <family val="2"/>
      </rPr>
      <t xml:space="preserve"> (0-6 months)</t>
    </r>
  </si>
  <si>
    <t>Moderately well drained</t>
  </si>
  <si>
    <t>20 to 40 inches</t>
  </si>
  <si>
    <t xml:space="preserve">Typically Typic or Oxyaquic Subgroup may include Aquic subgroup </t>
  </si>
  <si>
    <r>
      <t xml:space="preserve">Transitory - Common   </t>
    </r>
    <r>
      <rPr>
        <sz val="8"/>
        <rFont val="Arial"/>
        <family val="2"/>
      </rPr>
      <t>(1-6 months)</t>
    </r>
  </si>
  <si>
    <t>Somewhat poorly drained</t>
  </si>
  <si>
    <t>10 to 20 inches</t>
  </si>
  <si>
    <t xml:space="preserve">20 to 40 inches </t>
  </si>
  <si>
    <t xml:space="preserve">Typically Aquic Subgroups may include Oxyaquic Subgroup </t>
  </si>
  <si>
    <r>
      <t xml:space="preserve">Transitory - Persistent   </t>
    </r>
    <r>
      <rPr>
        <sz val="8"/>
        <rFont val="Arial"/>
        <family val="2"/>
      </rPr>
      <t>(1-12 months)</t>
    </r>
  </si>
  <si>
    <t xml:space="preserve">Poorly drained </t>
  </si>
  <si>
    <t>0 to 10 inches</t>
  </si>
  <si>
    <t>Typically Aquic Suborder</t>
  </si>
  <si>
    <r>
      <t xml:space="preserve">Common - Persistent   </t>
    </r>
    <r>
      <rPr>
        <sz val="8"/>
        <rFont val="Arial"/>
        <family val="2"/>
      </rPr>
      <t>(3-12 months)</t>
    </r>
  </si>
  <si>
    <t>Very poorly drained</t>
  </si>
  <si>
    <t>+ to 6 inches</t>
  </si>
  <si>
    <t>+ to10 inches</t>
  </si>
  <si>
    <r>
      <t xml:space="preserve">Persistent - Permanent   </t>
    </r>
    <r>
      <rPr>
        <sz val="8"/>
        <rFont val="Arial"/>
        <family val="2"/>
      </rPr>
      <t>(12 months to continuous)</t>
    </r>
  </si>
  <si>
    <t>Water is removed so slowly that the soil is wet at or near the surface during much of the growing season. The occurrence of internal free water is very shallow. Most mesophytic crops cannot be grown, and soils are frequently ponded.</t>
  </si>
  <si>
    <t>2.  Duration of saturation is defined in the Soil Survey Manual, page 101.</t>
  </si>
  <si>
    <t>GR wt.(for calc #10 sieve)</t>
  </si>
  <si>
    <t>Subactive, 3 (Named Range: Subactive)</t>
  </si>
  <si>
    <t>Semiactive, 5 (Named Range: Semiactive)</t>
  </si>
  <si>
    <t>Active, 7 (Named Range: Active)</t>
  </si>
  <si>
    <t>Superactive, 9 (Named Range: Superactive)</t>
  </si>
  <si>
    <t>Percent Organic Matter</t>
  </si>
  <si>
    <t xml:space="preserve">Horizon </t>
  </si>
  <si>
    <t>Activity Title</t>
  </si>
  <si>
    <t>Activity Value</t>
  </si>
  <si>
    <t>Percent Clay</t>
  </si>
  <si>
    <t>MO-1 NASIS Guide 17</t>
  </si>
  <si>
    <t>Draft CEC Guide for Soils with Andic Properties</t>
  </si>
  <si>
    <t>CEC -7</t>
  </si>
  <si>
    <t>CEC-7</t>
  </si>
  <si>
    <t>MLRA</t>
  </si>
  <si>
    <t>Soil Properties</t>
  </si>
  <si>
    <t>A Horizon</t>
  </si>
  <si>
    <t>B Horizon</t>
  </si>
  <si>
    <t>A1a</t>
  </si>
  <si>
    <t>Isomesic, isofrigid, Udic
Andic soil properties
Medial family</t>
  </si>
  <si>
    <t>50 to 70
RV = 60</t>
  </si>
  <si>
    <t>30 to 50
RV = 40</t>
  </si>
  <si>
    <t>A1b</t>
  </si>
  <si>
    <t>Mesic, frigid, cryic Udic
Andic soil properties
Medial family</t>
  </si>
  <si>
    <t>40 to 60
RV = 50</t>
  </si>
  <si>
    <t>A3</t>
  </si>
  <si>
    <t>20 to 40
RV = 30</t>
  </si>
  <si>
    <t>Mesic, frigid, cryic Udic/xeric
Andic soil properties
Ashy family</t>
  </si>
  <si>
    <t>10 to 30
RV = 20</t>
  </si>
  <si>
    <t>A3 (Olympic Mts.)</t>
  </si>
  <si>
    <t>Cryic
Udic
Andic soil properties
Medial family</t>
  </si>
  <si>
    <t>B6</t>
  </si>
  <si>
    <t>Mesic, frigid, Xeric
Andic soil properties
Ashy family</t>
  </si>
  <si>
    <t>15 to 35
RV = 25</t>
  </si>
  <si>
    <t>E43</t>
  </si>
  <si>
    <t>0 to 15% clay
Andic soil properties</t>
  </si>
  <si>
    <t>10 to 25
RV = 15</t>
  </si>
  <si>
    <t>15 to 25 % clay
Andic soil properties</t>
  </si>
  <si>
    <t>20 to 45
RV = 30</t>
  </si>
  <si>
    <t>Montmorillonitic Class</t>
  </si>
  <si>
    <t>2:1</t>
  </si>
  <si>
    <t>1:1</t>
  </si>
  <si>
    <t>Kaolinitic Class</t>
  </si>
  <si>
    <t>Changed Kf VLOOKUP formula on Input page to "False."</t>
  </si>
  <si>
    <t>Added pH terms to table</t>
  </si>
  <si>
    <t>Added Steel Corrosion - NSSH Exhibit 618-1 table to Source Data page</t>
  </si>
  <si>
    <t>Updatated AWC tables to reflect values in Eva's WA-SIR-20 (minor changes)</t>
  </si>
  <si>
    <t>Simplified AWC calculation process</t>
  </si>
  <si>
    <t>Added AWC write-up to Methods page</t>
  </si>
  <si>
    <t>Added specific gravity column for rock fragments</t>
  </si>
  <si>
    <t>Changed output for Rock &gt;10 and Rock 3-10 to weight basis as percentage of whole soil</t>
  </si>
  <si>
    <t>Changed calculations for number 10 sieve to work off added specific gravity and simplified calculation method</t>
  </si>
  <si>
    <t>Changed Output for number 10 and 4 sieves to round on that page, instead of Complete page</t>
  </si>
  <si>
    <t>Changed Percent Passing sieves for 40 and 200 to show on Input page, instead of through input boxes</t>
  </si>
  <si>
    <t>Entered and checked steel corrosion table (NSSH 618-1).  Updated link from Input page.</t>
  </si>
  <si>
    <t>Checked concrete corrosion table (NSSH 618-2). Updated link from Input page.  Removed old table</t>
  </si>
  <si>
    <t>Checked CEC Tables.  Added values for clay &gt;64%.</t>
  </si>
  <si>
    <t>Updated CEC calculation on Complete page to cover om &gt;10% and andic properties.  Simply reference MO-1 NASIS Guide 17.</t>
  </si>
  <si>
    <t>Put frost action table (NSSH 618-5) on Source Data page.  Removed User Form 4, which used to contain this data. Updated link.</t>
  </si>
  <si>
    <t>Checked WEG and Index table (NSSH 618-16) and moved to Source Data page.  Updated links.</t>
  </si>
  <si>
    <t>Entered Table WA-SIR-28 with changes I believe will be made since table seems off.  Also added NASIS entry line.  Linked to Input page.  Removed old LEP info. from Misc. Data page. Removed old UserForm.</t>
  </si>
  <si>
    <t>Moved method notes to Notes page.</t>
  </si>
  <si>
    <t>Verified Drainage Class Guide entries.  Moved to Source Data page and updated links.</t>
  </si>
  <si>
    <t>Moved K information to AWC page.  Down to 9 pages.</t>
  </si>
  <si>
    <t>Removed Ksat permeability triangle.</t>
  </si>
  <si>
    <t>Moved everything to fresh program.</t>
  </si>
  <si>
    <t xml:space="preserve">Field: </t>
  </si>
  <si>
    <t>Description</t>
  </si>
  <si>
    <t>Input/Source cell(s)</t>
  </si>
  <si>
    <t>Calculations</t>
  </si>
  <si>
    <t>Linked to</t>
  </si>
  <si>
    <t>Soil Name:</t>
  </si>
  <si>
    <t>User input value</t>
  </si>
  <si>
    <t>Input, C2</t>
  </si>
  <si>
    <t>Output, C2
Complete, C2</t>
  </si>
  <si>
    <t>Input, C3</t>
  </si>
  <si>
    <t>Output, C3
Complete, C3</t>
  </si>
  <si>
    <t>MU#:</t>
  </si>
  <si>
    <t>Input, C4</t>
  </si>
  <si>
    <t>Output, C4
Complete, C4</t>
  </si>
  <si>
    <t>Input, S2</t>
  </si>
  <si>
    <t>Output, S2
Complete, S2</t>
  </si>
  <si>
    <t>Input, S3</t>
  </si>
  <si>
    <t>Output, S3
Complete S3</t>
  </si>
  <si>
    <t>Input, S4</t>
  </si>
  <si>
    <t>Output, S4
Complete S4</t>
  </si>
  <si>
    <t>Horizon:</t>
  </si>
  <si>
    <t>Input, A8:A16</t>
  </si>
  <si>
    <t>Input, A21:A29
Input A34:A42
Output A17:A25
Output A29:A37
Output A41:A49
Output R41:R49
Complete A8:A16
Complete A21:A29
Complete A34:A42</t>
  </si>
  <si>
    <t>Depth:</t>
  </si>
  <si>
    <t>User input, excel auto fill and conversion to centimeters.</t>
  </si>
  <si>
    <t>Input, C8
Input, D8:D16</t>
  </si>
  <si>
    <t>Input range C9:C16 are autofilled from bottom depth of horizon above.
Values on Input page are multiplied by 2.54 for conversion to centimeters (Complete E8:F16).
Centimeter value is rounded to whole number in Output range E17:F25.</t>
  </si>
  <si>
    <t>Input C9:C16
Output C17:D25
Output E17:F25
Complete C8:D16
Complete E8:F16</t>
  </si>
  <si>
    <t>Textures:</t>
  </si>
  <si>
    <t>User input value from validation list</t>
  </si>
  <si>
    <t>Input, E8:E16
Input, J8:J16
Input, O8:O16</t>
  </si>
  <si>
    <t>Input, BB3:BB25 (Validation list)
Output, T41:T49
Output, Y41:Y49
Output, AD41:AD49
Complete, G8:G16
Complete, L8:L16
Complete, Q8:Q16</t>
  </si>
  <si>
    <t>Modifiers:</t>
  </si>
  <si>
    <t>Input, H8:H16
Input, M8:M16
Input, R8:R16</t>
  </si>
  <si>
    <t>Input, BD3:BD26 (Validation list)
Output, W41:W49
Output, AB41:AB49
Output, AG41:AG49
Complete, J8:J16
Complete, O8:O16
Complete, T8:T16</t>
  </si>
  <si>
    <t>Db:</t>
  </si>
  <si>
    <t>Input, T8:V16</t>
  </si>
  <si>
    <t>Output, F29:H37
Complete, V8:X16</t>
  </si>
  <si>
    <t>Stone Volume:</t>
  </si>
  <si>
    <t xml:space="preserve">User input value </t>
  </si>
  <si>
    <t>Input, W8:Y16</t>
  </si>
  <si>
    <t>Values on Output page are rounded to nearest 5 (Output, G17:I25)</t>
  </si>
  <si>
    <t>Output, G17:I25
Complete, Y8:AA16</t>
  </si>
  <si>
    <t>Stone Weight:</t>
  </si>
  <si>
    <t xml:space="preserve">Calculated value </t>
  </si>
  <si>
    <t>((rock volume/100) * (2.7)/((rock volume * 2.7) + (100-rock volume) * RV horizon bulk density)) * 10000</t>
  </si>
  <si>
    <t>Input, T8:V16 (Db)
Complete, AB8: AD16</t>
  </si>
  <si>
    <t>Cobble Volume:</t>
  </si>
  <si>
    <t>Input, Z8:AB16</t>
  </si>
  <si>
    <t>Values on Output page are rounded to nearest 5 (Output, J17:L25)</t>
  </si>
  <si>
    <t>Output, J17:L25
Complete, AE8:AG16</t>
  </si>
  <si>
    <t xml:space="preserve">Cobble Weight: </t>
  </si>
  <si>
    <t>Calculated value</t>
  </si>
  <si>
    <t>Input, T8:V16 (Db)
Complete, AH8:AJ16</t>
  </si>
  <si>
    <t>Gravel Volume:</t>
  </si>
  <si>
    <t>Input, AC8:AE16</t>
  </si>
  <si>
    <t>Values on Output page are rounded to nearest 5 (Output, M17:O25)</t>
  </si>
  <si>
    <t>Output, M17:O25
Complete, AK8:AM16</t>
  </si>
  <si>
    <t>Gravel Weight:</t>
  </si>
  <si>
    <t>Input, T8:V16 (Db)
Complete, AD8:AP16</t>
  </si>
  <si>
    <t>Frag. Volume:</t>
  </si>
  <si>
    <t>Input, AF8:AG16</t>
  </si>
  <si>
    <t>Complete, BC8:BD16</t>
  </si>
  <si>
    <t>Frag. Weight:</t>
  </si>
  <si>
    <t>For low and high frag. volumes: ((rock volume/100) * (2.7)/((rock volume * 2.7) + (100-rock volume) * RV horizon bulk density)) * 10000
For RV volume: (((rv stone vol. + rv cobb. vol. + rv gravel vol.)/100) * (2.7)/(((rv stone vol. + rv cobb. vol. + rv gr</t>
  </si>
  <si>
    <t>Complete, BE8:BG16</t>
  </si>
  <si>
    <t>Clay %:</t>
  </si>
  <si>
    <t>Input, C21:E29</t>
  </si>
  <si>
    <t>Output, AH17:AJ25
Complete, C21:E29</t>
  </si>
  <si>
    <t>Sand %:</t>
  </si>
  <si>
    <t>Input, F21:H29</t>
  </si>
  <si>
    <t>Values on Output page are rounded to nearest 5 (Output, AB17:AD25)</t>
  </si>
  <si>
    <t>Output, AB17:AD25
Complete, F21:H29</t>
  </si>
  <si>
    <t>User input and calculated values</t>
  </si>
  <si>
    <t>Input, I21:I29
Input, K21:K29</t>
  </si>
  <si>
    <t>RV values on Input page are calculated by subtracting Input RV values of sand and clay
Low and high values on Output page are rounded to nearest 5 (Output, AE17:AE25; AG17:AG25)
RV values on Output page are calculated by subtracting Output RV values of sa</t>
  </si>
  <si>
    <t>Input, J21:J29
Output, AE17:AE25
Output, AG17:AG25
Complete, I21:K29</t>
  </si>
  <si>
    <t>User input, calculated and lookup values</t>
  </si>
  <si>
    <t>Dp</t>
  </si>
  <si>
    <t>wt soil passing # 10</t>
  </si>
  <si>
    <t>%gr by wt of &lt;3inch</t>
  </si>
  <si>
    <t>passing #10 sieve</t>
  </si>
  <si>
    <t>wt soil &lt;2mm</t>
  </si>
  <si>
    <t>Frag vol</t>
  </si>
  <si>
    <t>&gt;2mm wt</t>
  </si>
  <si>
    <t>wt % &gt;2mm</t>
  </si>
  <si>
    <t>Grav vol</t>
  </si>
  <si>
    <t>ratio gravel (&lt;3 fraction)</t>
  </si>
  <si>
    <t>wt gravel (&lt;3 fraction)</t>
  </si>
  <si>
    <t>Cobb vol</t>
  </si>
  <si>
    <t>wt %cobbles (3-10 inch)</t>
  </si>
  <si>
    <t>Stone vol</t>
  </si>
  <si>
    <t>wt% stones (&gt;10 inch)</t>
  </si>
  <si>
    <t>&gt; 3 in vol</t>
  </si>
  <si>
    <t>sum &gt; 3 wt%</t>
  </si>
  <si>
    <t>can check with chart NSSH 618-11</t>
  </si>
  <si>
    <r>
      <t>D</t>
    </r>
    <r>
      <rPr>
        <b/>
        <vertAlign val="subscript"/>
        <sz val="8"/>
        <rFont val="Arial"/>
        <family val="2"/>
      </rPr>
      <t>b</t>
    </r>
  </si>
  <si>
    <t>Input, AI13
Input, AI16
Input, X8:X16
Input, AA8:AA16
Input, AD8:AD16
Input, AF8:AF16
Input, AG8:AG16
Input, AH8:AH16
Input, AE21:AG29</t>
  </si>
  <si>
    <t>Total RV rock fragment values are calculated on Input page (AG8:AG16)
Soil type information (Input, AI13 and AI16) is used for selecting lookup tables (AWC page)
Rock fragment values (Input, AF8:AH16) or EC values (Input, AE21:AG29) are used to find value</t>
  </si>
  <si>
    <t>Complete, W34:Y42
Output, L29:N37</t>
  </si>
  <si>
    <r>
      <t>CaCO</t>
    </r>
    <r>
      <rPr>
        <b/>
        <vertAlign val="subscript"/>
        <sz val="10"/>
        <rFont val="Arial"/>
        <family val="2"/>
      </rPr>
      <t>3</t>
    </r>
  </si>
  <si>
    <r>
      <t>K</t>
    </r>
    <r>
      <rPr>
        <b/>
        <vertAlign val="subscript"/>
        <sz val="10"/>
        <rFont val="Arial"/>
        <family val="2"/>
      </rPr>
      <t>f</t>
    </r>
  </si>
  <si>
    <r>
      <t>K</t>
    </r>
    <r>
      <rPr>
        <b/>
        <vertAlign val="subscript"/>
        <sz val="10"/>
        <rFont val="Arial"/>
        <family val="2"/>
      </rPr>
      <t>sat</t>
    </r>
  </si>
  <si>
    <r>
      <t>Electical Conductivity (Ece x 10</t>
    </r>
    <r>
      <rPr>
        <vertAlign val="superscript"/>
        <sz val="10"/>
        <rFont val="Arial"/>
        <family val="2"/>
      </rPr>
      <t>3</t>
    </r>
    <r>
      <rPr>
        <sz val="10"/>
        <rFont val="Arial"/>
        <family val="0"/>
      </rPr>
      <t>)</t>
    </r>
  </si>
  <si>
    <r>
      <t xml:space="preserve">NSSH Exhibit 618-1.  Guides for Estimating Risk of Corrosion Potential for Uncoated Steel. </t>
    </r>
    <r>
      <rPr>
        <b/>
        <vertAlign val="superscript"/>
        <sz val="10"/>
        <rFont val="Arial"/>
        <family val="2"/>
      </rPr>
      <t>1</t>
    </r>
  </si>
  <si>
    <r>
      <t>Total Acidity</t>
    </r>
    <r>
      <rPr>
        <vertAlign val="superscript"/>
        <sz val="10"/>
        <rFont val="Arial"/>
        <family val="2"/>
      </rPr>
      <t>2</t>
    </r>
    <r>
      <rPr>
        <sz val="10"/>
        <rFont val="Arial"/>
        <family val="0"/>
      </rPr>
      <t xml:space="preserve"> (cmol/100g)</t>
    </r>
  </si>
  <si>
    <r>
      <t>Resistivity at saturation</t>
    </r>
    <r>
      <rPr>
        <vertAlign val="superscript"/>
        <sz val="10"/>
        <rFont val="Arial"/>
        <family val="2"/>
      </rPr>
      <t>3</t>
    </r>
    <r>
      <rPr>
        <sz val="10"/>
        <rFont val="Arial"/>
        <family val="0"/>
      </rPr>
      <t xml:space="preserve"> (ohm/cm)</t>
    </r>
  </si>
  <si>
    <r>
      <t>Conductivity of saturated extract</t>
    </r>
    <r>
      <rPr>
        <vertAlign val="superscript"/>
        <sz val="10"/>
        <rFont val="Arial"/>
        <family val="2"/>
      </rPr>
      <t>4</t>
    </r>
    <r>
      <rPr>
        <sz val="10"/>
        <rFont val="Arial"/>
        <family val="0"/>
      </rPr>
      <t xml:space="preserve"> (mmhos/cm)</t>
    </r>
  </si>
  <si>
    <r>
      <t>Frost action classes</t>
    </r>
    <r>
      <rPr>
        <b/>
        <vertAlign val="superscript"/>
        <sz val="10"/>
        <rFont val="Arial"/>
        <family val="2"/>
      </rPr>
      <t>1</t>
    </r>
  </si>
  <si>
    <r>
      <t>WEG</t>
    </r>
    <r>
      <rPr>
        <b/>
        <vertAlign val="superscript"/>
        <sz val="10"/>
        <rFont val="Arial"/>
        <family val="2"/>
      </rPr>
      <t>1 3 4 5</t>
    </r>
  </si>
  <si>
    <r>
      <t xml:space="preserve">Very fine sand, fine sand, sand or coarse sand </t>
    </r>
    <r>
      <rPr>
        <vertAlign val="superscript"/>
        <sz val="10"/>
        <rFont val="Arial"/>
        <family val="2"/>
      </rPr>
      <t>2</t>
    </r>
  </si>
  <si>
    <r>
      <t>Calcareous</t>
    </r>
    <r>
      <rPr>
        <vertAlign val="superscript"/>
        <sz val="10"/>
        <rFont val="Arial"/>
        <family val="2"/>
      </rPr>
      <t xml:space="preserve">6 </t>
    </r>
    <r>
      <rPr>
        <sz val="10"/>
        <rFont val="Arial"/>
        <family val="2"/>
      </rPr>
      <t>L, calcareous SIL, calcareous CL and calcareous SICL</t>
    </r>
  </si>
  <si>
    <r>
      <t>Moderate</t>
    </r>
    <r>
      <rPr>
        <vertAlign val="superscript"/>
        <sz val="10"/>
        <rFont val="Arial"/>
        <family val="2"/>
      </rPr>
      <t>2</t>
    </r>
  </si>
  <si>
    <r>
      <t>High</t>
    </r>
    <r>
      <rPr>
        <vertAlign val="superscript"/>
        <sz val="10"/>
        <rFont val="Arial"/>
        <family val="2"/>
      </rPr>
      <t>2</t>
    </r>
  </si>
  <si>
    <r>
      <t>Shrinkage Index</t>
    </r>
    <r>
      <rPr>
        <vertAlign val="superscript"/>
        <sz val="10"/>
        <rFont val="Arial"/>
        <family val="2"/>
      </rPr>
      <t>1</t>
    </r>
  </si>
  <si>
    <r>
      <t>Depth to aquic conditions</t>
    </r>
    <r>
      <rPr>
        <b/>
        <vertAlign val="superscript"/>
        <sz val="10"/>
        <rFont val="Arial"/>
        <family val="2"/>
      </rPr>
      <t>1</t>
    </r>
  </si>
  <si>
    <t>MUCKY PEAT</t>
  </si>
  <si>
    <t>For 'nonash; salt influenced' horizons, don't adjust AWC values for rock fragment content. Adjustment is done for you and the corrected value will show on the Output worksheet.</t>
  </si>
  <si>
    <r>
      <t>Duration of Saturation</t>
    </r>
    <r>
      <rPr>
        <b/>
        <vertAlign val="superscript"/>
        <sz val="10"/>
        <rFont val="Arial"/>
        <family val="2"/>
      </rPr>
      <t xml:space="preserve">2  </t>
    </r>
    <r>
      <rPr>
        <b/>
        <sz val="10"/>
        <rFont val="Arial"/>
        <family val="2"/>
      </rPr>
      <t xml:space="preserve">                   </t>
    </r>
  </si>
  <si>
    <r>
      <t xml:space="preserve">1 </t>
    </r>
    <r>
      <rPr>
        <sz val="8"/>
        <rFont val="Arial"/>
        <family val="2"/>
      </rPr>
      <t>For all WEGs except sands and loamy sand textures, if percent rock and pararock fragments (&gt;2mm) by volume is 15 - 35, reduce "I" value by one group with more favorable rating.  If percent rock and pararock fragments by volume is 35 - 60, reduce "I" value by two favorable groups except for sands and loamy sand textures, which are reduced by one group with more favorable rating.  If percent rock and pararock fragments is greater than 60, use "I" value of 0 for all textures except sands and loamy sand textures, which are reduced by three groups with more favorable ratings.  An example of more favorable "I" rating is next lower number - "I" factor of 160 to "I" factor or 134 or "I" factor of 86 to "I" factor of 56.</t>
    </r>
  </si>
  <si>
    <t>Water is removed readily but not rapidly. The occurrence of internal free water is deep or very deep. Wetness does not inhibit growth of roots for significant periods during most growing seasons. The soils commonly have medium to fine textures. Very fine sandy loams, fine sandy loams, loams, silt loams, silty clay loams, clay loams, sandy clay, silty clay.</t>
  </si>
  <si>
    <t>Water is removed slowly. The occurrence of internal free water commonly is shallow to moderately deep. Wetness restricts growth of mesophytic crops, unless artificial drainage is provided. They commonly have moderately low to very low saturated hydraulic conductivity.</t>
  </si>
  <si>
    <r>
      <t>6</t>
    </r>
    <r>
      <rPr>
        <sz val="8"/>
        <rFont val="Arial"/>
        <family val="2"/>
      </rPr>
      <t xml:space="preserve"> Calcareous is a strongly or violently effervescent reaction of the fine-earth fraction to cold dilute (1N) HCL; a paper "Computing the Wind Erodible Fraction of Soils" by D.W. Fryear et al. (1994) in the J. Soil and Water Conservation 49 (2) 183-188 raises a yet unresolved question regarding the effect of carbonates on wind erosion.</t>
    </r>
  </si>
  <si>
    <t>3. Roughly equivalent to resistivity of fine - and medium - textured soils measured at saturation (Method 8E1, Soil Survey Investigations Report No. 42, Soil Survey Laboratory Methods Manual, August 1992).  Resistivity at saturation for coarse-textured soil is generally lower than when obtained at field capacity and may cause the soil to be placed in a higher corrosion class.</t>
  </si>
  <si>
    <t xml:space="preserve">4. Method 8A1a, Soil Survey Investigations Report No. 42, Soil Survey Laboratory Methods Manual, August 1992.  The relationship between resistivity of a saturated soil paste (Method 8E1) and electrical conductivity of the saturation extract (Method 8A1a), is influenced by variations in the saturation percentage, salinity, and conductivity of the soil minerals.  These two measurements generally correspond closesly enough to place a soil in one corrosion class. </t>
  </si>
  <si>
    <t>Water is removed somewhat slowly. The occurrence of internal free water is moderately deep or deep. The soils are wet for only a short time within the rooting depth during the growing season, but long enough that most mesophytic crops are affected. They commonly have a moderately low or lower saturated hydraulic conductivity.</t>
  </si>
  <si>
    <t>Water is removed so slowly that the soil is wet at or near the surface periodically during the growing season. The occurrence of internal free water is shallow to very shallow. Most mesophytic crops cannot be grown without drainage, but the soil is not continuously wet directly below the plow pan. They commonly have low or very low saturated hydraulic conductivity.</t>
  </si>
  <si>
    <t>1.  Aquic conditions by definition is indicated by the presence of redoximorphic features and can be verified by measuring saturation and reduction.  Generally speaking, depth to aquic conditions will equate to the uppermost limit of the water table and chroma of 2 or less with/without redox concentrations.  The Oxyaquic subgroup may or may not need chroma of 2 or less.</t>
  </si>
  <si>
    <t>MUCKY</t>
  </si>
  <si>
    <t>ASHY</t>
  </si>
  <si>
    <t>WA-SIR-12 (MO-1 NASIS Guide 5).  Bulk Density, 1/3 Bar</t>
  </si>
  <si>
    <t>Fragment Volume</t>
  </si>
  <si>
    <r>
      <t>Consolidation Class</t>
    </r>
    <r>
      <rPr>
        <vertAlign val="superscript"/>
        <sz val="10"/>
        <rFont val="Arial"/>
        <family val="2"/>
      </rPr>
      <t>1</t>
    </r>
  </si>
  <si>
    <t>Consistence Class</t>
  </si>
  <si>
    <t>Sandy</t>
  </si>
  <si>
    <t>Coarse-loamy
Coarse-silty</t>
  </si>
  <si>
    <t>Fine-loamy
Fine-silty</t>
  </si>
  <si>
    <t>Clayey</t>
  </si>
  <si>
    <r>
      <t>Family Textural Classes</t>
    </r>
    <r>
      <rPr>
        <vertAlign val="superscript"/>
        <sz val="10"/>
        <rFont val="Arial"/>
        <family val="2"/>
      </rPr>
      <t>2</t>
    </r>
  </si>
  <si>
    <r>
      <t>Consolidation Class</t>
    </r>
    <r>
      <rPr>
        <b/>
        <vertAlign val="superscript"/>
        <sz val="10"/>
        <rFont val="Arial"/>
        <family val="2"/>
      </rPr>
      <t>1</t>
    </r>
  </si>
  <si>
    <t>Loose</t>
  </si>
  <si>
    <t>Soft, Very Friable</t>
  </si>
  <si>
    <t>Slightly Hard, Friable</t>
  </si>
  <si>
    <t>Firm</t>
  </si>
  <si>
    <t>Very Firm, Extremely Firm</t>
  </si>
  <si>
    <t>N/A</t>
  </si>
  <si>
    <t>2.  Applied only to &lt;2mm; &gt;2mm excluded.</t>
  </si>
  <si>
    <t>WA-SIR-13 (MO-1 NASIS Guide 6).  Bulk Density, 1/3 Bar</t>
  </si>
  <si>
    <t>Bulk density estimates for combinations of consolidation class and family texture classes</t>
  </si>
  <si>
    <t>&gt;or= 35% clay</t>
  </si>
  <si>
    <t>Well graded</t>
  </si>
  <si>
    <t>Other</t>
  </si>
  <si>
    <r>
      <t>Coarse-loamy</t>
    </r>
    <r>
      <rPr>
        <vertAlign val="superscript"/>
        <sz val="10"/>
        <rFont val="Arial"/>
        <family val="2"/>
      </rPr>
      <t>3</t>
    </r>
  </si>
  <si>
    <r>
      <t>Coarse-silty</t>
    </r>
    <r>
      <rPr>
        <vertAlign val="superscript"/>
        <sz val="10"/>
        <rFont val="Arial"/>
        <family val="2"/>
      </rPr>
      <t>3</t>
    </r>
  </si>
  <si>
    <r>
      <t>Fine-loamy</t>
    </r>
    <r>
      <rPr>
        <vertAlign val="superscript"/>
        <sz val="10"/>
        <rFont val="Arial"/>
        <family val="2"/>
      </rPr>
      <t>3</t>
    </r>
  </si>
  <si>
    <r>
      <t>Fine-silty</t>
    </r>
    <r>
      <rPr>
        <vertAlign val="superscript"/>
        <sz val="10"/>
        <rFont val="Arial"/>
        <family val="2"/>
      </rPr>
      <t>3</t>
    </r>
  </si>
  <si>
    <t>See Table MO-1 NASIS Guide 8</t>
  </si>
  <si>
    <t>1.  The very low class is not considered here.</t>
  </si>
  <si>
    <t>3.  Bulk density has been reduced from Grossman's original estimates based on local and regional lab results.</t>
  </si>
  <si>
    <t>WA-SIR-14 (MO-1 NASIS Guide 7)</t>
  </si>
  <si>
    <t>Bulk density of volcanic ash layers</t>
  </si>
  <si>
    <t>Approx. PPT &amp;
Andic Properties (Acid-Oxalate)</t>
  </si>
  <si>
    <t>9 - 18 " ppt
&gt;0.4 and &lt;1.0</t>
  </si>
  <si>
    <t>18 - 50/70 " ppt
1.0 - 2.0</t>
  </si>
  <si>
    <t>&gt; 50/70" ppt
&gt;2.0</t>
  </si>
  <si>
    <t>Clean Ash (meets Andic Soil Properties</t>
  </si>
  <si>
    <t>Mixed Ash (Vitrandic)</t>
  </si>
  <si>
    <t>Pumice &gt;65%</t>
  </si>
  <si>
    <t>0.90 - 1.20</t>
  </si>
  <si>
    <t>1.00 - 1.35</t>
  </si>
  <si>
    <t>0.50 - 0.85</t>
  </si>
  <si>
    <t>0.75 - 0.90</t>
  </si>
  <si>
    <t>0.85 - 1.10</t>
  </si>
  <si>
    <t>0.60 - 0.85</t>
  </si>
  <si>
    <t>0.80 - 1.10</t>
  </si>
  <si>
    <t>WA-SIR-15 (Revised) (MO-1 NASIS Guide 8)</t>
  </si>
  <si>
    <t>Bulk Density Estimates for Soil Materials with &gt;=35% Clay</t>
  </si>
  <si>
    <t>Bulk Density</t>
  </si>
  <si>
    <t>&gt;=80</t>
  </si>
  <si>
    <t>1.30 - 1.50</t>
  </si>
  <si>
    <t>1.25 - 1.45</t>
  </si>
  <si>
    <t>1.20 - 1.40</t>
  </si>
  <si>
    <t>1.20 - 1.35</t>
  </si>
  <si>
    <t>1.15 - 1.30</t>
  </si>
  <si>
    <t>1.10 - 1.25</t>
  </si>
  <si>
    <t>1.05 - 1.20</t>
  </si>
  <si>
    <t>1.05 - 1.15</t>
  </si>
  <si>
    <t>1.00 - 1.15</t>
  </si>
  <si>
    <t xml:space="preserve">AWC </t>
  </si>
  <si>
    <t>MUCK</t>
  </si>
  <si>
    <t>PEAT</t>
  </si>
  <si>
    <t>GR-ASHY</t>
  </si>
  <si>
    <t>GRV-ASHY</t>
  </si>
  <si>
    <t>CB-Ashy</t>
  </si>
  <si>
    <t>CBV-Ashy</t>
  </si>
  <si>
    <t>Salt Influenced Column Reference</t>
  </si>
  <si>
    <t>PCD-Ashy</t>
  </si>
  <si>
    <t>PCBV-Ashy</t>
  </si>
  <si>
    <t>PCBX-Ashy</t>
  </si>
  <si>
    <t>PGR-Ashy</t>
  </si>
  <si>
    <t>PGRV-Ashy</t>
  </si>
  <si>
    <t>PGRX-Ashy</t>
  </si>
  <si>
    <t>ST-Ashy</t>
  </si>
  <si>
    <t>STV-Ashy</t>
  </si>
  <si>
    <t>STX-Ashy</t>
  </si>
  <si>
    <t>CBX-Ashy</t>
  </si>
  <si>
    <t>GRX-ASHY</t>
  </si>
  <si>
    <t>AWC Calculation RV texture</t>
  </si>
  <si>
    <t>AWC Calculation Texture 2</t>
  </si>
  <si>
    <t>AWC Calculation Texture 3</t>
  </si>
  <si>
    <t>Low Ranges</t>
  </si>
  <si>
    <t>RV Ranges</t>
  </si>
  <si>
    <t>High Ranges</t>
  </si>
  <si>
    <t xml:space="preserve">RV </t>
  </si>
  <si>
    <t>Entered NSSH Exhibit 618-9 and values from tech note 27 for Ksat.  Linked to Input page.</t>
  </si>
  <si>
    <t>Corrected Kf and Kw calculations after earlier change to AWC+K page.  Still old method.  Could not incorporate nomograph.</t>
  </si>
  <si>
    <t>6.0 - 7.5 - 8.9</t>
  </si>
  <si>
    <t>9.0 - 10.5 - 11.9</t>
  </si>
  <si>
    <t>AWC - Table Ranges</t>
  </si>
  <si>
    <t>Slope Gradient</t>
  </si>
  <si>
    <t>Wind  C Factor</t>
  </si>
  <si>
    <t>Water Erosion Index (for LCC)</t>
  </si>
  <si>
    <t>Wind Erosion Index (for LCC)</t>
  </si>
  <si>
    <t>Total AWC (weighted)</t>
  </si>
  <si>
    <t>Reformated om output to 2 decimal places</t>
  </si>
  <si>
    <t>Reformated Kf and Kw output to 2 decimal places</t>
  </si>
  <si>
    <t>Inserted Kf nomograph and linked to Input page</t>
  </si>
  <si>
    <t>Changed AWC input to user input based off table ranges</t>
  </si>
  <si>
    <t>Removed capability class drop down format</t>
  </si>
  <si>
    <t>Added Slope Gradient, Wind C and Wind I input cells</t>
  </si>
  <si>
    <t>Added calculated wind and water erosion index cells and weighted total AWC for LCC input.</t>
  </si>
  <si>
    <t>Changed LL and PI tables to make values below 10 zero.</t>
  </si>
  <si>
    <t>Changed output values of EC, SAT, Gypsum, Carbonate and CEC to whole numbers.</t>
  </si>
  <si>
    <t>Added values to Blewitt's tables for textures not covered.  Mike generated values.</t>
  </si>
  <si>
    <t>MO-1 NASIS Guide 10 (Named range: AWCTable1)</t>
  </si>
  <si>
    <t>MO-1 NASIS Guide 11 (Named range: AWCTable2)</t>
  </si>
  <si>
    <t>.08-.1</t>
  </si>
  <si>
    <t>.01-.04</t>
  </si>
  <si>
    <t>MO-1 NASIS Guide 10 adjusted by 10% (loam and finer textures) and 20% (vfsl and coarser) for vitrandic subgroups (no andic properties).  Named range: AWCvit.</t>
  </si>
  <si>
    <t>.02-.05</t>
  </si>
  <si>
    <t>.04-05</t>
  </si>
  <si>
    <t>MO-1 NASIS Guide 10 adjusted by 50% for Andisols or Andic subgroups --- ashy family.  Named range: AWCashy.</t>
  </si>
  <si>
    <t>.03-.06</t>
  </si>
  <si>
    <t>.03-.5</t>
  </si>
  <si>
    <t>Added values to AWC tables.  Mike provided guidelines for interpolation of blank values.</t>
  </si>
  <si>
    <t>Finished incorporating userform version of Db guide.</t>
  </si>
  <si>
    <t>Moderately Slow</t>
  </si>
  <si>
    <t>LVFS, LFS, LS, LCOS; VFSL and SIL with 5 or less percent clay and 25 or less percent very fine sand; and sapric soil materials (as defined in Soil Taxonomy); except Folists</t>
  </si>
  <si>
    <t>C, SIC, noncalcareous CL; noncalcareous SICL that has &gt; 35 % clay and does not have sesquic, parasesquic, ferritic, ferruginous or kaolinitic mineralogy (high iron oxide content)</t>
  </si>
  <si>
    <t>Vitrandic or Andisol PI:</t>
  </si>
  <si>
    <t>Noncalcareous SI; noncalcareous SIC, noncalcareous SICL and noncalcareous C that have sesquic, parasesquic, ferritic, ferruginous or kaolinitc mineralogy (high content of iron oxide) and are Oxisols or Ultisols; and fibric material (as defined in Soil Taxonomy)</t>
  </si>
  <si>
    <r>
      <t>K</t>
    </r>
    <r>
      <rPr>
        <b/>
        <vertAlign val="subscript"/>
        <sz val="11"/>
        <rFont val="Arial"/>
        <family val="2"/>
      </rPr>
      <t>w</t>
    </r>
  </si>
  <si>
    <r>
      <t>K</t>
    </r>
    <r>
      <rPr>
        <b/>
        <vertAlign val="subscript"/>
        <sz val="11"/>
        <rFont val="Arial"/>
        <family val="2"/>
      </rPr>
      <t>f</t>
    </r>
  </si>
  <si>
    <t>AWC, total:</t>
  </si>
  <si>
    <t>inches</t>
  </si>
  <si>
    <t>Component Name</t>
  </si>
  <si>
    <t>Top Depth (in.)</t>
  </si>
  <si>
    <t>Bot. Depth (in.)</t>
  </si>
  <si>
    <t>% silt</t>
  </si>
  <si>
    <t>% very fine sand</t>
  </si>
  <si>
    <t>% clay</t>
  </si>
  <si>
    <t>% OM</t>
  </si>
  <si>
    <t>Structure Code</t>
  </si>
  <si>
    <t>Permeability Code</t>
  </si>
  <si>
    <t>M</t>
  </si>
  <si>
    <t>Athena</t>
  </si>
  <si>
    <t>A1</t>
  </si>
  <si>
    <t>GR-Medl</t>
  </si>
  <si>
    <t>MEDL</t>
  </si>
  <si>
    <t>GRV-Medl</t>
  </si>
  <si>
    <t>MPM</t>
  </si>
  <si>
    <t>Stones</t>
  </si>
  <si>
    <t>Cobbles</t>
  </si>
  <si>
    <t>Gravel</t>
  </si>
  <si>
    <t>Horizon Fragments, by Volume</t>
  </si>
  <si>
    <t>VFS%</t>
  </si>
  <si>
    <t>SR-</t>
  </si>
  <si>
    <t>HPM</t>
  </si>
  <si>
    <t>UWB</t>
  </si>
  <si>
    <t>WB</t>
  </si>
  <si>
    <t>SPM</t>
  </si>
  <si>
    <t>GRX-Medl</t>
  </si>
  <si>
    <t>CB-Medl</t>
  </si>
  <si>
    <t>CBV-Medl</t>
  </si>
  <si>
    <t>CBX-Medl</t>
  </si>
  <si>
    <t>ST-Medl</t>
  </si>
  <si>
    <t>STV-Medl</t>
  </si>
  <si>
    <t>STX-Medl</t>
  </si>
  <si>
    <t>PGR</t>
  </si>
  <si>
    <t>PGRV</t>
  </si>
  <si>
    <t>PGRX</t>
  </si>
  <si>
    <t>PGR-Medl</t>
  </si>
  <si>
    <t>PGRV-Medl</t>
  </si>
  <si>
    <t>PGRX-Medl</t>
  </si>
  <si>
    <t>PCB</t>
  </si>
  <si>
    <t>PCBX</t>
  </si>
  <si>
    <t>PCBV</t>
  </si>
  <si>
    <t>PCB-Medl</t>
  </si>
  <si>
    <t>PCBV-Medl</t>
  </si>
  <si>
    <t>PCBX-Medl</t>
  </si>
  <si>
    <r>
      <t>K</t>
    </r>
    <r>
      <rPr>
        <vertAlign val="subscript"/>
        <sz val="14"/>
        <rFont val="Arial"/>
        <family val="2"/>
      </rPr>
      <t>f</t>
    </r>
    <r>
      <rPr>
        <sz val="14"/>
        <rFont val="Arial"/>
        <family val="2"/>
      </rPr>
      <t xml:space="preserve"> Factor Calculation </t>
    </r>
  </si>
  <si>
    <t>Example</t>
  </si>
  <si>
    <t>Depth</t>
  </si>
  <si>
    <t>Total AWC</t>
  </si>
  <si>
    <r>
      <t>4</t>
    </r>
    <r>
      <rPr>
        <sz val="8"/>
        <rFont val="Arial"/>
        <family val="2"/>
      </rPr>
      <t xml:space="preserve"> All material that meets criterion 1 in the requirements for andic soil properties in Soil Taxonomy, regardless of the fine earth texture, are placed in WEG 6 except for medial classes of Cryic Spodosols having MAAT &lt; 40 degrees F. which are placed in WEG 2.</t>
    </r>
  </si>
  <si>
    <t>- Other sandy and ashy material in other consistence classes except extremely firm or cemented
- 18 to 35 percent clay with moderate structure except platy or with strong very coarse prismatic
- Common ped surface features except stress surfaces or slickensides on vertical surfaces of structural units
- 0.1 to 0.2 percent medium or coarser vertical pores with high continuity 
- Hydrous-skeletal or hydrous
- &gt;35 percent clay* and oxidic /or kaolinitic that is dominated by oxides in the remaining clay fraction</t>
  </si>
  <si>
    <t>- Other sandy, sandy-skeletal, coarse-loamy, medial, medial-pumiceous, medial-skeletal, ashy-pumiceous, ashy-skeletal, hydrous-pumiceous material that is very friable, friable, soft or loose
- When very moist or wet, moderate or strong granular structure; strong blocky structure of any size or prismatic finer than very coarse
- Many ped surface features except stress surfaces or slickensides on vertical surfaces of structural units
- 0.5 to 0.2 percent medium or coarser vertical pores with high continuity</t>
  </si>
  <si>
    <t>- Fragmental, cindery, pumiceous
- Sandy and sandy-skeletal with coarse sand or sand texture, loose consistence
- More than 0.5 percent medium or coarser vertical pores with high continuity</t>
  </si>
  <si>
    <t>- Other sandy classes that are extremely firm or cemented
- 18 to 35 percent clay with other structures and ped surface conditions except pressure or stress surfaces
- &gt;=35 percent clay and moderate structure except if platy or very coarse prismatic or if oxidic, etc., (see moderate criteria)
- Common vertical ped surface features except stress surfaces or slickensides
- Medium or coarser vertical pores with high continuity percent but &lt;0.1 percent medium or coarser vertical pores
- Hydrous</t>
  </si>
  <si>
    <t>- Continuous moderate or weak cementation
- &gt;=35 percent clay and meets one of the following (except if oxidic, etc., see moderate criteria):
    weak structure; weak structure with few or no vertical surface features; platy structure; common or many stress surfaces or slickensides</t>
  </si>
  <si>
    <t>- Continuously indurated or strongly cemented and less than common roots
- &gt;35 percent clay and massive or exhibits horizontal deposition strata and less than common roots</t>
  </si>
  <si>
    <t>Checked volume % to weight % conversions for rock fragments</t>
  </si>
  <si>
    <t>Check Blewitt's table lookup functions</t>
  </si>
  <si>
    <t>Checked LL &amp; PI tables.  Changed equations to reserve rounding only for Output page.  Left capability for "-" and "NP" values to show.</t>
  </si>
  <si>
    <t>LL Values</t>
  </si>
  <si>
    <t>RV Texture</t>
  </si>
  <si>
    <t>Ash Influenced</t>
  </si>
  <si>
    <t>Result</t>
  </si>
  <si>
    <t>Nonash</t>
  </si>
  <si>
    <t>Vitrandic</t>
  </si>
  <si>
    <t>Medial Type</t>
  </si>
  <si>
    <t>Ashy - Andisol/Andic</t>
  </si>
  <si>
    <t>Medial Airfall Andisol (A3&amp;E43)</t>
  </si>
  <si>
    <t>Medial - Coast R Andisol (A1)</t>
  </si>
  <si>
    <t>Changed LL calculations to take ash influenced soils into account.</t>
  </si>
  <si>
    <t>Organic Carbon Percent</t>
  </si>
  <si>
    <t>Db Mineral:</t>
  </si>
  <si>
    <t>1.  The Very Low class pertains to sediments that are fluid as the term is used in Chapter 4 of the new Soil Survey Manual.  This range of consolidation is not considered here.</t>
  </si>
  <si>
    <r>
      <t>Bulk density for combinations of family texture classes of &lt;2mm and proportion of 2.0 - 0.25 mm</t>
    </r>
    <r>
      <rPr>
        <vertAlign val="superscript"/>
        <sz val="10"/>
        <rFont val="Arial"/>
        <family val="2"/>
      </rPr>
      <t>2</t>
    </r>
    <r>
      <rPr>
        <sz val="10"/>
        <rFont val="Arial"/>
        <family val="0"/>
      </rPr>
      <t>.</t>
    </r>
  </si>
  <si>
    <r>
      <t>Mg/m</t>
    </r>
    <r>
      <rPr>
        <vertAlign val="superscript"/>
        <sz val="10"/>
        <rFont val="Arial"/>
        <family val="2"/>
      </rPr>
      <t>3</t>
    </r>
  </si>
  <si>
    <t>2.  Family textural classes applied to the &lt;2mm only; &gt;2mm is excluded.
Well graded material has 1/4 to 3/4 of the 2.0 to 0.002 mm in the 2.0 - 0.25 mm range and of this 2.0 - 0.25 mm less than 2/3 is either 2 - 1 or 0.5 to 0.25 mm.  Employ noncarbonate clay on a carbonate-containing basis.</t>
  </si>
  <si>
    <t>WA-SIR-16 (MO-1 NASIS Guide 9) Bulk Density, 1/3 Bar - Units are Mg/m3</t>
  </si>
  <si>
    <t>Entered WA-SIR-12,13,14,15&amp;16 on Source Data page.  Checked for errors.  Sent one comment to Russ on values.  Put link on Input page.</t>
  </si>
  <si>
    <t>Cobble Vol</t>
  </si>
  <si>
    <t>Gravel Vol</t>
  </si>
  <si>
    <t>1. The shrinkage Index is the numerical difference between the Plastic Limit and the Shrinkage Limit.  Special tests, as required by local ordinance, may be used in place of the Shrinkage Index.</t>
  </si>
  <si>
    <t>2. Reduce one class for rock fragments greater than 35 percent.</t>
  </si>
  <si>
    <t>NSSH Exhibit 618-9. Key for Estimating the Class of Permeability from Soil Properties</t>
  </si>
  <si>
    <t>Permeability Class Name</t>
  </si>
  <si>
    <t>Soil properties</t>
  </si>
  <si>
    <t xml:space="preserve">Very rapid </t>
  </si>
  <si>
    <t>Rapid</t>
  </si>
  <si>
    <t>Moderately rapid</t>
  </si>
  <si>
    <t xml:space="preserve">Moderate </t>
  </si>
  <si>
    <t>Slow</t>
  </si>
  <si>
    <t>Very Slow</t>
  </si>
  <si>
    <t>Impermeable</t>
  </si>
  <si>
    <t>Continuously indurated or strongly cemented with no evidence of water movement or root growth</t>
  </si>
  <si>
    <t>* Clay content may need to be recalculated if the ratio of 15-bar water to measured clay is 0.25 or less or 0.6 or more.  The formula to recalculate clay content is percent clay equals 2.5 times 15-bar water content minus percent organic carbon.</t>
  </si>
  <si>
    <t xml:space="preserve">Soil Name: </t>
  </si>
  <si>
    <t>Date:</t>
  </si>
  <si>
    <t>Clear Contents by pressing    Ctrl + n</t>
  </si>
  <si>
    <t>Clay Activity Classes</t>
  </si>
  <si>
    <t>Clay Composition</t>
  </si>
  <si>
    <t>Textures</t>
  </si>
  <si>
    <t>Modifiers</t>
  </si>
  <si>
    <t>Classification:</t>
  </si>
  <si>
    <t>by:</t>
  </si>
  <si>
    <t>Subactive, 3</t>
  </si>
  <si>
    <t>C</t>
  </si>
  <si>
    <t>GR</t>
  </si>
  <si>
    <t>MU# :</t>
  </si>
  <si>
    <t>Pedon #:</t>
  </si>
  <si>
    <t>Semiactive, 5</t>
  </si>
  <si>
    <t>Montmorillonitic</t>
  </si>
  <si>
    <t>CL</t>
  </si>
  <si>
    <t>GRF</t>
  </si>
  <si>
    <t>Blewitt's Values - % Passing #40 Sieve</t>
  </si>
  <si>
    <t>Blewitt's Values - % Passing 200 Sieve</t>
  </si>
  <si>
    <t>Active, 7</t>
  </si>
  <si>
    <t>Mixed; 2:1</t>
  </si>
  <si>
    <t>COS</t>
  </si>
  <si>
    <t>GRM</t>
  </si>
  <si>
    <t>Depth (in)</t>
  </si>
  <si>
    <t>Texture (RV)</t>
  </si>
  <si>
    <t>Modifier</t>
  </si>
  <si>
    <t>Texture 2</t>
  </si>
  <si>
    <t>Texture 3</t>
  </si>
  <si>
    <t>Db</t>
  </si>
  <si>
    <t>Rock density</t>
  </si>
  <si>
    <t>Stone Vol</t>
  </si>
  <si>
    <t>Cobb Vol</t>
  </si>
  <si>
    <t>GR Vol</t>
  </si>
  <si>
    <t>Frag. Vol</t>
  </si>
  <si>
    <t>% Passing #40</t>
  </si>
  <si>
    <t>Low Value</t>
  </si>
  <si>
    <t>RV Value</t>
  </si>
  <si>
    <t>High Value</t>
  </si>
  <si>
    <t>% Passing #200</t>
  </si>
  <si>
    <t>Superactive, 9</t>
  </si>
  <si>
    <t>Mixed; 1:1</t>
  </si>
  <si>
    <t>COSL</t>
  </si>
  <si>
    <t>GRC</t>
  </si>
  <si>
    <t>Horizon</t>
  </si>
  <si>
    <t>Top</t>
  </si>
  <si>
    <t>Bot.</t>
  </si>
  <si>
    <t>---</t>
  </si>
  <si>
    <t>L</t>
  </si>
  <si>
    <t>RV</t>
  </si>
  <si>
    <t>H</t>
  </si>
  <si>
    <t>Text. 1</t>
  </si>
  <si>
    <t>Text. 2</t>
  </si>
  <si>
    <t>Text. 3</t>
  </si>
  <si>
    <t xml:space="preserve">Text.3 </t>
  </si>
  <si>
    <t>Andic properties</t>
  </si>
  <si>
    <t>Kaolinitic</t>
  </si>
  <si>
    <t>FS</t>
  </si>
  <si>
    <t>GRV</t>
  </si>
  <si>
    <t>SICL</t>
  </si>
  <si>
    <t>SIL</t>
  </si>
  <si>
    <t>FSL</t>
  </si>
  <si>
    <t>GRX</t>
  </si>
  <si>
    <t>SI</t>
  </si>
  <si>
    <t>SL</t>
  </si>
  <si>
    <t>CB</t>
  </si>
  <si>
    <t>LCOS</t>
  </si>
  <si>
    <t>CBV</t>
  </si>
  <si>
    <t>LFS</t>
  </si>
  <si>
    <t>CBX</t>
  </si>
  <si>
    <t>LS</t>
  </si>
  <si>
    <t>ST</t>
  </si>
  <si>
    <t>LVFS</t>
  </si>
  <si>
    <t>STV</t>
  </si>
  <si>
    <t>S</t>
  </si>
  <si>
    <t>STX</t>
  </si>
  <si>
    <t>SC</t>
  </si>
  <si>
    <t>BY</t>
  </si>
  <si>
    <t>SCL</t>
  </si>
  <si>
    <t>BYV</t>
  </si>
  <si>
    <t>BYX</t>
  </si>
  <si>
    <t>SIC</t>
  </si>
  <si>
    <t>CN</t>
  </si>
  <si>
    <t>Clay %</t>
  </si>
  <si>
    <t>Sand %</t>
  </si>
  <si>
    <t>Silt %</t>
  </si>
  <si>
    <t>OM %</t>
  </si>
  <si>
    <t>Clay Activity Class</t>
  </si>
  <si>
    <t>Clay Comp.</t>
  </si>
  <si>
    <t>Gypsum</t>
  </si>
  <si>
    <t>SAR</t>
  </si>
  <si>
    <t>EC</t>
  </si>
  <si>
    <t>pH</t>
  </si>
  <si>
    <t>pH Ranges</t>
  </si>
  <si>
    <t>CNV</t>
  </si>
  <si>
    <t>-----</t>
  </si>
  <si>
    <t>----</t>
  </si>
  <si>
    <t>Less than4.5</t>
  </si>
  <si>
    <t>Extremely acid</t>
  </si>
  <si>
    <t>AWC Type</t>
  </si>
  <si>
    <t>CNX</t>
  </si>
  <si>
    <t>4.5 to 5.0</t>
  </si>
  <si>
    <t>Very strongly acid</t>
  </si>
  <si>
    <t>FL</t>
  </si>
  <si>
    <t>5.1 to 5.5</t>
  </si>
  <si>
    <t>Strongly acid</t>
  </si>
  <si>
    <t>VFS</t>
  </si>
  <si>
    <t>FLV</t>
  </si>
  <si>
    <t>5.6 to 6.0</t>
  </si>
  <si>
    <t>Moderately acid</t>
  </si>
  <si>
    <t>Family</t>
  </si>
  <si>
    <t>VFSL</t>
  </si>
  <si>
    <t>FLX</t>
  </si>
  <si>
    <t>6.1 to 6.5</t>
  </si>
  <si>
    <t>Slighly acid</t>
  </si>
  <si>
    <t>PBY</t>
  </si>
  <si>
    <t>6.6 to 7.3</t>
  </si>
  <si>
    <t>Neutral</t>
  </si>
  <si>
    <t>PBYV</t>
  </si>
  <si>
    <t>7.4 to 7.8</t>
  </si>
  <si>
    <t>PBYX</t>
  </si>
  <si>
    <t>7.9 to 8.4</t>
  </si>
  <si>
    <t>Moderately alkaline</t>
  </si>
  <si>
    <t>8.5 to 9.0</t>
  </si>
  <si>
    <t>Strongly alkaline</t>
  </si>
  <si>
    <t>More than 9.0</t>
  </si>
  <si>
    <t>Very strongly alkaline</t>
  </si>
  <si>
    <t>unified gravel vs. sand</t>
  </si>
  <si>
    <t>AASHTO</t>
  </si>
  <si>
    <t>Unified</t>
  </si>
  <si>
    <t>LEP</t>
  </si>
  <si>
    <t xml:space="preserve"> LL</t>
  </si>
  <si>
    <t>PI</t>
  </si>
  <si>
    <t>#200</t>
  </si>
  <si>
    <t>G</t>
  </si>
  <si>
    <t>Component data</t>
  </si>
  <si>
    <t>T Value:</t>
  </si>
  <si>
    <r>
      <t>WEI:</t>
    </r>
    <r>
      <rPr>
        <b/>
        <sz val="10"/>
        <rFont val="Arial"/>
        <family val="2"/>
      </rPr>
      <t xml:space="preserve"> </t>
    </r>
  </si>
  <si>
    <t>Lower hatched</t>
  </si>
  <si>
    <t>WEG:</t>
  </si>
  <si>
    <t>Drainage Class:</t>
  </si>
  <si>
    <t>Upper hatched</t>
  </si>
  <si>
    <t>LCC (irr, non-irr)</t>
  </si>
  <si>
    <t>Frost:</t>
  </si>
  <si>
    <t>A Line</t>
  </si>
  <si>
    <t>Hydro. Group:</t>
  </si>
  <si>
    <r>
      <t>Corr, concrete</t>
    </r>
    <r>
      <rPr>
        <sz val="10"/>
        <rFont val="Arial"/>
        <family val="0"/>
      </rPr>
      <t>:</t>
    </r>
  </si>
  <si>
    <t>Corr, steel:</t>
  </si>
  <si>
    <t>Clay activity classes:</t>
  </si>
  <si>
    <t>Component Data</t>
  </si>
  <si>
    <t>Horizon Data</t>
  </si>
  <si>
    <t>Depth (cm)</t>
  </si>
  <si>
    <t>Rock &gt;10</t>
  </si>
  <si>
    <t>Rock 3-10</t>
  </si>
  <si>
    <t>#4</t>
  </si>
  <si>
    <t>#10</t>
  </si>
  <si>
    <t>#40</t>
  </si>
  <si>
    <t>OM</t>
  </si>
  <si>
    <t>Ksat</t>
  </si>
  <si>
    <t>AWC</t>
  </si>
  <si>
    <t>LL</t>
  </si>
  <si>
    <t>Kw</t>
  </si>
  <si>
    <t>Kf</t>
  </si>
  <si>
    <t>CaCO3</t>
  </si>
  <si>
    <t>Horizon Texture</t>
  </si>
  <si>
    <t>CEC</t>
  </si>
  <si>
    <t>Stone Wt. (%) of whole</t>
  </si>
  <si>
    <t>Cobb. Wt. (%) of Whole</t>
  </si>
  <si>
    <t>OM (%)</t>
  </si>
  <si>
    <t xml:space="preserve">WEI: </t>
  </si>
  <si>
    <t>Corr, concrete:</t>
  </si>
  <si>
    <t>* Changes to values within currently defined tables simply require unprotecting this page and making alternations. Changes that add rows require changing the reference range of the named tables.  Range changes are done through the Insert/Name/Define windo</t>
  </si>
  <si>
    <t>Reference information</t>
  </si>
  <si>
    <t>Kf Guide</t>
  </si>
  <si>
    <t>Organic Matter %</t>
  </si>
  <si>
    <t>Temp Kw.</t>
  </si>
  <si>
    <t>High</t>
  </si>
  <si>
    <t>Low</t>
  </si>
  <si>
    <t>Texture Class</t>
  </si>
  <si>
    <t>4+</t>
  </si>
  <si>
    <t>% Coarse Fragments (by volume)</t>
  </si>
  <si>
    <t>.14-.16</t>
  </si>
  <si>
    <t>.12-.14</t>
  </si>
  <si>
    <t>.11-.13</t>
  </si>
  <si>
    <t>.11-.12</t>
  </si>
  <si>
    <t>.10-.11</t>
  </si>
  <si>
    <t>.09-.10</t>
  </si>
  <si>
    <t>.08-.10</t>
  </si>
  <si>
    <t>.08-.09</t>
  </si>
  <si>
    <t>.07-.08</t>
  </si>
  <si>
    <t>.06-.07</t>
  </si>
  <si>
    <t>.05-.06</t>
  </si>
  <si>
    <t>.04-.05</t>
  </si>
  <si>
    <t>.03-.04</t>
  </si>
  <si>
    <t>.15-.17</t>
  </si>
  <si>
    <t>.13-.15</t>
  </si>
  <si>
    <t>.13-.14</t>
  </si>
  <si>
    <t>.10-.12</t>
  </si>
  <si>
    <t>.07-.09</t>
  </si>
  <si>
    <t>.19-.21</t>
  </si>
  <si>
    <t>.17-.19</t>
  </si>
  <si>
    <t>.16-.18</t>
  </si>
  <si>
    <t>.09-.11</t>
  </si>
  <si>
    <t xml:space="preserve">SC </t>
  </si>
  <si>
    <t>.14-.15</t>
  </si>
  <si>
    <t>.05-.07</t>
  </si>
  <si>
    <t>Column Reference</t>
  </si>
  <si>
    <t>.06-.08</t>
  </si>
  <si>
    <t>.02-.03</t>
  </si>
  <si>
    <t>.04-.06</t>
  </si>
  <si>
    <t>.01-.02</t>
  </si>
  <si>
    <t>.03-.05</t>
  </si>
  <si>
    <t>% Fragments</t>
  </si>
  <si>
    <t>Column Location</t>
  </si>
  <si>
    <t>.15-.16</t>
  </si>
  <si>
    <t>.12-.13</t>
  </si>
  <si>
    <t>.18-.20</t>
  </si>
  <si>
    <t>.17-.18</t>
  </si>
  <si>
    <t>.16-.17</t>
  </si>
  <si>
    <t>.15-.18</t>
  </si>
  <si>
    <t>.1-.11</t>
  </si>
  <si>
    <t>.14-.17</t>
  </si>
  <si>
    <t>.21-.23</t>
  </si>
  <si>
    <t>.18-.2</t>
  </si>
  <si>
    <t>.14.17</t>
  </si>
  <si>
    <t>.13-.16</t>
  </si>
  <si>
    <t>.08-.11</t>
  </si>
  <si>
    <t>.07-.10</t>
  </si>
  <si>
    <t>.02-.04</t>
  </si>
  <si>
    <t>.21-.24</t>
  </si>
  <si>
    <t>.18-.21</t>
  </si>
  <si>
    <t>.17-.20</t>
  </si>
  <si>
    <t>.12-.15</t>
  </si>
  <si>
    <t>.23-.26</t>
  </si>
  <si>
    <t>.20-.23</t>
  </si>
  <si>
    <t>.20-.21</t>
  </si>
  <si>
    <t>.11-.14</t>
  </si>
  <si>
    <t>.29-.32</t>
  </si>
  <si>
    <t>.26-.29</t>
  </si>
  <si>
    <t>.24-.27</t>
  </si>
  <si>
    <t>.09-.12</t>
  </si>
  <si>
    <t>.06-.09</t>
  </si>
  <si>
    <t>.05-.08</t>
  </si>
  <si>
    <t>Andisols or Andic subgroups --- medial family, adjusted for rock fragments.  Named range: AWCmedial</t>
  </si>
  <si>
    <t>.35-.45</t>
  </si>
  <si>
    <t>.32-.41</t>
  </si>
  <si>
    <t>.30-.38</t>
  </si>
  <si>
    <t>.28-.36</t>
  </si>
  <si>
    <t>.26-.34</t>
  </si>
  <si>
    <t>.25-.32</t>
  </si>
  <si>
    <t>.23-.29</t>
  </si>
  <si>
    <t>.21-.27</t>
  </si>
  <si>
    <t>.19-.25</t>
  </si>
  <si>
    <t>.18-.23</t>
  </si>
  <si>
    <t>.16-.20</t>
  </si>
  <si>
    <t>.14-.18</t>
  </si>
  <si>
    <t>.12-.16</t>
  </si>
  <si>
    <t>No. 40 Sieve</t>
  </si>
  <si>
    <t>Percent Passing No. 10 Sieve</t>
  </si>
  <si>
    <t>No. 40</t>
  </si>
  <si>
    <t>Texture 1</t>
  </si>
  <si>
    <t>No. 200</t>
  </si>
  <si>
    <t>Row count:</t>
  </si>
  <si>
    <t>Soil Class Name</t>
  </si>
  <si>
    <t>Table:</t>
  </si>
  <si>
    <t>No.40</t>
  </si>
  <si>
    <t>90-100</t>
  </si>
  <si>
    <t>80-90</t>
  </si>
  <si>
    <t>70-80</t>
  </si>
  <si>
    <t>65-70</t>
  </si>
  <si>
    <t>55-60</t>
  </si>
  <si>
    <t>45-50</t>
  </si>
  <si>
    <t>35-40</t>
  </si>
  <si>
    <t>25-30</t>
  </si>
  <si>
    <t>15-20</t>
  </si>
  <si>
    <t>5-10</t>
  </si>
  <si>
    <t>0-5</t>
  </si>
  <si>
    <t>no data</t>
  </si>
  <si>
    <t>65-80</t>
  </si>
  <si>
    <t>55-70</t>
  </si>
  <si>
    <t>50-65</t>
  </si>
  <si>
    <t>45-55</t>
  </si>
  <si>
    <t>35-45</t>
  </si>
  <si>
    <t>30-40</t>
  </si>
  <si>
    <t>20-25</t>
  </si>
  <si>
    <t>10-15</t>
  </si>
  <si>
    <t>70-85</t>
  </si>
  <si>
    <t>65-75</t>
  </si>
  <si>
    <t>55-65</t>
  </si>
  <si>
    <t>50-60</t>
  </si>
  <si>
    <t>40-50</t>
  </si>
  <si>
    <t>25-35</t>
  </si>
  <si>
    <t>85-95</t>
  </si>
  <si>
    <t>75-85</t>
  </si>
  <si>
    <t>60-65</t>
  </si>
  <si>
    <t>50-55</t>
  </si>
  <si>
    <t>50-75</t>
  </si>
  <si>
    <t>45-70</t>
  </si>
  <si>
    <t>40-60</t>
  </si>
  <si>
    <t>35-50</t>
  </si>
  <si>
    <t>30-45</t>
  </si>
  <si>
    <t>20-30</t>
  </si>
  <si>
    <t>90-95</t>
  </si>
  <si>
    <t>80-85</t>
  </si>
  <si>
    <t>70-75</t>
  </si>
  <si>
    <t>% Passing</t>
  </si>
  <si>
    <t>Column</t>
  </si>
  <si>
    <t>50-70</t>
  </si>
  <si>
    <t>45-65</t>
  </si>
  <si>
    <t>40-55</t>
  </si>
  <si>
    <t>40-45</t>
  </si>
  <si>
    <t>30-35</t>
  </si>
  <si>
    <t>95-100</t>
  </si>
  <si>
    <t>85-90</t>
  </si>
  <si>
    <t>75-80</t>
  </si>
  <si>
    <t>60-70</t>
  </si>
  <si>
    <t>75-90</t>
  </si>
  <si>
    <t>60-75</t>
  </si>
  <si>
    <t>No. 200 Sieve</t>
  </si>
  <si>
    <t>75-95</t>
  </si>
  <si>
    <t>70-100</t>
  </si>
  <si>
    <t>45-60</t>
  </si>
  <si>
    <t>35-55</t>
  </si>
  <si>
    <t>15-25</t>
  </si>
  <si>
    <t>-</t>
  </si>
  <si>
    <t>30-50</t>
  </si>
  <si>
    <t>25-40</t>
  </si>
  <si>
    <t>20-35</t>
  </si>
  <si>
    <t>15-30</t>
  </si>
  <si>
    <t>10-20</t>
  </si>
  <si>
    <t>5-15</t>
  </si>
  <si>
    <t>Limits</t>
  </si>
  <si>
    <t>Property</t>
  </si>
  <si>
    <t>Moderate</t>
  </si>
  <si>
    <t>Drainage class and texture</t>
  </si>
  <si>
    <t>Excessively drained, coarse textured or well drained, coarse to medium textured soils</t>
  </si>
  <si>
    <t>Well drained, moderately fine textured soils</t>
  </si>
  <si>
    <t>Well drained, fine textured or stratified soils</t>
  </si>
  <si>
    <t>Or, moderately well drained, coarse textured soils</t>
  </si>
  <si>
    <t>Or, moderately well drained, medium textured soils</t>
  </si>
  <si>
    <t>Or, moderately well drained, fine and moderately fine textured or stratified soils</t>
  </si>
  <si>
    <t>Or, somewhat poorly drained, coarse textured soils</t>
  </si>
  <si>
    <t>Or, somewhat poorly drained, moderately coarse textured soils</t>
  </si>
  <si>
    <t>Or, somewhat poorly drained, medium to fine textured or stratified soils</t>
  </si>
  <si>
    <t>Or, very poorly drained soils with stable high water table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</si>
</sst>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00"/>
    <numFmt numFmtId="168" formatCode="0.000000"/>
    <numFmt numFmtId="169" formatCode="0.00000"/>
    <numFmt numFmtId="170" formatCode="&quot;Yes&quot;;&quot;Yes&quot;;&quot;No&quot;"/>
    <numFmt numFmtId="171" formatCode="&quot;True&quot;;&quot;True&quot;;&quot;False&quot;"/>
    <numFmt numFmtId="172" formatCode="&quot;On&quot;;&quot;On&quot;;&quot;Off&quot;"/>
    <numFmt numFmtId="173" formatCode="[$€-2]\ #,##0.00_);[Red]\([$€-2]\ #,##0.00\)"/>
    <numFmt numFmtId="174" formatCode="0.000000000"/>
    <numFmt numFmtId="175" formatCode="0.0000000000"/>
    <numFmt numFmtId="176" formatCode="0.00000000000"/>
    <numFmt numFmtId="177" formatCode="0.000000000000"/>
    <numFmt numFmtId="178" formatCode="0.00000000"/>
  </numFmts>
  <fonts count="36">
    <font>
      <sz val="10"/>
      <name val="Arial"/>
      <family val="0"/>
    </font>
    <font>
      <b/>
      <sz val="10"/>
      <name val="Arial"/>
      <family val="2"/>
    </font>
    <font>
      <b/>
      <i/>
      <sz val="10"/>
      <name val="Arial"/>
      <family val="2"/>
    </font>
    <font>
      <b/>
      <vertAlign val="subscript"/>
      <sz val="10"/>
      <name val="Arial"/>
      <family val="2"/>
    </font>
    <font>
      <sz val="10"/>
      <color indexed="9"/>
      <name val="Arial"/>
      <family val="2"/>
    </font>
    <font>
      <b/>
      <u val="single"/>
      <sz val="11"/>
      <name val="Arial"/>
      <family val="2"/>
    </font>
    <font>
      <u val="single"/>
      <sz val="11"/>
      <name val="Arial"/>
      <family val="2"/>
    </font>
    <font>
      <b/>
      <u val="single"/>
      <sz val="12"/>
      <name val="Arial"/>
      <family val="2"/>
    </font>
    <font>
      <b/>
      <sz val="11"/>
      <name val="Arial"/>
      <family val="2"/>
    </font>
    <font>
      <u val="single"/>
      <sz val="10"/>
      <name val="Arial"/>
      <family val="2"/>
    </font>
    <font>
      <vertAlign val="superscript"/>
      <sz val="10"/>
      <name val="Arial"/>
      <family val="2"/>
    </font>
    <font>
      <b/>
      <sz val="14"/>
      <color indexed="10"/>
      <name val="Arial"/>
      <family val="2"/>
    </font>
    <font>
      <b/>
      <vertAlign val="superscript"/>
      <sz val="10"/>
      <name val="Arial"/>
      <family val="2"/>
    </font>
    <font>
      <sz val="8"/>
      <name val="Arial"/>
      <family val="2"/>
    </font>
    <font>
      <vertAlign val="superscript"/>
      <sz val="8"/>
      <name val="Arial"/>
      <family val="2"/>
    </font>
    <font>
      <b/>
      <u val="single"/>
      <sz val="10"/>
      <name val="Arial"/>
      <family val="2"/>
    </font>
    <font>
      <b/>
      <sz val="8"/>
      <name val="Tahoma"/>
      <family val="0"/>
    </font>
    <font>
      <b/>
      <sz val="14.75"/>
      <name val="Arial"/>
      <family val="0"/>
    </font>
    <font>
      <b/>
      <sz val="12"/>
      <name val="Arial"/>
      <family val="0"/>
    </font>
    <font>
      <sz val="12"/>
      <name val="Arial"/>
      <family val="0"/>
    </font>
    <font>
      <sz val="8"/>
      <name val="Tahoma"/>
      <family val="0"/>
    </font>
    <font>
      <sz val="12"/>
      <color indexed="10"/>
      <name val="Arial"/>
      <family val="2"/>
    </font>
    <font>
      <sz val="10"/>
      <color indexed="10"/>
      <name val="Arial"/>
      <family val="2"/>
    </font>
    <font>
      <sz val="18"/>
      <name val="Arial"/>
      <family val="2"/>
    </font>
    <font>
      <b/>
      <sz val="9"/>
      <name val="Tahoma"/>
      <family val="2"/>
    </font>
    <font>
      <b/>
      <sz val="14"/>
      <name val="Arial"/>
      <family val="2"/>
    </font>
    <font>
      <b/>
      <sz val="10"/>
      <name val="Tahoma"/>
      <family val="2"/>
    </font>
    <font>
      <b/>
      <vertAlign val="subscript"/>
      <sz val="11"/>
      <name val="Arial"/>
      <family val="2"/>
    </font>
    <font>
      <u val="single"/>
      <sz val="9"/>
      <name val="Arial"/>
      <family val="2"/>
    </font>
    <font>
      <sz val="9"/>
      <name val="Arial"/>
      <family val="2"/>
    </font>
    <font>
      <sz val="14"/>
      <name val="Arial"/>
      <family val="2"/>
    </font>
    <font>
      <vertAlign val="subscript"/>
      <sz val="14"/>
      <name val="Arial"/>
      <family val="2"/>
    </font>
    <font>
      <u val="single"/>
      <sz val="10"/>
      <color indexed="12"/>
      <name val="Arial"/>
      <family val="0"/>
    </font>
    <font>
      <u val="single"/>
      <sz val="10"/>
      <color indexed="36"/>
      <name val="Arial"/>
      <family val="0"/>
    </font>
    <font>
      <b/>
      <sz val="8"/>
      <name val="Arial"/>
      <family val="2"/>
    </font>
    <font>
      <b/>
      <vertAlign val="subscript"/>
      <sz val="8"/>
      <name val="Arial"/>
      <family val="2"/>
    </font>
  </fonts>
  <fills count="1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indexed="15"/>
        <bgColor indexed="64"/>
      </patternFill>
    </fill>
    <fill>
      <patternFill patternType="solid">
        <fgColor indexed="49"/>
        <bgColor indexed="64"/>
      </patternFill>
    </fill>
    <fill>
      <patternFill patternType="solid">
        <fgColor indexed="14"/>
        <bgColor indexed="64"/>
      </patternFill>
    </fill>
    <fill>
      <patternFill patternType="solid">
        <fgColor indexed="51"/>
        <bgColor indexed="64"/>
      </patternFill>
    </fill>
    <fill>
      <patternFill patternType="solid">
        <fgColor indexed="12"/>
        <bgColor indexed="64"/>
      </patternFill>
    </fill>
    <fill>
      <patternFill patternType="solid">
        <fgColor indexed="45"/>
        <bgColor indexed="64"/>
      </patternFill>
    </fill>
    <fill>
      <patternFill patternType="solid">
        <fgColor indexed="46"/>
        <bgColor indexed="64"/>
      </patternFill>
    </fill>
  </fills>
  <borders count="72">
    <border>
      <left/>
      <right/>
      <top/>
      <bottom/>
      <diagonal/>
    </border>
    <border>
      <left style="medium"/>
      <right style="thin"/>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medium"/>
      <top style="thin"/>
      <bottom style="medium"/>
    </border>
    <border>
      <left>
        <color indexed="63"/>
      </left>
      <right style="medium"/>
      <top style="thin"/>
      <bottom style="medium"/>
    </border>
    <border>
      <left style="medium"/>
      <right style="medium"/>
      <top style="medium"/>
      <bottom style="thin"/>
    </border>
    <border>
      <left style="medium"/>
      <right style="medium"/>
      <top style="thin"/>
      <bottom style="thin"/>
    </border>
    <border>
      <left style="thin"/>
      <right>
        <color indexed="63"/>
      </right>
      <top style="thin"/>
      <bottom>
        <color indexed="63"/>
      </bottom>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color indexed="63"/>
      </right>
      <top>
        <color indexed="63"/>
      </top>
      <bottom style="thin"/>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ouble"/>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color indexed="63"/>
      </top>
      <bottom style="thin"/>
    </border>
    <border>
      <left style="medium"/>
      <right style="thin"/>
      <top style="medium"/>
      <bottom style="medium"/>
    </border>
    <border>
      <left style="thin"/>
      <right style="medium"/>
      <top style="medium"/>
      <bottom style="medium"/>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style="thin"/>
    </border>
    <border>
      <left style="thin"/>
      <right style="medium"/>
      <top>
        <color indexed="63"/>
      </top>
      <bottom style="thin"/>
    </border>
    <border>
      <left style="medium"/>
      <right style="thin"/>
      <top>
        <color indexed="63"/>
      </top>
      <bottom style="thin"/>
    </border>
    <border>
      <left>
        <color indexed="63"/>
      </left>
      <right style="thin"/>
      <top>
        <color indexed="63"/>
      </top>
      <bottom style="medium"/>
    </border>
    <border>
      <left style="thin"/>
      <right style="thin"/>
      <top style="thin"/>
      <bottom style="double"/>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color indexed="63"/>
      </top>
      <bottom style="thin"/>
    </border>
    <border>
      <left style="medium"/>
      <right style="medium"/>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9" fontId="0" fillId="0" borderId="0" applyFont="0" applyFill="0" applyBorder="0" applyAlignment="0" applyProtection="0"/>
  </cellStyleXfs>
  <cellXfs count="1148">
    <xf numFmtId="0" fontId="0" fillId="0" borderId="0" xfId="0" applyAlignment="1">
      <alignment/>
    </xf>
    <xf numFmtId="0" fontId="2" fillId="0" borderId="1" xfId="0" applyFont="1" applyBorder="1" applyAlignment="1">
      <alignment horizontal="center"/>
    </xf>
    <xf numFmtId="0" fontId="2" fillId="0" borderId="2" xfId="0" applyFont="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4" xfId="0" applyFont="1" applyFill="1" applyBorder="1" applyAlignment="1">
      <alignment horizontal="center"/>
    </xf>
    <xf numFmtId="0" fontId="0" fillId="2" borderId="3" xfId="0" applyFont="1" applyFill="1" applyBorder="1" applyAlignment="1">
      <alignment horizontal="center"/>
    </xf>
    <xf numFmtId="0" fontId="0" fillId="2" borderId="5" xfId="0"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9" xfId="0" applyFont="1" applyFill="1" applyBorder="1" applyAlignment="1">
      <alignment horizontal="center"/>
    </xf>
    <xf numFmtId="0" fontId="0" fillId="2" borderId="10" xfId="0" applyFont="1" applyFill="1" applyBorder="1" applyAlignment="1">
      <alignment horizontal="center"/>
    </xf>
    <xf numFmtId="0" fontId="0" fillId="2" borderId="0" xfId="0" applyFont="1" applyFill="1" applyBorder="1" applyAlignment="1">
      <alignment horizontal="center"/>
    </xf>
    <xf numFmtId="0" fontId="0" fillId="2" borderId="0" xfId="0" applyFont="1" applyFill="1" applyBorder="1" applyAlignment="1">
      <alignment horizontal="left"/>
    </xf>
    <xf numFmtId="0" fontId="1" fillId="2" borderId="0" xfId="0" applyFont="1" applyFill="1" applyBorder="1" applyAlignment="1">
      <alignment horizontal="right"/>
    </xf>
    <xf numFmtId="0" fontId="1" fillId="2" borderId="0" xfId="0" applyFont="1" applyFill="1" applyBorder="1" applyAlignment="1">
      <alignment horizontal="left"/>
    </xf>
    <xf numFmtId="0" fontId="0" fillId="2" borderId="0" xfId="0" applyFont="1" applyFill="1" applyBorder="1" applyAlignment="1">
      <alignment/>
    </xf>
    <xf numFmtId="0" fontId="0" fillId="2" borderId="0" xfId="0" applyFont="1" applyFill="1" applyAlignment="1">
      <alignment horizontal="left"/>
    </xf>
    <xf numFmtId="0" fontId="0" fillId="2" borderId="0" xfId="0" applyFont="1" applyFill="1" applyAlignment="1">
      <alignment horizontal="center"/>
    </xf>
    <xf numFmtId="0" fontId="1" fillId="2" borderId="0" xfId="0" applyFont="1" applyFill="1" applyBorder="1" applyAlignment="1">
      <alignment horizontal="center"/>
    </xf>
    <xf numFmtId="0" fontId="0" fillId="2" borderId="0" xfId="0" applyFill="1" applyBorder="1" applyAlignment="1">
      <alignment horizontal="center"/>
    </xf>
    <xf numFmtId="0" fontId="0" fillId="2" borderId="0" xfId="0" applyFont="1" applyFill="1" applyAlignment="1">
      <alignment/>
    </xf>
    <xf numFmtId="0" fontId="0" fillId="2" borderId="0" xfId="0" applyFill="1" applyBorder="1" applyAlignment="1">
      <alignment/>
    </xf>
    <xf numFmtId="0" fontId="1" fillId="2" borderId="4" xfId="0" applyFont="1" applyFill="1" applyBorder="1" applyAlignment="1">
      <alignment horizontal="center"/>
    </xf>
    <xf numFmtId="0" fontId="2" fillId="2" borderId="1" xfId="0" applyFont="1" applyFill="1" applyBorder="1" applyAlignment="1">
      <alignment horizontal="center"/>
    </xf>
    <xf numFmtId="0" fontId="2" fillId="2" borderId="11" xfId="0" applyFont="1" applyFill="1" applyBorder="1" applyAlignment="1">
      <alignment horizontal="center"/>
    </xf>
    <xf numFmtId="0" fontId="2" fillId="0" borderId="11" xfId="0" applyFont="1" applyBorder="1" applyAlignment="1">
      <alignment horizontal="center"/>
    </xf>
    <xf numFmtId="0" fontId="2" fillId="0" borderId="3" xfId="0" applyFont="1" applyBorder="1" applyAlignment="1">
      <alignment horizontal="center"/>
    </xf>
    <xf numFmtId="0" fontId="2" fillId="2" borderId="12" xfId="0" applyFont="1" applyFill="1" applyBorder="1" applyAlignment="1">
      <alignment horizontal="center"/>
    </xf>
    <xf numFmtId="0" fontId="2" fillId="2" borderId="5" xfId="0" applyFont="1" applyFill="1" applyBorder="1" applyAlignment="1">
      <alignment horizontal="center"/>
    </xf>
    <xf numFmtId="0" fontId="2" fillId="2" borderId="13" xfId="0" applyFont="1" applyFill="1" applyBorder="1" applyAlignment="1">
      <alignment horizontal="center"/>
    </xf>
    <xf numFmtId="0" fontId="1" fillId="2" borderId="1" xfId="0" applyFont="1" applyFill="1" applyBorder="1" applyAlignment="1">
      <alignment horizontal="center"/>
    </xf>
    <xf numFmtId="0" fontId="0" fillId="2" borderId="11" xfId="0" applyFont="1" applyFill="1" applyBorder="1" applyAlignment="1">
      <alignment horizontal="center"/>
    </xf>
    <xf numFmtId="0" fontId="0" fillId="2" borderId="13"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13" xfId="0" applyBorder="1" applyAlignment="1">
      <alignment horizontal="center"/>
    </xf>
    <xf numFmtId="1" fontId="0" fillId="2" borderId="0" xfId="0" applyNumberFormat="1" applyFont="1" applyFill="1" applyBorder="1" applyAlignment="1">
      <alignment horizontal="center"/>
    </xf>
    <xf numFmtId="0" fontId="1" fillId="2" borderId="6" xfId="0" applyFont="1" applyFill="1" applyBorder="1" applyAlignment="1">
      <alignment horizontal="center"/>
    </xf>
    <xf numFmtId="0" fontId="1" fillId="2" borderId="8" xfId="0" applyFont="1" applyFill="1" applyBorder="1" applyAlignment="1">
      <alignment horizontal="center"/>
    </xf>
    <xf numFmtId="0" fontId="0" fillId="2" borderId="14" xfId="0" applyFont="1" applyFill="1" applyBorder="1" applyAlignment="1">
      <alignment horizontal="center"/>
    </xf>
    <xf numFmtId="0" fontId="0" fillId="2" borderId="15" xfId="0" applyFont="1"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15" xfId="0" applyBorder="1" applyAlignment="1">
      <alignment horizontal="center"/>
    </xf>
    <xf numFmtId="0" fontId="1" fillId="2" borderId="16" xfId="0" applyFont="1" applyFill="1" applyBorder="1" applyAlignment="1">
      <alignment horizont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11" xfId="0" applyFont="1" applyFill="1" applyBorder="1" applyAlignment="1">
      <alignment horizontal="center"/>
    </xf>
    <xf numFmtId="0" fontId="2" fillId="2" borderId="17" xfId="0" applyFont="1" applyFill="1" applyBorder="1" applyAlignment="1" quotePrefix="1">
      <alignment horizontal="center"/>
    </xf>
    <xf numFmtId="2" fontId="0" fillId="2" borderId="1" xfId="0" applyNumberFormat="1" applyFont="1" applyFill="1" applyBorder="1" applyAlignment="1">
      <alignment horizontal="center"/>
    </xf>
    <xf numFmtId="2" fontId="0" fillId="2" borderId="2" xfId="0" applyNumberFormat="1" applyFont="1" applyFill="1" applyBorder="1" applyAlignment="1">
      <alignment horizontal="center"/>
    </xf>
    <xf numFmtId="2" fontId="0" fillId="2" borderId="11" xfId="0" applyNumberFormat="1" applyFont="1" applyFill="1" applyBorder="1" applyAlignment="1">
      <alignment horizontal="center"/>
    </xf>
    <xf numFmtId="2" fontId="0" fillId="0" borderId="3" xfId="0" applyNumberFormat="1" applyFont="1" applyFill="1" applyBorder="1" applyAlignment="1">
      <alignment horizontal="center"/>
    </xf>
    <xf numFmtId="2" fontId="0" fillId="0" borderId="13" xfId="0" applyNumberFormat="1" applyFont="1" applyFill="1" applyBorder="1" applyAlignment="1">
      <alignment horizontal="center"/>
    </xf>
    <xf numFmtId="1" fontId="0" fillId="2" borderId="1" xfId="0" applyNumberFormat="1" applyFont="1" applyFill="1" applyBorder="1" applyAlignment="1">
      <alignment horizontal="center"/>
    </xf>
    <xf numFmtId="1" fontId="0" fillId="2" borderId="2" xfId="0" applyNumberFormat="1" applyFont="1" applyFill="1" applyBorder="1" applyAlignment="1">
      <alignment horizontal="center"/>
    </xf>
    <xf numFmtId="1" fontId="0" fillId="2" borderId="11" xfId="0" applyNumberFormat="1" applyFont="1" applyFill="1" applyBorder="1" applyAlignment="1">
      <alignment horizontal="center"/>
    </xf>
    <xf numFmtId="2" fontId="0" fillId="2" borderId="6" xfId="0" applyNumberFormat="1" applyFont="1" applyFill="1" applyBorder="1" applyAlignment="1">
      <alignment horizontal="center"/>
    </xf>
    <xf numFmtId="2" fontId="0" fillId="2" borderId="7" xfId="0" applyNumberFormat="1" applyFont="1" applyFill="1" applyBorder="1" applyAlignment="1">
      <alignment horizontal="center"/>
    </xf>
    <xf numFmtId="2" fontId="0" fillId="2" borderId="14" xfId="0" applyNumberFormat="1" applyFont="1" applyFill="1" applyBorder="1" applyAlignment="1">
      <alignment horizontal="center"/>
    </xf>
    <xf numFmtId="2" fontId="0" fillId="0" borderId="9" xfId="0" applyNumberFormat="1" applyFont="1" applyFill="1" applyBorder="1" applyAlignment="1">
      <alignment horizontal="center"/>
    </xf>
    <xf numFmtId="2" fontId="0" fillId="0" borderId="15" xfId="0" applyNumberFormat="1" applyFont="1" applyFill="1" applyBorder="1" applyAlignment="1">
      <alignment horizontal="center"/>
    </xf>
    <xf numFmtId="1" fontId="0" fillId="2" borderId="6" xfId="0" applyNumberFormat="1" applyFont="1" applyFill="1" applyBorder="1" applyAlignment="1">
      <alignment horizontal="center"/>
    </xf>
    <xf numFmtId="1" fontId="0" fillId="2" borderId="7" xfId="0" applyNumberFormat="1" applyFont="1" applyFill="1" applyBorder="1" applyAlignment="1">
      <alignment horizontal="center"/>
    </xf>
    <xf numFmtId="1" fontId="0" fillId="2" borderId="14" xfId="0" applyNumberFormat="1" applyFont="1" applyFill="1" applyBorder="1" applyAlignment="1">
      <alignment horizontal="center"/>
    </xf>
    <xf numFmtId="0" fontId="0" fillId="2" borderId="0" xfId="0" applyFill="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164" fontId="0" fillId="2" borderId="0" xfId="0" applyNumberFormat="1" applyFont="1" applyFill="1" applyBorder="1" applyAlignment="1">
      <alignment horizontal="center"/>
    </xf>
    <xf numFmtId="0" fontId="0" fillId="2" borderId="9" xfId="0" applyFill="1" applyBorder="1" applyAlignment="1">
      <alignment horizontal="center"/>
    </xf>
    <xf numFmtId="2" fontId="0" fillId="2" borderId="0" xfId="0" applyNumberFormat="1" applyFont="1" applyFill="1" applyBorder="1" applyAlignment="1">
      <alignment horizontal="center"/>
    </xf>
    <xf numFmtId="0" fontId="1" fillId="2" borderId="0"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horizontal="center"/>
    </xf>
    <xf numFmtId="1" fontId="0"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left"/>
    </xf>
    <xf numFmtId="0" fontId="1" fillId="0" borderId="0" xfId="0" applyFont="1" applyFill="1" applyBorder="1" applyAlignment="1">
      <alignment horizontal="center"/>
    </xf>
    <xf numFmtId="0" fontId="0" fillId="0" borderId="0" xfId="0" applyFill="1" applyBorder="1" applyAlignment="1">
      <alignment/>
    </xf>
    <xf numFmtId="0" fontId="1" fillId="0" borderId="0" xfId="0" applyFont="1" applyFill="1" applyBorder="1" applyAlignment="1">
      <alignment horizontal="left"/>
    </xf>
    <xf numFmtId="0" fontId="0" fillId="0" borderId="0" xfId="0" applyFill="1" applyBorder="1" applyAlignment="1">
      <alignment horizontal="left"/>
    </xf>
    <xf numFmtId="2" fontId="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center"/>
    </xf>
    <xf numFmtId="0" fontId="6" fillId="0" borderId="0" xfId="0" applyFont="1" applyFill="1" applyBorder="1" applyAlignment="1">
      <alignment horizontal="center"/>
    </xf>
    <xf numFmtId="2" fontId="1" fillId="0" borderId="0" xfId="0" applyNumberFormat="1"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left"/>
    </xf>
    <xf numFmtId="0" fontId="2" fillId="2" borderId="18" xfId="0" applyFont="1" applyFill="1" applyBorder="1" applyAlignment="1">
      <alignment horizontal="center"/>
    </xf>
    <xf numFmtId="2" fontId="0" fillId="2" borderId="2" xfId="0" applyNumberFormat="1" applyFill="1" applyBorder="1" applyAlignment="1">
      <alignment horizontal="center"/>
    </xf>
    <xf numFmtId="2" fontId="0" fillId="2" borderId="11" xfId="0" applyNumberFormat="1" applyFill="1" applyBorder="1" applyAlignment="1">
      <alignment horizontal="center"/>
    </xf>
    <xf numFmtId="1" fontId="0" fillId="2" borderId="3" xfId="0" applyNumberFormat="1" applyFont="1" applyFill="1" applyBorder="1" applyAlignment="1">
      <alignment horizontal="center"/>
    </xf>
    <xf numFmtId="1" fontId="0" fillId="2" borderId="4" xfId="0" applyNumberFormat="1" applyFont="1" applyFill="1" applyBorder="1" applyAlignment="1">
      <alignment horizontal="center"/>
    </xf>
    <xf numFmtId="2" fontId="0" fillId="2" borderId="7" xfId="0" applyNumberFormat="1" applyFill="1" applyBorder="1" applyAlignment="1">
      <alignment horizontal="center"/>
    </xf>
    <xf numFmtId="2" fontId="0" fillId="2" borderId="14" xfId="0" applyNumberFormat="1" applyFill="1" applyBorder="1" applyAlignment="1">
      <alignment horizontal="center"/>
    </xf>
    <xf numFmtId="1" fontId="0" fillId="2" borderId="8" xfId="0" applyNumberFormat="1" applyFont="1" applyFill="1" applyBorder="1" applyAlignment="1">
      <alignment horizontal="center"/>
    </xf>
    <xf numFmtId="0" fontId="2" fillId="2" borderId="17" xfId="0" applyFont="1" applyFill="1" applyBorder="1" applyAlignment="1">
      <alignment horizontal="center"/>
    </xf>
    <xf numFmtId="2" fontId="0" fillId="2" borderId="17" xfId="0" applyNumberFormat="1" applyFont="1" applyFill="1" applyBorder="1" applyAlignment="1">
      <alignment horizontal="center"/>
    </xf>
    <xf numFmtId="164" fontId="0" fillId="2" borderId="1" xfId="0" applyNumberFormat="1" applyFont="1" applyFill="1" applyBorder="1" applyAlignment="1">
      <alignment horizontal="center"/>
    </xf>
    <xf numFmtId="164" fontId="0" fillId="2" borderId="2" xfId="0" applyNumberFormat="1" applyFont="1" applyFill="1" applyBorder="1" applyAlignment="1">
      <alignment horizontal="center"/>
    </xf>
    <xf numFmtId="164" fontId="0" fillId="2" borderId="11" xfId="0" applyNumberFormat="1" applyFont="1" applyFill="1" applyBorder="1" applyAlignment="1">
      <alignment horizontal="center"/>
    </xf>
    <xf numFmtId="2" fontId="0" fillId="2" borderId="19" xfId="0" applyNumberFormat="1" applyFont="1" applyFill="1" applyBorder="1" applyAlignment="1">
      <alignment horizontal="center"/>
    </xf>
    <xf numFmtId="164" fontId="0" fillId="2" borderId="6" xfId="0" applyNumberFormat="1" applyFont="1" applyFill="1" applyBorder="1" applyAlignment="1">
      <alignment horizontal="center"/>
    </xf>
    <xf numFmtId="164" fontId="0" fillId="2" borderId="7" xfId="0" applyNumberFormat="1" applyFont="1" applyFill="1" applyBorder="1" applyAlignment="1">
      <alignment horizontal="center"/>
    </xf>
    <xf numFmtId="164" fontId="0" fillId="2" borderId="14" xfId="0" applyNumberFormat="1" applyFont="1" applyFill="1" applyBorder="1" applyAlignment="1">
      <alignment horizontal="center"/>
    </xf>
    <xf numFmtId="0" fontId="0" fillId="2" borderId="0" xfId="0" applyNumberFormat="1" applyFont="1" applyFill="1" applyBorder="1" applyAlignment="1">
      <alignment horizontal="center"/>
    </xf>
    <xf numFmtId="0" fontId="5" fillId="2" borderId="0" xfId="0" applyFont="1" applyFill="1" applyBorder="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2" fontId="1" fillId="2" borderId="0" xfId="0" applyNumberFormat="1" applyFont="1" applyFill="1" applyBorder="1" applyAlignment="1">
      <alignment horizontal="center"/>
    </xf>
    <xf numFmtId="0" fontId="0" fillId="0" borderId="0" xfId="0" applyAlignment="1">
      <alignment horizontal="left" wrapText="1"/>
    </xf>
    <xf numFmtId="0" fontId="0" fillId="0" borderId="0" xfId="0" applyAlignment="1">
      <alignment horizontal="center"/>
    </xf>
    <xf numFmtId="0" fontId="0" fillId="0" borderId="0" xfId="0" applyFont="1" applyFill="1" applyBorder="1" applyAlignment="1">
      <alignment/>
    </xf>
    <xf numFmtId="0" fontId="0" fillId="0" borderId="0"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9" fillId="0" borderId="0" xfId="0" applyFont="1" applyAlignment="1">
      <alignment/>
    </xf>
    <xf numFmtId="0" fontId="1" fillId="3" borderId="0" xfId="0" applyFont="1" applyFill="1" applyAlignment="1">
      <alignment/>
    </xf>
    <xf numFmtId="0" fontId="0" fillId="3" borderId="0" xfId="0" applyFill="1" applyAlignment="1">
      <alignment horizontal="center"/>
    </xf>
    <xf numFmtId="0" fontId="0" fillId="3" borderId="0" xfId="0" applyFill="1" applyAlignment="1">
      <alignment/>
    </xf>
    <xf numFmtId="0" fontId="0" fillId="0" borderId="23" xfId="0" applyBorder="1" applyAlignment="1">
      <alignment horizontal="center"/>
    </xf>
    <xf numFmtId="0" fontId="0" fillId="0" borderId="24" xfId="0" applyFont="1" applyFill="1" applyBorder="1" applyAlignment="1">
      <alignment horizontal="center"/>
    </xf>
    <xf numFmtId="0" fontId="0" fillId="0" borderId="25" xfId="0" applyFont="1" applyFill="1" applyBorder="1" applyAlignment="1">
      <alignment horizontal="center"/>
    </xf>
    <xf numFmtId="0" fontId="0" fillId="0" borderId="0" xfId="0" applyAlignment="1">
      <alignment horizontal="right"/>
    </xf>
    <xf numFmtId="0" fontId="0" fillId="0" borderId="26" xfId="0" applyBorder="1" applyAlignment="1">
      <alignment/>
    </xf>
    <xf numFmtId="0" fontId="0" fillId="0" borderId="27"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8" xfId="0" applyBorder="1" applyAlignment="1">
      <alignment/>
    </xf>
    <xf numFmtId="0" fontId="0" fillId="0" borderId="5" xfId="0" applyBorder="1" applyAlignment="1">
      <alignment horizontal="center"/>
    </xf>
    <xf numFmtId="0" fontId="0" fillId="0" borderId="0" xfId="0" applyFill="1" applyAlignment="1">
      <alignment/>
    </xf>
    <xf numFmtId="0" fontId="0" fillId="0" borderId="29" xfId="0" applyBorder="1" applyAlignment="1">
      <alignment/>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0" xfId="0" applyAlignment="1" quotePrefix="1">
      <alignment/>
    </xf>
    <xf numFmtId="2" fontId="0" fillId="0" borderId="0" xfId="0" applyNumberFormat="1" applyFill="1" applyAlignment="1">
      <alignment/>
    </xf>
    <xf numFmtId="2" fontId="0" fillId="0" borderId="0" xfId="0" applyNumberFormat="1" applyAlignment="1">
      <alignment/>
    </xf>
    <xf numFmtId="0" fontId="0" fillId="4" borderId="0" xfId="0" applyFill="1" applyAlignment="1">
      <alignment/>
    </xf>
    <xf numFmtId="0" fontId="0" fillId="4" borderId="5" xfId="0" applyFill="1" applyBorder="1" applyAlignment="1">
      <alignment horizontal="center"/>
    </xf>
    <xf numFmtId="0" fontId="0" fillId="4" borderId="27" xfId="0" applyFill="1" applyBorder="1" applyAlignment="1">
      <alignment horizontal="center"/>
    </xf>
    <xf numFmtId="0" fontId="0" fillId="5" borderId="0" xfId="0" applyFill="1" applyAlignment="1">
      <alignment/>
    </xf>
    <xf numFmtId="0" fontId="0" fillId="5" borderId="5" xfId="0" applyFill="1" applyBorder="1" applyAlignment="1">
      <alignment horizontal="center"/>
    </xf>
    <xf numFmtId="0" fontId="0" fillId="5" borderId="27" xfId="0" applyFill="1" applyBorder="1" applyAlignment="1">
      <alignment horizontal="center"/>
    </xf>
    <xf numFmtId="0" fontId="0" fillId="5" borderId="0" xfId="0" applyFill="1" applyAlignment="1">
      <alignment horizontal="center"/>
    </xf>
    <xf numFmtId="0" fontId="0" fillId="0" borderId="20" xfId="0" applyBorder="1" applyAlignment="1">
      <alignment horizontal="left"/>
    </xf>
    <xf numFmtId="0" fontId="11" fillId="0" borderId="0" xfId="0" applyFont="1" applyAlignment="1">
      <alignment horizontal="center"/>
    </xf>
    <xf numFmtId="0" fontId="1" fillId="0" borderId="0" xfId="0" applyFont="1" applyAlignment="1">
      <alignment/>
    </xf>
    <xf numFmtId="0" fontId="0" fillId="0" borderId="27" xfId="0" applyBorder="1" applyAlignment="1">
      <alignment/>
    </xf>
    <xf numFmtId="0" fontId="1" fillId="0" borderId="27" xfId="0" applyFont="1" applyBorder="1" applyAlignment="1">
      <alignment horizontal="center"/>
    </xf>
    <xf numFmtId="0" fontId="0" fillId="0" borderId="34" xfId="0" applyBorder="1" applyAlignment="1">
      <alignment horizontal="left"/>
    </xf>
    <xf numFmtId="0" fontId="0" fillId="0" borderId="18" xfId="0" applyBorder="1" applyAlignment="1">
      <alignment horizontal="center"/>
    </xf>
    <xf numFmtId="0" fontId="0" fillId="0" borderId="35" xfId="0" applyBorder="1" applyAlignment="1">
      <alignment horizontal="center"/>
    </xf>
    <xf numFmtId="0" fontId="1" fillId="0" borderId="18" xfId="0" applyFont="1" applyBorder="1" applyAlignment="1">
      <alignment horizontal="center"/>
    </xf>
    <xf numFmtId="0" fontId="1" fillId="0" borderId="23" xfId="0" applyFont="1" applyBorder="1" applyAlignment="1">
      <alignment horizontal="center"/>
    </xf>
    <xf numFmtId="0" fontId="1" fillId="0" borderId="36" xfId="0" applyFont="1" applyBorder="1" applyAlignment="1">
      <alignment horizontal="center"/>
    </xf>
    <xf numFmtId="0" fontId="1" fillId="0" borderId="36" xfId="0" applyFont="1" applyBorder="1" applyAlignment="1">
      <alignment horizontal="left"/>
    </xf>
    <xf numFmtId="16" fontId="0" fillId="0" borderId="0" xfId="0" applyNumberFormat="1" applyAlignment="1" quotePrefix="1">
      <alignment horizontal="center"/>
    </xf>
    <xf numFmtId="0" fontId="0" fillId="0" borderId="37" xfId="0" applyBorder="1" applyAlignment="1">
      <alignment horizontal="left"/>
    </xf>
    <xf numFmtId="1" fontId="0" fillId="6" borderId="38" xfId="0" applyNumberFormat="1" applyFill="1" applyBorder="1" applyAlignment="1">
      <alignment horizontal="center"/>
    </xf>
    <xf numFmtId="0" fontId="0" fillId="3" borderId="23" xfId="0" applyFill="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1" fillId="0" borderId="40" xfId="0" applyFont="1" applyBorder="1" applyAlignment="1">
      <alignment horizontal="left"/>
    </xf>
    <xf numFmtId="0" fontId="0" fillId="0" borderId="0" xfId="0" applyFont="1" applyAlignment="1">
      <alignment horizontal="left"/>
    </xf>
    <xf numFmtId="0" fontId="0" fillId="0" borderId="1" xfId="0" applyBorder="1" applyAlignment="1">
      <alignment horizontal="left"/>
    </xf>
    <xf numFmtId="0" fontId="0" fillId="3" borderId="0" xfId="0" applyFill="1" applyBorder="1" applyAlignment="1">
      <alignment horizontal="center"/>
    </xf>
    <xf numFmtId="0" fontId="1" fillId="0" borderId="40" xfId="0" applyFont="1" applyBorder="1" applyAlignment="1">
      <alignment/>
    </xf>
    <xf numFmtId="0" fontId="0" fillId="0" borderId="6" xfId="0" applyBorder="1" applyAlignment="1">
      <alignment horizontal="left"/>
    </xf>
    <xf numFmtId="0" fontId="0" fillId="3" borderId="27" xfId="0" applyFill="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0" xfId="0" applyAlignment="1" quotePrefix="1">
      <alignment horizontal="center"/>
    </xf>
    <xf numFmtId="0" fontId="0" fillId="0" borderId="0" xfId="0" applyAlignment="1">
      <alignment horizontal="left"/>
    </xf>
    <xf numFmtId="0" fontId="0" fillId="7" borderId="18" xfId="0" applyFill="1" applyBorder="1" applyAlignment="1">
      <alignment horizontal="center" wrapText="1"/>
    </xf>
    <xf numFmtId="0" fontId="0" fillId="7" borderId="36" xfId="0" applyFill="1" applyBorder="1" applyAlignment="1">
      <alignment horizontal="center"/>
    </xf>
    <xf numFmtId="0" fontId="1" fillId="0" borderId="18" xfId="0" applyFont="1" applyBorder="1" applyAlignment="1">
      <alignment/>
    </xf>
    <xf numFmtId="0" fontId="0" fillId="0" borderId="23" xfId="0" applyBorder="1" applyAlignment="1">
      <alignment/>
    </xf>
    <xf numFmtId="0" fontId="0" fillId="0" borderId="36" xfId="0" applyBorder="1" applyAlignment="1">
      <alignment/>
    </xf>
    <xf numFmtId="0" fontId="1" fillId="7" borderId="39" xfId="0" applyFont="1" applyFill="1" applyBorder="1" applyAlignment="1">
      <alignment horizontal="center"/>
    </xf>
    <xf numFmtId="0" fontId="0" fillId="7" borderId="40" xfId="0" applyFill="1" applyBorder="1" applyAlignment="1">
      <alignment horizontal="center"/>
    </xf>
    <xf numFmtId="0" fontId="1" fillId="0" borderId="39" xfId="0" applyFont="1" applyBorder="1" applyAlignment="1">
      <alignment horizontal="center"/>
    </xf>
    <xf numFmtId="0" fontId="1" fillId="0" borderId="0" xfId="0" applyFont="1" applyBorder="1" applyAlignment="1">
      <alignment horizontal="center"/>
    </xf>
    <xf numFmtId="0" fontId="1" fillId="0" borderId="40" xfId="0" applyFont="1" applyBorder="1" applyAlignment="1">
      <alignment horizontal="center"/>
    </xf>
    <xf numFmtId="0" fontId="0" fillId="3" borderId="23" xfId="0" applyFill="1" applyBorder="1" applyAlignment="1">
      <alignment/>
    </xf>
    <xf numFmtId="0" fontId="0" fillId="3" borderId="0" xfId="0" applyFill="1" applyBorder="1" applyAlignment="1">
      <alignment/>
    </xf>
    <xf numFmtId="0" fontId="0" fillId="3" borderId="41" xfId="0" applyFill="1" applyBorder="1" applyAlignment="1">
      <alignment/>
    </xf>
    <xf numFmtId="0" fontId="1" fillId="7" borderId="41" xfId="0" applyFont="1" applyFill="1" applyBorder="1" applyAlignment="1">
      <alignment horizontal="center"/>
    </xf>
    <xf numFmtId="0" fontId="0" fillId="7" borderId="42" xfId="0" applyFill="1" applyBorder="1" applyAlignment="1">
      <alignment horizontal="center"/>
    </xf>
    <xf numFmtId="0" fontId="0" fillId="3" borderId="18" xfId="0" applyFill="1" applyBorder="1" applyAlignment="1">
      <alignment/>
    </xf>
    <xf numFmtId="0" fontId="0" fillId="3" borderId="39" xfId="0" applyFill="1" applyBorder="1" applyAlignment="1">
      <alignment/>
    </xf>
    <xf numFmtId="0" fontId="1" fillId="0" borderId="43"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13" fillId="0" borderId="0" xfId="0" applyFont="1" applyAlignment="1">
      <alignment/>
    </xf>
    <xf numFmtId="0" fontId="0" fillId="0" borderId="26" xfId="0" applyBorder="1" applyAlignment="1">
      <alignment horizontal="lef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46" xfId="0" applyBorder="1" applyAlignment="1">
      <alignment horizontal="right" vertical="top" wrapText="1"/>
    </xf>
    <xf numFmtId="0" fontId="0" fillId="0" borderId="44" xfId="0" applyBorder="1" applyAlignment="1">
      <alignment horizontal="left" vertical="top" wrapText="1"/>
    </xf>
    <xf numFmtId="16" fontId="0" fillId="0" borderId="44" xfId="0" applyNumberFormat="1" applyBorder="1" applyAlignment="1">
      <alignment horizontal="left" vertical="top" wrapText="1"/>
    </xf>
    <xf numFmtId="0" fontId="0" fillId="0" borderId="45" xfId="0" applyBorder="1" applyAlignment="1">
      <alignment horizontal="left" vertical="top" wrapText="1"/>
    </xf>
    <xf numFmtId="3" fontId="0" fillId="0" borderId="44" xfId="0" applyNumberFormat="1" applyBorder="1" applyAlignment="1">
      <alignment horizontal="left" vertical="top" wrapText="1"/>
    </xf>
    <xf numFmtId="0" fontId="0" fillId="0" borderId="45" xfId="0" applyBorder="1" applyAlignment="1">
      <alignment horizontal="center" vertical="top"/>
    </xf>
    <xf numFmtId="0" fontId="0" fillId="0" borderId="0" xfId="0" applyAlignment="1">
      <alignment vertical="center"/>
    </xf>
    <xf numFmtId="0" fontId="0" fillId="0" borderId="0" xfId="0" applyAlignment="1">
      <alignment wrapText="1"/>
    </xf>
    <xf numFmtId="0" fontId="0" fillId="0" borderId="18" xfId="0" applyBorder="1" applyAlignment="1">
      <alignment/>
    </xf>
    <xf numFmtId="0" fontId="0" fillId="0" borderId="27" xfId="0" applyFont="1" applyBorder="1" applyAlignment="1">
      <alignment/>
    </xf>
    <xf numFmtId="0" fontId="0" fillId="0" borderId="39" xfId="0" applyBorder="1" applyAlignment="1">
      <alignment/>
    </xf>
    <xf numFmtId="0" fontId="0" fillId="0" borderId="40" xfId="0" applyBorder="1" applyAlignment="1">
      <alignment/>
    </xf>
    <xf numFmtId="0" fontId="0" fillId="0" borderId="0" xfId="0" applyFont="1" applyFill="1" applyBorder="1" applyAlignment="1" applyProtection="1">
      <alignment horizontal="left"/>
      <protection/>
    </xf>
    <xf numFmtId="0" fontId="0" fillId="0" borderId="0" xfId="0" applyFont="1" applyFill="1" applyAlignment="1" applyProtection="1">
      <alignment horizontal="left"/>
      <protection/>
    </xf>
    <xf numFmtId="0" fontId="0" fillId="0" borderId="41" xfId="0" applyBorder="1" applyAlignment="1">
      <alignment/>
    </xf>
    <xf numFmtId="0" fontId="0" fillId="0" borderId="42" xfId="0" applyBorder="1" applyAlignment="1">
      <alignment/>
    </xf>
    <xf numFmtId="0" fontId="0" fillId="8" borderId="0" xfId="0" applyFill="1" applyAlignment="1">
      <alignment/>
    </xf>
    <xf numFmtId="0" fontId="0" fillId="2" borderId="20" xfId="0"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0" fillId="0" borderId="0" xfId="0" applyAlignment="1">
      <alignment horizontal="center" wrapText="1"/>
    </xf>
    <xf numFmtId="20" fontId="0" fillId="0" borderId="0" xfId="0" applyNumberFormat="1" applyAlignment="1" quotePrefix="1">
      <alignment/>
    </xf>
    <xf numFmtId="20" fontId="0" fillId="0" borderId="0" xfId="0" applyNumberFormat="1" applyAlignment="1">
      <alignment/>
    </xf>
    <xf numFmtId="0" fontId="0" fillId="3" borderId="0" xfId="0" applyFill="1" applyAlignment="1" quotePrefix="1">
      <alignment horizontal="center"/>
    </xf>
    <xf numFmtId="14" fontId="0" fillId="0" borderId="0" xfId="0" applyNumberFormat="1" applyAlignment="1">
      <alignment/>
    </xf>
    <xf numFmtId="0" fontId="15" fillId="0" borderId="0" xfId="0" applyFont="1" applyAlignment="1">
      <alignment wrapText="1"/>
    </xf>
    <xf numFmtId="0" fontId="1" fillId="0" borderId="0" xfId="0" applyFont="1" applyAlignment="1">
      <alignment wrapText="1"/>
    </xf>
    <xf numFmtId="2" fontId="0" fillId="2" borderId="3" xfId="0" applyNumberFormat="1" applyFill="1" applyBorder="1" applyAlignment="1">
      <alignment horizontal="center"/>
    </xf>
    <xf numFmtId="2" fontId="0" fillId="2" borderId="9" xfId="0" applyNumberFormat="1" applyFill="1" applyBorder="1" applyAlignment="1">
      <alignment horizontal="center"/>
    </xf>
    <xf numFmtId="0" fontId="0" fillId="2" borderId="0" xfId="0" applyFill="1" applyAlignment="1">
      <alignment/>
    </xf>
    <xf numFmtId="0" fontId="1" fillId="2" borderId="0" xfId="0" applyFont="1" applyFill="1" applyAlignment="1">
      <alignment/>
    </xf>
    <xf numFmtId="0" fontId="0" fillId="2" borderId="43" xfId="0" applyFill="1" applyBorder="1" applyAlignment="1">
      <alignment horizontal="center"/>
    </xf>
    <xf numFmtId="0" fontId="0" fillId="2" borderId="44" xfId="0" applyFill="1" applyBorder="1" applyAlignment="1">
      <alignment horizontal="center"/>
    </xf>
    <xf numFmtId="0" fontId="0" fillId="2" borderId="45" xfId="0" applyFill="1" applyBorder="1" applyAlignment="1">
      <alignment horizontal="center"/>
    </xf>
    <xf numFmtId="0" fontId="0" fillId="2" borderId="46" xfId="0" applyFill="1" applyBorder="1" applyAlignment="1">
      <alignment wrapText="1"/>
    </xf>
    <xf numFmtId="0" fontId="0" fillId="2" borderId="44" xfId="0" applyFill="1" applyBorder="1" applyAlignment="1">
      <alignment horizontal="center" wrapText="1"/>
    </xf>
    <xf numFmtId="0" fontId="0" fillId="2" borderId="28" xfId="0" applyFill="1" applyBorder="1" applyAlignment="1">
      <alignment wrapText="1"/>
    </xf>
    <xf numFmtId="0" fontId="0" fillId="2" borderId="24" xfId="0" applyFill="1" applyBorder="1" applyAlignment="1">
      <alignment horizontal="center"/>
    </xf>
    <xf numFmtId="0" fontId="0" fillId="2" borderId="25" xfId="0" applyFill="1" applyBorder="1" applyAlignment="1">
      <alignment horizontal="center"/>
    </xf>
    <xf numFmtId="0" fontId="0" fillId="2" borderId="29" xfId="0" applyFill="1" applyBorder="1" applyAlignment="1">
      <alignment wrapText="1"/>
    </xf>
    <xf numFmtId="0" fontId="13" fillId="2" borderId="0" xfId="0" applyFont="1" applyFill="1" applyAlignment="1">
      <alignment/>
    </xf>
    <xf numFmtId="0" fontId="0" fillId="2" borderId="45" xfId="0" applyFill="1" applyBorder="1" applyAlignment="1">
      <alignment horizontal="center" wrapText="1"/>
    </xf>
    <xf numFmtId="0" fontId="0" fillId="2" borderId="43" xfId="0" applyFont="1" applyFill="1" applyBorder="1" applyAlignment="1">
      <alignment horizontal="center"/>
    </xf>
    <xf numFmtId="0" fontId="0" fillId="2" borderId="45" xfId="0" applyFont="1" applyFill="1" applyBorder="1" applyAlignment="1">
      <alignment horizontal="center"/>
    </xf>
    <xf numFmtId="0" fontId="13" fillId="2" borderId="24" xfId="0" applyFont="1" applyFill="1" applyBorder="1" applyAlignment="1">
      <alignment horizontal="center"/>
    </xf>
    <xf numFmtId="0" fontId="13" fillId="2" borderId="25" xfId="0" applyFont="1" applyFill="1" applyBorder="1" applyAlignment="1">
      <alignment horizontal="center"/>
    </xf>
    <xf numFmtId="0" fontId="13" fillId="2" borderId="0" xfId="0" applyFont="1" applyFill="1" applyAlignment="1">
      <alignment horizontal="left"/>
    </xf>
    <xf numFmtId="0" fontId="13" fillId="2" borderId="0" xfId="0" applyFont="1" applyFill="1" applyAlignment="1">
      <alignment horizontal="left" wrapText="1"/>
    </xf>
    <xf numFmtId="0" fontId="18" fillId="2" borderId="44" xfId="0" applyFont="1" applyFill="1" applyBorder="1" applyAlignment="1">
      <alignment horizontal="center"/>
    </xf>
    <xf numFmtId="0" fontId="18" fillId="2" borderId="45" xfId="0" applyFont="1" applyFill="1" applyBorder="1" applyAlignment="1">
      <alignment horizontal="center"/>
    </xf>
    <xf numFmtId="2" fontId="18" fillId="2" borderId="28" xfId="0" applyNumberFormat="1" applyFont="1" applyFill="1" applyBorder="1" applyAlignment="1">
      <alignment/>
    </xf>
    <xf numFmtId="2" fontId="18" fillId="2" borderId="29" xfId="0" applyNumberFormat="1" applyFont="1" applyFill="1" applyBorder="1" applyAlignment="1">
      <alignment/>
    </xf>
    <xf numFmtId="0" fontId="1" fillId="2" borderId="44" xfId="0" applyFont="1" applyFill="1" applyBorder="1" applyAlignment="1">
      <alignment horizontal="center"/>
    </xf>
    <xf numFmtId="0" fontId="1" fillId="2" borderId="45" xfId="0" applyFont="1" applyFill="1" applyBorder="1" applyAlignment="1">
      <alignment horizontal="center"/>
    </xf>
    <xf numFmtId="0" fontId="1" fillId="2" borderId="46" xfId="0" applyFont="1" applyFill="1" applyBorder="1" applyAlignment="1">
      <alignment horizontal="right"/>
    </xf>
    <xf numFmtId="0" fontId="0" fillId="2" borderId="26" xfId="0" applyFill="1" applyBorder="1" applyAlignment="1">
      <alignment horizontal="right" vertical="center" wrapText="1"/>
    </xf>
    <xf numFmtId="0" fontId="0" fillId="2" borderId="0" xfId="0" applyFill="1" applyBorder="1" applyAlignment="1">
      <alignment wrapText="1"/>
    </xf>
    <xf numFmtId="0" fontId="13" fillId="2" borderId="0" xfId="0" applyFont="1" applyFill="1" applyBorder="1" applyAlignment="1">
      <alignment horizontal="left" wrapText="1"/>
    </xf>
    <xf numFmtId="0" fontId="0" fillId="2" borderId="43" xfId="0" applyFill="1" applyBorder="1" applyAlignment="1">
      <alignment horizontal="center" wrapText="1"/>
    </xf>
    <xf numFmtId="0" fontId="0" fillId="2" borderId="20" xfId="0" applyFill="1" applyBorder="1" applyAlignment="1">
      <alignment horizontal="right"/>
    </xf>
    <xf numFmtId="0" fontId="0" fillId="2" borderId="24" xfId="0" applyFill="1" applyBorder="1" applyAlignment="1">
      <alignment horizontal="right"/>
    </xf>
    <xf numFmtId="0" fontId="0" fillId="2" borderId="30" xfId="0" applyFill="1" applyBorder="1" applyAlignment="1">
      <alignment horizontal="right"/>
    </xf>
    <xf numFmtId="2" fontId="0" fillId="2" borderId="2" xfId="0" applyNumberFormat="1" applyFill="1" applyBorder="1" applyAlignment="1">
      <alignment/>
    </xf>
    <xf numFmtId="164" fontId="0" fillId="2" borderId="17" xfId="0" applyNumberFormat="1" applyFill="1" applyBorder="1" applyAlignment="1" applyProtection="1">
      <alignment horizontal="center"/>
      <protection locked="0"/>
    </xf>
    <xf numFmtId="164" fontId="0" fillId="2" borderId="19" xfId="0" applyNumberFormat="1" applyFill="1" applyBorder="1" applyAlignment="1" applyProtection="1">
      <alignment horizontal="center"/>
      <protection locked="0"/>
    </xf>
    <xf numFmtId="0" fontId="0" fillId="2" borderId="5" xfId="0" applyFill="1" applyBorder="1" applyAlignment="1">
      <alignment horizontal="center"/>
    </xf>
    <xf numFmtId="0" fontId="0" fillId="2" borderId="10" xfId="0" applyFill="1" applyBorder="1" applyAlignment="1">
      <alignment horizontal="center"/>
    </xf>
    <xf numFmtId="0" fontId="0" fillId="2" borderId="1" xfId="0" applyFill="1" applyBorder="1" applyAlignment="1">
      <alignment horizontal="center"/>
    </xf>
    <xf numFmtId="0" fontId="0" fillId="2" borderId="13" xfId="0" applyFill="1" applyBorder="1" applyAlignment="1">
      <alignment horizontal="center"/>
    </xf>
    <xf numFmtId="0" fontId="0" fillId="2" borderId="6" xfId="0" applyFill="1" applyBorder="1" applyAlignment="1">
      <alignment horizontal="center"/>
    </xf>
    <xf numFmtId="0" fontId="0" fillId="2" borderId="15" xfId="0" applyFill="1" applyBorder="1" applyAlignment="1">
      <alignment horizontal="center"/>
    </xf>
    <xf numFmtId="164" fontId="0" fillId="2" borderId="4" xfId="0" applyNumberFormat="1" applyFont="1" applyFill="1" applyBorder="1" applyAlignment="1">
      <alignment horizontal="center"/>
    </xf>
    <xf numFmtId="164" fontId="0" fillId="2" borderId="8" xfId="0" applyNumberFormat="1" applyFont="1" applyFill="1" applyBorder="1" applyAlignment="1">
      <alignment horizont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7" xfId="0" applyFill="1" applyBorder="1" applyAlignment="1">
      <alignment wrapText="1"/>
    </xf>
    <xf numFmtId="0" fontId="0" fillId="2" borderId="19" xfId="0" applyFill="1" applyBorder="1" applyAlignment="1">
      <alignment/>
    </xf>
    <xf numFmtId="0" fontId="0" fillId="2" borderId="42"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0" xfId="0" applyFill="1" applyAlignment="1">
      <alignment/>
    </xf>
    <xf numFmtId="0" fontId="0" fillId="2" borderId="0" xfId="0" applyFill="1" applyBorder="1" applyAlignment="1">
      <alignment horizontal="center" wrapText="1"/>
    </xf>
    <xf numFmtId="0" fontId="0" fillId="2" borderId="0" xfId="0" applyFill="1" applyAlignment="1">
      <alignment wrapText="1"/>
    </xf>
    <xf numFmtId="0" fontId="0" fillId="2" borderId="0" xfId="0" applyFill="1" applyAlignment="1">
      <alignment vertical="center"/>
    </xf>
    <xf numFmtId="0" fontId="0" fillId="2" borderId="21" xfId="0" applyFill="1" applyBorder="1" applyAlignment="1">
      <alignment horizontal="center" vertical="center" wrapText="1"/>
    </xf>
    <xf numFmtId="0" fontId="0" fillId="2" borderId="2" xfId="0" applyFill="1" applyBorder="1" applyAlignment="1">
      <alignment horizontal="left" vertical="center" wrapText="1"/>
    </xf>
    <xf numFmtId="166" fontId="0" fillId="2" borderId="2" xfId="0" applyNumberFormat="1" applyFill="1" applyBorder="1" applyAlignment="1">
      <alignment horizontal="center" vertical="center" wrapText="1"/>
    </xf>
    <xf numFmtId="166" fontId="0" fillId="2" borderId="2" xfId="0" applyNumberFormat="1" applyFont="1" applyFill="1" applyBorder="1" applyAlignment="1">
      <alignment horizontal="center" vertical="center" wrapText="1"/>
    </xf>
    <xf numFmtId="166" fontId="0" fillId="2" borderId="2" xfId="0" applyNumberFormat="1" applyFont="1" applyFill="1" applyBorder="1" applyAlignment="1">
      <alignment horizontal="center" vertical="center"/>
    </xf>
    <xf numFmtId="0" fontId="1" fillId="0" borderId="46" xfId="0" applyFont="1" applyBorder="1" applyAlignment="1">
      <alignment horizontal="left" wrapText="1"/>
    </xf>
    <xf numFmtId="0" fontId="0" fillId="2" borderId="0" xfId="0" applyFill="1" applyBorder="1" applyAlignment="1">
      <alignment horizontal="center" vertical="center" wrapText="1"/>
    </xf>
    <xf numFmtId="0" fontId="13" fillId="2" borderId="0" xfId="0" applyFont="1" applyFill="1" applyBorder="1" applyAlignment="1">
      <alignment horizontal="left"/>
    </xf>
    <xf numFmtId="0" fontId="1" fillId="2" borderId="0" xfId="0" applyFont="1" applyFill="1" applyBorder="1" applyAlignment="1">
      <alignment horizontal="center" wrapText="1"/>
    </xf>
    <xf numFmtId="0" fontId="1" fillId="2" borderId="20" xfId="0" applyFont="1" applyFill="1" applyBorder="1" applyAlignment="1">
      <alignment horizontal="center"/>
    </xf>
    <xf numFmtId="0" fontId="1" fillId="2" borderId="21" xfId="0" applyFont="1" applyFill="1" applyBorder="1" applyAlignment="1">
      <alignment horizontal="center" wrapText="1"/>
    </xf>
    <xf numFmtId="0" fontId="0" fillId="2" borderId="2" xfId="0" applyFill="1" applyBorder="1" applyAlignment="1">
      <alignment vertical="top"/>
    </xf>
    <xf numFmtId="0" fontId="0" fillId="2" borderId="2" xfId="0" applyFill="1" applyBorder="1" applyAlignment="1">
      <alignment horizontal="center" vertical="top" wrapText="1"/>
    </xf>
    <xf numFmtId="0" fontId="0" fillId="2" borderId="2" xfId="0" applyFill="1" applyBorder="1" applyAlignment="1">
      <alignment horizontal="center" vertical="top"/>
    </xf>
    <xf numFmtId="0" fontId="0" fillId="2" borderId="2" xfId="0" applyFill="1" applyBorder="1" applyAlignment="1">
      <alignment vertical="top" wrapText="1"/>
    </xf>
    <xf numFmtId="0" fontId="0" fillId="2" borderId="2" xfId="0" applyFill="1" applyBorder="1" applyAlignment="1" quotePrefix="1">
      <alignment vertical="top"/>
    </xf>
    <xf numFmtId="0" fontId="1" fillId="2" borderId="22" xfId="0" applyFont="1" applyFill="1" applyBorder="1" applyAlignment="1">
      <alignment horizontal="center"/>
    </xf>
    <xf numFmtId="0" fontId="0" fillId="2" borderId="47" xfId="0" applyFill="1" applyBorder="1" applyAlignment="1">
      <alignment vertical="top"/>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0" xfId="0" applyFill="1" applyBorder="1" applyAlignment="1">
      <alignment horizontal="right" vertical="top" wrapText="1"/>
    </xf>
    <xf numFmtId="0" fontId="0" fillId="2" borderId="0" xfId="0" applyFill="1" applyBorder="1" applyAlignment="1">
      <alignment horizontal="left" vertical="top" wrapText="1"/>
    </xf>
    <xf numFmtId="16" fontId="0" fillId="2" borderId="0" xfId="0" applyNumberFormat="1" applyFill="1" applyBorder="1" applyAlignment="1">
      <alignment horizontal="left" vertical="top" wrapText="1"/>
    </xf>
    <xf numFmtId="3" fontId="0" fillId="2" borderId="0" xfId="0" applyNumberFormat="1" applyFill="1" applyBorder="1" applyAlignment="1">
      <alignment horizontal="left" vertical="top" wrapText="1"/>
    </xf>
    <xf numFmtId="0" fontId="0" fillId="2" borderId="0" xfId="0" applyFill="1" applyBorder="1" applyAlignment="1">
      <alignment horizontal="center" vertical="top"/>
    </xf>
    <xf numFmtId="0" fontId="0" fillId="2" borderId="0" xfId="0" applyFill="1" applyBorder="1" applyAlignment="1">
      <alignment horizontal="left" vertical="center" wrapText="1"/>
    </xf>
    <xf numFmtId="0" fontId="0" fillId="2" borderId="0" xfId="0" applyFill="1" applyAlignment="1">
      <alignment horizontal="left" vertical="center" wrapText="1"/>
    </xf>
    <xf numFmtId="0" fontId="1" fillId="2" borderId="0" xfId="0" applyFont="1" applyFill="1" applyAlignment="1">
      <alignment horizontal="left"/>
    </xf>
    <xf numFmtId="0" fontId="0" fillId="2" borderId="21" xfId="0" applyFill="1" applyBorder="1" applyAlignment="1">
      <alignment vertical="center" wrapText="1"/>
    </xf>
    <xf numFmtId="0" fontId="0" fillId="2" borderId="22" xfId="0" applyFill="1" applyBorder="1" applyAlignment="1">
      <alignment vertical="center" wrapText="1"/>
    </xf>
    <xf numFmtId="0" fontId="0" fillId="2" borderId="46" xfId="0" applyFill="1" applyBorder="1" applyAlignment="1">
      <alignment horizontal="right" vertical="center" wrapText="1"/>
    </xf>
    <xf numFmtId="0" fontId="0" fillId="2" borderId="44" xfId="0" applyFill="1" applyBorder="1" applyAlignment="1">
      <alignment horizontal="center" vertical="center"/>
    </xf>
    <xf numFmtId="16" fontId="0" fillId="2" borderId="44" xfId="0" applyNumberFormat="1" applyFill="1" applyBorder="1" applyAlignment="1">
      <alignment horizontal="center" vertical="center"/>
    </xf>
    <xf numFmtId="0" fontId="0" fillId="2" borderId="45" xfId="0" applyFill="1" applyBorder="1" applyAlignment="1">
      <alignment horizontal="center" vertical="center"/>
    </xf>
    <xf numFmtId="3" fontId="0" fillId="2" borderId="44" xfId="0" applyNumberFormat="1" applyFill="1" applyBorder="1" applyAlignment="1">
      <alignment horizontal="center" vertical="center"/>
    </xf>
    <xf numFmtId="0" fontId="0" fillId="2" borderId="43" xfId="0" applyFill="1" applyBorder="1" applyAlignment="1">
      <alignment horizontal="right" wrapText="1"/>
    </xf>
    <xf numFmtId="0" fontId="1" fillId="2" borderId="21" xfId="0" applyFont="1" applyFill="1" applyBorder="1" applyAlignment="1">
      <alignment horizontal="center"/>
    </xf>
    <xf numFmtId="0" fontId="0" fillId="2" borderId="2" xfId="0" applyFill="1" applyBorder="1" applyAlignment="1">
      <alignment wrapText="1"/>
    </xf>
    <xf numFmtId="0" fontId="0" fillId="2" borderId="2" xfId="0" applyFill="1" applyBorder="1" applyAlignment="1">
      <alignment/>
    </xf>
    <xf numFmtId="0" fontId="0" fillId="2" borderId="37" xfId="0" applyFill="1" applyBorder="1" applyAlignment="1">
      <alignment wrapText="1"/>
    </xf>
    <xf numFmtId="0" fontId="0" fillId="2" borderId="38" xfId="0" applyFill="1" applyBorder="1" applyAlignment="1">
      <alignment wrapText="1"/>
    </xf>
    <xf numFmtId="0" fontId="0" fillId="2" borderId="50" xfId="0" applyFill="1" applyBorder="1" applyAlignment="1">
      <alignment wrapText="1"/>
    </xf>
    <xf numFmtId="0" fontId="0" fillId="2" borderId="1" xfId="0" applyFill="1" applyBorder="1" applyAlignment="1">
      <alignment wrapText="1"/>
    </xf>
    <xf numFmtId="0" fontId="0" fillId="2" borderId="11" xfId="0" applyFill="1" applyBorder="1" applyAlignment="1">
      <alignment wrapText="1"/>
    </xf>
    <xf numFmtId="0" fontId="0" fillId="2" borderId="51" xfId="0" applyFill="1" applyBorder="1" applyAlignment="1">
      <alignment/>
    </xf>
    <xf numFmtId="0" fontId="0" fillId="2" borderId="52" xfId="0" applyFill="1" applyBorder="1" applyAlignment="1">
      <alignment wrapText="1"/>
    </xf>
    <xf numFmtId="0" fontId="0" fillId="2" borderId="53" xfId="0" applyFill="1" applyBorder="1" applyAlignment="1">
      <alignment wrapText="1"/>
    </xf>
    <xf numFmtId="0" fontId="0" fillId="2" borderId="30" xfId="0" applyFill="1" applyBorder="1" applyAlignment="1">
      <alignment horizontal="right" wrapText="1"/>
    </xf>
    <xf numFmtId="0" fontId="0" fillId="2" borderId="48" xfId="0" applyFill="1" applyBorder="1" applyAlignment="1">
      <alignment horizontal="center"/>
    </xf>
    <xf numFmtId="16" fontId="0" fillId="2" borderId="54" xfId="0" applyNumberFormat="1" applyFill="1" applyBorder="1" applyAlignment="1" quotePrefix="1">
      <alignment horizontal="center"/>
    </xf>
    <xf numFmtId="0" fontId="0" fillId="2" borderId="49" xfId="0" applyFill="1" applyBorder="1" applyAlignment="1">
      <alignment horizontal="center"/>
    </xf>
    <xf numFmtId="0" fontId="0" fillId="2" borderId="55" xfId="0" applyFill="1" applyBorder="1" applyAlignment="1">
      <alignment horizontal="center"/>
    </xf>
    <xf numFmtId="0" fontId="0" fillId="2" borderId="56" xfId="0" applyFill="1" applyBorder="1" applyAlignment="1">
      <alignment horizontal="center"/>
    </xf>
    <xf numFmtId="0" fontId="0" fillId="2" borderId="57" xfId="0" applyFill="1" applyBorder="1" applyAlignment="1">
      <alignment horizontal="center"/>
    </xf>
    <xf numFmtId="3" fontId="0" fillId="2" borderId="54" xfId="0" applyNumberFormat="1" applyFill="1" applyBorder="1" applyAlignment="1">
      <alignment horizontal="center"/>
    </xf>
    <xf numFmtId="0" fontId="1" fillId="2" borderId="20" xfId="0" applyFont="1" applyFill="1" applyBorder="1" applyAlignment="1">
      <alignment horizontal="center" wrapText="1"/>
    </xf>
    <xf numFmtId="0" fontId="1" fillId="2" borderId="21" xfId="0" applyFont="1" applyFill="1" applyBorder="1" applyAlignment="1">
      <alignment wrapText="1"/>
    </xf>
    <xf numFmtId="0" fontId="1" fillId="2" borderId="22" xfId="0" applyFont="1" applyFill="1" applyBorder="1" applyAlignment="1">
      <alignment wrapText="1"/>
    </xf>
    <xf numFmtId="0" fontId="0" fillId="2" borderId="2" xfId="0" applyFill="1" applyBorder="1" applyAlignment="1">
      <alignment vertical="center" wrapText="1"/>
    </xf>
    <xf numFmtId="0" fontId="0" fillId="2" borderId="2" xfId="0" applyFill="1" applyBorder="1" applyAlignment="1" quotePrefix="1">
      <alignment vertical="center" wrapText="1"/>
    </xf>
    <xf numFmtId="0" fontId="2" fillId="0" borderId="4" xfId="0" applyFont="1" applyFill="1" applyBorder="1" applyAlignment="1">
      <alignment horizontal="center"/>
    </xf>
    <xf numFmtId="1" fontId="0" fillId="0" borderId="1" xfId="0" applyNumberFormat="1" applyFont="1" applyFill="1" applyBorder="1" applyAlignment="1">
      <alignment horizontal="center"/>
    </xf>
    <xf numFmtId="1" fontId="0" fillId="0" borderId="2" xfId="0" applyNumberFormat="1" applyFont="1" applyFill="1" applyBorder="1" applyAlignment="1">
      <alignment horizontal="center"/>
    </xf>
    <xf numFmtId="1" fontId="0" fillId="0" borderId="6" xfId="0" applyNumberFormat="1" applyFont="1" applyFill="1" applyBorder="1" applyAlignment="1">
      <alignment horizontal="center"/>
    </xf>
    <xf numFmtId="1" fontId="0" fillId="0" borderId="7" xfId="0" applyNumberFormat="1" applyFont="1" applyFill="1" applyBorder="1" applyAlignment="1">
      <alignment horizontal="center"/>
    </xf>
    <xf numFmtId="0" fontId="0" fillId="2" borderId="1" xfId="0" applyNumberFormat="1" applyFont="1" applyFill="1" applyBorder="1" applyAlignment="1">
      <alignment horizontal="center"/>
    </xf>
    <xf numFmtId="0" fontId="0" fillId="2" borderId="2" xfId="0" applyNumberFormat="1" applyFont="1" applyFill="1" applyBorder="1" applyAlignment="1">
      <alignment horizontal="center"/>
    </xf>
    <xf numFmtId="0" fontId="0" fillId="2" borderId="11" xfId="0" applyNumberFormat="1" applyFont="1" applyFill="1" applyBorder="1" applyAlignment="1">
      <alignment horizontal="center"/>
    </xf>
    <xf numFmtId="0" fontId="0" fillId="2" borderId="6" xfId="0" applyNumberFormat="1" applyFont="1" applyFill="1" applyBorder="1" applyAlignment="1">
      <alignment horizontal="center"/>
    </xf>
    <xf numFmtId="0" fontId="0" fillId="2" borderId="7" xfId="0" applyNumberFormat="1" applyFont="1" applyFill="1" applyBorder="1" applyAlignment="1">
      <alignment horizontal="center"/>
    </xf>
    <xf numFmtId="0" fontId="0" fillId="2" borderId="14" xfId="0" applyNumberFormat="1" applyFont="1" applyFill="1" applyBorder="1" applyAlignment="1">
      <alignment horizontal="center"/>
    </xf>
    <xf numFmtId="0" fontId="0" fillId="0" borderId="20" xfId="0" applyBorder="1" applyAlignment="1">
      <alignment/>
    </xf>
    <xf numFmtId="0" fontId="0" fillId="0" borderId="21" xfId="0" applyBorder="1" applyAlignment="1">
      <alignment/>
    </xf>
    <xf numFmtId="0" fontId="0" fillId="0" borderId="24" xfId="0" applyBorder="1" applyAlignment="1">
      <alignment/>
    </xf>
    <xf numFmtId="0" fontId="0" fillId="0" borderId="30" xfId="0" applyBorder="1" applyAlignment="1">
      <alignment/>
    </xf>
    <xf numFmtId="0" fontId="0" fillId="0" borderId="31" xfId="0" applyBorder="1" applyAlignment="1">
      <alignment/>
    </xf>
    <xf numFmtId="0" fontId="0" fillId="0" borderId="0" xfId="0" applyBorder="1" applyAlignment="1">
      <alignment horizontal="center" wrapText="1"/>
    </xf>
    <xf numFmtId="0" fontId="0" fillId="0" borderId="0" xfId="0" applyBorder="1" applyAlignment="1" quotePrefix="1">
      <alignment horizontal="center"/>
    </xf>
    <xf numFmtId="2" fontId="0" fillId="2" borderId="4" xfId="0" applyNumberFormat="1" applyFont="1" applyFill="1" applyBorder="1" applyAlignment="1">
      <alignment horizontal="center"/>
    </xf>
    <xf numFmtId="2" fontId="0" fillId="2" borderId="8" xfId="0" applyNumberFormat="1" applyFont="1" applyFill="1" applyBorder="1" applyAlignment="1">
      <alignment horizontal="center"/>
    </xf>
    <xf numFmtId="0" fontId="0" fillId="0" borderId="2" xfId="0" applyBorder="1" applyAlignment="1">
      <alignment/>
    </xf>
    <xf numFmtId="0" fontId="0" fillId="2" borderId="20" xfId="0" applyFill="1" applyBorder="1" applyAlignment="1">
      <alignment/>
    </xf>
    <xf numFmtId="0" fontId="0" fillId="0" borderId="26"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1" fontId="0" fillId="0" borderId="11" xfId="0" applyNumberFormat="1" applyFont="1" applyFill="1" applyBorder="1" applyAlignment="1">
      <alignment horizontal="center"/>
    </xf>
    <xf numFmtId="1" fontId="0" fillId="0" borderId="14" xfId="0" applyNumberFormat="1" applyFont="1" applyFill="1" applyBorder="1" applyAlignment="1">
      <alignment horizontal="center"/>
    </xf>
    <xf numFmtId="0" fontId="23" fillId="2" borderId="0" xfId="0" applyFont="1" applyFill="1" applyAlignment="1">
      <alignment horizontal="center" vertical="center"/>
    </xf>
    <xf numFmtId="2" fontId="19" fillId="2" borderId="0" xfId="0" applyNumberFormat="1" applyFont="1" applyFill="1" applyAlignment="1">
      <alignment/>
    </xf>
    <xf numFmtId="0" fontId="0" fillId="0" borderId="0" xfId="0" applyFill="1" applyAlignment="1">
      <alignment horizontal="center"/>
    </xf>
    <xf numFmtId="164" fontId="0" fillId="2" borderId="3" xfId="0" applyNumberFormat="1" applyFill="1" applyBorder="1" applyAlignment="1">
      <alignment horizontal="center"/>
    </xf>
    <xf numFmtId="164" fontId="0" fillId="2" borderId="2" xfId="0" applyNumberFormat="1" applyFill="1" applyBorder="1" applyAlignment="1">
      <alignment horizontal="center"/>
    </xf>
    <xf numFmtId="164" fontId="0" fillId="2" borderId="11" xfId="0" applyNumberFormat="1" applyFill="1" applyBorder="1" applyAlignment="1">
      <alignment horizontal="center"/>
    </xf>
    <xf numFmtId="164" fontId="0" fillId="2" borderId="9" xfId="0" applyNumberFormat="1" applyFill="1" applyBorder="1" applyAlignment="1">
      <alignment horizontal="center"/>
    </xf>
    <xf numFmtId="164" fontId="0" fillId="2" borderId="7" xfId="0" applyNumberFormat="1" applyFill="1" applyBorder="1" applyAlignment="1">
      <alignment horizontal="center"/>
    </xf>
    <xf numFmtId="164" fontId="0" fillId="2" borderId="14" xfId="0" applyNumberFormat="1" applyFill="1" applyBorder="1" applyAlignment="1">
      <alignment horizontal="center"/>
    </xf>
    <xf numFmtId="0" fontId="2" fillId="0" borderId="3" xfId="0" applyFont="1" applyFill="1" applyBorder="1" applyAlignment="1">
      <alignment horizontal="center"/>
    </xf>
    <xf numFmtId="0" fontId="8" fillId="2" borderId="16" xfId="0" applyFont="1" applyFill="1" applyBorder="1" applyAlignment="1">
      <alignment horizontal="center"/>
    </xf>
    <xf numFmtId="0" fontId="0" fillId="0" borderId="47" xfId="0" applyBorder="1" applyAlignment="1" applyProtection="1">
      <alignment horizontal="center"/>
      <protection locked="0"/>
    </xf>
    <xf numFmtId="0" fontId="0" fillId="0" borderId="2" xfId="0" applyBorder="1" applyAlignment="1" applyProtection="1">
      <alignment/>
      <protection locked="0"/>
    </xf>
    <xf numFmtId="0" fontId="0" fillId="0" borderId="2" xfId="0" applyBorder="1" applyAlignment="1" applyProtection="1">
      <alignment horizontal="center"/>
      <protection locked="0"/>
    </xf>
    <xf numFmtId="2" fontId="0" fillId="9" borderId="47" xfId="0" applyNumberFormat="1" applyFill="1" applyBorder="1" applyAlignment="1">
      <alignment horizontal="center"/>
    </xf>
    <xf numFmtId="0" fontId="0" fillId="8" borderId="47" xfId="0" applyFill="1" applyBorder="1" applyAlignment="1" applyProtection="1">
      <alignment/>
      <protection locked="0"/>
    </xf>
    <xf numFmtId="0" fontId="0" fillId="8" borderId="47" xfId="0" applyFill="1" applyBorder="1" applyAlignment="1" applyProtection="1">
      <alignment horizontal="center"/>
      <protection locked="0"/>
    </xf>
    <xf numFmtId="0" fontId="0" fillId="6" borderId="47" xfId="0" applyFill="1" applyBorder="1" applyAlignment="1" applyProtection="1">
      <alignment horizontal="center"/>
      <protection locked="0"/>
    </xf>
    <xf numFmtId="2" fontId="0" fillId="6" borderId="47" xfId="0" applyNumberFormat="1" applyFill="1" applyBorder="1" applyAlignment="1">
      <alignment horizontal="center"/>
    </xf>
    <xf numFmtId="0" fontId="0" fillId="2" borderId="31" xfId="0" applyFont="1" applyFill="1" applyBorder="1" applyAlignment="1">
      <alignment horizontal="center"/>
    </xf>
    <xf numFmtId="0" fontId="1" fillId="2" borderId="26" xfId="0" applyFont="1" applyFill="1" applyBorder="1" applyAlignment="1">
      <alignment horizontal="center"/>
    </xf>
    <xf numFmtId="0" fontId="0" fillId="2" borderId="58" xfId="0" applyFont="1" applyFill="1" applyBorder="1" applyAlignment="1">
      <alignment horizontal="center"/>
    </xf>
    <xf numFmtId="0" fontId="0" fillId="2" borderId="19" xfId="0" applyFont="1" applyFill="1" applyBorder="1" applyAlignment="1">
      <alignment horizontal="center"/>
    </xf>
    <xf numFmtId="0" fontId="0" fillId="2" borderId="42" xfId="0" applyFont="1" applyFill="1" applyBorder="1" applyAlignment="1">
      <alignment horizontal="center"/>
    </xf>
    <xf numFmtId="0" fontId="0" fillId="2" borderId="47" xfId="0" applyFont="1" applyFill="1" applyBorder="1" applyAlignment="1">
      <alignment horizontal="center"/>
    </xf>
    <xf numFmtId="0" fontId="0" fillId="2" borderId="59" xfId="0" applyFont="1" applyFill="1" applyBorder="1" applyAlignment="1">
      <alignment horizontal="center"/>
    </xf>
    <xf numFmtId="0" fontId="0" fillId="2" borderId="60" xfId="0" applyFont="1" applyFill="1" applyBorder="1" applyAlignment="1">
      <alignment horizontal="center"/>
    </xf>
    <xf numFmtId="0" fontId="2" fillId="2" borderId="0" xfId="0" applyFont="1" applyFill="1" applyBorder="1" applyAlignment="1" applyProtection="1">
      <alignment horizontal="center"/>
      <protection/>
    </xf>
    <xf numFmtId="0" fontId="0" fillId="2" borderId="28" xfId="0" applyFont="1" applyFill="1" applyBorder="1" applyAlignment="1">
      <alignment horizontal="center"/>
    </xf>
    <xf numFmtId="0" fontId="1" fillId="2" borderId="28"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14" xfId="0" applyFont="1" applyFill="1" applyBorder="1" applyAlignment="1">
      <alignment horizontal="center"/>
    </xf>
    <xf numFmtId="44" fontId="0" fillId="0" borderId="0" xfId="17" applyAlignment="1">
      <alignment horizontal="center"/>
    </xf>
    <xf numFmtId="0" fontId="1" fillId="2" borderId="0" xfId="0" applyFont="1" applyFill="1" applyBorder="1" applyAlignment="1" applyProtection="1">
      <alignment horizontal="center"/>
      <protection/>
    </xf>
    <xf numFmtId="0" fontId="0" fillId="2" borderId="0" xfId="0" applyFill="1" applyAlignment="1">
      <alignment horizontal="left" wrapText="1"/>
    </xf>
    <xf numFmtId="0" fontId="0" fillId="2" borderId="0" xfId="0"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1" fillId="2" borderId="0" xfId="0" applyFont="1" applyFill="1" applyBorder="1" applyAlignment="1" applyProtection="1">
      <alignment horizontal="right"/>
      <protection/>
    </xf>
    <xf numFmtId="0" fontId="1" fillId="2" borderId="0" xfId="0" applyFont="1" applyFill="1" applyBorder="1" applyAlignment="1" applyProtection="1">
      <alignment horizontal="center"/>
      <protection locked="0"/>
    </xf>
    <xf numFmtId="0" fontId="0" fillId="2" borderId="0" xfId="0" applyFont="1" applyFill="1" applyBorder="1" applyAlignment="1" applyProtection="1">
      <alignment horizontal="center"/>
      <protection/>
    </xf>
    <xf numFmtId="0" fontId="0" fillId="2" borderId="0" xfId="0" applyFont="1" applyFill="1" applyBorder="1" applyAlignment="1" applyProtection="1">
      <alignment horizontal="left"/>
      <protection/>
    </xf>
    <xf numFmtId="0" fontId="0" fillId="2" borderId="0" xfId="0" applyFont="1" applyFill="1" applyBorder="1" applyAlignment="1" applyProtection="1">
      <alignment/>
      <protection/>
    </xf>
    <xf numFmtId="0" fontId="1" fillId="2" borderId="0" xfId="0" applyFont="1" applyFill="1" applyBorder="1" applyAlignment="1" applyProtection="1">
      <alignment horizontal="left"/>
      <protection locked="0"/>
    </xf>
    <xf numFmtId="0" fontId="0" fillId="2" borderId="0" xfId="0" applyFont="1" applyFill="1" applyBorder="1" applyAlignment="1" applyProtection="1">
      <alignment horizontal="left"/>
      <protection locked="0"/>
    </xf>
    <xf numFmtId="0" fontId="0" fillId="2" borderId="0" xfId="0" applyFont="1" applyFill="1" applyAlignment="1" applyProtection="1">
      <alignment horizontal="left"/>
      <protection/>
    </xf>
    <xf numFmtId="0" fontId="1" fillId="2" borderId="0" xfId="0" applyFont="1" applyFill="1" applyBorder="1" applyAlignment="1" applyProtection="1">
      <alignment horizontal="right"/>
      <protection locked="0"/>
    </xf>
    <xf numFmtId="0" fontId="0" fillId="2" borderId="0" xfId="0" applyFont="1" applyFill="1" applyAlignment="1" applyProtection="1">
      <alignment/>
      <protection/>
    </xf>
    <xf numFmtId="0" fontId="1" fillId="2" borderId="0" xfId="0" applyFont="1" applyFill="1" applyBorder="1" applyAlignment="1" applyProtection="1">
      <alignment horizontal="center" wrapText="1"/>
      <protection locked="0"/>
    </xf>
    <xf numFmtId="0" fontId="0" fillId="2" borderId="0" xfId="0" applyFill="1" applyBorder="1" applyAlignment="1" applyProtection="1">
      <alignment/>
      <protection/>
    </xf>
    <xf numFmtId="0" fontId="2" fillId="2" borderId="1" xfId="0" applyFont="1" applyFill="1" applyBorder="1" applyAlignment="1" applyProtection="1">
      <alignment horizontal="center"/>
      <protection/>
    </xf>
    <xf numFmtId="0" fontId="2" fillId="2" borderId="11" xfId="0" applyFont="1" applyFill="1" applyBorder="1" applyAlignment="1" applyProtection="1">
      <alignment horizontal="center"/>
      <protection/>
    </xf>
    <xf numFmtId="0" fontId="2" fillId="2" borderId="2" xfId="0" applyFont="1" applyFill="1" applyBorder="1" applyAlignment="1" applyProtection="1">
      <alignment horizontal="center"/>
      <protection/>
    </xf>
    <xf numFmtId="0" fontId="2" fillId="2" borderId="3" xfId="0" applyFont="1" applyFill="1" applyBorder="1" applyAlignment="1" applyProtection="1">
      <alignment horizontal="center"/>
      <protection/>
    </xf>
    <xf numFmtId="0" fontId="2" fillId="2" borderId="4" xfId="0" applyFont="1" applyFill="1" applyBorder="1" applyAlignment="1" applyProtection="1">
      <alignment horizontal="center"/>
      <protection/>
    </xf>
    <xf numFmtId="0" fontId="2" fillId="2" borderId="0" xfId="0" applyFont="1" applyFill="1" applyBorder="1" applyAlignment="1">
      <alignment horizontal="center"/>
    </xf>
    <xf numFmtId="1" fontId="0" fillId="2" borderId="0" xfId="0" applyNumberFormat="1" applyFont="1" applyFill="1" applyBorder="1" applyAlignment="1" applyProtection="1">
      <alignment horizontal="center"/>
      <protection locked="0"/>
    </xf>
    <xf numFmtId="1" fontId="0" fillId="2" borderId="0" xfId="0" applyNumberFormat="1" applyFont="1" applyFill="1" applyBorder="1" applyAlignment="1" applyProtection="1">
      <alignment horizontal="center"/>
      <protection/>
    </xf>
    <xf numFmtId="1" fontId="1" fillId="2" borderId="0" xfId="0" applyNumberFormat="1" applyFont="1" applyFill="1" applyBorder="1" applyAlignment="1" applyProtection="1">
      <alignment horizontal="center" wrapText="1"/>
      <protection locked="0"/>
    </xf>
    <xf numFmtId="1" fontId="1" fillId="2" borderId="0" xfId="0" applyNumberFormat="1" applyFont="1" applyFill="1" applyBorder="1" applyAlignment="1" applyProtection="1">
      <alignment horizontal="center"/>
      <protection/>
    </xf>
    <xf numFmtId="1" fontId="0" fillId="2" borderId="0" xfId="0" applyNumberFormat="1" applyFont="1" applyFill="1" applyBorder="1" applyAlignment="1" applyProtection="1">
      <alignment horizontal="left"/>
      <protection locked="0"/>
    </xf>
    <xf numFmtId="0" fontId="0" fillId="2" borderId="0" xfId="0" applyFill="1" applyBorder="1" applyAlignment="1" applyProtection="1">
      <alignment/>
      <protection locked="0"/>
    </xf>
    <xf numFmtId="0" fontId="1" fillId="2" borderId="0" xfId="0" applyFont="1" applyFill="1" applyBorder="1" applyAlignment="1" applyProtection="1">
      <alignment/>
      <protection locked="0"/>
    </xf>
    <xf numFmtId="0" fontId="0" fillId="2" borderId="0" xfId="0" applyFont="1" applyFill="1" applyBorder="1" applyAlignment="1" applyProtection="1">
      <alignment/>
      <protection locked="0"/>
    </xf>
    <xf numFmtId="0" fontId="1" fillId="2" borderId="0" xfId="0" applyFont="1" applyFill="1" applyBorder="1" applyAlignment="1" applyProtection="1">
      <alignment/>
      <protection/>
    </xf>
    <xf numFmtId="164" fontId="0" fillId="2" borderId="0" xfId="0" applyNumberFormat="1" applyFont="1" applyFill="1" applyBorder="1" applyAlignment="1" applyProtection="1">
      <alignment horizontal="center"/>
      <protection locked="0"/>
    </xf>
    <xf numFmtId="0" fontId="0" fillId="2" borderId="0" xfId="0" applyFill="1" applyBorder="1" applyAlignment="1" applyProtection="1">
      <alignment horizontal="center"/>
      <protection/>
    </xf>
    <xf numFmtId="0" fontId="0" fillId="2" borderId="0" xfId="0" applyFill="1" applyBorder="1" applyAlignment="1" applyProtection="1">
      <alignment/>
      <protection locked="0"/>
    </xf>
    <xf numFmtId="2" fontId="0" fillId="2" borderId="0" xfId="0" applyNumberFormat="1" applyFont="1" applyFill="1" applyBorder="1" applyAlignment="1" applyProtection="1">
      <alignment horizontal="center"/>
      <protection locked="0"/>
    </xf>
    <xf numFmtId="0" fontId="0" fillId="2" borderId="0" xfId="0" applyNumberFormat="1"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8" fillId="2" borderId="0" xfId="0" applyFont="1" applyFill="1" applyBorder="1" applyAlignment="1" applyProtection="1">
      <alignment horizontal="center"/>
      <protection locked="0"/>
    </xf>
    <xf numFmtId="2" fontId="1" fillId="2" borderId="0" xfId="0" applyNumberFormat="1" applyFont="1" applyFill="1" applyBorder="1" applyAlignment="1" applyProtection="1">
      <alignment horizontal="center"/>
      <protection locked="0"/>
    </xf>
    <xf numFmtId="0" fontId="0" fillId="3" borderId="1" xfId="0" applyFont="1" applyFill="1" applyBorder="1" applyAlignment="1" applyProtection="1">
      <alignment horizontal="center"/>
      <protection/>
    </xf>
    <xf numFmtId="0" fontId="0" fillId="3" borderId="6" xfId="0" applyFont="1" applyFill="1" applyBorder="1" applyAlignment="1" applyProtection="1">
      <alignment horizontal="center"/>
      <protection/>
    </xf>
    <xf numFmtId="0" fontId="2" fillId="6" borderId="17" xfId="0" applyFont="1" applyFill="1" applyBorder="1" applyAlignment="1" applyProtection="1">
      <alignment horizontal="center"/>
      <protection locked="0"/>
    </xf>
    <xf numFmtId="0" fontId="1" fillId="5" borderId="16" xfId="0" applyFont="1" applyFill="1" applyBorder="1" applyAlignment="1" applyProtection="1">
      <alignment horizontal="center"/>
      <protection locked="0"/>
    </xf>
    <xf numFmtId="0" fontId="2" fillId="6" borderId="1" xfId="0" applyFont="1" applyFill="1" applyBorder="1" applyAlignment="1" applyProtection="1">
      <alignment horizontal="center"/>
      <protection/>
    </xf>
    <xf numFmtId="0" fontId="2" fillId="6" borderId="2" xfId="0" applyFont="1" applyFill="1" applyBorder="1" applyAlignment="1" applyProtection="1">
      <alignment horizontal="center"/>
      <protection/>
    </xf>
    <xf numFmtId="0" fontId="2" fillId="6" borderId="11" xfId="0" applyFont="1" applyFill="1" applyBorder="1" applyAlignment="1" applyProtection="1">
      <alignment horizontal="center"/>
      <protection/>
    </xf>
    <xf numFmtId="0" fontId="2" fillId="6" borderId="4" xfId="0" applyFont="1" applyFill="1" applyBorder="1" applyAlignment="1" applyProtection="1">
      <alignment horizontal="center"/>
      <protection/>
    </xf>
    <xf numFmtId="0" fontId="1" fillId="6" borderId="1" xfId="0" applyFont="1" applyFill="1" applyBorder="1" applyAlignment="1" applyProtection="1">
      <alignment horizontal="center"/>
      <protection/>
    </xf>
    <xf numFmtId="0" fontId="1" fillId="6" borderId="11" xfId="0" applyFont="1" applyFill="1" applyBorder="1" applyAlignment="1" applyProtection="1">
      <alignment horizontal="center"/>
      <protection/>
    </xf>
    <xf numFmtId="1" fontId="0" fillId="6" borderId="1" xfId="0" applyNumberFormat="1" applyFont="1" applyFill="1" applyBorder="1" applyAlignment="1" applyProtection="1">
      <alignment horizontal="center"/>
      <protection/>
    </xf>
    <xf numFmtId="1" fontId="0" fillId="6" borderId="11" xfId="0" applyNumberFormat="1" applyFont="1" applyFill="1" applyBorder="1" applyAlignment="1" applyProtection="1">
      <alignment horizontal="center"/>
      <protection/>
    </xf>
    <xf numFmtId="0" fontId="0" fillId="6" borderId="1" xfId="0" applyFill="1" applyBorder="1" applyAlignment="1" applyProtection="1">
      <alignment horizontal="center"/>
      <protection/>
    </xf>
    <xf numFmtId="0" fontId="0" fillId="6" borderId="2" xfId="0" applyFill="1" applyBorder="1" applyAlignment="1" applyProtection="1">
      <alignment horizontal="center"/>
      <protection/>
    </xf>
    <xf numFmtId="0" fontId="0" fillId="6" borderId="4" xfId="0" applyFill="1" applyBorder="1" applyAlignment="1" applyProtection="1">
      <alignment horizontal="center"/>
      <protection/>
    </xf>
    <xf numFmtId="0" fontId="0" fillId="6" borderId="6" xfId="0" applyFill="1" applyBorder="1" applyAlignment="1" applyProtection="1">
      <alignment horizontal="center"/>
      <protection/>
    </xf>
    <xf numFmtId="0" fontId="0" fillId="6" borderId="7" xfId="0" applyFill="1" applyBorder="1" applyAlignment="1" applyProtection="1">
      <alignment horizontal="center"/>
      <protection/>
    </xf>
    <xf numFmtId="0" fontId="0" fillId="6" borderId="8" xfId="0" applyFill="1" applyBorder="1" applyAlignment="1" applyProtection="1">
      <alignment horizontal="center"/>
      <protection/>
    </xf>
    <xf numFmtId="0" fontId="0" fillId="3" borderId="2" xfId="0" applyFont="1" applyFill="1" applyBorder="1" applyAlignment="1" applyProtection="1">
      <alignment horizontal="center"/>
      <protection/>
    </xf>
    <xf numFmtId="0" fontId="0" fillId="3" borderId="7" xfId="0" applyFont="1" applyFill="1" applyBorder="1" applyAlignment="1" applyProtection="1">
      <alignment horizontal="center"/>
      <protection/>
    </xf>
    <xf numFmtId="0" fontId="1" fillId="6" borderId="2" xfId="0" applyFont="1" applyFill="1" applyBorder="1" applyAlignment="1" applyProtection="1">
      <alignment horizontal="center"/>
      <protection/>
    </xf>
    <xf numFmtId="1" fontId="0" fillId="10" borderId="2" xfId="0" applyNumberFormat="1" applyFont="1" applyFill="1" applyBorder="1" applyAlignment="1" applyProtection="1">
      <alignment horizontal="center"/>
      <protection/>
    </xf>
    <xf numFmtId="1" fontId="0" fillId="11" borderId="2" xfId="0" applyNumberFormat="1" applyFont="1" applyFill="1" applyBorder="1" applyAlignment="1" applyProtection="1">
      <alignment horizontal="center"/>
      <protection/>
    </xf>
    <xf numFmtId="1" fontId="0" fillId="12" borderId="2" xfId="0" applyNumberFormat="1" applyFont="1" applyFill="1" applyBorder="1" applyAlignment="1" applyProtection="1">
      <alignment horizontal="center"/>
      <protection/>
    </xf>
    <xf numFmtId="1" fontId="0" fillId="9" borderId="2" xfId="0" applyNumberFormat="1" applyFont="1" applyFill="1" applyBorder="1" applyAlignment="1" applyProtection="1">
      <alignment horizontal="center"/>
      <protection/>
    </xf>
    <xf numFmtId="1" fontId="0" fillId="13" borderId="2" xfId="0" applyNumberFormat="1" applyFont="1" applyFill="1" applyBorder="1" applyAlignment="1" applyProtection="1">
      <alignment horizontal="center"/>
      <protection/>
    </xf>
    <xf numFmtId="1" fontId="0" fillId="8" borderId="2" xfId="0" applyNumberFormat="1" applyFont="1" applyFill="1" applyBorder="1" applyAlignment="1" applyProtection="1">
      <alignment horizontal="center"/>
      <protection/>
    </xf>
    <xf numFmtId="1" fontId="0" fillId="14" borderId="2" xfId="0" applyNumberFormat="1" applyFont="1" applyFill="1" applyBorder="1" applyAlignment="1" applyProtection="1">
      <alignment horizontal="center"/>
      <protection/>
    </xf>
    <xf numFmtId="1" fontId="0" fillId="15" borderId="2" xfId="0" applyNumberFormat="1" applyFont="1" applyFill="1" applyBorder="1" applyAlignment="1" applyProtection="1">
      <alignment horizontal="center"/>
      <protection/>
    </xf>
    <xf numFmtId="1" fontId="0" fillId="5" borderId="7" xfId="0" applyNumberFormat="1" applyFont="1" applyFill="1" applyBorder="1" applyAlignment="1" applyProtection="1">
      <alignment horizontal="center"/>
      <protection/>
    </xf>
    <xf numFmtId="0" fontId="0" fillId="6" borderId="1" xfId="0" applyFont="1" applyFill="1" applyBorder="1" applyAlignment="1" applyProtection="1">
      <alignment horizontal="center"/>
      <protection/>
    </xf>
    <xf numFmtId="0" fontId="0" fillId="6" borderId="2" xfId="0" applyFont="1" applyFill="1" applyBorder="1" applyAlignment="1" applyProtection="1">
      <alignment horizontal="center"/>
      <protection/>
    </xf>
    <xf numFmtId="0" fontId="0" fillId="6" borderId="11" xfId="0" applyFont="1" applyFill="1" applyBorder="1" applyAlignment="1" applyProtection="1">
      <alignment horizontal="center"/>
      <protection/>
    </xf>
    <xf numFmtId="0" fontId="1" fillId="6" borderId="3" xfId="0" applyFont="1" applyFill="1" applyBorder="1" applyAlignment="1" applyProtection="1">
      <alignment horizontal="center"/>
      <protection/>
    </xf>
    <xf numFmtId="0" fontId="0" fillId="6" borderId="3" xfId="0" applyFont="1" applyFill="1" applyBorder="1" applyAlignment="1" applyProtection="1">
      <alignment horizontal="center"/>
      <protection/>
    </xf>
    <xf numFmtId="0" fontId="0" fillId="8" borderId="0" xfId="0" applyNumberFormat="1" applyFill="1" applyAlignment="1">
      <alignment/>
    </xf>
    <xf numFmtId="2" fontId="0" fillId="6" borderId="13" xfId="0" applyNumberFormat="1" applyFill="1" applyBorder="1" applyAlignment="1" applyProtection="1">
      <alignment horizontal="center"/>
      <protection/>
    </xf>
    <xf numFmtId="2" fontId="0" fillId="6" borderId="58" xfId="0" applyNumberFormat="1" applyFill="1" applyBorder="1" applyAlignment="1" applyProtection="1">
      <alignment horizontal="center"/>
      <protection/>
    </xf>
    <xf numFmtId="2" fontId="0" fillId="6" borderId="32" xfId="0" applyNumberFormat="1" applyFill="1" applyBorder="1" applyAlignment="1" applyProtection="1">
      <alignment horizontal="center"/>
      <protection/>
    </xf>
    <xf numFmtId="0" fontId="0" fillId="0" borderId="14" xfId="0" applyFont="1" applyFill="1" applyBorder="1" applyAlignment="1" applyProtection="1">
      <alignment horizontal="center"/>
      <protection locked="0"/>
    </xf>
    <xf numFmtId="0" fontId="0" fillId="0" borderId="7" xfId="0" applyFont="1" applyFill="1" applyBorder="1" applyAlignment="1" applyProtection="1">
      <alignment horizontal="center"/>
      <protection locked="0"/>
    </xf>
    <xf numFmtId="0" fontId="0" fillId="0" borderId="2"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 xfId="0" applyFont="1" applyFill="1" applyBorder="1" applyAlignment="1" applyProtection="1">
      <alignment horizontal="center"/>
      <protection locked="0"/>
    </xf>
    <xf numFmtId="0" fontId="0" fillId="0" borderId="6" xfId="0" applyFont="1" applyFill="1" applyBorder="1" applyAlignment="1" applyProtection="1">
      <alignment horizontal="center"/>
      <protection locked="0"/>
    </xf>
    <xf numFmtId="1" fontId="0" fillId="0" borderId="6" xfId="0" applyNumberFormat="1" applyFont="1" applyFill="1" applyBorder="1" applyAlignment="1" applyProtection="1">
      <alignment horizontal="center"/>
      <protection locked="0"/>
    </xf>
    <xf numFmtId="1" fontId="0" fillId="0" borderId="1" xfId="0" applyNumberFormat="1" applyFont="1" applyFill="1" applyBorder="1" applyAlignment="1" applyProtection="1">
      <alignment horizontal="center"/>
      <protection locked="0"/>
    </xf>
    <xf numFmtId="2" fontId="0" fillId="0" borderId="1" xfId="0" applyNumberFormat="1" applyFill="1" applyBorder="1" applyAlignment="1" applyProtection="1">
      <alignment horizontal="center"/>
      <protection locked="0"/>
    </xf>
    <xf numFmtId="2" fontId="0" fillId="0" borderId="2" xfId="0" applyNumberFormat="1" applyFill="1" applyBorder="1" applyAlignment="1" applyProtection="1">
      <alignment horizontal="center"/>
      <protection locked="0"/>
    </xf>
    <xf numFmtId="2" fontId="0" fillId="0" borderId="11" xfId="0" applyNumberFormat="1" applyFill="1" applyBorder="1" applyAlignment="1" applyProtection="1">
      <alignment horizontal="center"/>
      <protection locked="0"/>
    </xf>
    <xf numFmtId="164" fontId="0" fillId="0" borderId="5" xfId="0" applyNumberFormat="1" applyFill="1" applyBorder="1" applyAlignment="1" applyProtection="1">
      <alignment horizontal="center"/>
      <protection locked="0"/>
    </xf>
    <xf numFmtId="0" fontId="0" fillId="0" borderId="3" xfId="0" applyFont="1" applyFill="1" applyBorder="1" applyAlignment="1" applyProtection="1">
      <alignment horizontal="center"/>
      <protection locked="0"/>
    </xf>
    <xf numFmtId="2" fontId="0" fillId="0" borderId="6" xfId="0" applyNumberFormat="1" applyFill="1" applyBorder="1" applyAlignment="1" applyProtection="1">
      <alignment horizontal="center"/>
      <protection locked="0"/>
    </xf>
    <xf numFmtId="2" fontId="0" fillId="0" borderId="7" xfId="0" applyNumberFormat="1" applyFill="1" applyBorder="1" applyAlignment="1" applyProtection="1">
      <alignment horizontal="center"/>
      <protection locked="0"/>
    </xf>
    <xf numFmtId="2" fontId="0" fillId="0" borderId="14" xfId="0" applyNumberFormat="1" applyFill="1" applyBorder="1" applyAlignment="1" applyProtection="1">
      <alignment horizontal="center"/>
      <protection locked="0"/>
    </xf>
    <xf numFmtId="164" fontId="0" fillId="0" borderId="10" xfId="0" applyNumberFormat="1" applyFill="1" applyBorder="1" applyAlignment="1" applyProtection="1">
      <alignment horizontal="center"/>
      <protection locked="0"/>
    </xf>
    <xf numFmtId="0" fontId="0" fillId="0" borderId="9"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0" fillId="0" borderId="8" xfId="0" applyFont="1" applyFill="1" applyBorder="1" applyAlignment="1" applyProtection="1">
      <alignment horizontal="center"/>
      <protection locked="0"/>
    </xf>
    <xf numFmtId="0" fontId="0" fillId="0" borderId="5"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2" fontId="0" fillId="0" borderId="1" xfId="0" applyNumberFormat="1" applyFont="1" applyFill="1" applyBorder="1" applyAlignment="1" applyProtection="1">
      <alignment horizontal="center"/>
      <protection locked="0"/>
    </xf>
    <xf numFmtId="2" fontId="0" fillId="0" borderId="2" xfId="0" applyNumberFormat="1" applyFont="1" applyFill="1" applyBorder="1" applyAlignment="1" applyProtection="1">
      <alignment horizontal="center"/>
      <protection locked="0"/>
    </xf>
    <xf numFmtId="2" fontId="0" fillId="0" borderId="4" xfId="0" applyNumberFormat="1" applyFont="1" applyFill="1" applyBorder="1" applyAlignment="1" applyProtection="1">
      <alignment horizontal="center"/>
      <protection locked="0"/>
    </xf>
    <xf numFmtId="2" fontId="0" fillId="0" borderId="6" xfId="0" applyNumberFormat="1" applyFont="1" applyFill="1" applyBorder="1" applyAlignment="1" applyProtection="1">
      <alignment horizontal="center"/>
      <protection locked="0"/>
    </xf>
    <xf numFmtId="2" fontId="0" fillId="0" borderId="7" xfId="0" applyNumberFormat="1" applyFont="1" applyFill="1" applyBorder="1" applyAlignment="1" applyProtection="1">
      <alignment horizontal="center"/>
      <protection locked="0"/>
    </xf>
    <xf numFmtId="2" fontId="0" fillId="0" borderId="8" xfId="0" applyNumberFormat="1" applyFont="1" applyFill="1" applyBorder="1" applyAlignment="1" applyProtection="1">
      <alignment horizontal="center"/>
      <protection locked="0"/>
    </xf>
    <xf numFmtId="2" fontId="0" fillId="0" borderId="11" xfId="0" applyNumberFormat="1" applyFont="1" applyFill="1" applyBorder="1" applyAlignment="1" applyProtection="1">
      <alignment horizontal="center"/>
      <protection locked="0"/>
    </xf>
    <xf numFmtId="164" fontId="0" fillId="0" borderId="3" xfId="0" applyNumberFormat="1" applyFont="1" applyFill="1" applyBorder="1" applyAlignment="1" applyProtection="1">
      <alignment horizontal="center"/>
      <protection locked="0"/>
    </xf>
    <xf numFmtId="164" fontId="0" fillId="0" borderId="2" xfId="0" applyNumberFormat="1" applyFont="1" applyFill="1" applyBorder="1" applyAlignment="1" applyProtection="1">
      <alignment horizontal="center"/>
      <protection locked="0"/>
    </xf>
    <xf numFmtId="164" fontId="0" fillId="0" borderId="11" xfId="0" applyNumberFormat="1" applyFont="1" applyFill="1" applyBorder="1" applyAlignment="1" applyProtection="1">
      <alignment horizontal="center"/>
      <protection locked="0"/>
    </xf>
    <xf numFmtId="2" fontId="0" fillId="0" borderId="14" xfId="0" applyNumberFormat="1" applyFont="1" applyFill="1" applyBorder="1" applyAlignment="1" applyProtection="1">
      <alignment horizontal="center"/>
      <protection locked="0"/>
    </xf>
    <xf numFmtId="164" fontId="0" fillId="0" borderId="9" xfId="0" applyNumberFormat="1" applyFont="1" applyFill="1" applyBorder="1" applyAlignment="1" applyProtection="1">
      <alignment horizontal="center"/>
      <protection locked="0"/>
    </xf>
    <xf numFmtId="164" fontId="0" fillId="0" borderId="7" xfId="0" applyNumberFormat="1" applyFont="1" applyFill="1" applyBorder="1" applyAlignment="1" applyProtection="1">
      <alignment horizontal="center"/>
      <protection locked="0"/>
    </xf>
    <xf numFmtId="164" fontId="0" fillId="0" borderId="14" xfId="0" applyNumberFormat="1" applyFont="1" applyFill="1" applyBorder="1" applyAlignment="1" applyProtection="1">
      <alignment horizontal="center"/>
      <protection locked="0"/>
    </xf>
    <xf numFmtId="0" fontId="0" fillId="0" borderId="1" xfId="0" applyFont="1"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4" xfId="0" applyFont="1" applyFill="1" applyBorder="1" applyAlignment="1" applyProtection="1">
      <alignment horizontal="left"/>
      <protection locked="0"/>
    </xf>
    <xf numFmtId="164" fontId="0" fillId="0" borderId="1" xfId="0" applyNumberFormat="1" applyFont="1" applyFill="1" applyBorder="1" applyAlignment="1" applyProtection="1">
      <alignment horizontal="center"/>
      <protection locked="0"/>
    </xf>
    <xf numFmtId="2" fontId="0" fillId="0" borderId="3" xfId="0" applyNumberFormat="1" applyFont="1" applyFill="1" applyBorder="1" applyAlignment="1" applyProtection="1">
      <alignment horizontal="center"/>
      <protection locked="0"/>
    </xf>
    <xf numFmtId="0" fontId="0" fillId="0" borderId="6" xfId="0" applyFont="1" applyFill="1" applyBorder="1" applyAlignment="1" applyProtection="1">
      <alignment horizontal="left"/>
      <protection locked="0"/>
    </xf>
    <xf numFmtId="0" fontId="0" fillId="0" borderId="7" xfId="0" applyFill="1" applyBorder="1" applyAlignment="1" applyProtection="1">
      <alignment horizontal="left"/>
      <protection locked="0"/>
    </xf>
    <xf numFmtId="0" fontId="0" fillId="0" borderId="8" xfId="0" applyFont="1" applyFill="1" applyBorder="1" applyAlignment="1" applyProtection="1">
      <alignment horizontal="left"/>
      <protection locked="0"/>
    </xf>
    <xf numFmtId="164" fontId="0" fillId="0" borderId="6" xfId="0" applyNumberFormat="1" applyFont="1" applyFill="1" applyBorder="1" applyAlignment="1" applyProtection="1">
      <alignment horizontal="center"/>
      <protection locked="0"/>
    </xf>
    <xf numFmtId="2" fontId="0" fillId="0" borderId="9" xfId="0" applyNumberFormat="1" applyFont="1" applyFill="1" applyBorder="1" applyAlignment="1" applyProtection="1">
      <alignment horizontal="center"/>
      <protection locked="0"/>
    </xf>
    <xf numFmtId="0" fontId="0" fillId="2" borderId="40" xfId="0" applyFont="1" applyFill="1" applyBorder="1" applyAlignment="1" applyProtection="1">
      <alignment horizontal="center"/>
      <protection locked="0"/>
    </xf>
    <xf numFmtId="0" fontId="0" fillId="2" borderId="31" xfId="0" applyFont="1" applyFill="1" applyBorder="1" applyAlignment="1" applyProtection="1">
      <alignment horizontal="center"/>
      <protection locked="0"/>
    </xf>
    <xf numFmtId="0" fontId="0" fillId="2" borderId="61" xfId="0" applyFont="1" applyFill="1" applyBorder="1" applyAlignment="1" applyProtection="1">
      <alignment horizontal="center"/>
      <protection locked="0"/>
    </xf>
    <xf numFmtId="0" fontId="0" fillId="2" borderId="31" xfId="0" applyFont="1" applyFill="1" applyBorder="1" applyAlignment="1" applyProtection="1">
      <alignment/>
      <protection locked="0"/>
    </xf>
    <xf numFmtId="0" fontId="0" fillId="2" borderId="31" xfId="0" applyFont="1" applyFill="1" applyBorder="1" applyAlignment="1" applyProtection="1">
      <alignment horizontal="left"/>
      <protection locked="0"/>
    </xf>
    <xf numFmtId="0" fontId="0" fillId="0" borderId="62" xfId="0" applyFill="1" applyBorder="1" applyAlignment="1">
      <alignment horizontal="center" wrapText="1"/>
    </xf>
    <xf numFmtId="0" fontId="0" fillId="0" borderId="63" xfId="0" applyBorder="1" applyAlignment="1">
      <alignment horizontal="center"/>
    </xf>
    <xf numFmtId="0" fontId="0" fillId="0" borderId="64" xfId="0" applyFont="1" applyFill="1" applyBorder="1" applyAlignment="1">
      <alignment horizontal="center"/>
    </xf>
    <xf numFmtId="0" fontId="0" fillId="0" borderId="12" xfId="0" applyFont="1" applyFill="1" applyBorder="1" applyAlignment="1">
      <alignment horizontal="center"/>
    </xf>
    <xf numFmtId="0" fontId="0" fillId="0" borderId="5" xfId="0" applyFont="1" applyFill="1" applyBorder="1" applyAlignment="1">
      <alignment horizontal="center"/>
    </xf>
    <xf numFmtId="0" fontId="0" fillId="0" borderId="10" xfId="0" applyFont="1" applyFill="1" applyBorder="1" applyAlignment="1">
      <alignment horizontal="center"/>
    </xf>
    <xf numFmtId="0" fontId="0" fillId="0" borderId="15" xfId="0" applyFont="1" applyFill="1" applyBorder="1" applyAlignment="1">
      <alignment horizontal="center"/>
    </xf>
    <xf numFmtId="0" fontId="0" fillId="0" borderId="12" xfId="0" applyBorder="1" applyAlignment="1">
      <alignment horizontal="center"/>
    </xf>
    <xf numFmtId="0" fontId="0" fillId="0" borderId="65" xfId="0" applyBorder="1" applyAlignment="1">
      <alignment horizontal="center"/>
    </xf>
    <xf numFmtId="0" fontId="0" fillId="0" borderId="10" xfId="0" applyBorder="1" applyAlignment="1">
      <alignment horizontal="center"/>
    </xf>
    <xf numFmtId="0" fontId="0" fillId="0" borderId="0" xfId="0" applyFont="1" applyAlignment="1">
      <alignment/>
    </xf>
    <xf numFmtId="0" fontId="1" fillId="2" borderId="1"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2" fillId="14" borderId="1" xfId="0" applyFont="1" applyFill="1" applyBorder="1" applyAlignment="1">
      <alignment horizontal="center"/>
    </xf>
    <xf numFmtId="2" fontId="0" fillId="14" borderId="1" xfId="0" applyNumberFormat="1" applyFont="1" applyFill="1" applyBorder="1" applyAlignment="1">
      <alignment horizontal="center"/>
    </xf>
    <xf numFmtId="2" fontId="0" fillId="14" borderId="6" xfId="0" applyNumberFormat="1" applyFont="1" applyFill="1" applyBorder="1" applyAlignment="1">
      <alignment horizontal="center"/>
    </xf>
    <xf numFmtId="0" fontId="2" fillId="7" borderId="2" xfId="0" applyFont="1" applyFill="1" applyBorder="1" applyAlignment="1">
      <alignment horizontal="center"/>
    </xf>
    <xf numFmtId="2" fontId="0" fillId="7" borderId="2" xfId="0" applyNumberFormat="1" applyFont="1" applyFill="1" applyBorder="1" applyAlignment="1">
      <alignment horizontal="center"/>
    </xf>
    <xf numFmtId="2" fontId="0" fillId="7" borderId="7" xfId="0" applyNumberFormat="1" applyFont="1" applyFill="1" applyBorder="1" applyAlignment="1">
      <alignment horizontal="center"/>
    </xf>
    <xf numFmtId="0" fontId="2" fillId="15" borderId="11" xfId="0" applyFont="1" applyFill="1" applyBorder="1" applyAlignment="1">
      <alignment horizontal="center"/>
    </xf>
    <xf numFmtId="2" fontId="0" fillId="15" borderId="11" xfId="0" applyNumberFormat="1" applyFont="1" applyFill="1" applyBorder="1" applyAlignment="1">
      <alignment horizontal="center"/>
    </xf>
    <xf numFmtId="2" fontId="0" fillId="15" borderId="14" xfId="0" applyNumberFormat="1" applyFont="1" applyFill="1" applyBorder="1" applyAlignment="1">
      <alignment horizontal="center"/>
    </xf>
    <xf numFmtId="0" fontId="0" fillId="14" borderId="21" xfId="0" applyFill="1" applyBorder="1" applyAlignment="1">
      <alignment horizontal="center"/>
    </xf>
    <xf numFmtId="0" fontId="0" fillId="14" borderId="24" xfId="0" applyFill="1" applyBorder="1" applyAlignment="1">
      <alignment horizontal="center"/>
    </xf>
    <xf numFmtId="0" fontId="0" fillId="14" borderId="0" xfId="0" applyFill="1" applyBorder="1" applyAlignment="1">
      <alignment horizontal="center"/>
    </xf>
    <xf numFmtId="0" fontId="0" fillId="14" borderId="25" xfId="0" applyFill="1" applyBorder="1" applyAlignment="1">
      <alignment horizontal="center"/>
    </xf>
    <xf numFmtId="0" fontId="0" fillId="14" borderId="30" xfId="0" applyFill="1" applyBorder="1" applyAlignment="1">
      <alignment horizontal="center"/>
    </xf>
    <xf numFmtId="0" fontId="0" fillId="14" borderId="31" xfId="0" applyFill="1" applyBorder="1" applyAlignment="1">
      <alignment horizontal="center"/>
    </xf>
    <xf numFmtId="0" fontId="0" fillId="14" borderId="32" xfId="0" applyFill="1" applyBorder="1" applyAlignment="1">
      <alignment horizontal="center"/>
    </xf>
    <xf numFmtId="0" fontId="0" fillId="7" borderId="20" xfId="0" applyFill="1" applyBorder="1" applyAlignment="1">
      <alignment horizontal="center"/>
    </xf>
    <xf numFmtId="0" fontId="0" fillId="7" borderId="21" xfId="0" applyFill="1" applyBorder="1" applyAlignment="1">
      <alignment horizontal="center"/>
    </xf>
    <xf numFmtId="0" fontId="0" fillId="7" borderId="22" xfId="0" applyFill="1" applyBorder="1" applyAlignment="1">
      <alignment horizontal="center"/>
    </xf>
    <xf numFmtId="0" fontId="0" fillId="7" borderId="20" xfId="0" applyFont="1" applyFill="1" applyBorder="1" applyAlignment="1">
      <alignment horizontal="center"/>
    </xf>
    <xf numFmtId="0" fontId="0" fillId="7" borderId="24" xfId="0" applyFill="1" applyBorder="1" applyAlignment="1">
      <alignment horizontal="center"/>
    </xf>
    <xf numFmtId="0" fontId="0" fillId="7" borderId="0" xfId="0" applyFill="1" applyBorder="1" applyAlignment="1">
      <alignment horizontal="center"/>
    </xf>
    <xf numFmtId="0" fontId="0" fillId="7" borderId="25" xfId="0" applyFill="1" applyBorder="1" applyAlignment="1">
      <alignment horizontal="center"/>
    </xf>
    <xf numFmtId="0" fontId="0" fillId="7" borderId="30" xfId="0" applyFill="1" applyBorder="1" applyAlignment="1">
      <alignment horizontal="center"/>
    </xf>
    <xf numFmtId="0" fontId="0" fillId="7" borderId="31" xfId="0" applyFill="1" applyBorder="1" applyAlignment="1">
      <alignment horizontal="center"/>
    </xf>
    <xf numFmtId="0" fontId="0" fillId="7" borderId="32" xfId="0" applyFill="1" applyBorder="1" applyAlignment="1">
      <alignment horizontal="center"/>
    </xf>
    <xf numFmtId="0" fontId="0" fillId="15" borderId="20" xfId="0" applyFill="1" applyBorder="1" applyAlignment="1">
      <alignment horizontal="center"/>
    </xf>
    <xf numFmtId="0" fontId="0" fillId="15" borderId="21" xfId="0" applyFill="1" applyBorder="1" applyAlignment="1">
      <alignment horizontal="center"/>
    </xf>
    <xf numFmtId="0" fontId="0" fillId="15" borderId="22" xfId="0" applyFill="1" applyBorder="1" applyAlignment="1">
      <alignment horizontal="center"/>
    </xf>
    <xf numFmtId="0" fontId="0" fillId="15" borderId="20" xfId="0" applyFont="1" applyFill="1" applyBorder="1" applyAlignment="1">
      <alignment horizontal="center"/>
    </xf>
    <xf numFmtId="0" fontId="0" fillId="15" borderId="24" xfId="0" applyFont="1" applyFill="1" applyBorder="1" applyAlignment="1">
      <alignment horizontal="center"/>
    </xf>
    <xf numFmtId="0" fontId="0" fillId="15" borderId="0" xfId="0" applyFill="1" applyBorder="1" applyAlignment="1">
      <alignment horizontal="center"/>
    </xf>
    <xf numFmtId="0" fontId="0" fillId="15" borderId="25" xfId="0" applyFill="1" applyBorder="1" applyAlignment="1">
      <alignment horizontal="center"/>
    </xf>
    <xf numFmtId="0" fontId="0" fillId="15" borderId="30" xfId="0" applyFont="1" applyFill="1" applyBorder="1" applyAlignment="1">
      <alignment horizontal="center"/>
    </xf>
    <xf numFmtId="0" fontId="0" fillId="15" borderId="31" xfId="0" applyFill="1" applyBorder="1" applyAlignment="1">
      <alignment horizontal="center"/>
    </xf>
    <xf numFmtId="0" fontId="0" fillId="15" borderId="32" xfId="0" applyFill="1" applyBorder="1" applyAlignment="1">
      <alignment horizontal="center"/>
    </xf>
    <xf numFmtId="0" fontId="0" fillId="14" borderId="23" xfId="0" applyFill="1" applyBorder="1" applyAlignment="1">
      <alignment horizontal="center"/>
    </xf>
    <xf numFmtId="0" fontId="0" fillId="14" borderId="10" xfId="0" applyFill="1" applyBorder="1" applyAlignment="1">
      <alignment horizontal="center"/>
    </xf>
    <xf numFmtId="0" fontId="0" fillId="7" borderId="66" xfId="0" applyFill="1" applyBorder="1" applyAlignment="1">
      <alignment horizontal="center"/>
    </xf>
    <xf numFmtId="0" fontId="0" fillId="7" borderId="5" xfId="0" applyFill="1" applyBorder="1" applyAlignment="1">
      <alignment horizontal="center"/>
    </xf>
    <xf numFmtId="0" fontId="0" fillId="7" borderId="10" xfId="0" applyFill="1" applyBorder="1" applyAlignment="1">
      <alignment horizontal="center"/>
    </xf>
    <xf numFmtId="0" fontId="0" fillId="15" borderId="45" xfId="0" applyFill="1" applyBorder="1" applyAlignment="1">
      <alignment horizontal="center"/>
    </xf>
    <xf numFmtId="0" fontId="0" fillId="15" borderId="58" xfId="0" applyFill="1" applyBorder="1" applyAlignment="1">
      <alignment horizontal="center"/>
    </xf>
    <xf numFmtId="0" fontId="0" fillId="15" borderId="13" xfId="0" applyFill="1" applyBorder="1" applyAlignment="1">
      <alignment horizontal="center"/>
    </xf>
    <xf numFmtId="0" fontId="0" fillId="15" borderId="15" xfId="0" applyFill="1" applyBorder="1" applyAlignment="1">
      <alignment horizontal="center"/>
    </xf>
    <xf numFmtId="0" fontId="0" fillId="3" borderId="20" xfId="0" applyFill="1" applyBorder="1" applyAlignment="1">
      <alignment horizontal="center"/>
    </xf>
    <xf numFmtId="0" fontId="0" fillId="3" borderId="34" xfId="0" applyFill="1" applyBorder="1" applyAlignment="1">
      <alignment horizontal="center"/>
    </xf>
    <xf numFmtId="0" fontId="0" fillId="3" borderId="65" xfId="0" applyFill="1" applyBorder="1" applyAlignment="1">
      <alignment horizontal="center"/>
    </xf>
    <xf numFmtId="0" fontId="0" fillId="2" borderId="0" xfId="0" applyFont="1" applyFill="1" applyAlignment="1" applyProtection="1">
      <alignment horizontal="center"/>
      <protection/>
    </xf>
    <xf numFmtId="0" fontId="0" fillId="0" borderId="34" xfId="0" applyBorder="1" applyAlignment="1">
      <alignment horizontal="center"/>
    </xf>
    <xf numFmtId="0" fontId="0" fillId="0" borderId="30"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0" borderId="34" xfId="0" applyFont="1" applyFill="1" applyBorder="1" applyAlignment="1">
      <alignment horizontal="center"/>
    </xf>
    <xf numFmtId="0" fontId="0" fillId="0" borderId="27" xfId="0" applyFont="1" applyFill="1" applyBorder="1" applyAlignment="1">
      <alignment horizontal="center"/>
    </xf>
    <xf numFmtId="0" fontId="0" fillId="0" borderId="35" xfId="0" applyFont="1" applyFill="1" applyBorder="1" applyAlignment="1">
      <alignment horizontal="center"/>
    </xf>
    <xf numFmtId="0" fontId="0" fillId="0" borderId="66" xfId="0" applyBorder="1" applyAlignment="1">
      <alignment horizontal="center"/>
    </xf>
    <xf numFmtId="1" fontId="0" fillId="2" borderId="9" xfId="0" applyNumberFormat="1" applyFont="1" applyFill="1" applyBorder="1" applyAlignment="1">
      <alignment horizontal="center"/>
    </xf>
    <xf numFmtId="2" fontId="0" fillId="2" borderId="13" xfId="0" applyNumberFormat="1" applyFont="1" applyFill="1" applyBorder="1" applyAlignment="1">
      <alignment horizontal="center"/>
    </xf>
    <xf numFmtId="2" fontId="0" fillId="2" borderId="15" xfId="0" applyNumberFormat="1" applyFont="1" applyFill="1" applyBorder="1" applyAlignment="1">
      <alignment horizontal="center"/>
    </xf>
    <xf numFmtId="0" fontId="0" fillId="2" borderId="0" xfId="0" applyFill="1" applyBorder="1" applyAlignment="1" applyProtection="1">
      <alignment horizontal="left"/>
      <protection locked="0"/>
    </xf>
    <xf numFmtId="0" fontId="34" fillId="0" borderId="26" xfId="0" applyFont="1" applyBorder="1" applyAlignment="1">
      <alignment horizontal="center"/>
    </xf>
    <xf numFmtId="0" fontId="13" fillId="0" borderId="0" xfId="0" applyFont="1" applyAlignment="1">
      <alignment horizontal="center"/>
    </xf>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1" fontId="13" fillId="5" borderId="30" xfId="0" applyNumberFormat="1" applyFont="1" applyFill="1" applyBorder="1" applyAlignment="1">
      <alignment horizontal="center"/>
    </xf>
    <xf numFmtId="1" fontId="13" fillId="5" borderId="31" xfId="0" applyNumberFormat="1" applyFont="1" applyFill="1" applyBorder="1" applyAlignment="1">
      <alignment horizontal="center"/>
    </xf>
    <xf numFmtId="1" fontId="13" fillId="5" borderId="32" xfId="0" applyNumberFormat="1" applyFont="1" applyFill="1" applyBorder="1" applyAlignment="1">
      <alignment horizontal="center"/>
    </xf>
    <xf numFmtId="1" fontId="34" fillId="5" borderId="31" xfId="0" applyNumberFormat="1" applyFont="1" applyFill="1" applyBorder="1" applyAlignment="1">
      <alignment horizontal="center"/>
    </xf>
    <xf numFmtId="1" fontId="34" fillId="5" borderId="32" xfId="0" applyNumberFormat="1" applyFont="1" applyFill="1" applyBorder="1" applyAlignment="1">
      <alignment horizontal="center"/>
    </xf>
    <xf numFmtId="1" fontId="13" fillId="0" borderId="0" xfId="0" applyNumberFormat="1" applyFont="1" applyFill="1" applyBorder="1" applyAlignment="1">
      <alignment horizontal="center"/>
    </xf>
    <xf numFmtId="1" fontId="34" fillId="0" borderId="0" xfId="0" applyNumberFormat="1" applyFont="1" applyFill="1" applyBorder="1" applyAlignment="1">
      <alignment horizontal="center"/>
    </xf>
    <xf numFmtId="0" fontId="13" fillId="0" borderId="26" xfId="0" applyFont="1" applyBorder="1" applyAlignment="1">
      <alignment horizontal="center"/>
    </xf>
    <xf numFmtId="2" fontId="13" fillId="0" borderId="0" xfId="0" applyNumberFormat="1" applyFont="1" applyFill="1" applyAlignment="1">
      <alignment horizontal="center"/>
    </xf>
    <xf numFmtId="0" fontId="13" fillId="0" borderId="0" xfId="0" applyFont="1" applyFill="1" applyAlignment="1">
      <alignment horizontal="center"/>
    </xf>
    <xf numFmtId="0" fontId="34" fillId="0" borderId="24" xfId="0" applyFont="1" applyBorder="1" applyAlignment="1">
      <alignment horizontal="center"/>
    </xf>
    <xf numFmtId="0" fontId="34" fillId="0" borderId="0" xfId="0" applyFont="1" applyBorder="1" applyAlignment="1">
      <alignment horizontal="center"/>
    </xf>
    <xf numFmtId="0" fontId="34" fillId="0" borderId="25" xfId="0" applyFont="1" applyBorder="1" applyAlignment="1">
      <alignment horizontal="center"/>
    </xf>
    <xf numFmtId="0" fontId="13" fillId="0" borderId="28" xfId="0" applyFont="1" applyBorder="1" applyAlignment="1">
      <alignment horizontal="center"/>
    </xf>
    <xf numFmtId="0" fontId="13" fillId="8" borderId="30" xfId="0" applyFont="1" applyFill="1" applyBorder="1" applyAlignment="1">
      <alignment horizontal="center"/>
    </xf>
    <xf numFmtId="0" fontId="13" fillId="8" borderId="31" xfId="0" applyFont="1" applyFill="1" applyBorder="1" applyAlignment="1">
      <alignment horizontal="center"/>
    </xf>
    <xf numFmtId="0" fontId="13" fillId="8" borderId="32" xfId="0" applyFont="1" applyFill="1" applyBorder="1" applyAlignment="1">
      <alignment horizontal="center"/>
    </xf>
    <xf numFmtId="0" fontId="34" fillId="5" borderId="29" xfId="0" applyFont="1" applyFill="1" applyBorder="1" applyAlignment="1">
      <alignment horizontal="center"/>
    </xf>
    <xf numFmtId="0" fontId="34" fillId="0" borderId="0" xfId="0" applyFont="1" applyAlignment="1">
      <alignment horizontal="center"/>
    </xf>
    <xf numFmtId="0" fontId="34" fillId="0" borderId="20" xfId="0" applyFont="1" applyFill="1" applyBorder="1" applyAlignment="1">
      <alignment horizontal="center"/>
    </xf>
    <xf numFmtId="1" fontId="34" fillId="0" borderId="0" xfId="0" applyNumberFormat="1" applyFont="1" applyAlignment="1">
      <alignment horizontal="center"/>
    </xf>
    <xf numFmtId="164" fontId="34" fillId="0" borderId="0" xfId="0" applyNumberFormat="1" applyFont="1" applyFill="1" applyAlignment="1">
      <alignment horizontal="center"/>
    </xf>
    <xf numFmtId="165" fontId="13" fillId="0" borderId="0" xfId="0" applyNumberFormat="1" applyFont="1" applyAlignment="1">
      <alignment horizontal="center"/>
    </xf>
    <xf numFmtId="0" fontId="13" fillId="0" borderId="20" xfId="0" applyFont="1" applyBorder="1" applyAlignment="1">
      <alignment horizontal="center"/>
    </xf>
    <xf numFmtId="0" fontId="13" fillId="0" borderId="22" xfId="0" applyFont="1" applyBorder="1" applyAlignment="1">
      <alignment horizontal="center"/>
    </xf>
    <xf numFmtId="0" fontId="34" fillId="0" borderId="0" xfId="0" applyFont="1" applyFill="1" applyAlignment="1">
      <alignment horizontal="center"/>
    </xf>
    <xf numFmtId="0" fontId="13" fillId="0" borderId="0" xfId="0" applyFont="1" applyFill="1" applyBorder="1" applyAlignment="1">
      <alignment horizontal="center"/>
    </xf>
    <xf numFmtId="0" fontId="34" fillId="0" borderId="0" xfId="0" applyFont="1" applyFill="1" applyBorder="1" applyAlignment="1">
      <alignment horizontal="center"/>
    </xf>
    <xf numFmtId="2" fontId="13" fillId="5" borderId="30" xfId="0" applyNumberFormat="1" applyFont="1" applyFill="1" applyBorder="1" applyAlignment="1">
      <alignment horizontal="center"/>
    </xf>
    <xf numFmtId="2" fontId="13" fillId="5" borderId="31" xfId="0" applyNumberFormat="1" applyFont="1" applyFill="1" applyBorder="1" applyAlignment="1">
      <alignment horizontal="center"/>
    </xf>
    <xf numFmtId="2" fontId="13" fillId="5" borderId="32" xfId="0" applyNumberFormat="1" applyFont="1" applyFill="1" applyBorder="1" applyAlignment="1">
      <alignment horizontal="center"/>
    </xf>
    <xf numFmtId="1" fontId="34" fillId="0" borderId="0" xfId="0" applyNumberFormat="1" applyFont="1" applyFill="1" applyAlignment="1">
      <alignment horizontal="center"/>
    </xf>
    <xf numFmtId="165" fontId="13" fillId="0" borderId="0" xfId="0" applyNumberFormat="1" applyFont="1" applyFill="1" applyBorder="1" applyAlignment="1">
      <alignment horizontal="center"/>
    </xf>
    <xf numFmtId="164" fontId="13" fillId="0" borderId="0" xfId="0" applyNumberFormat="1" applyFont="1" applyFill="1" applyBorder="1" applyAlignment="1">
      <alignment horizontal="center"/>
    </xf>
    <xf numFmtId="164" fontId="13" fillId="0" borderId="0" xfId="0" applyNumberFormat="1" applyFont="1" applyAlignment="1">
      <alignment horizontal="center"/>
    </xf>
    <xf numFmtId="0" fontId="13" fillId="0" borderId="0" xfId="0" applyFont="1" applyAlignment="1">
      <alignment horizontal="left"/>
    </xf>
    <xf numFmtId="1" fontId="13" fillId="0" borderId="0" xfId="0" applyNumberFormat="1" applyFont="1" applyAlignment="1">
      <alignment horizontal="center"/>
    </xf>
    <xf numFmtId="1" fontId="13" fillId="5" borderId="0" xfId="0" applyNumberFormat="1" applyFont="1" applyFill="1" applyBorder="1" applyAlignment="1">
      <alignment horizontal="center"/>
    </xf>
    <xf numFmtId="1" fontId="34" fillId="5" borderId="0" xfId="0" applyNumberFormat="1" applyFont="1" applyFill="1" applyBorder="1" applyAlignment="1">
      <alignment horizontal="center"/>
    </xf>
    <xf numFmtId="0" fontId="13" fillId="8" borderId="0" xfId="0" applyFont="1" applyFill="1" applyBorder="1" applyAlignment="1">
      <alignment horizontal="center"/>
    </xf>
    <xf numFmtId="2" fontId="13" fillId="5" borderId="0" xfId="0" applyNumberFormat="1" applyFont="1" applyFill="1" applyBorder="1" applyAlignment="1">
      <alignment horizontal="center"/>
    </xf>
    <xf numFmtId="2" fontId="13" fillId="8" borderId="29" xfId="0" applyNumberFormat="1" applyFont="1" applyFill="1" applyBorder="1" applyAlignment="1">
      <alignment horizontal="center"/>
    </xf>
    <xf numFmtId="1" fontId="13" fillId="5" borderId="24" xfId="0" applyNumberFormat="1" applyFont="1" applyFill="1" applyBorder="1" applyAlignment="1">
      <alignment horizontal="center"/>
    </xf>
    <xf numFmtId="1" fontId="13" fillId="5" borderId="25" xfId="0" applyNumberFormat="1" applyFont="1" applyFill="1" applyBorder="1" applyAlignment="1">
      <alignment horizontal="center"/>
    </xf>
    <xf numFmtId="1" fontId="34" fillId="5" borderId="25" xfId="0" applyNumberFormat="1" applyFont="1" applyFill="1" applyBorder="1" applyAlignment="1">
      <alignment horizontal="center"/>
    </xf>
    <xf numFmtId="0" fontId="13" fillId="8" borderId="24" xfId="0" applyFont="1" applyFill="1" applyBorder="1" applyAlignment="1">
      <alignment horizontal="center"/>
    </xf>
    <xf numFmtId="0" fontId="13" fillId="8" borderId="25" xfId="0" applyFont="1" applyFill="1" applyBorder="1" applyAlignment="1">
      <alignment horizontal="center"/>
    </xf>
    <xf numFmtId="0" fontId="34" fillId="0" borderId="24" xfId="0" applyFont="1" applyFill="1" applyBorder="1" applyAlignment="1">
      <alignment horizontal="center"/>
    </xf>
    <xf numFmtId="0" fontId="13" fillId="0" borderId="0" xfId="0" applyFont="1" applyBorder="1" applyAlignment="1">
      <alignment horizontal="center"/>
    </xf>
    <xf numFmtId="2" fontId="13" fillId="8" borderId="28" xfId="0" applyNumberFormat="1" applyFont="1" applyFill="1" applyBorder="1" applyAlignment="1">
      <alignment horizontal="center"/>
    </xf>
    <xf numFmtId="1" fontId="34" fillId="0" borderId="24" xfId="0" applyNumberFormat="1" applyFont="1" applyBorder="1" applyAlignment="1">
      <alignment horizontal="center"/>
    </xf>
    <xf numFmtId="0" fontId="13" fillId="5" borderId="24" xfId="0" applyFont="1" applyFill="1" applyBorder="1" applyAlignment="1">
      <alignment horizontal="center"/>
    </xf>
    <xf numFmtId="0" fontId="13" fillId="5" borderId="30" xfId="0" applyFont="1" applyFill="1" applyBorder="1" applyAlignment="1">
      <alignment horizontal="center"/>
    </xf>
    <xf numFmtId="2" fontId="13" fillId="5" borderId="24" xfId="0" applyNumberFormat="1" applyFont="1" applyFill="1" applyBorder="1" applyAlignment="1">
      <alignment horizontal="center"/>
    </xf>
    <xf numFmtId="2" fontId="13" fillId="5" borderId="25" xfId="0" applyNumberFormat="1" applyFont="1" applyFill="1" applyBorder="1" applyAlignment="1">
      <alignment horizontal="center"/>
    </xf>
    <xf numFmtId="164" fontId="34" fillId="5" borderId="24" xfId="0" applyNumberFormat="1" applyFont="1" applyFill="1" applyBorder="1" applyAlignment="1">
      <alignment horizontal="center"/>
    </xf>
    <xf numFmtId="2" fontId="34" fillId="5" borderId="25" xfId="0" applyNumberFormat="1" applyFont="1" applyFill="1" applyBorder="1" applyAlignment="1">
      <alignment horizontal="center"/>
    </xf>
    <xf numFmtId="164" fontId="34" fillId="5" borderId="30" xfId="0" applyNumberFormat="1" applyFont="1" applyFill="1" applyBorder="1" applyAlignment="1">
      <alignment horizontal="center"/>
    </xf>
    <xf numFmtId="2" fontId="34" fillId="5" borderId="32" xfId="0" applyNumberFormat="1" applyFont="1" applyFill="1" applyBorder="1" applyAlignment="1">
      <alignment horizontal="center"/>
    </xf>
    <xf numFmtId="0" fontId="34" fillId="5" borderId="28" xfId="0" applyFont="1" applyFill="1" applyBorder="1" applyAlignment="1">
      <alignment horizontal="center"/>
    </xf>
    <xf numFmtId="2" fontId="34" fillId="8" borderId="24" xfId="0" applyNumberFormat="1" applyFont="1" applyFill="1" applyBorder="1" applyAlignment="1">
      <alignment horizontal="center"/>
    </xf>
    <xf numFmtId="2" fontId="34" fillId="8" borderId="0" xfId="0" applyNumberFormat="1" applyFont="1" applyFill="1" applyBorder="1" applyAlignment="1">
      <alignment horizontal="center"/>
    </xf>
    <xf numFmtId="2" fontId="34" fillId="8" borderId="25" xfId="0" applyNumberFormat="1" applyFont="1" applyFill="1" applyBorder="1" applyAlignment="1">
      <alignment horizontal="center"/>
    </xf>
    <xf numFmtId="2" fontId="34" fillId="8" borderId="30" xfId="0" applyNumberFormat="1" applyFont="1" applyFill="1" applyBorder="1" applyAlignment="1">
      <alignment horizontal="center"/>
    </xf>
    <xf numFmtId="2" fontId="34" fillId="8" borderId="31" xfId="0" applyNumberFormat="1" applyFont="1" applyFill="1" applyBorder="1" applyAlignment="1">
      <alignment horizontal="center"/>
    </xf>
    <xf numFmtId="2" fontId="34" fillId="8" borderId="32" xfId="0" applyNumberFormat="1" applyFont="1" applyFill="1" applyBorder="1" applyAlignment="1">
      <alignment horizontal="center"/>
    </xf>
    <xf numFmtId="1" fontId="13" fillId="8" borderId="24" xfId="0" applyNumberFormat="1" applyFont="1" applyFill="1" applyBorder="1" applyAlignment="1">
      <alignment horizontal="center"/>
    </xf>
    <xf numFmtId="1" fontId="13" fillId="8" borderId="0" xfId="0" applyNumberFormat="1" applyFont="1" applyFill="1" applyBorder="1" applyAlignment="1">
      <alignment horizontal="center"/>
    </xf>
    <xf numFmtId="1" fontId="13" fillId="8" borderId="25" xfId="0" applyNumberFormat="1" applyFont="1" applyFill="1" applyBorder="1" applyAlignment="1">
      <alignment horizontal="center"/>
    </xf>
    <xf numFmtId="1" fontId="13" fillId="8" borderId="30" xfId="0" applyNumberFormat="1" applyFont="1" applyFill="1" applyBorder="1" applyAlignment="1">
      <alignment horizontal="center"/>
    </xf>
    <xf numFmtId="1" fontId="13" fillId="8" borderId="31" xfId="0" applyNumberFormat="1" applyFont="1" applyFill="1" applyBorder="1" applyAlignment="1">
      <alignment horizontal="center"/>
    </xf>
    <xf numFmtId="1" fontId="13" fillId="8" borderId="32" xfId="0" applyNumberFormat="1" applyFont="1" applyFill="1" applyBorder="1" applyAlignment="1">
      <alignment horizontal="center"/>
    </xf>
    <xf numFmtId="0" fontId="0" fillId="2" borderId="1" xfId="0" applyFont="1"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0" fontId="1" fillId="7" borderId="37" xfId="0" applyFont="1" applyFill="1" applyBorder="1" applyAlignment="1" applyProtection="1">
      <alignment horizontal="center"/>
      <protection/>
    </xf>
    <xf numFmtId="0" fontId="0" fillId="7" borderId="38" xfId="0" applyFont="1" applyFill="1" applyBorder="1" applyAlignment="1" applyProtection="1">
      <alignment horizontal="center"/>
      <protection/>
    </xf>
    <xf numFmtId="0" fontId="0" fillId="2" borderId="11"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1" fontId="0" fillId="2" borderId="1" xfId="0" applyNumberFormat="1" applyFont="1" applyFill="1" applyBorder="1" applyAlignment="1" applyProtection="1">
      <alignment horizontal="center"/>
      <protection locked="0"/>
    </xf>
    <xf numFmtId="0" fontId="0" fillId="2" borderId="4"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2" fontId="0" fillId="2" borderId="1" xfId="0" applyNumberFormat="1" applyFont="1" applyFill="1" applyBorder="1" applyAlignment="1" applyProtection="1">
      <alignment horizontal="center"/>
      <protection locked="0"/>
    </xf>
    <xf numFmtId="2" fontId="0" fillId="2" borderId="2" xfId="0" applyNumberFormat="1" applyFont="1" applyFill="1" applyBorder="1" applyAlignment="1" applyProtection="1">
      <alignment horizontal="center"/>
      <protection locked="0"/>
    </xf>
    <xf numFmtId="2" fontId="0" fillId="2" borderId="4" xfId="0" applyNumberFormat="1" applyFont="1" applyFill="1" applyBorder="1" applyAlignment="1" applyProtection="1">
      <alignment horizontal="center"/>
      <protection locked="0"/>
    </xf>
    <xf numFmtId="0" fontId="1" fillId="5" borderId="38" xfId="0" applyFont="1" applyFill="1" applyBorder="1" applyAlignment="1" applyProtection="1">
      <alignment horizontal="center"/>
      <protection/>
    </xf>
    <xf numFmtId="0" fontId="1" fillId="5" borderId="50" xfId="0" applyFont="1" applyFill="1" applyBorder="1" applyAlignment="1" applyProtection="1">
      <alignment horizontal="center"/>
      <protection/>
    </xf>
    <xf numFmtId="0" fontId="1" fillId="15" borderId="37" xfId="0" applyFont="1" applyFill="1" applyBorder="1" applyAlignment="1" applyProtection="1">
      <alignment horizontal="center"/>
      <protection/>
    </xf>
    <xf numFmtId="0" fontId="1" fillId="15" borderId="50" xfId="0" applyFont="1" applyFill="1" applyBorder="1" applyAlignment="1" applyProtection="1">
      <alignment horizontal="center"/>
      <protection/>
    </xf>
    <xf numFmtId="0" fontId="1" fillId="5" borderId="37" xfId="0" applyFont="1" applyFill="1" applyBorder="1" applyAlignment="1" applyProtection="1">
      <alignment horizontal="center"/>
      <protection/>
    </xf>
    <xf numFmtId="0" fontId="0" fillId="14" borderId="11" xfId="0" applyFill="1" applyBorder="1" applyAlignment="1" applyProtection="1">
      <alignment horizontal="center"/>
      <protection/>
    </xf>
    <xf numFmtId="0" fontId="0" fillId="7" borderId="1" xfId="0" applyFont="1" applyFill="1" applyBorder="1" applyAlignment="1" applyProtection="1" quotePrefix="1">
      <alignment horizontal="center"/>
      <protection/>
    </xf>
    <xf numFmtId="0" fontId="0" fillId="7" borderId="2" xfId="0" applyFill="1" applyBorder="1" applyAlignment="1" applyProtection="1">
      <alignment horizontal="center"/>
      <protection/>
    </xf>
    <xf numFmtId="0" fontId="1" fillId="15" borderId="38" xfId="0" applyFont="1" applyFill="1" applyBorder="1" applyAlignment="1" applyProtection="1">
      <alignment horizontal="center"/>
      <protection/>
    </xf>
    <xf numFmtId="0" fontId="1" fillId="14" borderId="38" xfId="0" applyFont="1" applyFill="1" applyBorder="1" applyAlignment="1" applyProtection="1">
      <alignment horizontal="center"/>
      <protection/>
    </xf>
    <xf numFmtId="0" fontId="1" fillId="14" borderId="50" xfId="0" applyFont="1" applyFill="1" applyBorder="1" applyAlignment="1" applyProtection="1">
      <alignment horizontal="center"/>
      <protection/>
    </xf>
    <xf numFmtId="0" fontId="0" fillId="14" borderId="2" xfId="0" applyFill="1" applyBorder="1" applyAlignment="1" applyProtection="1" quotePrefix="1">
      <alignment horizontal="center"/>
      <protection/>
    </xf>
    <xf numFmtId="0" fontId="1" fillId="2" borderId="0" xfId="0" applyFont="1" applyFill="1" applyBorder="1" applyAlignment="1" applyProtection="1">
      <alignment horizontal="center"/>
      <protection locked="0"/>
    </xf>
    <xf numFmtId="0" fontId="1" fillId="0" borderId="27" xfId="0" applyFont="1" applyFill="1" applyBorder="1" applyAlignment="1" applyProtection="1">
      <alignment horizontal="left"/>
      <protection locked="0"/>
    </xf>
    <xf numFmtId="0" fontId="0" fillId="2" borderId="63" xfId="0" applyFill="1" applyBorder="1" applyAlignment="1" applyProtection="1">
      <alignment horizontal="center"/>
      <protection/>
    </xf>
    <xf numFmtId="0" fontId="1" fillId="14" borderId="37" xfId="0" applyFont="1" applyFill="1" applyBorder="1" applyAlignment="1" applyProtection="1">
      <alignment horizontal="center"/>
      <protection/>
    </xf>
    <xf numFmtId="0" fontId="0" fillId="6" borderId="50" xfId="0" applyFont="1" applyFill="1" applyBorder="1" applyAlignment="1" applyProtection="1">
      <alignment horizontal="center"/>
      <protection/>
    </xf>
    <xf numFmtId="0" fontId="0" fillId="6" borderId="67" xfId="0" applyFont="1" applyFill="1" applyBorder="1" applyAlignment="1" applyProtection="1">
      <alignment horizontal="center"/>
      <protection/>
    </xf>
    <xf numFmtId="0" fontId="1" fillId="2" borderId="68" xfId="0" applyFont="1" applyFill="1" applyBorder="1" applyAlignment="1" applyProtection="1">
      <alignment horizontal="center"/>
      <protection/>
    </xf>
    <xf numFmtId="0" fontId="0" fillId="2" borderId="1" xfId="0" applyFont="1" applyFill="1" applyBorder="1" applyAlignment="1" applyProtection="1" quotePrefix="1">
      <alignment horizontal="center"/>
      <protection/>
    </xf>
    <xf numFmtId="0" fontId="0" fillId="2" borderId="2" xfId="0" applyFont="1" applyFill="1" applyBorder="1" applyAlignment="1" applyProtection="1">
      <alignment horizontal="center"/>
      <protection/>
    </xf>
    <xf numFmtId="0" fontId="0" fillId="2" borderId="11" xfId="0" applyFont="1" applyFill="1" applyBorder="1" applyAlignment="1" applyProtection="1">
      <alignment horizontal="center"/>
      <protection/>
    </xf>
    <xf numFmtId="0" fontId="1" fillId="2" borderId="0" xfId="0" applyFont="1" applyFill="1" applyBorder="1" applyAlignment="1" applyProtection="1">
      <alignment horizontal="right"/>
      <protection/>
    </xf>
    <xf numFmtId="0" fontId="0" fillId="0" borderId="11" xfId="0" applyFont="1" applyFill="1" applyBorder="1" applyAlignment="1" applyProtection="1">
      <alignment horizontal="center"/>
      <protection locked="0"/>
    </xf>
    <xf numFmtId="0" fontId="1" fillId="6" borderId="37" xfId="0" applyFont="1" applyFill="1" applyBorder="1" applyAlignment="1" applyProtection="1">
      <alignment horizontal="center"/>
      <protection/>
    </xf>
    <xf numFmtId="0" fontId="1" fillId="6" borderId="38" xfId="0" applyFont="1" applyFill="1" applyBorder="1" applyAlignment="1" applyProtection="1">
      <alignment horizontal="center"/>
      <protection/>
    </xf>
    <xf numFmtId="0" fontId="1" fillId="6" borderId="67" xfId="0" applyFont="1" applyFill="1" applyBorder="1" applyAlignment="1" applyProtection="1">
      <alignment horizontal="center"/>
      <protection/>
    </xf>
    <xf numFmtId="0" fontId="1" fillId="6" borderId="50" xfId="0" applyFont="1" applyFill="1" applyBorder="1" applyAlignment="1" applyProtection="1">
      <alignment horizontal="center"/>
      <protection/>
    </xf>
    <xf numFmtId="0" fontId="0" fillId="0" borderId="6" xfId="0" applyFont="1" applyFill="1" applyBorder="1" applyAlignment="1" applyProtection="1">
      <alignment horizontal="center"/>
      <protection locked="0"/>
    </xf>
    <xf numFmtId="0" fontId="0" fillId="0" borderId="7"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6" borderId="38" xfId="0" applyFont="1" applyFill="1" applyBorder="1" applyAlignment="1" applyProtection="1">
      <alignment horizontal="center"/>
      <protection/>
    </xf>
    <xf numFmtId="0" fontId="0" fillId="15" borderId="2" xfId="0" applyFill="1" applyBorder="1" applyAlignment="1" applyProtection="1" quotePrefix="1">
      <alignment horizontal="center"/>
      <protection/>
    </xf>
    <xf numFmtId="0" fontId="0" fillId="15" borderId="11" xfId="0" applyFill="1" applyBorder="1" applyAlignment="1" applyProtection="1">
      <alignment horizontal="center"/>
      <protection/>
    </xf>
    <xf numFmtId="0" fontId="1" fillId="4" borderId="0" xfId="0" applyFont="1" applyFill="1" applyBorder="1" applyAlignment="1" applyProtection="1">
      <alignment horizontal="center" vertical="center" wrapText="1"/>
      <protection/>
    </xf>
    <xf numFmtId="1" fontId="0" fillId="0" borderId="1" xfId="0" applyNumberFormat="1" applyFont="1" applyFill="1" applyBorder="1" applyAlignment="1" applyProtection="1">
      <alignment horizontal="center"/>
      <protection locked="0"/>
    </xf>
    <xf numFmtId="1" fontId="0" fillId="0" borderId="2" xfId="0" applyNumberFormat="1" applyFont="1" applyFill="1" applyBorder="1" applyAlignment="1" applyProtection="1">
      <alignment horizontal="center"/>
      <protection locked="0"/>
    </xf>
    <xf numFmtId="1" fontId="0" fillId="0" borderId="11" xfId="0" applyNumberFormat="1" applyFont="1" applyFill="1" applyBorder="1" applyAlignment="1" applyProtection="1">
      <alignment horizontal="center"/>
      <protection locked="0"/>
    </xf>
    <xf numFmtId="0" fontId="0" fillId="0" borderId="1" xfId="0" applyFont="1" applyFill="1" applyBorder="1" applyAlignment="1" applyProtection="1">
      <alignment horizontal="center"/>
      <protection locked="0"/>
    </xf>
    <xf numFmtId="0" fontId="1" fillId="2" borderId="66" xfId="0" applyFont="1" applyFill="1" applyBorder="1" applyAlignment="1" applyProtection="1">
      <alignment horizontal="center"/>
      <protection/>
    </xf>
    <xf numFmtId="0" fontId="1" fillId="2" borderId="63" xfId="0" applyFont="1" applyFill="1" applyBorder="1" applyAlignment="1" applyProtection="1">
      <alignment horizontal="center"/>
      <protection/>
    </xf>
    <xf numFmtId="0" fontId="1" fillId="2" borderId="20" xfId="0" applyFont="1" applyFill="1" applyBorder="1" applyAlignment="1" applyProtection="1">
      <alignment horizontal="center" wrapText="1"/>
      <protection/>
    </xf>
    <xf numFmtId="0" fontId="0" fillId="2" borderId="69" xfId="0" applyFill="1" applyBorder="1" applyAlignment="1" applyProtection="1">
      <alignment horizontal="center" wrapText="1"/>
      <protection/>
    </xf>
    <xf numFmtId="0" fontId="1" fillId="6" borderId="43" xfId="0" applyFont="1" applyFill="1" applyBorder="1" applyAlignment="1" applyProtection="1">
      <alignment horizontal="center"/>
      <protection/>
    </xf>
    <xf numFmtId="0" fontId="1" fillId="6" borderId="44" xfId="0" applyFont="1" applyFill="1" applyBorder="1" applyAlignment="1" applyProtection="1">
      <alignment horizontal="center"/>
      <protection/>
    </xf>
    <xf numFmtId="0" fontId="1" fillId="6" borderId="45" xfId="0" applyFont="1" applyFill="1" applyBorder="1" applyAlignment="1" applyProtection="1">
      <alignment horizontal="center"/>
      <protection/>
    </xf>
    <xf numFmtId="0" fontId="1" fillId="6" borderId="20" xfId="0" applyFont="1" applyFill="1" applyBorder="1" applyAlignment="1" applyProtection="1">
      <alignment horizontal="center"/>
      <protection/>
    </xf>
    <xf numFmtId="0" fontId="1" fillId="6" borderId="21" xfId="0" applyFont="1" applyFill="1" applyBorder="1" applyAlignment="1" applyProtection="1">
      <alignment horizontal="center"/>
      <protection/>
    </xf>
    <xf numFmtId="0" fontId="1" fillId="6" borderId="22" xfId="0" applyFont="1" applyFill="1" applyBorder="1" applyAlignment="1" applyProtection="1">
      <alignment horizontal="center"/>
      <protection/>
    </xf>
    <xf numFmtId="0" fontId="1" fillId="2" borderId="67" xfId="0" applyFont="1" applyFill="1" applyBorder="1" applyAlignment="1" applyProtection="1">
      <alignment horizontal="center"/>
      <protection/>
    </xf>
    <xf numFmtId="0" fontId="2" fillId="6" borderId="37" xfId="0" applyFont="1" applyFill="1" applyBorder="1" applyAlignment="1" applyProtection="1">
      <alignment horizontal="center"/>
      <protection/>
    </xf>
    <xf numFmtId="14" fontId="1" fillId="0" borderId="27" xfId="0" applyNumberFormat="1"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2" borderId="64" xfId="0" applyFont="1" applyFill="1" applyBorder="1" applyAlignment="1" applyProtection="1">
      <alignment horizontal="center"/>
      <protection/>
    </xf>
    <xf numFmtId="1" fontId="4" fillId="0" borderId="47" xfId="0" applyNumberFormat="1" applyFont="1" applyFill="1" applyBorder="1" applyAlignment="1" applyProtection="1">
      <alignment horizontal="center"/>
      <protection locked="0"/>
    </xf>
    <xf numFmtId="0" fontId="2" fillId="6" borderId="68" xfId="0" applyFont="1" applyFill="1" applyBorder="1" applyAlignment="1" applyProtection="1">
      <alignment horizontal="center"/>
      <protection/>
    </xf>
    <xf numFmtId="0" fontId="2" fillId="6" borderId="38" xfId="0" applyFont="1" applyFill="1" applyBorder="1" applyAlignment="1" applyProtection="1">
      <alignment horizontal="center"/>
      <protection/>
    </xf>
    <xf numFmtId="0" fontId="2" fillId="6" borderId="50" xfId="0" applyFont="1" applyFill="1" applyBorder="1" applyAlignment="1" applyProtection="1">
      <alignment horizontal="center"/>
      <protection/>
    </xf>
    <xf numFmtId="0" fontId="1" fillId="2" borderId="37" xfId="0" applyFont="1" applyFill="1" applyBorder="1" applyAlignment="1" applyProtection="1">
      <alignment horizontal="center"/>
      <protection locked="0"/>
    </xf>
    <xf numFmtId="0" fontId="0" fillId="2" borderId="38" xfId="0" applyFill="1" applyBorder="1" applyAlignment="1" applyProtection="1">
      <alignment horizontal="center"/>
      <protection locked="0"/>
    </xf>
    <xf numFmtId="0" fontId="0" fillId="2" borderId="67" xfId="0" applyFill="1" applyBorder="1" applyAlignment="1" applyProtection="1">
      <alignment horizontal="center"/>
      <protection locked="0"/>
    </xf>
    <xf numFmtId="0" fontId="1" fillId="6" borderId="43" xfId="0" applyFont="1" applyFill="1" applyBorder="1" applyAlignment="1" applyProtection="1">
      <alignment horizontal="center"/>
      <protection locked="0"/>
    </xf>
    <xf numFmtId="0" fontId="1" fillId="6" borderId="44" xfId="0" applyFont="1" applyFill="1" applyBorder="1" applyAlignment="1" applyProtection="1">
      <alignment horizontal="center"/>
      <protection locked="0"/>
    </xf>
    <xf numFmtId="0" fontId="1" fillId="6" borderId="45" xfId="0" applyFont="1" applyFill="1" applyBorder="1" applyAlignment="1" applyProtection="1">
      <alignment horizontal="center"/>
      <protection locked="0"/>
    </xf>
    <xf numFmtId="0" fontId="0" fillId="0" borderId="2" xfId="0" applyFont="1" applyFill="1" applyBorder="1" applyAlignment="1" applyProtection="1">
      <alignment horizontal="center"/>
      <protection locked="0"/>
    </xf>
    <xf numFmtId="2" fontId="1" fillId="5" borderId="54" xfId="0" applyNumberFormat="1" applyFont="1" applyFill="1" applyBorder="1" applyAlignment="1" applyProtection="1">
      <alignment horizontal="center"/>
      <protection/>
    </xf>
    <xf numFmtId="2" fontId="1" fillId="5" borderId="49" xfId="0" applyNumberFormat="1" applyFont="1" applyFill="1" applyBorder="1" applyAlignment="1" applyProtection="1">
      <alignment horizontal="center"/>
      <protection/>
    </xf>
    <xf numFmtId="1" fontId="4" fillId="0" borderId="2" xfId="0" applyNumberFormat="1" applyFont="1" applyFill="1" applyBorder="1" applyAlignment="1" applyProtection="1">
      <alignment horizontal="center"/>
      <protection locked="0"/>
    </xf>
    <xf numFmtId="0" fontId="1" fillId="2" borderId="0" xfId="0" applyFont="1" applyFill="1" applyBorder="1" applyAlignment="1" applyProtection="1">
      <alignment horizontal="center" wrapText="1"/>
      <protection locked="0"/>
    </xf>
    <xf numFmtId="1" fontId="1" fillId="2" borderId="0" xfId="0" applyNumberFormat="1" applyFont="1" applyFill="1" applyBorder="1" applyAlignment="1" applyProtection="1">
      <alignment horizontal="center" wrapText="1"/>
      <protection locked="0"/>
    </xf>
    <xf numFmtId="1" fontId="1" fillId="2" borderId="0" xfId="0" applyNumberFormat="1" applyFont="1" applyFill="1" applyBorder="1" applyAlignment="1" applyProtection="1">
      <alignment horizontal="center"/>
      <protection/>
    </xf>
    <xf numFmtId="1" fontId="0" fillId="2" borderId="0" xfId="0" applyNumberFormat="1" applyFont="1" applyFill="1" applyBorder="1" applyAlignment="1" applyProtection="1">
      <alignment horizontal="left"/>
      <protection locked="0"/>
    </xf>
    <xf numFmtId="0" fontId="0" fillId="6" borderId="24" xfId="0" applyFont="1" applyFill="1" applyBorder="1" applyAlignment="1" applyProtection="1">
      <alignment horizontal="center"/>
      <protection/>
    </xf>
    <xf numFmtId="0" fontId="0" fillId="6" borderId="0" xfId="0" applyFont="1" applyFill="1" applyBorder="1" applyAlignment="1" applyProtection="1">
      <alignment horizontal="center"/>
      <protection/>
    </xf>
    <xf numFmtId="0" fontId="0" fillId="6" borderId="25" xfId="0" applyFont="1" applyFill="1" applyBorder="1" applyAlignment="1" applyProtection="1">
      <alignment horizontal="center"/>
      <protection/>
    </xf>
    <xf numFmtId="49" fontId="19" fillId="6" borderId="24" xfId="0" applyNumberFormat="1" applyFont="1" applyFill="1" applyBorder="1" applyAlignment="1">
      <alignment horizontal="left" vertical="center" wrapText="1"/>
    </xf>
    <xf numFmtId="49" fontId="19" fillId="6" borderId="0" xfId="0" applyNumberFormat="1" applyFont="1" applyFill="1" applyBorder="1" applyAlignment="1">
      <alignment horizontal="left" vertical="center" wrapText="1"/>
    </xf>
    <xf numFmtId="49" fontId="19" fillId="6" borderId="25" xfId="0" applyNumberFormat="1" applyFont="1" applyFill="1" applyBorder="1" applyAlignment="1">
      <alignment horizontal="left" vertical="center" wrapText="1"/>
    </xf>
    <xf numFmtId="49" fontId="19" fillId="6" borderId="30" xfId="0" applyNumberFormat="1" applyFont="1" applyFill="1" applyBorder="1" applyAlignment="1">
      <alignment horizontal="left" vertical="center" wrapText="1"/>
    </xf>
    <xf numFmtId="49" fontId="19" fillId="6" borderId="31" xfId="0" applyNumberFormat="1" applyFont="1" applyFill="1" applyBorder="1" applyAlignment="1">
      <alignment horizontal="left" vertical="center" wrapText="1"/>
    </xf>
    <xf numFmtId="49" fontId="19" fillId="6" borderId="32" xfId="0" applyNumberFormat="1" applyFont="1" applyFill="1" applyBorder="1" applyAlignment="1">
      <alignment horizontal="left" vertical="center" wrapText="1"/>
    </xf>
    <xf numFmtId="0" fontId="0" fillId="6" borderId="20" xfId="0" applyFont="1" applyFill="1" applyBorder="1" applyAlignment="1" applyProtection="1">
      <alignment horizontal="left"/>
      <protection/>
    </xf>
    <xf numFmtId="0" fontId="0" fillId="6" borderId="22" xfId="0" applyFill="1" applyBorder="1" applyAlignment="1" applyProtection="1">
      <alignment horizontal="left"/>
      <protection/>
    </xf>
    <xf numFmtId="0" fontId="0" fillId="6" borderId="24" xfId="0" applyFont="1" applyFill="1" applyBorder="1" applyAlignment="1" applyProtection="1">
      <alignment horizontal="left"/>
      <protection/>
    </xf>
    <xf numFmtId="0" fontId="0" fillId="6" borderId="25" xfId="0" applyFill="1" applyBorder="1" applyAlignment="1" applyProtection="1">
      <alignment horizontal="left"/>
      <protection/>
    </xf>
    <xf numFmtId="0" fontId="1" fillId="6" borderId="37" xfId="0" applyFont="1" applyFill="1" applyBorder="1" applyAlignment="1">
      <alignment horizontal="center"/>
    </xf>
    <xf numFmtId="0" fontId="0" fillId="6" borderId="38" xfId="0" applyFill="1" applyBorder="1" applyAlignment="1">
      <alignment horizontal="center"/>
    </xf>
    <xf numFmtId="0" fontId="0" fillId="6" borderId="50" xfId="0" applyFill="1" applyBorder="1" applyAlignment="1">
      <alignment horizontal="center"/>
    </xf>
    <xf numFmtId="1" fontId="1" fillId="5" borderId="43" xfId="0" applyNumberFormat="1" applyFont="1" applyFill="1" applyBorder="1" applyAlignment="1" applyProtection="1">
      <alignment horizontal="center"/>
      <protection/>
    </xf>
    <xf numFmtId="1" fontId="1" fillId="5" borderId="44" xfId="0" applyNumberFormat="1" applyFont="1" applyFill="1" applyBorder="1" applyAlignment="1" applyProtection="1">
      <alignment horizontal="center"/>
      <protection/>
    </xf>
    <xf numFmtId="0" fontId="1" fillId="2" borderId="66" xfId="0" applyFont="1" applyFill="1" applyBorder="1" applyAlignment="1">
      <alignment horizontal="center"/>
    </xf>
    <xf numFmtId="1" fontId="1" fillId="5" borderId="48" xfId="0" applyNumberFormat="1" applyFont="1" applyFill="1" applyBorder="1" applyAlignment="1" applyProtection="1">
      <alignment horizontal="center"/>
      <protection/>
    </xf>
    <xf numFmtId="1" fontId="1" fillId="5" borderId="54" xfId="0" applyNumberFormat="1" applyFont="1" applyFill="1" applyBorder="1" applyAlignment="1" applyProtection="1">
      <alignment horizontal="center"/>
      <protection/>
    </xf>
    <xf numFmtId="1" fontId="0" fillId="0" borderId="47" xfId="0" applyNumberFormat="1" applyFont="1" applyFill="1" applyBorder="1" applyAlignment="1" applyProtection="1">
      <alignment horizontal="center"/>
      <protection locked="0"/>
    </xf>
    <xf numFmtId="49" fontId="19" fillId="6" borderId="20" xfId="0" applyNumberFormat="1" applyFont="1" applyFill="1" applyBorder="1" applyAlignment="1" applyProtection="1">
      <alignment horizontal="left" vertical="center" wrapText="1"/>
      <protection locked="0"/>
    </xf>
    <xf numFmtId="49" fontId="19" fillId="6" borderId="21" xfId="0" applyNumberFormat="1" applyFont="1" applyFill="1" applyBorder="1" applyAlignment="1">
      <alignment horizontal="left" vertical="center" wrapText="1"/>
    </xf>
    <xf numFmtId="49" fontId="19" fillId="6" borderId="22" xfId="0" applyNumberFormat="1" applyFont="1" applyFill="1" applyBorder="1" applyAlignment="1">
      <alignment horizontal="left" vertical="center" wrapText="1"/>
    </xf>
    <xf numFmtId="0" fontId="0" fillId="2" borderId="0"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7"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1" fillId="0" borderId="2"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0" fillId="6" borderId="30" xfId="0" applyFont="1" applyFill="1" applyBorder="1" applyAlignment="1" applyProtection="1">
      <alignment horizontal="left"/>
      <protection/>
    </xf>
    <xf numFmtId="0" fontId="0" fillId="6" borderId="32" xfId="0" applyFill="1" applyBorder="1" applyAlignment="1" applyProtection="1">
      <alignment horizontal="left"/>
      <protection/>
    </xf>
    <xf numFmtId="0" fontId="0" fillId="6" borderId="30" xfId="0" applyFont="1" applyFill="1" applyBorder="1" applyAlignment="1" applyProtection="1">
      <alignment horizontal="center"/>
      <protection/>
    </xf>
    <xf numFmtId="0" fontId="0" fillId="6" borderId="31" xfId="0" applyFont="1" applyFill="1" applyBorder="1" applyAlignment="1" applyProtection="1">
      <alignment horizontal="center"/>
      <protection/>
    </xf>
    <xf numFmtId="0" fontId="0" fillId="6" borderId="32" xfId="0" applyFont="1" applyFill="1" applyBorder="1" applyAlignment="1" applyProtection="1">
      <alignment horizontal="center"/>
      <protection/>
    </xf>
    <xf numFmtId="0" fontId="1" fillId="0" borderId="60" xfId="0" applyFont="1" applyFill="1" applyBorder="1" applyAlignment="1" applyProtection="1">
      <alignment horizontal="center"/>
      <protection locked="0"/>
    </xf>
    <xf numFmtId="0" fontId="1" fillId="0" borderId="47" xfId="0" applyFont="1" applyFill="1" applyBorder="1" applyAlignment="1" applyProtection="1">
      <alignment horizontal="center"/>
      <protection locked="0"/>
    </xf>
    <xf numFmtId="0" fontId="1" fillId="0" borderId="59" xfId="0" applyFont="1" applyFill="1" applyBorder="1" applyAlignment="1" applyProtection="1">
      <alignment horizontal="center"/>
      <protection locked="0"/>
    </xf>
    <xf numFmtId="0" fontId="1" fillId="6" borderId="52" xfId="0" applyFont="1" applyFill="1" applyBorder="1" applyAlignment="1" applyProtection="1">
      <alignment horizontal="center"/>
      <protection/>
    </xf>
    <xf numFmtId="0" fontId="1" fillId="2" borderId="37" xfId="0" applyFont="1" applyFill="1" applyBorder="1" applyAlignment="1" applyProtection="1">
      <alignment horizontal="center"/>
      <protection/>
    </xf>
    <xf numFmtId="0" fontId="1" fillId="2" borderId="38" xfId="0" applyFont="1" applyFill="1" applyBorder="1" applyAlignment="1" applyProtection="1">
      <alignment horizontal="center"/>
      <protection/>
    </xf>
    <xf numFmtId="0" fontId="1" fillId="2" borderId="50" xfId="0" applyFont="1" applyFill="1" applyBorder="1" applyAlignment="1" applyProtection="1">
      <alignment horizontal="center"/>
      <protection/>
    </xf>
    <xf numFmtId="0" fontId="1" fillId="7" borderId="38" xfId="0" applyFont="1" applyFill="1" applyBorder="1" applyAlignment="1" applyProtection="1">
      <alignment horizontal="center"/>
      <protection/>
    </xf>
    <xf numFmtId="0" fontId="1" fillId="7" borderId="50" xfId="0" applyFont="1" applyFill="1" applyBorder="1" applyAlignment="1" applyProtection="1">
      <alignment horizontal="center"/>
      <protection/>
    </xf>
    <xf numFmtId="0" fontId="0" fillId="7" borderId="2" xfId="0" applyFill="1" applyBorder="1" applyAlignment="1" applyProtection="1" quotePrefix="1">
      <alignment horizontal="center"/>
      <protection/>
    </xf>
    <xf numFmtId="0" fontId="0" fillId="7" borderId="11" xfId="0" applyFill="1" applyBorder="1" applyAlignment="1" applyProtection="1">
      <alignment horizontal="center"/>
      <protection/>
    </xf>
    <xf numFmtId="0" fontId="0" fillId="0" borderId="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14" borderId="1" xfId="0" applyFont="1" applyFill="1" applyBorder="1" applyAlignment="1" applyProtection="1" quotePrefix="1">
      <alignment horizontal="center"/>
      <protection/>
    </xf>
    <xf numFmtId="0" fontId="0" fillId="14" borderId="2" xfId="0" applyFont="1" applyFill="1" applyBorder="1" applyAlignment="1" applyProtection="1">
      <alignment horizontal="center"/>
      <protection/>
    </xf>
    <xf numFmtId="0" fontId="0" fillId="15" borderId="1" xfId="0" applyFont="1" applyFill="1" applyBorder="1" applyAlignment="1" applyProtection="1" quotePrefix="1">
      <alignment horizontal="center"/>
      <protection/>
    </xf>
    <xf numFmtId="0" fontId="0" fillId="15" borderId="2" xfId="0" applyFont="1" applyFill="1" applyBorder="1" applyAlignment="1" applyProtection="1" quotePrefix="1">
      <alignment horizontal="center"/>
      <protection/>
    </xf>
    <xf numFmtId="0" fontId="1" fillId="3" borderId="12" xfId="0" applyFont="1" applyFill="1" applyBorder="1" applyAlignment="1" applyProtection="1">
      <alignment horizontal="center"/>
      <protection/>
    </xf>
    <xf numFmtId="0" fontId="1" fillId="3" borderId="13" xfId="0" applyFont="1" applyFill="1" applyBorder="1" applyAlignment="1" applyProtection="1">
      <alignment horizontal="center"/>
      <protection/>
    </xf>
    <xf numFmtId="0" fontId="0" fillId="2" borderId="67" xfId="0" applyFill="1" applyBorder="1" applyAlignment="1" applyProtection="1">
      <alignment horizontal="center"/>
      <protection/>
    </xf>
    <xf numFmtId="0" fontId="0" fillId="0" borderId="7"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2" borderId="38" xfId="0" applyFill="1" applyBorder="1" applyAlignment="1" applyProtection="1">
      <alignment horizontal="center"/>
      <protection/>
    </xf>
    <xf numFmtId="0" fontId="0" fillId="2" borderId="50" xfId="0" applyFill="1" applyBorder="1" applyAlignment="1" applyProtection="1">
      <alignment horizontal="center"/>
      <protection/>
    </xf>
    <xf numFmtId="0" fontId="1" fillId="3" borderId="1" xfId="0" applyFont="1" applyFill="1" applyBorder="1" applyAlignment="1" applyProtection="1">
      <alignment horizontal="center"/>
      <protection/>
    </xf>
    <xf numFmtId="0" fontId="1" fillId="3" borderId="11" xfId="0" applyFont="1" applyFill="1" applyBorder="1" applyAlignment="1" applyProtection="1">
      <alignment horizontal="center"/>
      <protection/>
    </xf>
    <xf numFmtId="0" fontId="0" fillId="5" borderId="38" xfId="0" applyFont="1" applyFill="1" applyBorder="1" applyAlignment="1" applyProtection="1">
      <alignment horizontal="center"/>
      <protection/>
    </xf>
    <xf numFmtId="0" fontId="0" fillId="5" borderId="50" xfId="0" applyFont="1" applyFill="1" applyBorder="1" applyAlignment="1" applyProtection="1">
      <alignment horizontal="center"/>
      <protection/>
    </xf>
    <xf numFmtId="0" fontId="1" fillId="5" borderId="68" xfId="0" applyFont="1" applyFill="1" applyBorder="1" applyAlignment="1" applyProtection="1">
      <alignment horizontal="center"/>
      <protection/>
    </xf>
    <xf numFmtId="0" fontId="0" fillId="2" borderId="0" xfId="0" applyFill="1" applyBorder="1" applyAlignment="1" applyProtection="1" quotePrefix="1">
      <alignment horizontal="center"/>
      <protection locked="0"/>
    </xf>
    <xf numFmtId="0" fontId="0" fillId="2" borderId="0" xfId="0" applyFill="1" applyBorder="1" applyAlignment="1" applyProtection="1">
      <alignment horizontal="center"/>
      <protection locked="0"/>
    </xf>
    <xf numFmtId="1" fontId="0" fillId="0" borderId="6" xfId="0" applyNumberFormat="1" applyFont="1" applyFill="1" applyBorder="1" applyAlignment="1" applyProtection="1">
      <alignment horizontal="center"/>
      <protection locked="0"/>
    </xf>
    <xf numFmtId="1" fontId="0" fillId="0" borderId="7" xfId="0" applyNumberFormat="1" applyFont="1" applyFill="1" applyBorder="1" applyAlignment="1" applyProtection="1">
      <alignment horizontal="center"/>
      <protection locked="0"/>
    </xf>
    <xf numFmtId="1" fontId="0" fillId="0" borderId="14" xfId="0" applyNumberFormat="1" applyFont="1" applyFill="1" applyBorder="1" applyAlignment="1" applyProtection="1">
      <alignment horizontal="center"/>
      <protection locked="0"/>
    </xf>
    <xf numFmtId="0" fontId="1" fillId="2" borderId="43" xfId="0" applyFont="1" applyFill="1" applyBorder="1" applyAlignment="1" applyProtection="1">
      <alignment horizontal="center"/>
      <protection/>
    </xf>
    <xf numFmtId="0" fontId="1" fillId="2" borderId="44" xfId="0" applyFont="1" applyFill="1" applyBorder="1" applyAlignment="1" applyProtection="1">
      <alignment horizontal="center"/>
      <protection/>
    </xf>
    <xf numFmtId="0" fontId="1" fillId="5" borderId="43" xfId="0" applyFont="1" applyFill="1" applyBorder="1" applyAlignment="1" applyProtection="1">
      <alignment horizontal="center"/>
      <protection/>
    </xf>
    <xf numFmtId="0" fontId="1" fillId="5" borderId="44" xfId="0" applyFont="1" applyFill="1" applyBorder="1" applyAlignment="1" applyProtection="1">
      <alignment horizontal="center"/>
      <protection/>
    </xf>
    <xf numFmtId="0" fontId="5" fillId="2" borderId="0" xfId="0" applyFont="1" applyFill="1" applyBorder="1" applyAlignment="1" applyProtection="1">
      <alignment horizontal="center"/>
      <protection/>
    </xf>
    <xf numFmtId="0" fontId="1" fillId="3" borderId="6" xfId="0" applyFont="1" applyFill="1" applyBorder="1" applyAlignment="1" applyProtection="1">
      <alignment horizontal="center"/>
      <protection/>
    </xf>
    <xf numFmtId="0" fontId="1" fillId="3" borderId="14" xfId="0" applyFont="1" applyFill="1" applyBorder="1" applyAlignment="1" applyProtection="1">
      <alignment horizontal="center"/>
      <protection/>
    </xf>
    <xf numFmtId="0" fontId="1" fillId="2" borderId="20" xfId="0" applyFont="1" applyFill="1" applyBorder="1" applyAlignment="1" applyProtection="1">
      <alignment horizontal="center"/>
      <protection/>
    </xf>
    <xf numFmtId="0" fontId="1" fillId="2" borderId="21" xfId="0" applyFont="1" applyFill="1" applyBorder="1" applyAlignment="1" applyProtection="1">
      <alignment horizontal="center"/>
      <protection/>
    </xf>
    <xf numFmtId="0" fontId="5" fillId="2" borderId="43" xfId="0" applyFont="1" applyFill="1" applyBorder="1" applyAlignment="1" applyProtection="1">
      <alignment horizontal="center"/>
      <protection/>
    </xf>
    <xf numFmtId="0" fontId="5" fillId="2" borderId="44" xfId="0" applyFont="1" applyFill="1" applyBorder="1" applyAlignment="1" applyProtection="1">
      <alignment horizontal="center"/>
      <protection/>
    </xf>
    <xf numFmtId="0" fontId="1" fillId="5" borderId="65" xfId="0" applyFont="1" applyFill="1" applyBorder="1" applyAlignment="1" applyProtection="1">
      <alignment horizontal="center"/>
      <protection/>
    </xf>
    <xf numFmtId="0" fontId="1" fillId="5" borderId="10" xfId="0" applyFont="1" applyFill="1" applyBorder="1" applyAlignment="1" applyProtection="1">
      <alignment horizontal="center"/>
      <protection/>
    </xf>
    <xf numFmtId="0" fontId="1" fillId="5" borderId="64" xfId="0" applyFont="1" applyFill="1" applyBorder="1" applyAlignment="1" applyProtection="1">
      <alignment horizontal="center"/>
      <protection/>
    </xf>
    <xf numFmtId="0" fontId="1" fillId="5" borderId="66" xfId="0" applyFont="1" applyFill="1" applyBorder="1" applyAlignment="1" applyProtection="1">
      <alignment horizontal="center"/>
      <protection/>
    </xf>
    <xf numFmtId="0" fontId="1" fillId="6" borderId="43" xfId="0" applyFont="1" applyFill="1" applyBorder="1" applyAlignment="1" applyProtection="1">
      <alignment horizontal="center" wrapText="1"/>
      <protection/>
    </xf>
    <xf numFmtId="0" fontId="1" fillId="6" borderId="45" xfId="0" applyFont="1" applyFill="1" applyBorder="1" applyAlignment="1" applyProtection="1">
      <alignment horizontal="center" wrapText="1"/>
      <protection/>
    </xf>
    <xf numFmtId="0" fontId="1" fillId="6" borderId="1" xfId="0" applyFont="1" applyFill="1" applyBorder="1" applyAlignment="1" applyProtection="1">
      <alignment horizontal="center"/>
      <protection/>
    </xf>
    <xf numFmtId="0" fontId="1" fillId="6" borderId="2" xfId="0" applyFont="1" applyFill="1" applyBorder="1" applyAlignment="1" applyProtection="1">
      <alignment horizontal="center"/>
      <protection/>
    </xf>
    <xf numFmtId="0" fontId="1" fillId="6" borderId="11" xfId="0" applyFont="1" applyFill="1" applyBorder="1" applyAlignment="1" applyProtection="1">
      <alignment horizontal="center"/>
      <protection/>
    </xf>
    <xf numFmtId="0" fontId="1" fillId="6" borderId="12" xfId="0" applyFont="1" applyFill="1" applyBorder="1" applyAlignment="1" applyProtection="1">
      <alignment horizontal="center"/>
      <protection/>
    </xf>
    <xf numFmtId="0" fontId="1" fillId="6" borderId="5" xfId="0" applyFont="1" applyFill="1" applyBorder="1" applyAlignment="1" applyProtection="1">
      <alignment horizontal="center"/>
      <protection/>
    </xf>
    <xf numFmtId="0" fontId="1" fillId="6" borderId="13" xfId="0" applyFont="1" applyFill="1" applyBorder="1" applyAlignment="1" applyProtection="1">
      <alignment horizontal="center"/>
      <protection/>
    </xf>
    <xf numFmtId="0" fontId="1" fillId="6" borderId="34" xfId="0" applyFont="1" applyFill="1" applyBorder="1" applyAlignment="1" applyProtection="1">
      <alignment horizontal="center"/>
      <protection/>
    </xf>
    <xf numFmtId="0" fontId="1" fillId="6" borderId="23" xfId="0" applyFont="1" applyFill="1" applyBorder="1" applyAlignment="1" applyProtection="1">
      <alignment horizontal="center"/>
      <protection/>
    </xf>
    <xf numFmtId="0" fontId="1" fillId="6" borderId="35" xfId="0" applyFont="1" applyFill="1" applyBorder="1" applyAlignment="1" applyProtection="1">
      <alignment horizontal="center"/>
      <protection/>
    </xf>
    <xf numFmtId="0" fontId="1" fillId="6" borderId="44" xfId="0" applyFont="1" applyFill="1" applyBorder="1" applyAlignment="1" applyProtection="1">
      <alignment horizontal="center" wrapText="1"/>
      <protection/>
    </xf>
    <xf numFmtId="0" fontId="8" fillId="0" borderId="37" xfId="0" applyFont="1" applyFill="1" applyBorder="1" applyAlignment="1" applyProtection="1">
      <alignment horizontal="center"/>
      <protection locked="0"/>
    </xf>
    <xf numFmtId="0" fontId="8" fillId="0" borderId="38" xfId="0" applyFont="1" applyFill="1" applyBorder="1" applyAlignment="1" applyProtection="1">
      <alignment horizontal="center"/>
      <protection locked="0"/>
    </xf>
    <xf numFmtId="0" fontId="8" fillId="0" borderId="50" xfId="0"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30" fillId="0" borderId="0" xfId="0" applyFont="1" applyAlignment="1">
      <alignment horizontal="center"/>
    </xf>
    <xf numFmtId="0" fontId="0" fillId="2" borderId="21" xfId="0" applyFont="1" applyFill="1" applyBorder="1" applyAlignment="1">
      <alignment horizontal="center"/>
    </xf>
    <xf numFmtId="0" fontId="1" fillId="2" borderId="64" xfId="0" applyFont="1" applyFill="1" applyBorder="1" applyAlignment="1">
      <alignment horizontal="center"/>
    </xf>
    <xf numFmtId="0" fontId="1" fillId="2" borderId="68" xfId="0" applyFont="1" applyFill="1" applyBorder="1" applyAlignment="1">
      <alignment horizontal="center"/>
    </xf>
    <xf numFmtId="0" fontId="0" fillId="2" borderId="12" xfId="0" applyFont="1" applyFill="1" applyBorder="1" applyAlignment="1">
      <alignment horizontal="center"/>
    </xf>
    <xf numFmtId="0" fontId="0" fillId="2" borderId="5" xfId="0" applyFont="1" applyFill="1" applyBorder="1" applyAlignment="1">
      <alignment horizontal="center"/>
    </xf>
    <xf numFmtId="0" fontId="0" fillId="2" borderId="3" xfId="0" applyFont="1" applyFill="1" applyBorder="1" applyAlignment="1">
      <alignment horizontal="center"/>
    </xf>
    <xf numFmtId="0" fontId="0" fillId="2" borderId="4" xfId="0" applyFill="1" applyBorder="1" applyAlignment="1" quotePrefix="1">
      <alignment horizontal="center"/>
    </xf>
    <xf numFmtId="0" fontId="0" fillId="2" borderId="13" xfId="0" applyFill="1" applyBorder="1" applyAlignment="1" quotePrefix="1">
      <alignment horizontal="center"/>
    </xf>
    <xf numFmtId="0" fontId="1" fillId="2" borderId="67" xfId="0" applyFont="1" applyFill="1" applyBorder="1" applyAlignment="1">
      <alignment horizontal="center"/>
    </xf>
    <xf numFmtId="0" fontId="1" fillId="2" borderId="63" xfId="0" applyFont="1" applyFill="1" applyBorder="1" applyAlignment="1">
      <alignment horizontal="center"/>
    </xf>
    <xf numFmtId="0" fontId="0" fillId="2" borderId="4" xfId="0" applyFill="1" applyBorder="1" applyAlignment="1">
      <alignment horizontal="center"/>
    </xf>
    <xf numFmtId="0" fontId="0" fillId="2" borderId="13" xfId="0" applyFill="1" applyBorder="1" applyAlignment="1">
      <alignment horizontal="center"/>
    </xf>
    <xf numFmtId="0" fontId="1" fillId="2" borderId="0" xfId="0" applyFont="1" applyFill="1" applyBorder="1" applyAlignment="1">
      <alignment horizontal="right"/>
    </xf>
    <xf numFmtId="0" fontId="0" fillId="2" borderId="0" xfId="0" applyFont="1" applyFill="1" applyBorder="1" applyAlignment="1">
      <alignment horizontal="right"/>
    </xf>
    <xf numFmtId="0" fontId="1" fillId="2" borderId="37" xfId="0" applyFont="1" applyFill="1" applyBorder="1" applyAlignment="1">
      <alignment horizontal="center"/>
    </xf>
    <xf numFmtId="0" fontId="1" fillId="2" borderId="38" xfId="0" applyFont="1" applyFill="1" applyBorder="1" applyAlignment="1">
      <alignment horizontal="center"/>
    </xf>
    <xf numFmtId="0" fontId="1" fillId="2" borderId="50" xfId="0" applyFont="1" applyFill="1" applyBorder="1" applyAlignment="1">
      <alignment horizontal="center"/>
    </xf>
    <xf numFmtId="0" fontId="0" fillId="2" borderId="64" xfId="0" applyFont="1" applyFill="1" applyBorder="1" applyAlignment="1">
      <alignment horizontal="center"/>
    </xf>
    <xf numFmtId="0" fontId="0" fillId="2" borderId="66" xfId="0" applyFont="1" applyFill="1" applyBorder="1" applyAlignment="1">
      <alignment horizontal="center"/>
    </xf>
    <xf numFmtId="0" fontId="0" fillId="2" borderId="68" xfId="0" applyFont="1" applyFill="1" applyBorder="1" applyAlignment="1">
      <alignment horizontal="center"/>
    </xf>
    <xf numFmtId="0" fontId="0" fillId="2" borderId="67" xfId="0" applyFill="1" applyBorder="1" applyAlignment="1" quotePrefix="1">
      <alignment horizontal="center"/>
    </xf>
    <xf numFmtId="0" fontId="0" fillId="2" borderId="63" xfId="0" applyFill="1" applyBorder="1" applyAlignment="1" quotePrefix="1">
      <alignment horizontal="center"/>
    </xf>
    <xf numFmtId="0" fontId="0" fillId="2" borderId="5" xfId="0" applyFill="1" applyBorder="1" applyAlignment="1">
      <alignment horizontal="center"/>
    </xf>
    <xf numFmtId="0" fontId="0" fillId="2" borderId="27" xfId="0" applyFont="1" applyFill="1" applyBorder="1" applyAlignment="1">
      <alignment horizontal="left"/>
    </xf>
    <xf numFmtId="0" fontId="0" fillId="2" borderId="5" xfId="0" applyFill="1" applyBorder="1" applyAlignment="1">
      <alignment horizontal="left"/>
    </xf>
    <xf numFmtId="0" fontId="1" fillId="2" borderId="0" xfId="0" applyFont="1" applyFill="1" applyBorder="1" applyAlignment="1">
      <alignment horizontal="left"/>
    </xf>
    <xf numFmtId="0" fontId="7" fillId="2" borderId="0" xfId="0" applyFont="1" applyFill="1" applyBorder="1" applyAlignment="1">
      <alignment horizontal="left"/>
    </xf>
    <xf numFmtId="0" fontId="5" fillId="2" borderId="0" xfId="0" applyFont="1" applyFill="1" applyBorder="1" applyAlignment="1">
      <alignment horizontal="left"/>
    </xf>
    <xf numFmtId="0" fontId="0" fillId="2" borderId="27" xfId="0" applyFill="1" applyBorder="1" applyAlignment="1">
      <alignment horizontal="left"/>
    </xf>
    <xf numFmtId="0" fontId="1" fillId="2" borderId="0" xfId="0" applyFont="1" applyFill="1" applyBorder="1" applyAlignment="1">
      <alignment horizontal="center"/>
    </xf>
    <xf numFmtId="0" fontId="1" fillId="2" borderId="2" xfId="0" applyFont="1" applyFill="1" applyBorder="1" applyAlignment="1">
      <alignment horizontal="center"/>
    </xf>
    <xf numFmtId="0" fontId="1" fillId="0" borderId="2" xfId="0" applyFont="1" applyFill="1" applyBorder="1" applyAlignment="1">
      <alignment horizontal="center"/>
    </xf>
    <xf numFmtId="0" fontId="1" fillId="0" borderId="4" xfId="0" applyFont="1" applyFill="1" applyBorder="1" applyAlignment="1">
      <alignment horizontal="center"/>
    </xf>
    <xf numFmtId="0" fontId="1" fillId="0" borderId="68" xfId="0" applyFont="1" applyFill="1" applyBorder="1" applyAlignment="1">
      <alignment horizontal="center"/>
    </xf>
    <xf numFmtId="0" fontId="0" fillId="0" borderId="38" xfId="0" applyFill="1" applyBorder="1" applyAlignment="1">
      <alignment horizontal="center"/>
    </xf>
    <xf numFmtId="0" fontId="0" fillId="0" borderId="50" xfId="0" applyFill="1" applyBorder="1" applyAlignment="1">
      <alignment horizontal="center"/>
    </xf>
    <xf numFmtId="0" fontId="0" fillId="2" borderId="0" xfId="0" applyFill="1" applyBorder="1" applyAlignment="1">
      <alignment/>
    </xf>
    <xf numFmtId="0" fontId="0" fillId="2" borderId="0" xfId="0" applyFill="1" applyBorder="1" applyAlignment="1">
      <alignment horizontal="center"/>
    </xf>
    <xf numFmtId="49" fontId="1" fillId="2" borderId="42" xfId="0" applyNumberFormat="1" applyFont="1" applyFill="1" applyBorder="1" applyAlignment="1">
      <alignment horizontal="center"/>
    </xf>
    <xf numFmtId="49" fontId="0" fillId="0" borderId="47" xfId="0" applyNumberFormat="1" applyBorder="1" applyAlignment="1">
      <alignment horizontal="center"/>
    </xf>
    <xf numFmtId="49" fontId="0" fillId="0" borderId="59" xfId="0" applyNumberFormat="1" applyBorder="1" applyAlignment="1">
      <alignment horizontal="center"/>
    </xf>
    <xf numFmtId="49" fontId="1" fillId="2" borderId="47" xfId="0" applyNumberFormat="1" applyFont="1" applyFill="1" applyBorder="1" applyAlignment="1">
      <alignment horizontal="center"/>
    </xf>
    <xf numFmtId="49" fontId="1" fillId="2" borderId="59" xfId="0" applyNumberFormat="1" applyFont="1" applyFill="1" applyBorder="1" applyAlignment="1">
      <alignment horizontal="center"/>
    </xf>
    <xf numFmtId="0" fontId="0" fillId="0" borderId="66" xfId="0" applyBorder="1" applyAlignment="1">
      <alignment horizontal="center"/>
    </xf>
    <xf numFmtId="0" fontId="0" fillId="0" borderId="63" xfId="0" applyBorder="1" applyAlignment="1">
      <alignment horizontal="center"/>
    </xf>
    <xf numFmtId="0" fontId="0" fillId="2" borderId="0"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2" borderId="11" xfId="0" applyFill="1" applyBorder="1" applyAlignment="1">
      <alignment horizontal="center"/>
    </xf>
    <xf numFmtId="14" fontId="1" fillId="2" borderId="27" xfId="0" applyNumberFormat="1" applyFont="1" applyFill="1" applyBorder="1" applyAlignment="1">
      <alignment horizontal="center"/>
    </xf>
    <xf numFmtId="0" fontId="1" fillId="2" borderId="18" xfId="0" applyFont="1" applyFill="1" applyBorder="1" applyAlignment="1">
      <alignment horizontal="center"/>
    </xf>
    <xf numFmtId="0" fontId="1" fillId="2" borderId="23" xfId="0" applyFont="1" applyFill="1" applyBorder="1" applyAlignment="1">
      <alignment horizontal="center"/>
    </xf>
    <xf numFmtId="0" fontId="1" fillId="2" borderId="36" xfId="0" applyFont="1" applyFill="1" applyBorder="1" applyAlignment="1">
      <alignment horizontal="center"/>
    </xf>
    <xf numFmtId="0" fontId="0" fillId="2" borderId="8" xfId="0" applyFill="1" applyBorder="1" applyAlignment="1" quotePrefix="1">
      <alignment horizontal="center"/>
    </xf>
    <xf numFmtId="0" fontId="0" fillId="2" borderId="15" xfId="0" applyFill="1" applyBorder="1" applyAlignment="1" quotePrefix="1">
      <alignment horizontal="center"/>
    </xf>
    <xf numFmtId="0" fontId="0" fillId="2" borderId="65" xfId="0" applyFont="1" applyFill="1" applyBorder="1" applyAlignment="1" quotePrefix="1">
      <alignment horizontal="center"/>
    </xf>
    <xf numFmtId="0" fontId="0" fillId="2" borderId="10" xfId="0" applyFont="1" applyFill="1" applyBorder="1" applyAlignment="1" quotePrefix="1">
      <alignment horizontal="center"/>
    </xf>
    <xf numFmtId="0" fontId="0" fillId="2" borderId="9" xfId="0" applyFont="1" applyFill="1" applyBorder="1" applyAlignment="1" quotePrefix="1">
      <alignment horizontal="center"/>
    </xf>
    <xf numFmtId="0" fontId="1" fillId="2" borderId="39" xfId="0" applyFont="1" applyFill="1" applyBorder="1" applyAlignment="1">
      <alignment horizontal="center"/>
    </xf>
    <xf numFmtId="0" fontId="1" fillId="2" borderId="40" xfId="0" applyFont="1" applyFill="1" applyBorder="1" applyAlignment="1">
      <alignment horizontal="center"/>
    </xf>
    <xf numFmtId="0" fontId="0" fillId="2" borderId="60" xfId="0" applyFont="1" applyFill="1" applyBorder="1" applyAlignment="1">
      <alignment horizontal="center"/>
    </xf>
    <xf numFmtId="0" fontId="0" fillId="2" borderId="47" xfId="0" applyFont="1" applyFill="1" applyBorder="1" applyAlignment="1">
      <alignment horizontal="center"/>
    </xf>
    <xf numFmtId="0" fontId="0" fillId="2" borderId="6" xfId="0" applyFont="1" applyFill="1" applyBorder="1" applyAlignment="1" quotePrefix="1">
      <alignment horizontal="center"/>
    </xf>
    <xf numFmtId="0" fontId="0" fillId="2" borderId="7" xfId="0" applyFont="1" applyFill="1" applyBorder="1" applyAlignment="1" quotePrefix="1">
      <alignment horizontal="center"/>
    </xf>
    <xf numFmtId="0" fontId="1" fillId="0" borderId="68" xfId="0" applyFont="1" applyBorder="1" applyAlignment="1">
      <alignment horizontal="center"/>
    </xf>
    <xf numFmtId="0" fontId="1" fillId="0" borderId="38" xfId="0" applyFont="1" applyBorder="1" applyAlignment="1">
      <alignment horizontal="center"/>
    </xf>
    <xf numFmtId="0" fontId="1" fillId="0" borderId="50" xfId="0" applyFont="1" applyBorder="1" applyAlignment="1">
      <alignment horizontal="center"/>
    </xf>
    <xf numFmtId="0" fontId="0" fillId="2" borderId="21" xfId="0" applyFill="1" applyBorder="1" applyAlignment="1">
      <alignment horizontal="center"/>
    </xf>
    <xf numFmtId="0" fontId="7" fillId="2" borderId="21" xfId="0" applyFont="1" applyFill="1" applyBorder="1" applyAlignment="1">
      <alignment horizontal="left"/>
    </xf>
    <xf numFmtId="0" fontId="0" fillId="2" borderId="67" xfId="0" applyFill="1" applyBorder="1" applyAlignment="1">
      <alignment horizontal="center"/>
    </xf>
    <xf numFmtId="0" fontId="0" fillId="2" borderId="63" xfId="0" applyFill="1" applyBorder="1" applyAlignment="1">
      <alignment horizontal="center"/>
    </xf>
    <xf numFmtId="0" fontId="0" fillId="2" borderId="7" xfId="0" applyFill="1" applyBorder="1" applyAlignment="1" quotePrefix="1">
      <alignment horizontal="center"/>
    </xf>
    <xf numFmtId="0" fontId="0" fillId="2" borderId="14" xfId="0" applyFill="1" applyBorder="1" applyAlignment="1">
      <alignment horizontal="center"/>
    </xf>
    <xf numFmtId="49" fontId="15" fillId="2" borderId="31" xfId="0" applyNumberFormat="1" applyFont="1" applyFill="1" applyBorder="1" applyAlignment="1">
      <alignment horizontal="left"/>
    </xf>
    <xf numFmtId="0" fontId="15" fillId="0" borderId="31" xfId="0" applyFont="1" applyBorder="1" applyAlignment="1">
      <alignment/>
    </xf>
    <xf numFmtId="0" fontId="0" fillId="0" borderId="31" xfId="0" applyBorder="1" applyAlignment="1">
      <alignment/>
    </xf>
    <xf numFmtId="0" fontId="1" fillId="0" borderId="37" xfId="0" applyFont="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2" xfId="0" applyFill="1" applyBorder="1" applyAlignment="1">
      <alignment horizontal="center"/>
    </xf>
    <xf numFmtId="0" fontId="0" fillId="2" borderId="66" xfId="0" applyFill="1" applyBorder="1" applyAlignment="1">
      <alignment horizontal="center"/>
    </xf>
    <xf numFmtId="0" fontId="0" fillId="2" borderId="47" xfId="0" applyFill="1" applyBorder="1" applyAlignment="1">
      <alignment horizontal="center"/>
    </xf>
    <xf numFmtId="0" fontId="0" fillId="2" borderId="59" xfId="0" applyFill="1" applyBorder="1" applyAlignment="1">
      <alignment horizontal="center"/>
    </xf>
    <xf numFmtId="0" fontId="0" fillId="2" borderId="25" xfId="0" applyFont="1" applyFill="1" applyBorder="1" applyAlignment="1">
      <alignment horizontal="center"/>
    </xf>
    <xf numFmtId="0" fontId="0" fillId="2" borderId="7" xfId="0" applyFill="1" applyBorder="1" applyAlignment="1">
      <alignment horizontal="center"/>
    </xf>
    <xf numFmtId="0" fontId="0" fillId="2" borderId="65" xfId="0" applyFont="1" applyFill="1" applyBorder="1" applyAlignment="1">
      <alignment horizontal="center"/>
    </xf>
    <xf numFmtId="0" fontId="0" fillId="2" borderId="10" xfId="0" applyFont="1" applyFill="1" applyBorder="1" applyAlignment="1">
      <alignment horizontal="center"/>
    </xf>
    <xf numFmtId="0" fontId="0" fillId="2" borderId="9" xfId="0"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0" fillId="2" borderId="8" xfId="0" applyFill="1" applyBorder="1" applyAlignment="1">
      <alignment horizontal="center"/>
    </xf>
    <xf numFmtId="0" fontId="0" fillId="2" borderId="15" xfId="0" applyFill="1" applyBorder="1" applyAlignment="1">
      <alignment horizontal="center"/>
    </xf>
    <xf numFmtId="0" fontId="1" fillId="2" borderId="41" xfId="0" applyFont="1" applyFill="1" applyBorder="1" applyAlignment="1">
      <alignment horizontal="center"/>
    </xf>
    <xf numFmtId="0" fontId="1" fillId="2" borderId="27" xfId="0" applyFont="1" applyFill="1" applyBorder="1" applyAlignment="1">
      <alignment horizontal="center"/>
    </xf>
    <xf numFmtId="0" fontId="1" fillId="2" borderId="42" xfId="0" applyFont="1" applyFill="1" applyBorder="1" applyAlignment="1">
      <alignment horizontal="center"/>
    </xf>
    <xf numFmtId="0" fontId="5" fillId="2" borderId="0" xfId="0" applyFont="1" applyFill="1" applyBorder="1" applyAlignment="1">
      <alignment horizontal="center"/>
    </xf>
    <xf numFmtId="0" fontId="1" fillId="2" borderId="0" xfId="0" applyFont="1" applyFill="1" applyBorder="1" applyAlignment="1" applyProtection="1">
      <alignment horizontal="center"/>
      <protection/>
    </xf>
    <xf numFmtId="0" fontId="1" fillId="0" borderId="64" xfId="0" applyFont="1" applyFill="1" applyBorder="1" applyAlignment="1">
      <alignment horizontal="center" wrapText="1"/>
    </xf>
    <xf numFmtId="0" fontId="1" fillId="0" borderId="66" xfId="0" applyFont="1" applyFill="1" applyBorder="1" applyAlignment="1">
      <alignment horizontal="center" wrapText="1"/>
    </xf>
    <xf numFmtId="0" fontId="1" fillId="0" borderId="63" xfId="0" applyFont="1" applyFill="1" applyBorder="1" applyAlignment="1">
      <alignment horizontal="center" wrapText="1"/>
    </xf>
    <xf numFmtId="0" fontId="1" fillId="2" borderId="64" xfId="0" applyFont="1" applyFill="1" applyBorder="1" applyAlignment="1">
      <alignment horizontal="center" wrapText="1"/>
    </xf>
    <xf numFmtId="0" fontId="1" fillId="2" borderId="66" xfId="0" applyFont="1" applyFill="1" applyBorder="1" applyAlignment="1">
      <alignment horizontal="center" wrapText="1"/>
    </xf>
    <xf numFmtId="0" fontId="1" fillId="2" borderId="63" xfId="0" applyFont="1" applyFill="1" applyBorder="1" applyAlignment="1">
      <alignment horizontal="center" wrapText="1"/>
    </xf>
    <xf numFmtId="0" fontId="1" fillId="2" borderId="26" xfId="0" applyFont="1" applyFill="1" applyBorder="1" applyAlignment="1" applyProtection="1">
      <alignment horizontal="center" wrapText="1"/>
      <protection locked="0"/>
    </xf>
    <xf numFmtId="0" fontId="0" fillId="0" borderId="70" xfId="0" applyBorder="1" applyAlignment="1">
      <alignment horizontal="center" wrapText="1"/>
    </xf>
    <xf numFmtId="0" fontId="0" fillId="2" borderId="11" xfId="0" applyFont="1" applyFill="1" applyBorder="1" applyAlignment="1">
      <alignment horizontal="center"/>
    </xf>
    <xf numFmtId="0" fontId="0" fillId="2" borderId="2" xfId="0" applyFill="1" applyBorder="1" applyAlignment="1" quotePrefix="1">
      <alignment horizontal="center"/>
    </xf>
    <xf numFmtId="0" fontId="0" fillId="2" borderId="0" xfId="0" applyFill="1" applyBorder="1" applyAlignment="1" quotePrefix="1">
      <alignment horizontal="center"/>
    </xf>
    <xf numFmtId="0" fontId="0" fillId="2" borderId="38" xfId="0" applyFont="1" applyFill="1" applyBorder="1" applyAlignment="1">
      <alignment horizontal="center"/>
    </xf>
    <xf numFmtId="0" fontId="0" fillId="2" borderId="50" xfId="0" applyFont="1" applyFill="1" applyBorder="1" applyAlignment="1">
      <alignment horizontal="center"/>
    </xf>
    <xf numFmtId="0" fontId="0" fillId="2" borderId="67" xfId="0" applyFont="1" applyFill="1" applyBorder="1" applyAlignment="1">
      <alignment horizontal="center"/>
    </xf>
    <xf numFmtId="0" fontId="8" fillId="2" borderId="1" xfId="0" applyFont="1" applyFill="1" applyBorder="1" applyAlignment="1">
      <alignment horizontal="right"/>
    </xf>
    <xf numFmtId="0" fontId="8" fillId="2" borderId="11" xfId="0" applyFont="1" applyFill="1" applyBorder="1" applyAlignment="1">
      <alignment horizontal="right"/>
    </xf>
    <xf numFmtId="0" fontId="1" fillId="2" borderId="1" xfId="0" applyFont="1" applyFill="1" applyBorder="1" applyAlignment="1">
      <alignment horizontal="center"/>
    </xf>
    <xf numFmtId="0" fontId="1" fillId="2" borderId="11" xfId="0" applyFont="1" applyFill="1" applyBorder="1" applyAlignment="1">
      <alignment horizontal="center"/>
    </xf>
    <xf numFmtId="0" fontId="0" fillId="2" borderId="50" xfId="0" applyFill="1" applyBorder="1" applyAlignment="1">
      <alignment horizontal="center"/>
    </xf>
    <xf numFmtId="0" fontId="1" fillId="2" borderId="6" xfId="0" applyFont="1" applyFill="1" applyBorder="1" applyAlignment="1">
      <alignment horizontal="center"/>
    </xf>
    <xf numFmtId="0" fontId="1" fillId="2" borderId="14" xfId="0" applyFont="1" applyFill="1" applyBorder="1" applyAlignment="1">
      <alignment horizontal="center"/>
    </xf>
    <xf numFmtId="0" fontId="8" fillId="2" borderId="37" xfId="0" applyFont="1" applyFill="1" applyBorder="1" applyAlignment="1">
      <alignment horizontal="right"/>
    </xf>
    <xf numFmtId="0" fontId="8" fillId="2" borderId="50" xfId="0" applyFont="1" applyFill="1" applyBorder="1" applyAlignment="1">
      <alignment horizontal="right"/>
    </xf>
    <xf numFmtId="0" fontId="8" fillId="2" borderId="6" xfId="0" applyFont="1" applyFill="1" applyBorder="1" applyAlignment="1">
      <alignment horizontal="right"/>
    </xf>
    <xf numFmtId="0" fontId="8" fillId="2" borderId="14" xfId="0" applyFont="1" applyFill="1" applyBorder="1" applyAlignment="1">
      <alignment horizontal="right"/>
    </xf>
    <xf numFmtId="0" fontId="1" fillId="2" borderId="8" xfId="0" applyFont="1" applyFill="1" applyBorder="1" applyAlignment="1">
      <alignment horizontal="center"/>
    </xf>
    <xf numFmtId="1" fontId="0" fillId="2" borderId="6" xfId="0" applyNumberFormat="1" applyFont="1" applyFill="1" applyBorder="1" applyAlignment="1">
      <alignment horizontal="center"/>
    </xf>
    <xf numFmtId="1" fontId="0" fillId="2" borderId="7" xfId="0" applyNumberFormat="1" applyFont="1" applyFill="1" applyBorder="1" applyAlignment="1">
      <alignment horizontal="center"/>
    </xf>
    <xf numFmtId="1" fontId="0" fillId="2" borderId="14" xfId="0" applyNumberFormat="1" applyFont="1" applyFill="1" applyBorder="1" applyAlignment="1">
      <alignment horizontal="center"/>
    </xf>
    <xf numFmtId="0" fontId="0" fillId="2" borderId="14" xfId="0" applyFont="1" applyFill="1" applyBorder="1" applyAlignment="1">
      <alignment horizontal="center"/>
    </xf>
    <xf numFmtId="1" fontId="0" fillId="2" borderId="1" xfId="0" applyNumberFormat="1" applyFont="1" applyFill="1" applyBorder="1" applyAlignment="1">
      <alignment horizontal="center"/>
    </xf>
    <xf numFmtId="1" fontId="0" fillId="2" borderId="2" xfId="0" applyNumberFormat="1" applyFont="1" applyFill="1" applyBorder="1" applyAlignment="1">
      <alignment horizontal="center"/>
    </xf>
    <xf numFmtId="1" fontId="0" fillId="2" borderId="11" xfId="0" applyNumberFormat="1" applyFont="1" applyFill="1" applyBorder="1" applyAlignment="1">
      <alignment horizontal="center"/>
    </xf>
    <xf numFmtId="0" fontId="0" fillId="2" borderId="38" xfId="0" applyFill="1" applyBorder="1" applyAlignment="1">
      <alignment horizontal="center"/>
    </xf>
    <xf numFmtId="0" fontId="0" fillId="2" borderId="1" xfId="0" applyFont="1" applyFill="1" applyBorder="1" applyAlignment="1" quotePrefix="1">
      <alignment horizontal="center"/>
    </xf>
    <xf numFmtId="0" fontId="0" fillId="2" borderId="2" xfId="0" applyFont="1" applyFill="1" applyBorder="1" applyAlignment="1" quotePrefix="1">
      <alignment horizontal="center"/>
    </xf>
    <xf numFmtId="0" fontId="0" fillId="2" borderId="1" xfId="0" applyFont="1" applyFill="1" applyBorder="1" applyAlignment="1">
      <alignment horizontal="left"/>
    </xf>
    <xf numFmtId="0" fontId="0" fillId="2" borderId="2" xfId="0" applyFont="1" applyFill="1" applyBorder="1" applyAlignment="1">
      <alignment horizontal="left"/>
    </xf>
    <xf numFmtId="0" fontId="0" fillId="2" borderId="11" xfId="0" applyFont="1" applyFill="1" applyBorder="1" applyAlignment="1">
      <alignment horizontal="left"/>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14" xfId="0" applyFont="1" applyFill="1" applyBorder="1" applyAlignment="1">
      <alignment horizontal="left"/>
    </xf>
    <xf numFmtId="0" fontId="0" fillId="2" borderId="37" xfId="0" applyFont="1" applyFill="1" applyBorder="1" applyAlignment="1">
      <alignment horizontal="left"/>
    </xf>
    <xf numFmtId="0" fontId="0" fillId="2" borderId="38" xfId="0" applyFont="1" applyFill="1" applyBorder="1" applyAlignment="1">
      <alignment horizontal="left"/>
    </xf>
    <xf numFmtId="0" fontId="0" fillId="2" borderId="50" xfId="0" applyFont="1" applyFill="1" applyBorder="1" applyAlignment="1">
      <alignment horizontal="left"/>
    </xf>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13" fillId="0" borderId="0" xfId="0" applyFont="1" applyFill="1" applyBorder="1" applyAlignment="1">
      <alignment horizontal="center"/>
    </xf>
    <xf numFmtId="0" fontId="13" fillId="0" borderId="43" xfId="0" applyFont="1" applyBorder="1" applyAlignment="1">
      <alignment horizontal="center"/>
    </xf>
    <xf numFmtId="0" fontId="13" fillId="0" borderId="44" xfId="0" applyFont="1" applyBorder="1" applyAlignment="1">
      <alignment horizontal="center"/>
    </xf>
    <xf numFmtId="0" fontId="13" fillId="0" borderId="45"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0" fillId="7" borderId="20" xfId="0" applyFill="1" applyBorder="1" applyAlignment="1">
      <alignment horizontal="center"/>
    </xf>
    <xf numFmtId="0" fontId="0" fillId="7" borderId="21" xfId="0" applyFill="1" applyBorder="1" applyAlignment="1">
      <alignment horizontal="center"/>
    </xf>
    <xf numFmtId="0" fontId="0" fillId="7" borderId="22" xfId="0" applyFill="1" applyBorder="1" applyAlignment="1">
      <alignment horizontal="center"/>
    </xf>
    <xf numFmtId="0" fontId="0" fillId="15" borderId="20" xfId="0" applyFill="1" applyBorder="1" applyAlignment="1">
      <alignment horizontal="center"/>
    </xf>
    <xf numFmtId="0" fontId="0" fillId="15" borderId="21" xfId="0" applyFill="1" applyBorder="1" applyAlignment="1">
      <alignment horizontal="center"/>
    </xf>
    <xf numFmtId="0" fontId="0" fillId="15" borderId="22" xfId="0" applyFill="1"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1" fillId="3" borderId="0" xfId="0" applyFont="1" applyFill="1" applyAlignment="1">
      <alignment horizontal="left"/>
    </xf>
    <xf numFmtId="0" fontId="1" fillId="3" borderId="0" xfId="0" applyFont="1" applyFill="1" applyAlignment="1">
      <alignment horizontal="left" wrapText="1"/>
    </xf>
    <xf numFmtId="0" fontId="0" fillId="0" borderId="0" xfId="0" applyAlignment="1">
      <alignment horizontal="left" wrapText="1"/>
    </xf>
    <xf numFmtId="0" fontId="0" fillId="14" borderId="20" xfId="0" applyFill="1" applyBorder="1" applyAlignment="1">
      <alignment horizontal="center"/>
    </xf>
    <xf numFmtId="0" fontId="0" fillId="14" borderId="21" xfId="0" applyFill="1" applyBorder="1" applyAlignment="1">
      <alignment horizontal="center"/>
    </xf>
    <xf numFmtId="0" fontId="0" fillId="14" borderId="22" xfId="0" applyFill="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2" borderId="0" xfId="0" applyFill="1" applyAlignment="1">
      <alignment horizontal="center"/>
    </xf>
    <xf numFmtId="0" fontId="0" fillId="2" borderId="2" xfId="0" applyFill="1" applyBorder="1" applyAlignment="1">
      <alignment horizontal="left" wrapText="1"/>
    </xf>
    <xf numFmtId="0" fontId="0" fillId="2" borderId="2" xfId="0" applyFill="1" applyBorder="1" applyAlignment="1">
      <alignment horizontal="left"/>
    </xf>
    <xf numFmtId="0" fontId="0" fillId="2" borderId="2" xfId="0" applyFill="1" applyBorder="1" applyAlignment="1">
      <alignment horizontal="center" wrapText="1"/>
    </xf>
    <xf numFmtId="0" fontId="0" fillId="2" borderId="24" xfId="0" applyFill="1" applyBorder="1" applyAlignment="1">
      <alignment horizontal="center"/>
    </xf>
    <xf numFmtId="0" fontId="0" fillId="2" borderId="25" xfId="0" applyFill="1" applyBorder="1" applyAlignment="1">
      <alignment horizontal="center"/>
    </xf>
    <xf numFmtId="0" fontId="14" fillId="2" borderId="0" xfId="0" applyFont="1" applyFill="1" applyBorder="1" applyAlignment="1">
      <alignment horizontal="left" vertical="top" wrapText="1"/>
    </xf>
    <xf numFmtId="0" fontId="1" fillId="3" borderId="0" xfId="0" applyFont="1" applyFill="1" applyBorder="1" applyAlignment="1">
      <alignment horizontal="left" wrapText="1"/>
    </xf>
    <xf numFmtId="0" fontId="0" fillId="2" borderId="21" xfId="0" applyFill="1" applyBorder="1" applyAlignment="1">
      <alignment horizontal="center" wrapText="1"/>
    </xf>
    <xf numFmtId="0" fontId="0" fillId="2" borderId="22" xfId="0" applyFill="1" applyBorder="1" applyAlignment="1">
      <alignment horizontal="center" wrapText="1"/>
    </xf>
    <xf numFmtId="0" fontId="0" fillId="2" borderId="18" xfId="0" applyFill="1" applyBorder="1" applyAlignment="1" quotePrefix="1">
      <alignment horizontal="left" vertical="center" wrapText="1"/>
    </xf>
    <xf numFmtId="0" fontId="0" fillId="2" borderId="23" xfId="0" applyFill="1" applyBorder="1" applyAlignment="1" quotePrefix="1">
      <alignment horizontal="left" vertical="center" wrapText="1"/>
    </xf>
    <xf numFmtId="0" fontId="0" fillId="2" borderId="36" xfId="0" applyFill="1" applyBorder="1" applyAlignment="1" quotePrefix="1">
      <alignment horizontal="left" vertical="center" wrapText="1"/>
    </xf>
    <xf numFmtId="0" fontId="0" fillId="2" borderId="41" xfId="0" applyFill="1" applyBorder="1" applyAlignment="1" quotePrefix="1">
      <alignment horizontal="left" vertical="center" wrapText="1"/>
    </xf>
    <xf numFmtId="0" fontId="0" fillId="2" borderId="27" xfId="0" applyFill="1" applyBorder="1" applyAlignment="1" quotePrefix="1">
      <alignment horizontal="left" vertical="center" wrapText="1"/>
    </xf>
    <xf numFmtId="0" fontId="0" fillId="2" borderId="42" xfId="0" applyFill="1" applyBorder="1" applyAlignment="1" quotePrefix="1">
      <alignment horizontal="left" vertical="center" wrapText="1"/>
    </xf>
    <xf numFmtId="0" fontId="0" fillId="2" borderId="4" xfId="0" applyFill="1" applyBorder="1" applyAlignment="1" quotePrefix="1">
      <alignment horizontal="left" vertical="center" wrapText="1"/>
    </xf>
    <xf numFmtId="0" fontId="0" fillId="2" borderId="5" xfId="0" applyFill="1" applyBorder="1" applyAlignment="1" quotePrefix="1">
      <alignment horizontal="left" vertical="center" wrapText="1"/>
    </xf>
    <xf numFmtId="0" fontId="0" fillId="2" borderId="3" xfId="0" applyFill="1" applyBorder="1" applyAlignment="1" quotePrefix="1">
      <alignment horizontal="left" vertical="center" wrapText="1"/>
    </xf>
    <xf numFmtId="0" fontId="0" fillId="2" borderId="2" xfId="0" applyFill="1" applyBorder="1" applyAlignment="1" quotePrefix="1">
      <alignment horizontal="left" vertical="center" wrapText="1"/>
    </xf>
    <xf numFmtId="0" fontId="0" fillId="2" borderId="2" xfId="0" applyFill="1" applyBorder="1" applyAlignment="1" quotePrefix="1">
      <alignment horizontal="left" wrapText="1"/>
    </xf>
    <xf numFmtId="0" fontId="0" fillId="2" borderId="0" xfId="0" applyFill="1" applyAlignment="1">
      <alignment horizontal="left" wrapText="1"/>
    </xf>
    <xf numFmtId="0" fontId="0" fillId="2" borderId="2" xfId="0" applyFill="1" applyBorder="1" applyAlignment="1">
      <alignment horizontal="left" vertical="center" wrapText="1"/>
    </xf>
    <xf numFmtId="0" fontId="14" fillId="2" borderId="0" xfId="0" applyFont="1" applyFill="1" applyAlignment="1">
      <alignment horizontal="left" vertical="top" wrapText="1"/>
    </xf>
    <xf numFmtId="0" fontId="1" fillId="2" borderId="43" xfId="0" applyFont="1" applyFill="1" applyBorder="1" applyAlignment="1">
      <alignment horizontal="center"/>
    </xf>
    <xf numFmtId="0" fontId="1" fillId="2" borderId="44" xfId="0" applyFont="1" applyFill="1" applyBorder="1" applyAlignment="1">
      <alignment horizontal="center"/>
    </xf>
    <xf numFmtId="0" fontId="1" fillId="2" borderId="45" xfId="0" applyFont="1" applyFill="1" applyBorder="1" applyAlignment="1">
      <alignment horizontal="center"/>
    </xf>
    <xf numFmtId="0" fontId="0" fillId="2" borderId="20" xfId="0" applyFill="1" applyBorder="1" applyAlignment="1">
      <alignment horizontal="right" vertical="center" wrapText="1"/>
    </xf>
    <xf numFmtId="0" fontId="0" fillId="2" borderId="24" xfId="0" applyFill="1" applyBorder="1" applyAlignment="1">
      <alignment horizontal="right" vertical="center" wrapText="1"/>
    </xf>
    <xf numFmtId="0" fontId="13" fillId="2" borderId="21" xfId="0" applyFont="1" applyFill="1" applyBorder="1" applyAlignment="1">
      <alignment horizontal="left" wrapText="1"/>
    </xf>
    <xf numFmtId="0" fontId="13" fillId="2" borderId="0" xfId="0" applyFont="1" applyFill="1" applyBorder="1" applyAlignment="1">
      <alignment horizontal="left" wrapText="1"/>
    </xf>
    <xf numFmtId="0" fontId="0" fillId="2" borderId="44" xfId="0" applyFill="1" applyBorder="1" applyAlignment="1">
      <alignment horizontal="center"/>
    </xf>
    <xf numFmtId="0" fontId="0" fillId="2" borderId="45" xfId="0" applyFill="1" applyBorder="1" applyAlignment="1">
      <alignment horizontal="center"/>
    </xf>
    <xf numFmtId="0" fontId="13" fillId="2" borderId="0" xfId="0" applyFont="1" applyFill="1" applyAlignment="1">
      <alignment horizontal="left" wrapText="1"/>
    </xf>
    <xf numFmtId="0" fontId="1" fillId="2" borderId="21" xfId="0" applyFont="1" applyFill="1" applyBorder="1" applyAlignment="1">
      <alignment horizontal="center" wrapText="1"/>
    </xf>
    <xf numFmtId="0" fontId="1" fillId="2" borderId="0" xfId="0" applyFont="1" applyFill="1" applyBorder="1" applyAlignment="1">
      <alignment horizontal="center" wrapText="1"/>
    </xf>
    <xf numFmtId="0" fontId="1" fillId="2" borderId="20" xfId="0" applyFont="1" applyFill="1" applyBorder="1" applyAlignment="1">
      <alignment horizontal="center"/>
    </xf>
    <xf numFmtId="0" fontId="1" fillId="2" borderId="24" xfId="0" applyFont="1" applyFill="1" applyBorder="1" applyAlignment="1">
      <alignment horizontal="center"/>
    </xf>
    <xf numFmtId="0" fontId="0" fillId="2" borderId="43" xfId="0" applyFill="1" applyBorder="1" applyAlignment="1">
      <alignment horizontal="center"/>
    </xf>
    <xf numFmtId="0" fontId="0" fillId="2" borderId="2" xfId="0" applyFont="1" applyFill="1" applyBorder="1" applyAlignment="1">
      <alignment horizontal="left" vertical="center"/>
    </xf>
    <xf numFmtId="0" fontId="0" fillId="2" borderId="2" xfId="0" applyFill="1" applyBorder="1" applyAlignment="1">
      <alignment horizontal="left" vertical="center"/>
    </xf>
    <xf numFmtId="0" fontId="0" fillId="2" borderId="32" xfId="0" applyFill="1" applyBorder="1" applyAlignment="1">
      <alignment horizontal="center" wrapText="1"/>
    </xf>
    <xf numFmtId="0" fontId="0" fillId="2" borderId="31" xfId="0" applyFill="1" applyBorder="1" applyAlignment="1">
      <alignment horizontal="center"/>
    </xf>
    <xf numFmtId="0" fontId="0" fillId="2" borderId="26" xfId="0" applyFill="1" applyBorder="1" applyAlignment="1">
      <alignment horizontal="center" wrapText="1"/>
    </xf>
    <xf numFmtId="0" fontId="0" fillId="2" borderId="28" xfId="0" applyFill="1" applyBorder="1" applyAlignment="1">
      <alignment horizontal="center" wrapText="1"/>
    </xf>
    <xf numFmtId="0" fontId="0" fillId="2" borderId="20" xfId="0" applyFill="1" applyBorder="1" applyAlignment="1">
      <alignment horizontal="center" wrapText="1"/>
    </xf>
    <xf numFmtId="0" fontId="0" fillId="2" borderId="0" xfId="0" applyFill="1" applyAlignment="1">
      <alignment horizontal="left" vertical="top"/>
    </xf>
    <xf numFmtId="0" fontId="0" fillId="2" borderId="43" xfId="0" applyFill="1" applyBorder="1" applyAlignment="1">
      <alignment horizontal="left" wrapText="1"/>
    </xf>
    <xf numFmtId="0" fontId="0" fillId="2" borderId="45" xfId="0"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4" xfId="0" applyFill="1" applyBorder="1" applyAlignment="1">
      <alignment horizontal="left"/>
    </xf>
    <xf numFmtId="0" fontId="0" fillId="2" borderId="25" xfId="0" applyFill="1" applyBorder="1" applyAlignment="1">
      <alignment horizontal="left"/>
    </xf>
    <xf numFmtId="0" fontId="0" fillId="2" borderId="30" xfId="0" applyFill="1" applyBorder="1" applyAlignment="1">
      <alignment horizontal="left"/>
    </xf>
    <xf numFmtId="0" fontId="0" fillId="2" borderId="32" xfId="0" applyFill="1" applyBorder="1" applyAlignment="1">
      <alignment horizontal="left"/>
    </xf>
    <xf numFmtId="0" fontId="13" fillId="2" borderId="0" xfId="0" applyFont="1" applyFill="1" applyAlignment="1">
      <alignment horizontal="left"/>
    </xf>
    <xf numFmtId="0" fontId="25" fillId="2" borderId="0" xfId="0" applyFont="1" applyFill="1" applyAlignment="1">
      <alignment horizontal="center"/>
    </xf>
    <xf numFmtId="0" fontId="1" fillId="2" borderId="26" xfId="0" applyFont="1" applyFill="1" applyBorder="1" applyAlignment="1">
      <alignment horizontal="center" wrapText="1"/>
    </xf>
    <xf numFmtId="0" fontId="1" fillId="2" borderId="29" xfId="0" applyFont="1" applyFill="1" applyBorder="1" applyAlignment="1">
      <alignment horizontal="center" wrapText="1"/>
    </xf>
    <xf numFmtId="2" fontId="0" fillId="2" borderId="52" xfId="0" applyNumberFormat="1" applyFill="1" applyBorder="1" applyAlignment="1">
      <alignment horizontal="center" vertical="center" wrapText="1"/>
    </xf>
    <xf numFmtId="2" fontId="0" fillId="2" borderId="71" xfId="0" applyNumberFormat="1" applyFill="1" applyBorder="1" applyAlignment="1">
      <alignment horizontal="center" vertical="center" wrapText="1"/>
    </xf>
    <xf numFmtId="2" fontId="0" fillId="2" borderId="47" xfId="0" applyNumberFormat="1" applyFill="1" applyBorder="1" applyAlignment="1">
      <alignment horizontal="center" vertical="center" wrapTex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 xfId="0" applyFont="1" applyFill="1" applyBorder="1" applyAlignment="1">
      <alignment horizontal="left" vertical="center" wrapText="1"/>
    </xf>
    <xf numFmtId="0" fontId="0" fillId="2" borderId="0" xfId="0" applyFill="1" applyBorder="1" applyAlignment="1">
      <alignment horizontal="center" wrapText="1"/>
    </xf>
    <xf numFmtId="0" fontId="1" fillId="2" borderId="21" xfId="0" applyFont="1" applyFill="1" applyBorder="1" applyAlignment="1">
      <alignment horizontal="left"/>
    </xf>
    <xf numFmtId="0" fontId="1" fillId="2" borderId="22" xfId="0" applyFont="1" applyFill="1" applyBorder="1" applyAlignment="1">
      <alignment horizontal="left"/>
    </xf>
    <xf numFmtId="0" fontId="1" fillId="2" borderId="25" xfId="0" applyFont="1" applyFill="1" applyBorder="1" applyAlignment="1">
      <alignment horizontal="left"/>
    </xf>
    <xf numFmtId="0" fontId="1" fillId="0" borderId="43"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0" fillId="2" borderId="20" xfId="0" applyFill="1" applyBorder="1" applyAlignment="1">
      <alignment horizontal="center"/>
    </xf>
    <xf numFmtId="0" fontId="0" fillId="2" borderId="22" xfId="0" applyFill="1" applyBorder="1" applyAlignment="1">
      <alignment horizontal="center"/>
    </xf>
    <xf numFmtId="0" fontId="0" fillId="0" borderId="2" xfId="0" applyBorder="1" applyAlignment="1">
      <alignment horizontal="center" wrapText="1"/>
    </xf>
    <xf numFmtId="0" fontId="0" fillId="0" borderId="2" xfId="0" applyBorder="1" applyAlignment="1">
      <alignment horizontal="center"/>
    </xf>
    <xf numFmtId="0" fontId="0" fillId="0" borderId="2" xfId="0" applyBorder="1" applyAlignment="1">
      <alignment horizontal="left" wrapText="1"/>
    </xf>
    <xf numFmtId="0" fontId="0" fillId="0" borderId="2" xfId="0" applyBorder="1" applyAlignment="1">
      <alignment horizontal="left"/>
    </xf>
    <xf numFmtId="1" fontId="0" fillId="0" borderId="0" xfId="0" applyNumberFormat="1" applyFont="1" applyFill="1" applyBorder="1" applyAlignment="1" applyProtection="1">
      <alignment horizontal="center"/>
      <protection locked="0"/>
    </xf>
    <xf numFmtId="0" fontId="1" fillId="0" borderId="21" xfId="0" applyFont="1" applyBorder="1" applyAlignment="1">
      <alignment horizontal="center"/>
    </xf>
    <xf numFmtId="0" fontId="0" fillId="0" borderId="0" xfId="0" applyAlignment="1">
      <alignment horizontal="center" wrapText="1"/>
    </xf>
    <xf numFmtId="0" fontId="0" fillId="0" borderId="0" xfId="0" applyAlignment="1">
      <alignment wrapText="1"/>
    </xf>
    <xf numFmtId="0" fontId="15"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7">
    <dxf>
      <font>
        <b val="0"/>
        <i val="0"/>
        <color auto="1"/>
      </font>
      <border>
        <left style="thin">
          <color rgb="FF000000"/>
        </left>
        <right style="thin">
          <color rgb="FF000000"/>
        </right>
        <top style="thin"/>
        <bottom style="thin">
          <color rgb="FF000000"/>
        </bottom>
      </border>
    </dxf>
    <dxf>
      <font>
        <color rgb="FFFFFFFF"/>
      </font>
      <fill>
        <patternFill>
          <bgColor rgb="FFFFFFFF"/>
        </patternFill>
      </fill>
      <border>
        <left style="thin">
          <color rgb="FF000000"/>
        </left>
        <right style="thin">
          <color rgb="FF000000"/>
        </right>
        <top style="thin"/>
        <bottom style="thin">
          <color rgb="FF000000"/>
        </bottom>
      </border>
    </dxf>
    <dxf>
      <font>
        <b val="0"/>
        <i val="0"/>
        <color auto="1"/>
      </font>
      <fill>
        <patternFill patternType="none">
          <bgColor indexed="65"/>
        </patternFill>
      </fill>
      <border>
        <left style="thin">
          <color rgb="FF000000"/>
        </left>
        <right style="thin">
          <color rgb="FF000000"/>
        </right>
        <top style="thin"/>
        <bottom style="thin">
          <color rgb="FF000000"/>
        </bottom>
      </border>
    </dxf>
    <dxf>
      <font>
        <color rgb="FFFFFFFF"/>
      </font>
      <fill>
        <patternFill>
          <bgColor rgb="FFFFFFFF"/>
        </patternFill>
      </fill>
      <border/>
    </dxf>
    <dxf>
      <font>
        <color rgb="FFFFFFFF"/>
      </font>
      <fill>
        <patternFill patternType="none">
          <bgColor indexed="65"/>
        </patternFill>
      </fill>
      <border/>
    </dxf>
    <dxf>
      <font>
        <color rgb="FFFFFFFF"/>
      </font>
      <fill>
        <patternFill patternType="none">
          <bgColor indexed="65"/>
        </patternFill>
      </fill>
      <border>
        <left style="thin">
          <color rgb="FF000000"/>
        </left>
        <right style="thin">
          <color rgb="FF000000"/>
        </right>
        <top style="thin"/>
        <bottom style="thin">
          <color rgb="FF000000"/>
        </bottom>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Atterberg limits</a:t>
            </a:r>
          </a:p>
        </c:rich>
      </c:tx>
      <c:layout/>
      <c:spPr>
        <a:noFill/>
        <a:ln>
          <a:noFill/>
        </a:ln>
      </c:spPr>
    </c:title>
    <c:plotArea>
      <c:layout/>
      <c:scatterChart>
        <c:scatterStyle val="lineMarker"/>
        <c:varyColors val="0"/>
        <c:ser>
          <c:idx val="0"/>
          <c:order val="0"/>
          <c:tx>
            <c:v>lower hatched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linear"/>
            <c:dispEq val="0"/>
            <c:dispRSqr val="0"/>
          </c:trendline>
          <c:xVal>
            <c:numRef>
              <c:f>Input!$M$47:$M$48</c:f>
              <c:numCache>
                <c:ptCount val="2"/>
                <c:pt idx="0">
                  <c:v>0</c:v>
                </c:pt>
                <c:pt idx="1">
                  <c:v>0</c:v>
                </c:pt>
              </c:numCache>
            </c:numRef>
          </c:xVal>
          <c:yVal>
            <c:numRef>
              <c:f>Input!$N$47:$N$48</c:f>
              <c:numCache>
                <c:ptCount val="2"/>
                <c:pt idx="0">
                  <c:v>0</c:v>
                </c:pt>
                <c:pt idx="1">
                  <c:v>0</c:v>
                </c:pt>
              </c:numCache>
            </c:numRef>
          </c:yVal>
          <c:smooth val="0"/>
        </c:ser>
        <c:ser>
          <c:idx val="1"/>
          <c:order val="1"/>
          <c:tx>
            <c:v>upper hatched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linear"/>
            <c:dispEq val="0"/>
            <c:dispRSqr val="0"/>
          </c:trendline>
          <c:xVal>
            <c:numRef>
              <c:f>Input!$M$49:$M$50</c:f>
              <c:numCache>
                <c:ptCount val="2"/>
                <c:pt idx="0">
                  <c:v>0</c:v>
                </c:pt>
                <c:pt idx="1">
                  <c:v>0</c:v>
                </c:pt>
              </c:numCache>
            </c:numRef>
          </c:xVal>
          <c:yVal>
            <c:numRef>
              <c:f>Input!$N$49:$N$50</c:f>
              <c:numCache>
                <c:ptCount val="2"/>
                <c:pt idx="0">
                  <c:v>0</c:v>
                </c:pt>
                <c:pt idx="1">
                  <c:v>0</c:v>
                </c:pt>
              </c:numCache>
            </c:numRef>
          </c:yVal>
          <c:smooth val="0"/>
        </c:ser>
        <c:ser>
          <c:idx val="2"/>
          <c:order val="2"/>
          <c:tx>
            <c:v>A line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linear"/>
            <c:dispEq val="0"/>
            <c:dispRSqr val="0"/>
          </c:trendline>
          <c:xVal>
            <c:numRef>
              <c:f>Input!$M$51:$M$52</c:f>
              <c:numCache>
                <c:ptCount val="2"/>
                <c:pt idx="0">
                  <c:v>0</c:v>
                </c:pt>
                <c:pt idx="1">
                  <c:v>0</c:v>
                </c:pt>
              </c:numCache>
            </c:numRef>
          </c:xVal>
          <c:yVal>
            <c:numRef>
              <c:f>Input!$N$51:$N$52</c:f>
              <c:numCache>
                <c:ptCount val="2"/>
                <c:pt idx="0">
                  <c:v>0</c:v>
                </c:pt>
                <c:pt idx="1">
                  <c:v>0</c:v>
                </c:pt>
              </c:numCache>
            </c:numRef>
          </c:yVal>
          <c:smooth val="0"/>
        </c:ser>
        <c:ser>
          <c:idx val="3"/>
          <c:order val="3"/>
          <c:tx>
            <c:v>Horizon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33CCCC"/>
              </a:solidFill>
              <a:ln>
                <a:solidFill>
                  <a:srgbClr val="33CCCC"/>
                </a:solidFill>
              </a:ln>
            </c:spPr>
          </c:marker>
          <c:xVal>
            <c:numRef>
              <c:f>Input!$R$34</c:f>
              <c:numCache/>
            </c:numRef>
          </c:xVal>
          <c:yVal>
            <c:numRef>
              <c:f>Input!$U$34</c:f>
              <c:numCache>
                <c:ptCount val="1"/>
                <c:pt idx="0">
                  <c:v>0</c:v>
                </c:pt>
              </c:numCache>
            </c:numRef>
          </c:yVal>
          <c:smooth val="0"/>
        </c:ser>
        <c:ser>
          <c:idx val="4"/>
          <c:order val="4"/>
          <c:tx>
            <c:v>Horizon 2</c:v>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Input!$R$35</c:f>
              <c:numCache/>
            </c:numRef>
          </c:xVal>
          <c:yVal>
            <c:numRef>
              <c:f>Input!$U$35</c:f>
              <c:numCache>
                <c:ptCount val="1"/>
                <c:pt idx="0">
                  <c:v>0</c:v>
                </c:pt>
              </c:numCache>
            </c:numRef>
          </c:yVal>
          <c:smooth val="0"/>
        </c:ser>
        <c:ser>
          <c:idx val="5"/>
          <c:order val="5"/>
          <c:tx>
            <c:v>Horizon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00"/>
              </a:solidFill>
              <a:ln>
                <a:solidFill>
                  <a:srgbClr val="FFCC00"/>
                </a:solidFill>
              </a:ln>
            </c:spPr>
          </c:marker>
          <c:xVal>
            <c:numRef>
              <c:f>Input!$R$36</c:f>
              <c:numCache/>
            </c:numRef>
          </c:xVal>
          <c:yVal>
            <c:numRef>
              <c:f>Input!$U$36</c:f>
              <c:numCache>
                <c:ptCount val="1"/>
                <c:pt idx="0">
                  <c:v>0</c:v>
                </c:pt>
              </c:numCache>
            </c:numRef>
          </c:yVal>
          <c:smooth val="0"/>
        </c:ser>
        <c:ser>
          <c:idx val="6"/>
          <c:order val="6"/>
          <c:tx>
            <c:v>Horizon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FFFF"/>
              </a:solidFill>
              <a:ln>
                <a:solidFill>
                  <a:srgbClr val="00FFFF"/>
                </a:solidFill>
              </a:ln>
            </c:spPr>
          </c:marker>
          <c:xVal>
            <c:numRef>
              <c:f>Input!$R$37</c:f>
              <c:numCache/>
            </c:numRef>
          </c:xVal>
          <c:yVal>
            <c:numRef>
              <c:f>Input!$U$37</c:f>
              <c:numCache>
                <c:ptCount val="1"/>
                <c:pt idx="0">
                  <c:v>0</c:v>
                </c:pt>
              </c:numCache>
            </c:numRef>
          </c:yVal>
          <c:smooth val="0"/>
        </c:ser>
        <c:ser>
          <c:idx val="7"/>
          <c:order val="7"/>
          <c:tx>
            <c:v>Horizon 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xVal>
            <c:numRef>
              <c:f>Input!$R$38</c:f>
              <c:numCache/>
            </c:numRef>
          </c:xVal>
          <c:yVal>
            <c:numRef>
              <c:f>Input!$U$38</c:f>
              <c:numCache>
                <c:ptCount val="1"/>
                <c:pt idx="0">
                  <c:v>0</c:v>
                </c:pt>
              </c:numCache>
            </c:numRef>
          </c:yVal>
          <c:smooth val="0"/>
        </c:ser>
        <c:ser>
          <c:idx val="8"/>
          <c:order val="8"/>
          <c:tx>
            <c:v>Horizon 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000000"/>
                </a:solidFill>
              </a:ln>
            </c:spPr>
          </c:marker>
          <c:xVal>
            <c:numRef>
              <c:f>Input!$R$39</c:f>
              <c:numCache/>
            </c:numRef>
          </c:xVal>
          <c:yVal>
            <c:numRef>
              <c:f>Input!$U$39</c:f>
              <c:numCache>
                <c:ptCount val="1"/>
                <c:pt idx="0">
                  <c:v>0</c:v>
                </c:pt>
              </c:numCache>
            </c:numRef>
          </c:yVal>
          <c:smooth val="0"/>
        </c:ser>
        <c:ser>
          <c:idx val="9"/>
          <c:order val="9"/>
          <c:tx>
            <c:v>Horizon 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Input!$R$40</c:f>
              <c:numCache/>
            </c:numRef>
          </c:xVal>
          <c:yVal>
            <c:numRef>
              <c:f>Input!$U$40</c:f>
              <c:numCache>
                <c:ptCount val="1"/>
                <c:pt idx="0">
                  <c:v>0</c:v>
                </c:pt>
              </c:numCache>
            </c:numRef>
          </c:yVal>
          <c:smooth val="0"/>
        </c:ser>
        <c:ser>
          <c:idx val="10"/>
          <c:order val="10"/>
          <c:tx>
            <c:v>Horizon 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99FF"/>
              </a:solidFill>
              <a:ln>
                <a:solidFill>
                  <a:srgbClr val="CC99FF"/>
                </a:solidFill>
              </a:ln>
            </c:spPr>
          </c:marker>
          <c:xVal>
            <c:numRef>
              <c:f>Input!$R$41</c:f>
              <c:numCache/>
            </c:numRef>
          </c:xVal>
          <c:yVal>
            <c:numRef>
              <c:f>Input!$U$41</c:f>
              <c:numCache>
                <c:ptCount val="1"/>
                <c:pt idx="0">
                  <c:v>0</c:v>
                </c:pt>
              </c:numCache>
            </c:numRef>
          </c:yVal>
          <c:smooth val="0"/>
        </c:ser>
        <c:ser>
          <c:idx val="11"/>
          <c:order val="11"/>
          <c:tx>
            <c:v>Horizon 9</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FFCC"/>
              </a:solidFill>
              <a:ln>
                <a:solidFill>
                  <a:srgbClr val="CCFFCC"/>
                </a:solidFill>
              </a:ln>
            </c:spPr>
          </c:marker>
          <c:xVal>
            <c:numRef>
              <c:f>Input!$R$42</c:f>
              <c:numCache/>
            </c:numRef>
          </c:xVal>
          <c:yVal>
            <c:numRef>
              <c:f>Input!$U$42</c:f>
              <c:numCache>
                <c:ptCount val="1"/>
                <c:pt idx="0">
                  <c:v>0</c:v>
                </c:pt>
              </c:numCache>
            </c:numRef>
          </c:yVal>
          <c:smooth val="0"/>
        </c:ser>
        <c:axId val="8093845"/>
        <c:axId val="5735742"/>
      </c:scatterChart>
      <c:valAx>
        <c:axId val="8093845"/>
        <c:scaling>
          <c:orientation val="minMax"/>
        </c:scaling>
        <c:axPos val="b"/>
        <c:title>
          <c:tx>
            <c:rich>
              <a:bodyPr vert="horz" rot="0" anchor="ctr"/>
              <a:lstStyle/>
              <a:p>
                <a:pPr algn="ctr">
                  <a:defRPr/>
                </a:pPr>
                <a:r>
                  <a:rPr lang="en-US" cap="none" sz="1200" b="1" i="0" u="none" baseline="0">
                    <a:latin typeface="Arial"/>
                    <a:ea typeface="Arial"/>
                    <a:cs typeface="Arial"/>
                  </a:rPr>
                  <a:t>liquid limit</a:t>
                </a:r>
              </a:p>
            </c:rich>
          </c:tx>
          <c:layout/>
          <c:overlay val="0"/>
          <c:spPr>
            <a:noFill/>
            <a:ln>
              <a:noFill/>
            </a:ln>
          </c:spPr>
        </c:title>
        <c:delete val="0"/>
        <c:numFmt formatCode="General" sourceLinked="1"/>
        <c:majorTickMark val="out"/>
        <c:minorTickMark val="none"/>
        <c:tickLblPos val="nextTo"/>
        <c:crossAx val="5735742"/>
        <c:crosses val="autoZero"/>
        <c:crossBetween val="midCat"/>
        <c:dispUnits/>
      </c:valAx>
      <c:valAx>
        <c:axId val="5735742"/>
        <c:scaling>
          <c:orientation val="minMax"/>
        </c:scaling>
        <c:axPos val="l"/>
        <c:title>
          <c:tx>
            <c:rich>
              <a:bodyPr vert="horz" rot="-5400000" anchor="ctr"/>
              <a:lstStyle/>
              <a:p>
                <a:pPr algn="ctr">
                  <a:defRPr/>
                </a:pPr>
                <a:r>
                  <a:rPr lang="en-US" cap="none" sz="1200" b="1" i="0" u="none" baseline="0">
                    <a:latin typeface="Arial"/>
                    <a:ea typeface="Arial"/>
                    <a:cs typeface="Arial"/>
                  </a:rPr>
                  <a:t>plasticity index</a:t>
                </a:r>
              </a:p>
            </c:rich>
          </c:tx>
          <c:layout/>
          <c:overlay val="0"/>
          <c:spPr>
            <a:noFill/>
            <a:ln>
              <a:noFill/>
            </a:ln>
          </c:spPr>
        </c:title>
        <c:majorGridlines/>
        <c:delete val="0"/>
        <c:numFmt formatCode="General" sourceLinked="1"/>
        <c:majorTickMark val="out"/>
        <c:minorTickMark val="none"/>
        <c:tickLblPos val="nextTo"/>
        <c:crossAx val="8093845"/>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11.emf" /><Relationship Id="rId6" Type="http://schemas.openxmlformats.org/officeDocument/2006/relationships/image" Target="../media/image2.emf" /><Relationship Id="rId7" Type="http://schemas.openxmlformats.org/officeDocument/2006/relationships/image" Target="../media/image9.emf" /><Relationship Id="rId8" Type="http://schemas.openxmlformats.org/officeDocument/2006/relationships/image" Target="../media/image10.emf" /><Relationship Id="rId9" Type="http://schemas.openxmlformats.org/officeDocument/2006/relationships/image" Target="../media/image6.emf" /><Relationship Id="rId10" Type="http://schemas.openxmlformats.org/officeDocument/2006/relationships/image" Target="../media/image1.emf" /><Relationship Id="rId11"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43</xdr:row>
      <xdr:rowOff>85725</xdr:rowOff>
    </xdr:from>
    <xdr:to>
      <xdr:col>27</xdr:col>
      <xdr:colOff>247650</xdr:colOff>
      <xdr:row>64</xdr:row>
      <xdr:rowOff>133350</xdr:rowOff>
    </xdr:to>
    <xdr:graphicFrame>
      <xdr:nvGraphicFramePr>
        <xdr:cNvPr id="1" name="Chart 3"/>
        <xdr:cNvGraphicFramePr/>
      </xdr:nvGraphicFramePr>
      <xdr:xfrm>
        <a:off x="3752850" y="7229475"/>
        <a:ext cx="7143750" cy="5086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13</xdr:row>
      <xdr:rowOff>85725</xdr:rowOff>
    </xdr:from>
    <xdr:to>
      <xdr:col>13</xdr:col>
      <xdr:colOff>466725</xdr:colOff>
      <xdr:row>26</xdr:row>
      <xdr:rowOff>142875</xdr:rowOff>
    </xdr:to>
    <xdr:sp>
      <xdr:nvSpPr>
        <xdr:cNvPr id="1" name="TextBox 1"/>
        <xdr:cNvSpPr txBox="1">
          <a:spLocks noChangeArrowheads="1"/>
        </xdr:cNvSpPr>
      </xdr:nvSpPr>
      <xdr:spPr>
        <a:xfrm>
          <a:off x="219075" y="2905125"/>
          <a:ext cx="7981950"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Instructions:
</a:t>
          </a:r>
          <a:r>
            <a:rPr lang="en-US" cap="none" sz="900" b="0" i="0" u="sng" baseline="0">
              <a:latin typeface="Arial"/>
              <a:ea typeface="Arial"/>
              <a:cs typeface="Arial"/>
            </a:rPr>
            <a:t>Organic Matt</a:t>
          </a:r>
          <a:r>
            <a:rPr lang="en-US" cap="none" sz="900" b="0" i="0" u="none" baseline="0">
              <a:latin typeface="Arial"/>
              <a:ea typeface="Arial"/>
              <a:cs typeface="Arial"/>
            </a:rPr>
            <a:t>er: Do not enter values greater than 4 percent even if the horizon contains more than 4 percent organic matter
</a:t>
          </a:r>
          <a:r>
            <a:rPr lang="en-US" cap="none" sz="900" b="0" i="0" u="sng" baseline="0">
              <a:latin typeface="Arial"/>
              <a:ea typeface="Arial"/>
              <a:cs typeface="Arial"/>
            </a:rPr>
            <a:t>Structure Codes</a:t>
          </a:r>
          <a:r>
            <a:rPr lang="en-US" cap="none" sz="900" b="0" i="0" u="none" baseline="0">
              <a:latin typeface="Arial"/>
              <a:ea typeface="Arial"/>
              <a:cs typeface="Arial"/>
            </a:rPr>
            <a:t>:
1 - very fine granular
2 - fine granular
3 - moderate or coarse granular
4 - blocky, platy, or massive
Steve Campbell, 2/2004</a:t>
          </a:r>
        </a:p>
      </xdr:txBody>
    </xdr:sp>
    <xdr:clientData/>
  </xdr:twoCellAnchor>
  <xdr:twoCellAnchor>
    <xdr:from>
      <xdr:col>2</xdr:col>
      <xdr:colOff>228600</xdr:colOff>
      <xdr:row>17</xdr:row>
      <xdr:rowOff>57150</xdr:rowOff>
    </xdr:from>
    <xdr:to>
      <xdr:col>8</xdr:col>
      <xdr:colOff>390525</xdr:colOff>
      <xdr:row>25</xdr:row>
      <xdr:rowOff>19050</xdr:rowOff>
    </xdr:to>
    <xdr:sp>
      <xdr:nvSpPr>
        <xdr:cNvPr id="2" name="TextBox 2"/>
        <xdr:cNvSpPr txBox="1">
          <a:spLocks noChangeArrowheads="1"/>
        </xdr:cNvSpPr>
      </xdr:nvSpPr>
      <xdr:spPr>
        <a:xfrm>
          <a:off x="2238375" y="3524250"/>
          <a:ext cx="2828925" cy="1257300"/>
        </a:xfrm>
        <a:prstGeom prst="rect">
          <a:avLst/>
        </a:prstGeom>
        <a:solidFill>
          <a:srgbClr val="FFFFFF"/>
        </a:solidFill>
        <a:ln w="9525" cmpd="sng">
          <a:noFill/>
        </a:ln>
      </xdr:spPr>
      <xdr:txBody>
        <a:bodyPr vertOverflow="clip" wrap="square"/>
        <a:p>
          <a:pPr algn="l">
            <a:defRPr/>
          </a:pPr>
          <a:r>
            <a:rPr lang="en-US" cap="none" sz="900" b="0" i="0" u="sng" baseline="0">
              <a:latin typeface="Arial"/>
              <a:ea typeface="Arial"/>
              <a:cs typeface="Arial"/>
            </a:rPr>
            <a:t>Permeability Codes</a:t>
          </a:r>
          <a:r>
            <a:rPr lang="en-US" cap="none" sz="900" b="0" i="0" u="none" baseline="0">
              <a:latin typeface="Arial"/>
              <a:ea typeface="Arial"/>
              <a:cs typeface="Arial"/>
            </a:rPr>
            <a:t>:
1 - rapid or very rapid
2 - moderately rapid
3 - moderate
4 - moderately slow
5 - slow
6 - very slow
</a:t>
          </a:r>
        </a:p>
      </xdr:txBody>
    </xdr:sp>
    <xdr:clientData/>
  </xdr:twoCellAnchor>
  <xdr:twoCellAnchor>
    <xdr:from>
      <xdr:col>6</xdr:col>
      <xdr:colOff>180975</xdr:colOff>
      <xdr:row>17</xdr:row>
      <xdr:rowOff>28575</xdr:rowOff>
    </xdr:from>
    <xdr:to>
      <xdr:col>13</xdr:col>
      <xdr:colOff>209550</xdr:colOff>
      <xdr:row>25</xdr:row>
      <xdr:rowOff>152400</xdr:rowOff>
    </xdr:to>
    <xdr:sp>
      <xdr:nvSpPr>
        <xdr:cNvPr id="3" name="TextBox 3"/>
        <xdr:cNvSpPr txBox="1">
          <a:spLocks noChangeArrowheads="1"/>
        </xdr:cNvSpPr>
      </xdr:nvSpPr>
      <xdr:spPr>
        <a:xfrm>
          <a:off x="4105275" y="3495675"/>
          <a:ext cx="3838575" cy="1419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
Kf factor = {2.1 X M</a:t>
          </a:r>
          <a:r>
            <a:rPr lang="en-US" cap="none" sz="1000" b="0" i="0" u="none" baseline="30000">
              <a:latin typeface="Arial"/>
              <a:ea typeface="Arial"/>
              <a:cs typeface="Arial"/>
            </a:rPr>
            <a:t>1.14</a:t>
          </a:r>
          <a:r>
            <a:rPr lang="en-US" cap="none" sz="900" b="0" i="0" u="none" baseline="0">
              <a:latin typeface="Arial"/>
              <a:ea typeface="Arial"/>
              <a:cs typeface="Arial"/>
            </a:rPr>
            <a:t> X 10</a:t>
          </a:r>
          <a:r>
            <a:rPr lang="en-US" cap="none" sz="1000" b="0" i="0" u="none" baseline="30000">
              <a:latin typeface="Arial"/>
              <a:ea typeface="Arial"/>
              <a:cs typeface="Arial"/>
            </a:rPr>
            <a:t>-4</a:t>
          </a:r>
          <a:r>
            <a:rPr lang="en-US" cap="none" sz="900" b="0" i="0" u="none" baseline="0">
              <a:latin typeface="Arial"/>
              <a:ea typeface="Arial"/>
              <a:cs typeface="Arial"/>
            </a:rPr>
            <a:t> X (12-a)+3.25(b-2)+2.5 X (c-3)}/100 
where:
     M = (percent si + percent vfs) X (100 - percent clay) 
      a = percent organic matter 
      b = structure code
      c = profile permeability code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57150</xdr:colOff>
      <xdr:row>37</xdr:row>
      <xdr:rowOff>47625</xdr:rowOff>
    </xdr:from>
    <xdr:to>
      <xdr:col>36</xdr:col>
      <xdr:colOff>333375</xdr:colOff>
      <xdr:row>38</xdr:row>
      <xdr:rowOff>152400</xdr:rowOff>
    </xdr:to>
    <xdr:pic>
      <xdr:nvPicPr>
        <xdr:cNvPr id="1" name="CommandButton1"/>
        <xdr:cNvPicPr preferRelativeResize="1">
          <a:picLocks noChangeAspect="1"/>
        </xdr:cNvPicPr>
      </xdr:nvPicPr>
      <xdr:blipFill>
        <a:blip r:embed="rId1"/>
        <a:stretch>
          <a:fillRect/>
        </a:stretch>
      </xdr:blipFill>
      <xdr:spPr>
        <a:xfrm>
          <a:off x="13087350" y="6172200"/>
          <a:ext cx="1066800"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1485900</xdr:colOff>
      <xdr:row>16</xdr:row>
      <xdr:rowOff>57150</xdr:rowOff>
    </xdr:from>
    <xdr:to>
      <xdr:col>2</xdr:col>
      <xdr:colOff>1143000</xdr:colOff>
      <xdr:row>18</xdr:row>
      <xdr:rowOff>47625</xdr:rowOff>
    </xdr:to>
    <xdr:pic>
      <xdr:nvPicPr>
        <xdr:cNvPr id="1" name="CommandButton1"/>
        <xdr:cNvPicPr preferRelativeResize="1">
          <a:picLocks noChangeAspect="1"/>
        </xdr:cNvPicPr>
      </xdr:nvPicPr>
      <xdr:blipFill>
        <a:blip r:embed="rId1"/>
        <a:stretch>
          <a:fillRect/>
        </a:stretch>
      </xdr:blipFill>
      <xdr:spPr>
        <a:xfrm>
          <a:off x="2762250" y="6838950"/>
          <a:ext cx="1362075" cy="438150"/>
        </a:xfrm>
        <a:prstGeom prst="rect">
          <a:avLst/>
        </a:prstGeom>
        <a:noFill/>
        <a:ln w="9525" cmpd="sng">
          <a:noFill/>
        </a:ln>
      </xdr:spPr>
    </xdr:pic>
    <xdr:clientData/>
  </xdr:twoCellAnchor>
  <xdr:twoCellAnchor>
    <xdr:from>
      <xdr:col>1</xdr:col>
      <xdr:colOff>533400</xdr:colOff>
      <xdr:row>37</xdr:row>
      <xdr:rowOff>228600</xdr:rowOff>
    </xdr:from>
    <xdr:to>
      <xdr:col>2</xdr:col>
      <xdr:colOff>952500</xdr:colOff>
      <xdr:row>37</xdr:row>
      <xdr:rowOff>838200</xdr:rowOff>
    </xdr:to>
    <xdr:pic>
      <xdr:nvPicPr>
        <xdr:cNvPr id="2" name="CommandButton2"/>
        <xdr:cNvPicPr preferRelativeResize="1">
          <a:picLocks noChangeAspect="1"/>
        </xdr:cNvPicPr>
      </xdr:nvPicPr>
      <xdr:blipFill>
        <a:blip r:embed="rId2"/>
        <a:stretch>
          <a:fillRect/>
        </a:stretch>
      </xdr:blipFill>
      <xdr:spPr>
        <a:xfrm>
          <a:off x="1809750" y="14601825"/>
          <a:ext cx="2124075" cy="609600"/>
        </a:xfrm>
        <a:prstGeom prst="rect">
          <a:avLst/>
        </a:prstGeom>
        <a:noFill/>
        <a:ln w="9525" cmpd="sng">
          <a:noFill/>
        </a:ln>
      </xdr:spPr>
    </xdr:pic>
    <xdr:clientData/>
  </xdr:twoCellAnchor>
  <xdr:twoCellAnchor>
    <xdr:from>
      <xdr:col>1</xdr:col>
      <xdr:colOff>752475</xdr:colOff>
      <xdr:row>161</xdr:row>
      <xdr:rowOff>66675</xdr:rowOff>
    </xdr:from>
    <xdr:to>
      <xdr:col>2</xdr:col>
      <xdr:colOff>1085850</xdr:colOff>
      <xdr:row>164</xdr:row>
      <xdr:rowOff>123825</xdr:rowOff>
    </xdr:to>
    <xdr:pic>
      <xdr:nvPicPr>
        <xdr:cNvPr id="3" name="CommandButton3"/>
        <xdr:cNvPicPr preferRelativeResize="1">
          <a:picLocks noChangeAspect="1"/>
        </xdr:cNvPicPr>
      </xdr:nvPicPr>
      <xdr:blipFill>
        <a:blip r:embed="rId3"/>
        <a:stretch>
          <a:fillRect/>
        </a:stretch>
      </xdr:blipFill>
      <xdr:spPr>
        <a:xfrm>
          <a:off x="2028825" y="67798950"/>
          <a:ext cx="2038350" cy="542925"/>
        </a:xfrm>
        <a:prstGeom prst="rect">
          <a:avLst/>
        </a:prstGeom>
        <a:noFill/>
        <a:ln w="9525" cmpd="sng">
          <a:noFill/>
        </a:ln>
      </xdr:spPr>
    </xdr:pic>
    <xdr:clientData/>
  </xdr:twoCellAnchor>
  <xdr:twoCellAnchor>
    <xdr:from>
      <xdr:col>1</xdr:col>
      <xdr:colOff>1562100</xdr:colOff>
      <xdr:row>62</xdr:row>
      <xdr:rowOff>104775</xdr:rowOff>
    </xdr:from>
    <xdr:to>
      <xdr:col>3</xdr:col>
      <xdr:colOff>9525</xdr:colOff>
      <xdr:row>63</xdr:row>
      <xdr:rowOff>390525</xdr:rowOff>
    </xdr:to>
    <xdr:pic>
      <xdr:nvPicPr>
        <xdr:cNvPr id="4" name="CommandButton4"/>
        <xdr:cNvPicPr preferRelativeResize="1">
          <a:picLocks noChangeAspect="1"/>
        </xdr:cNvPicPr>
      </xdr:nvPicPr>
      <xdr:blipFill>
        <a:blip r:embed="rId4"/>
        <a:stretch>
          <a:fillRect/>
        </a:stretch>
      </xdr:blipFill>
      <xdr:spPr>
        <a:xfrm>
          <a:off x="2838450" y="33489900"/>
          <a:ext cx="1800225" cy="781050"/>
        </a:xfrm>
        <a:prstGeom prst="rect">
          <a:avLst/>
        </a:prstGeom>
        <a:noFill/>
        <a:ln w="9525" cmpd="sng">
          <a:noFill/>
        </a:ln>
      </xdr:spPr>
    </xdr:pic>
    <xdr:clientData/>
  </xdr:twoCellAnchor>
  <xdr:twoCellAnchor>
    <xdr:from>
      <xdr:col>1</xdr:col>
      <xdr:colOff>1562100</xdr:colOff>
      <xdr:row>120</xdr:row>
      <xdr:rowOff>133350</xdr:rowOff>
    </xdr:from>
    <xdr:to>
      <xdr:col>2</xdr:col>
      <xdr:colOff>1219200</xdr:colOff>
      <xdr:row>123</xdr:row>
      <xdr:rowOff>19050</xdr:rowOff>
    </xdr:to>
    <xdr:pic>
      <xdr:nvPicPr>
        <xdr:cNvPr id="5" name="CommandButton5"/>
        <xdr:cNvPicPr preferRelativeResize="1">
          <a:picLocks noChangeAspect="1"/>
        </xdr:cNvPicPr>
      </xdr:nvPicPr>
      <xdr:blipFill>
        <a:blip r:embed="rId5"/>
        <a:stretch>
          <a:fillRect/>
        </a:stretch>
      </xdr:blipFill>
      <xdr:spPr>
        <a:xfrm>
          <a:off x="2838450" y="55968900"/>
          <a:ext cx="1362075" cy="371475"/>
        </a:xfrm>
        <a:prstGeom prst="rect">
          <a:avLst/>
        </a:prstGeom>
        <a:noFill/>
        <a:ln w="9525" cmpd="sng">
          <a:noFill/>
        </a:ln>
      </xdr:spPr>
    </xdr:pic>
    <xdr:clientData/>
  </xdr:twoCellAnchor>
  <xdr:twoCellAnchor>
    <xdr:from>
      <xdr:col>2</xdr:col>
      <xdr:colOff>514350</xdr:colOff>
      <xdr:row>93</xdr:row>
      <xdr:rowOff>114300</xdr:rowOff>
    </xdr:from>
    <xdr:to>
      <xdr:col>3</xdr:col>
      <xdr:colOff>228600</xdr:colOff>
      <xdr:row>96</xdr:row>
      <xdr:rowOff>0</xdr:rowOff>
    </xdr:to>
    <xdr:pic>
      <xdr:nvPicPr>
        <xdr:cNvPr id="6" name="CommandButton6"/>
        <xdr:cNvPicPr preferRelativeResize="1">
          <a:picLocks noChangeAspect="1"/>
        </xdr:cNvPicPr>
      </xdr:nvPicPr>
      <xdr:blipFill>
        <a:blip r:embed="rId6"/>
        <a:stretch>
          <a:fillRect/>
        </a:stretch>
      </xdr:blipFill>
      <xdr:spPr>
        <a:xfrm>
          <a:off x="3495675" y="50358675"/>
          <a:ext cx="1362075" cy="371475"/>
        </a:xfrm>
        <a:prstGeom prst="rect">
          <a:avLst/>
        </a:prstGeom>
        <a:noFill/>
        <a:ln w="9525" cmpd="sng">
          <a:noFill/>
        </a:ln>
      </xdr:spPr>
    </xdr:pic>
    <xdr:clientData/>
  </xdr:twoCellAnchor>
  <xdr:twoCellAnchor>
    <xdr:from>
      <xdr:col>10</xdr:col>
      <xdr:colOff>295275</xdr:colOff>
      <xdr:row>2</xdr:row>
      <xdr:rowOff>104775</xdr:rowOff>
    </xdr:from>
    <xdr:to>
      <xdr:col>13</xdr:col>
      <xdr:colOff>104775</xdr:colOff>
      <xdr:row>5</xdr:row>
      <xdr:rowOff>104775</xdr:rowOff>
    </xdr:to>
    <xdr:sp>
      <xdr:nvSpPr>
        <xdr:cNvPr id="7" name="TextBox 13"/>
        <xdr:cNvSpPr txBox="1">
          <a:spLocks noChangeArrowheads="1"/>
        </xdr:cNvSpPr>
      </xdr:nvSpPr>
      <xdr:spPr>
        <a:xfrm>
          <a:off x="12001500" y="447675"/>
          <a:ext cx="1962150"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Arial"/>
              <a:ea typeface="Arial"/>
              <a:cs typeface="Arial"/>
            </a:rPr>
            <a:t>1. Start with table WA-SIR-12 to find consolidation class</a:t>
          </a:r>
        </a:p>
      </xdr:txBody>
    </xdr:sp>
    <xdr:clientData/>
  </xdr:twoCellAnchor>
  <xdr:twoCellAnchor>
    <xdr:from>
      <xdr:col>11</xdr:col>
      <xdr:colOff>142875</xdr:colOff>
      <xdr:row>5</xdr:row>
      <xdr:rowOff>0</xdr:rowOff>
    </xdr:from>
    <xdr:to>
      <xdr:col>12</xdr:col>
      <xdr:colOff>66675</xdr:colOff>
      <xdr:row>5</xdr:row>
      <xdr:rowOff>561975</xdr:rowOff>
    </xdr:to>
    <xdr:sp>
      <xdr:nvSpPr>
        <xdr:cNvPr id="8" name="Line 10"/>
        <xdr:cNvSpPr>
          <a:spLocks/>
        </xdr:cNvSpPr>
      </xdr:nvSpPr>
      <xdr:spPr>
        <a:xfrm flipH="1">
          <a:off x="12563475" y="990600"/>
          <a:ext cx="676275"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419100</xdr:colOff>
      <xdr:row>3</xdr:row>
      <xdr:rowOff>114300</xdr:rowOff>
    </xdr:from>
    <xdr:to>
      <xdr:col>19</xdr:col>
      <xdr:colOff>323850</xdr:colOff>
      <xdr:row>5</xdr:row>
      <xdr:rowOff>504825</xdr:rowOff>
    </xdr:to>
    <xdr:sp>
      <xdr:nvSpPr>
        <xdr:cNvPr id="9" name="TextBox 14"/>
        <xdr:cNvSpPr txBox="1">
          <a:spLocks noChangeArrowheads="1"/>
        </xdr:cNvSpPr>
      </xdr:nvSpPr>
      <xdr:spPr>
        <a:xfrm>
          <a:off x="14887575" y="647700"/>
          <a:ext cx="3219450" cy="847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Arial"/>
              <a:ea typeface="Arial"/>
              <a:cs typeface="Arial"/>
            </a:rPr>
            <a:t>2. Find mineral Db here, unless volcanic, 
                                         (use table WA-SIR-14),
                                         or with clay &gt;= 35%
                                         (use table WA-SIR-15)</a:t>
          </a:r>
        </a:p>
      </xdr:txBody>
    </xdr:sp>
    <xdr:clientData/>
  </xdr:twoCellAnchor>
  <xdr:twoCellAnchor>
    <xdr:from>
      <xdr:col>16</xdr:col>
      <xdr:colOff>66675</xdr:colOff>
      <xdr:row>4</xdr:row>
      <xdr:rowOff>76200</xdr:rowOff>
    </xdr:from>
    <xdr:to>
      <xdr:col>16</xdr:col>
      <xdr:colOff>219075</xdr:colOff>
      <xdr:row>6</xdr:row>
      <xdr:rowOff>104775</xdr:rowOff>
    </xdr:to>
    <xdr:sp>
      <xdr:nvSpPr>
        <xdr:cNvPr id="10" name="Line 15"/>
        <xdr:cNvSpPr>
          <a:spLocks/>
        </xdr:cNvSpPr>
      </xdr:nvSpPr>
      <xdr:spPr>
        <a:xfrm flipH="1">
          <a:off x="16021050" y="857250"/>
          <a:ext cx="152400" cy="952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276225</xdr:colOff>
      <xdr:row>2</xdr:row>
      <xdr:rowOff>0</xdr:rowOff>
    </xdr:from>
    <xdr:to>
      <xdr:col>25</xdr:col>
      <xdr:colOff>47625</xdr:colOff>
      <xdr:row>4</xdr:row>
      <xdr:rowOff>152400</xdr:rowOff>
    </xdr:to>
    <xdr:sp>
      <xdr:nvSpPr>
        <xdr:cNvPr id="11" name="Line 16"/>
        <xdr:cNvSpPr>
          <a:spLocks/>
        </xdr:cNvSpPr>
      </xdr:nvSpPr>
      <xdr:spPr>
        <a:xfrm flipV="1">
          <a:off x="18059400" y="342900"/>
          <a:ext cx="3571875" cy="5905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276225</xdr:colOff>
      <xdr:row>5</xdr:row>
      <xdr:rowOff>342900</xdr:rowOff>
    </xdr:from>
    <xdr:to>
      <xdr:col>22</xdr:col>
      <xdr:colOff>228600</xdr:colOff>
      <xdr:row>5</xdr:row>
      <xdr:rowOff>342900</xdr:rowOff>
    </xdr:to>
    <xdr:sp>
      <xdr:nvSpPr>
        <xdr:cNvPr id="12" name="Line 17"/>
        <xdr:cNvSpPr>
          <a:spLocks/>
        </xdr:cNvSpPr>
      </xdr:nvSpPr>
      <xdr:spPr>
        <a:xfrm>
          <a:off x="18059400" y="1333500"/>
          <a:ext cx="19240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381000</xdr:colOff>
      <xdr:row>5</xdr:row>
      <xdr:rowOff>152400</xdr:rowOff>
    </xdr:from>
    <xdr:to>
      <xdr:col>22</xdr:col>
      <xdr:colOff>85725</xdr:colOff>
      <xdr:row>5</xdr:row>
      <xdr:rowOff>314325</xdr:rowOff>
    </xdr:to>
    <xdr:sp>
      <xdr:nvSpPr>
        <xdr:cNvPr id="13" name="TextBox 19"/>
        <xdr:cNvSpPr txBox="1">
          <a:spLocks noChangeArrowheads="1"/>
        </xdr:cNvSpPr>
      </xdr:nvSpPr>
      <xdr:spPr>
        <a:xfrm>
          <a:off x="18164175" y="1143000"/>
          <a:ext cx="1676400" cy="161925"/>
        </a:xfrm>
        <a:prstGeom prst="rect">
          <a:avLst/>
        </a:prstGeom>
        <a:noFill/>
        <a:ln w="9525" cmpd="sng">
          <a:noFill/>
        </a:ln>
      </xdr:spPr>
      <xdr:txBody>
        <a:bodyPr vertOverflow="clip" wrap="square"/>
        <a:p>
          <a:pPr algn="l">
            <a:defRPr/>
          </a:pPr>
          <a:r>
            <a:rPr lang="en-US" cap="none" sz="1000" b="0" i="0" u="none" baseline="0">
              <a:solidFill>
                <a:srgbClr val="FF0000"/>
              </a:solidFill>
              <a:latin typeface="Arial"/>
              <a:ea typeface="Arial"/>
              <a:cs typeface="Arial"/>
            </a:rPr>
            <a:t>(Located in columns AF &amp; AG)</a:t>
          </a:r>
        </a:p>
      </xdr:txBody>
    </xdr:sp>
    <xdr:clientData/>
  </xdr:twoCellAnchor>
  <xdr:twoCellAnchor>
    <xdr:from>
      <xdr:col>22</xdr:col>
      <xdr:colOff>333375</xdr:colOff>
      <xdr:row>3</xdr:row>
      <xdr:rowOff>114300</xdr:rowOff>
    </xdr:from>
    <xdr:to>
      <xdr:col>24</xdr:col>
      <xdr:colOff>523875</xdr:colOff>
      <xdr:row>5</xdr:row>
      <xdr:rowOff>561975</xdr:rowOff>
    </xdr:to>
    <xdr:sp>
      <xdr:nvSpPr>
        <xdr:cNvPr id="14" name="TextBox 20"/>
        <xdr:cNvSpPr txBox="1">
          <a:spLocks noChangeArrowheads="1"/>
        </xdr:cNvSpPr>
      </xdr:nvSpPr>
      <xdr:spPr>
        <a:xfrm>
          <a:off x="20088225" y="647700"/>
          <a:ext cx="1409700" cy="90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Arial"/>
              <a:ea typeface="Arial"/>
              <a:cs typeface="Arial"/>
            </a:rPr>
            <a:t>3. Then adjust for om using table WA-SIR-16 (begins at column AM)</a:t>
          </a:r>
        </a:p>
      </xdr:txBody>
    </xdr:sp>
    <xdr:clientData/>
  </xdr:twoCellAnchor>
  <xdr:twoCellAnchor>
    <xdr:from>
      <xdr:col>12</xdr:col>
      <xdr:colOff>542925</xdr:colOff>
      <xdr:row>44</xdr:row>
      <xdr:rowOff>95250</xdr:rowOff>
    </xdr:from>
    <xdr:to>
      <xdr:col>15</xdr:col>
      <xdr:colOff>95250</xdr:colOff>
      <xdr:row>46</xdr:row>
      <xdr:rowOff>190500</xdr:rowOff>
    </xdr:to>
    <xdr:pic>
      <xdr:nvPicPr>
        <xdr:cNvPr id="15" name="CommandButton7"/>
        <xdr:cNvPicPr preferRelativeResize="1">
          <a:picLocks noChangeAspect="1"/>
        </xdr:cNvPicPr>
      </xdr:nvPicPr>
      <xdr:blipFill>
        <a:blip r:embed="rId7"/>
        <a:stretch>
          <a:fillRect/>
        </a:stretch>
      </xdr:blipFill>
      <xdr:spPr>
        <a:xfrm>
          <a:off x="13716000" y="20621625"/>
          <a:ext cx="1724025" cy="428625"/>
        </a:xfrm>
        <a:prstGeom prst="rect">
          <a:avLst/>
        </a:prstGeom>
        <a:noFill/>
        <a:ln w="9525" cmpd="sng">
          <a:noFill/>
        </a:ln>
      </xdr:spPr>
    </xdr:pic>
    <xdr:clientData/>
  </xdr:twoCellAnchor>
  <xdr:twoCellAnchor editAs="oneCell">
    <xdr:from>
      <xdr:col>14</xdr:col>
      <xdr:colOff>438150</xdr:colOff>
      <xdr:row>69</xdr:row>
      <xdr:rowOff>85725</xdr:rowOff>
    </xdr:from>
    <xdr:to>
      <xdr:col>17</xdr:col>
      <xdr:colOff>552450</xdr:colOff>
      <xdr:row>73</xdr:row>
      <xdr:rowOff>85725</xdr:rowOff>
    </xdr:to>
    <xdr:pic>
      <xdr:nvPicPr>
        <xdr:cNvPr id="16" name="CommandButton8"/>
        <xdr:cNvPicPr preferRelativeResize="1">
          <a:picLocks noChangeAspect="1"/>
        </xdr:cNvPicPr>
      </xdr:nvPicPr>
      <xdr:blipFill>
        <a:blip r:embed="rId8"/>
        <a:stretch>
          <a:fillRect/>
        </a:stretch>
      </xdr:blipFill>
      <xdr:spPr>
        <a:xfrm>
          <a:off x="14906625" y="36880800"/>
          <a:ext cx="2209800" cy="647700"/>
        </a:xfrm>
        <a:prstGeom prst="rect">
          <a:avLst/>
        </a:prstGeom>
        <a:noFill/>
        <a:ln w="9525" cmpd="sng">
          <a:noFill/>
        </a:ln>
      </xdr:spPr>
    </xdr:pic>
    <xdr:clientData/>
  </xdr:twoCellAnchor>
  <xdr:twoCellAnchor editAs="oneCell">
    <xdr:from>
      <xdr:col>26</xdr:col>
      <xdr:colOff>76200</xdr:colOff>
      <xdr:row>9</xdr:row>
      <xdr:rowOff>371475</xdr:rowOff>
    </xdr:from>
    <xdr:to>
      <xdr:col>28</xdr:col>
      <xdr:colOff>371475</xdr:colOff>
      <xdr:row>11</xdr:row>
      <xdr:rowOff>257175</xdr:rowOff>
    </xdr:to>
    <xdr:pic>
      <xdr:nvPicPr>
        <xdr:cNvPr id="17" name="CommandButton9"/>
        <xdr:cNvPicPr preferRelativeResize="1">
          <a:picLocks noChangeAspect="1"/>
        </xdr:cNvPicPr>
      </xdr:nvPicPr>
      <xdr:blipFill>
        <a:blip r:embed="rId9"/>
        <a:stretch>
          <a:fillRect/>
        </a:stretch>
      </xdr:blipFill>
      <xdr:spPr>
        <a:xfrm>
          <a:off x="22269450" y="3667125"/>
          <a:ext cx="1638300" cy="742950"/>
        </a:xfrm>
        <a:prstGeom prst="rect">
          <a:avLst/>
        </a:prstGeom>
        <a:noFill/>
        <a:ln w="9525" cmpd="sng">
          <a:noFill/>
        </a:ln>
      </xdr:spPr>
    </xdr:pic>
    <xdr:clientData/>
  </xdr:twoCellAnchor>
  <xdr:twoCellAnchor editAs="oneCell">
    <xdr:from>
      <xdr:col>58</xdr:col>
      <xdr:colOff>561975</xdr:colOff>
      <xdr:row>53</xdr:row>
      <xdr:rowOff>47625</xdr:rowOff>
    </xdr:from>
    <xdr:to>
      <xdr:col>63</xdr:col>
      <xdr:colOff>209550</xdr:colOff>
      <xdr:row>53</xdr:row>
      <xdr:rowOff>1295400</xdr:rowOff>
    </xdr:to>
    <xdr:pic>
      <xdr:nvPicPr>
        <xdr:cNvPr id="18" name="CommandButton10"/>
        <xdr:cNvPicPr preferRelativeResize="1">
          <a:picLocks noChangeAspect="1"/>
        </xdr:cNvPicPr>
      </xdr:nvPicPr>
      <xdr:blipFill>
        <a:blip r:embed="rId10"/>
        <a:stretch>
          <a:fillRect/>
        </a:stretch>
      </xdr:blipFill>
      <xdr:spPr>
        <a:xfrm>
          <a:off x="38614350" y="26755725"/>
          <a:ext cx="2695575" cy="1247775"/>
        </a:xfrm>
        <a:prstGeom prst="rect">
          <a:avLst/>
        </a:prstGeom>
        <a:noFill/>
        <a:ln w="9525" cmpd="sng">
          <a:noFill/>
        </a:ln>
      </xdr:spPr>
    </xdr:pic>
    <xdr:clientData/>
  </xdr:twoCellAnchor>
  <xdr:twoCellAnchor>
    <xdr:from>
      <xdr:col>45</xdr:col>
      <xdr:colOff>238125</xdr:colOff>
      <xdr:row>32</xdr:row>
      <xdr:rowOff>123825</xdr:rowOff>
    </xdr:from>
    <xdr:to>
      <xdr:col>49</xdr:col>
      <xdr:colOff>114300</xdr:colOff>
      <xdr:row>33</xdr:row>
      <xdr:rowOff>495300</xdr:rowOff>
    </xdr:to>
    <xdr:pic>
      <xdr:nvPicPr>
        <xdr:cNvPr id="19" name="CommandButton11"/>
        <xdr:cNvPicPr preferRelativeResize="1">
          <a:picLocks noChangeAspect="1"/>
        </xdr:cNvPicPr>
      </xdr:nvPicPr>
      <xdr:blipFill>
        <a:blip r:embed="rId11"/>
        <a:stretch>
          <a:fillRect/>
        </a:stretch>
      </xdr:blipFill>
      <xdr:spPr>
        <a:xfrm>
          <a:off x="32918400" y="11363325"/>
          <a:ext cx="14763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10"/>
  </sheetPr>
  <dimension ref="A1:CP110"/>
  <sheetViews>
    <sheetView tabSelected="1" zoomScale="75" zoomScaleNormal="75" workbookViewId="0" topLeftCell="A1">
      <pane xSplit="2" topLeftCell="C1" activePane="topRight" state="frozen"/>
      <selection pane="topLeft" activeCell="A1" sqref="A1"/>
      <selection pane="topRight" activeCell="AO27" sqref="AO27:AP27"/>
    </sheetView>
  </sheetViews>
  <sheetFormatPr defaultColWidth="9.140625" defaultRowHeight="12.75"/>
  <cols>
    <col min="1" max="1" width="10.00390625" style="424" customWidth="1"/>
    <col min="2" max="2" width="7.8515625" style="424" customWidth="1"/>
    <col min="3" max="3" width="6.140625" style="424" customWidth="1"/>
    <col min="4" max="4" width="5.00390625" style="424" customWidth="1"/>
    <col min="5" max="6" width="4.57421875" style="424" customWidth="1"/>
    <col min="7" max="7" width="7.00390625" style="424" customWidth="1"/>
    <col min="8" max="8" width="7.28125" style="424" customWidth="1"/>
    <col min="9" max="9" width="7.140625" style="424" customWidth="1"/>
    <col min="10" max="10" width="4.421875" style="424" customWidth="1"/>
    <col min="11" max="11" width="5.140625" style="424" customWidth="1"/>
    <col min="12" max="12" width="5.00390625" style="424" customWidth="1"/>
    <col min="13" max="13" width="7.140625" style="424" customWidth="1"/>
    <col min="14" max="15" width="6.28125" style="424" customWidth="1"/>
    <col min="16" max="16" width="4.421875" style="424" customWidth="1"/>
    <col min="17" max="17" width="4.7109375" style="424" customWidth="1"/>
    <col min="18" max="18" width="5.8515625" style="424" customWidth="1"/>
    <col min="19" max="19" width="6.28125" style="424" customWidth="1"/>
    <col min="20" max="20" width="5.57421875" style="424" customWidth="1"/>
    <col min="21" max="21" width="4.421875" style="424" customWidth="1"/>
    <col min="22" max="22" width="6.00390625" style="424" customWidth="1"/>
    <col min="23" max="23" width="9.00390625" style="424" customWidth="1"/>
    <col min="24" max="24" width="4.57421875" style="424" customWidth="1"/>
    <col min="25" max="25" width="5.421875" style="424" customWidth="1"/>
    <col min="26" max="26" width="5.00390625" style="424" customWidth="1"/>
    <col min="27" max="27" width="4.57421875" style="424" customWidth="1"/>
    <col min="28" max="28" width="5.140625" style="424" customWidth="1"/>
    <col min="29" max="29" width="5.00390625" style="424" customWidth="1"/>
    <col min="30" max="30" width="4.7109375" style="424" customWidth="1"/>
    <col min="31" max="32" width="4.421875" style="424" customWidth="1"/>
    <col min="33" max="33" width="5.140625" style="424" customWidth="1"/>
    <col min="34" max="34" width="4.8515625" style="424" customWidth="1"/>
    <col min="35" max="35" width="5.57421875" style="424" customWidth="1"/>
    <col min="36" max="36" width="5.8515625" style="424" customWidth="1"/>
    <col min="37" max="37" width="6.421875" style="424" customWidth="1"/>
    <col min="38" max="38" width="6.140625" style="424" customWidth="1"/>
    <col min="39" max="39" width="7.57421875" style="424" customWidth="1"/>
    <col min="40" max="40" width="7.7109375" style="424" customWidth="1"/>
    <col min="41" max="42" width="8.140625" style="424" customWidth="1"/>
    <col min="43" max="43" width="7.140625" style="424" customWidth="1"/>
    <col min="44" max="44" width="7.421875" style="424" customWidth="1"/>
    <col min="45" max="45" width="6.421875" style="424" customWidth="1"/>
    <col min="46" max="46" width="7.00390625" style="424" customWidth="1"/>
    <col min="47" max="47" width="7.28125" style="424" customWidth="1"/>
    <col min="48" max="48" width="6.28125" style="424" customWidth="1"/>
    <col min="49" max="49" width="6.00390625" style="424" customWidth="1"/>
    <col min="50" max="50" width="6.7109375" style="424" customWidth="1"/>
    <col min="51" max="51" width="7.421875" style="424" customWidth="1"/>
    <col min="52" max="52" width="7.140625" style="424" customWidth="1"/>
    <col min="53" max="53" width="7.00390625" style="424" customWidth="1"/>
    <col min="54" max="54" width="8.00390625" style="424" customWidth="1"/>
    <col min="55" max="55" width="7.8515625" style="424" customWidth="1"/>
    <col min="56" max="56" width="7.7109375" style="424" customWidth="1"/>
    <col min="57" max="57" width="6.57421875" style="424" customWidth="1"/>
    <col min="58" max="58" width="7.00390625" style="424" customWidth="1"/>
    <col min="59" max="59" width="7.140625" style="424" customWidth="1"/>
    <col min="60" max="63" width="9.00390625" style="424" customWidth="1"/>
    <col min="64" max="65" width="7.421875" style="424" customWidth="1"/>
    <col min="66" max="66" width="7.57421875" style="424" customWidth="1"/>
    <col min="67" max="67" width="7.421875" style="546" customWidth="1"/>
    <col min="68" max="70" width="7.421875" style="424" hidden="1" customWidth="1"/>
    <col min="71" max="75" width="4.8515625" style="424" hidden="1" customWidth="1"/>
    <col min="76" max="76" width="4.8515625" style="450" hidden="1" customWidth="1"/>
    <col min="77" max="78" width="4.8515625" style="424" hidden="1" customWidth="1"/>
    <col min="79" max="79" width="16.57421875" style="424" hidden="1" customWidth="1"/>
    <col min="80" max="80" width="33.421875" style="431" hidden="1" customWidth="1"/>
    <col min="81" max="81" width="39.7109375" style="424" hidden="1" customWidth="1"/>
    <col min="82" max="82" width="49.140625" style="424" hidden="1" customWidth="1"/>
    <col min="83" max="87" width="4.8515625" style="424" hidden="1" customWidth="1"/>
    <col min="88" max="93" width="4.8515625" style="424" customWidth="1"/>
    <col min="94" max="94" width="7.28125" style="424" customWidth="1"/>
    <col min="95" max="104" width="4.8515625" style="424" customWidth="1"/>
    <col min="105" max="105" width="20.8515625" style="424" customWidth="1"/>
    <col min="106" max="106" width="8.8515625" style="424" customWidth="1"/>
    <col min="107" max="107" width="10.140625" style="424" customWidth="1"/>
    <col min="108" max="108" width="47.00390625" style="424" customWidth="1"/>
    <col min="109" max="16384" width="4.8515625" style="424" customWidth="1"/>
  </cols>
  <sheetData>
    <row r="1" spans="23:80" ht="12.75" customHeight="1">
      <c r="W1" s="426" t="s">
        <v>40</v>
      </c>
      <c r="AF1" s="426"/>
      <c r="AU1" s="427"/>
      <c r="AV1" s="427"/>
      <c r="AW1" s="427"/>
      <c r="AX1" s="427"/>
      <c r="AY1" s="427"/>
      <c r="AZ1" s="427"/>
      <c r="BA1" s="427"/>
      <c r="BB1" s="428"/>
      <c r="BC1" s="427"/>
      <c r="BD1" s="428"/>
      <c r="BE1" s="427"/>
      <c r="BX1" s="424"/>
      <c r="CB1" s="424"/>
    </row>
    <row r="2" spans="1:94" ht="12.75" customHeight="1">
      <c r="A2" s="737" t="s">
        <v>530</v>
      </c>
      <c r="B2" s="737"/>
      <c r="C2" s="728"/>
      <c r="D2" s="728"/>
      <c r="E2" s="728"/>
      <c r="F2" s="728"/>
      <c r="G2" s="728"/>
      <c r="H2" s="728"/>
      <c r="I2" s="728"/>
      <c r="J2" s="728"/>
      <c r="K2" s="728"/>
      <c r="L2" s="728"/>
      <c r="M2" s="728"/>
      <c r="N2" s="728"/>
      <c r="O2" s="728"/>
      <c r="P2" s="728"/>
      <c r="R2" s="425" t="s">
        <v>531</v>
      </c>
      <c r="S2" s="766"/>
      <c r="T2" s="766"/>
      <c r="U2" s="766"/>
      <c r="Y2" s="749" t="s">
        <v>532</v>
      </c>
      <c r="Z2" s="749"/>
      <c r="AA2" s="749"/>
      <c r="AB2" s="749"/>
      <c r="BW2" s="427"/>
      <c r="BX2" s="424"/>
      <c r="CB2" s="424"/>
      <c r="CG2" s="428" t="s">
        <v>533</v>
      </c>
      <c r="CH2" s="427"/>
      <c r="CI2" s="427"/>
      <c r="CJ2" s="427"/>
      <c r="CK2" s="429" t="s">
        <v>534</v>
      </c>
      <c r="CL2" s="427"/>
      <c r="CM2" s="427"/>
      <c r="CN2" s="428" t="s">
        <v>535</v>
      </c>
      <c r="CO2" s="427"/>
      <c r="CP2" s="427" t="s">
        <v>536</v>
      </c>
    </row>
    <row r="3" spans="1:94" ht="12.75" customHeight="1">
      <c r="A3" s="737" t="s">
        <v>537</v>
      </c>
      <c r="B3" s="737"/>
      <c r="C3" s="728"/>
      <c r="D3" s="728"/>
      <c r="E3" s="728"/>
      <c r="F3" s="728"/>
      <c r="G3" s="728"/>
      <c r="H3" s="728"/>
      <c r="I3" s="728"/>
      <c r="J3" s="728"/>
      <c r="K3" s="728"/>
      <c r="L3" s="728"/>
      <c r="M3" s="728"/>
      <c r="N3" s="728"/>
      <c r="O3" s="728"/>
      <c r="P3" s="728"/>
      <c r="R3" s="425" t="s">
        <v>538</v>
      </c>
      <c r="S3" s="767"/>
      <c r="T3" s="767"/>
      <c r="U3" s="767"/>
      <c r="X3" s="430"/>
      <c r="Y3" s="749"/>
      <c r="Z3" s="749"/>
      <c r="AA3" s="749"/>
      <c r="AB3" s="749"/>
      <c r="BW3" s="427"/>
      <c r="BX3" s="424"/>
      <c r="CB3" s="424"/>
      <c r="CG3" s="428" t="s">
        <v>539</v>
      </c>
      <c r="CH3" s="427"/>
      <c r="CI3" s="427"/>
      <c r="CJ3" s="427"/>
      <c r="CK3" s="429"/>
      <c r="CL3" s="427"/>
      <c r="CM3" s="427"/>
      <c r="CN3" s="428" t="s">
        <v>540</v>
      </c>
      <c r="CO3" s="427"/>
      <c r="CP3" s="424" t="s">
        <v>310</v>
      </c>
    </row>
    <row r="4" spans="1:94" ht="12.75" customHeight="1" thickBot="1">
      <c r="A4" s="737" t="s">
        <v>542</v>
      </c>
      <c r="B4" s="737"/>
      <c r="C4" s="728"/>
      <c r="D4" s="728"/>
      <c r="E4" s="728"/>
      <c r="F4" s="728"/>
      <c r="G4" s="728"/>
      <c r="H4" s="728"/>
      <c r="I4" s="728"/>
      <c r="J4" s="728"/>
      <c r="K4" s="728"/>
      <c r="L4" s="728"/>
      <c r="M4" s="728"/>
      <c r="N4" s="728"/>
      <c r="O4" s="728"/>
      <c r="P4" s="728"/>
      <c r="R4" s="425" t="s">
        <v>543</v>
      </c>
      <c r="S4" s="767"/>
      <c r="T4" s="767"/>
      <c r="U4" s="767"/>
      <c r="X4" s="430"/>
      <c r="Y4" s="749"/>
      <c r="Z4" s="749"/>
      <c r="AA4" s="749"/>
      <c r="AB4" s="749"/>
      <c r="BW4" s="427"/>
      <c r="BX4" s="424"/>
      <c r="CB4" s="424"/>
      <c r="CG4" s="432" t="s">
        <v>544</v>
      </c>
      <c r="CH4" s="427"/>
      <c r="CI4" s="427"/>
      <c r="CJ4" s="427"/>
      <c r="CK4" s="429" t="s">
        <v>545</v>
      </c>
      <c r="CL4" s="427"/>
      <c r="CM4" s="427"/>
      <c r="CN4" s="428" t="s">
        <v>546</v>
      </c>
      <c r="CO4" s="427"/>
      <c r="CP4" s="427" t="s">
        <v>607</v>
      </c>
    </row>
    <row r="5" spans="2:94" ht="12.75" customHeight="1" thickBot="1">
      <c r="B5" s="426"/>
      <c r="C5" s="423"/>
      <c r="D5" s="727"/>
      <c r="E5" s="727"/>
      <c r="F5" s="423"/>
      <c r="G5" s="426"/>
      <c r="H5" s="426"/>
      <c r="I5" s="423"/>
      <c r="J5" s="423"/>
      <c r="K5" s="423"/>
      <c r="L5" s="423"/>
      <c r="M5" s="423"/>
      <c r="N5" s="423"/>
      <c r="O5" s="423"/>
      <c r="P5" s="423"/>
      <c r="Q5" s="423"/>
      <c r="R5" s="423"/>
      <c r="S5" s="423"/>
      <c r="T5" s="423"/>
      <c r="U5" s="423"/>
      <c r="V5" s="423"/>
      <c r="W5" s="423"/>
      <c r="X5" s="433"/>
      <c r="Y5" s="433"/>
      <c r="AM5" s="758" t="s">
        <v>548</v>
      </c>
      <c r="AN5" s="759"/>
      <c r="AO5" s="759"/>
      <c r="AP5" s="759"/>
      <c r="AQ5" s="759"/>
      <c r="AR5" s="759"/>
      <c r="AS5" s="759"/>
      <c r="AT5" s="759"/>
      <c r="AU5" s="760"/>
      <c r="AY5" s="761" t="s">
        <v>549</v>
      </c>
      <c r="AZ5" s="762"/>
      <c r="BA5" s="762"/>
      <c r="BB5" s="762"/>
      <c r="BC5" s="762"/>
      <c r="BD5" s="762"/>
      <c r="BE5" s="762"/>
      <c r="BF5" s="762"/>
      <c r="BG5" s="763"/>
      <c r="BW5" s="427"/>
      <c r="BX5" s="424"/>
      <c r="CB5" s="424"/>
      <c r="CG5" s="432" t="s">
        <v>550</v>
      </c>
      <c r="CH5" s="427"/>
      <c r="CI5" s="427"/>
      <c r="CJ5" s="427"/>
      <c r="CK5" s="434" t="s">
        <v>551</v>
      </c>
      <c r="CL5" s="427"/>
      <c r="CM5" s="427"/>
      <c r="CN5" s="428" t="s">
        <v>552</v>
      </c>
      <c r="CO5" s="427"/>
      <c r="CP5" s="427" t="s">
        <v>609</v>
      </c>
    </row>
    <row r="6" spans="1:94" ht="12.75" customHeight="1" thickBot="1">
      <c r="A6" s="812"/>
      <c r="B6" s="812"/>
      <c r="C6" s="768" t="s">
        <v>554</v>
      </c>
      <c r="D6" s="729"/>
      <c r="E6" s="730" t="s">
        <v>555</v>
      </c>
      <c r="F6" s="724"/>
      <c r="G6" s="724"/>
      <c r="H6" s="724" t="s">
        <v>556</v>
      </c>
      <c r="I6" s="725"/>
      <c r="J6" s="705" t="s">
        <v>557</v>
      </c>
      <c r="K6" s="706"/>
      <c r="L6" s="706"/>
      <c r="M6" s="831" t="s">
        <v>556</v>
      </c>
      <c r="N6" s="832"/>
      <c r="O6" s="717" t="s">
        <v>558</v>
      </c>
      <c r="P6" s="723"/>
      <c r="Q6" s="723"/>
      <c r="R6" s="723" t="s">
        <v>556</v>
      </c>
      <c r="S6" s="718"/>
      <c r="T6" s="719" t="s">
        <v>559</v>
      </c>
      <c r="U6" s="715"/>
      <c r="V6" s="716"/>
      <c r="W6" s="756" t="s">
        <v>560</v>
      </c>
      <c r="X6" s="768" t="s">
        <v>561</v>
      </c>
      <c r="Y6" s="754"/>
      <c r="Z6" s="755"/>
      <c r="AA6" s="733" t="s">
        <v>514</v>
      </c>
      <c r="AB6" s="829"/>
      <c r="AC6" s="830"/>
      <c r="AD6" s="828" t="s">
        <v>515</v>
      </c>
      <c r="AE6" s="829"/>
      <c r="AF6" s="764"/>
      <c r="AG6" s="865" t="s">
        <v>564</v>
      </c>
      <c r="AH6" s="866"/>
      <c r="AI6" s="866"/>
      <c r="AJ6" s="828" t="s">
        <v>565</v>
      </c>
      <c r="AK6" s="829"/>
      <c r="AL6" s="764"/>
      <c r="AM6" s="765" t="s">
        <v>566</v>
      </c>
      <c r="AN6" s="771"/>
      <c r="AO6" s="772"/>
      <c r="AP6" s="765" t="s">
        <v>567</v>
      </c>
      <c r="AQ6" s="771"/>
      <c r="AR6" s="772"/>
      <c r="AS6" s="765" t="s">
        <v>568</v>
      </c>
      <c r="AT6" s="771"/>
      <c r="AU6" s="772"/>
      <c r="AV6" s="805" t="s">
        <v>569</v>
      </c>
      <c r="AW6" s="805"/>
      <c r="AX6" s="805"/>
      <c r="AY6" s="765" t="s">
        <v>566</v>
      </c>
      <c r="AZ6" s="771"/>
      <c r="BA6" s="772"/>
      <c r="BB6" s="770" t="s">
        <v>567</v>
      </c>
      <c r="BC6" s="771"/>
      <c r="BD6" s="772"/>
      <c r="BE6" s="765" t="s">
        <v>568</v>
      </c>
      <c r="BF6" s="771"/>
      <c r="BG6" s="772"/>
      <c r="BH6" s="435"/>
      <c r="BI6" s="435"/>
      <c r="BJ6" s="435"/>
      <c r="BK6" s="426"/>
      <c r="BW6" s="427"/>
      <c r="BX6" s="424"/>
      <c r="BZ6" s="783"/>
      <c r="CA6" s="783"/>
      <c r="CB6" s="783"/>
      <c r="CC6" s="783"/>
      <c r="CD6" s="426"/>
      <c r="CG6" s="428" t="s">
        <v>570</v>
      </c>
      <c r="CH6" s="421"/>
      <c r="CI6" s="436"/>
      <c r="CJ6" s="436"/>
      <c r="CK6" s="434" t="s">
        <v>571</v>
      </c>
      <c r="CL6" s="427"/>
      <c r="CM6" s="427"/>
      <c r="CN6" s="428" t="s">
        <v>572</v>
      </c>
      <c r="CO6" s="427"/>
      <c r="CP6" s="427" t="s">
        <v>610</v>
      </c>
    </row>
    <row r="7" spans="1:94" ht="12.75" customHeight="1">
      <c r="A7" s="768" t="s">
        <v>574</v>
      </c>
      <c r="B7" s="755"/>
      <c r="C7" s="437" t="s">
        <v>575</v>
      </c>
      <c r="D7" s="438" t="s">
        <v>576</v>
      </c>
      <c r="E7" s="837" t="s">
        <v>577</v>
      </c>
      <c r="F7" s="838"/>
      <c r="G7" s="838"/>
      <c r="H7" s="726" t="s">
        <v>577</v>
      </c>
      <c r="I7" s="720"/>
      <c r="J7" s="721" t="s">
        <v>577</v>
      </c>
      <c r="K7" s="722"/>
      <c r="L7" s="722"/>
      <c r="M7" s="833" t="s">
        <v>577</v>
      </c>
      <c r="N7" s="834"/>
      <c r="O7" s="839" t="s">
        <v>577</v>
      </c>
      <c r="P7" s="840"/>
      <c r="Q7" s="840"/>
      <c r="R7" s="747" t="s">
        <v>577</v>
      </c>
      <c r="S7" s="748"/>
      <c r="T7" s="437" t="s">
        <v>578</v>
      </c>
      <c r="U7" s="439" t="s">
        <v>579</v>
      </c>
      <c r="V7" s="438" t="s">
        <v>580</v>
      </c>
      <c r="W7" s="757"/>
      <c r="X7" s="437" t="s">
        <v>578</v>
      </c>
      <c r="Y7" s="439" t="s">
        <v>579</v>
      </c>
      <c r="Z7" s="438" t="s">
        <v>580</v>
      </c>
      <c r="AA7" s="440" t="s">
        <v>578</v>
      </c>
      <c r="AB7" s="439" t="s">
        <v>579</v>
      </c>
      <c r="AC7" s="438" t="s">
        <v>580</v>
      </c>
      <c r="AD7" s="437" t="s">
        <v>578</v>
      </c>
      <c r="AE7" s="439" t="s">
        <v>579</v>
      </c>
      <c r="AF7" s="441" t="s">
        <v>580</v>
      </c>
      <c r="AG7" s="437" t="s">
        <v>578</v>
      </c>
      <c r="AH7" s="439" t="s">
        <v>579</v>
      </c>
      <c r="AI7" s="441" t="s">
        <v>580</v>
      </c>
      <c r="AJ7" s="437" t="s">
        <v>578</v>
      </c>
      <c r="AK7" s="439" t="s">
        <v>579</v>
      </c>
      <c r="AL7" s="441" t="s">
        <v>580</v>
      </c>
      <c r="AM7" s="465" t="s">
        <v>581</v>
      </c>
      <c r="AN7" s="466" t="s">
        <v>582</v>
      </c>
      <c r="AO7" s="467" t="s">
        <v>583</v>
      </c>
      <c r="AP7" s="465" t="s">
        <v>581</v>
      </c>
      <c r="AQ7" s="466" t="s">
        <v>582</v>
      </c>
      <c r="AR7" s="467" t="s">
        <v>583</v>
      </c>
      <c r="AS7" s="465" t="s">
        <v>581</v>
      </c>
      <c r="AT7" s="466" t="s">
        <v>582</v>
      </c>
      <c r="AU7" s="467" t="s">
        <v>584</v>
      </c>
      <c r="AV7" s="3" t="s">
        <v>578</v>
      </c>
      <c r="AW7" s="4" t="s">
        <v>579</v>
      </c>
      <c r="AX7" s="5" t="s">
        <v>580</v>
      </c>
      <c r="AY7" s="469" t="s">
        <v>581</v>
      </c>
      <c r="AZ7" s="481" t="s">
        <v>582</v>
      </c>
      <c r="BA7" s="470" t="s">
        <v>583</v>
      </c>
      <c r="BB7" s="494" t="s">
        <v>581</v>
      </c>
      <c r="BC7" s="481" t="s">
        <v>582</v>
      </c>
      <c r="BD7" s="470" t="s">
        <v>583</v>
      </c>
      <c r="BE7" s="469" t="s">
        <v>581</v>
      </c>
      <c r="BF7" s="481" t="s">
        <v>582</v>
      </c>
      <c r="BG7" s="470" t="s">
        <v>583</v>
      </c>
      <c r="BH7" s="442"/>
      <c r="BI7" s="442"/>
      <c r="BJ7" s="435"/>
      <c r="BW7" s="427"/>
      <c r="BX7" s="424"/>
      <c r="BZ7" s="783"/>
      <c r="CA7" s="783"/>
      <c r="CB7" s="783"/>
      <c r="CC7" s="783"/>
      <c r="CG7" s="428" t="s">
        <v>585</v>
      </c>
      <c r="CH7" s="427"/>
      <c r="CI7" s="436"/>
      <c r="CJ7" s="436"/>
      <c r="CK7" s="429" t="s">
        <v>586</v>
      </c>
      <c r="CL7" s="427"/>
      <c r="CM7" s="427"/>
      <c r="CN7" s="428" t="s">
        <v>587</v>
      </c>
      <c r="CO7" s="427"/>
      <c r="CP7" s="427" t="s">
        <v>595</v>
      </c>
    </row>
    <row r="8" spans="1:94" ht="12" customHeight="1">
      <c r="A8" s="816"/>
      <c r="B8" s="818"/>
      <c r="C8" s="504"/>
      <c r="D8" s="503"/>
      <c r="E8" s="753"/>
      <c r="F8" s="835"/>
      <c r="G8" s="835"/>
      <c r="H8" s="835"/>
      <c r="I8" s="836"/>
      <c r="J8" s="753"/>
      <c r="K8" s="835"/>
      <c r="L8" s="835"/>
      <c r="M8" s="835"/>
      <c r="N8" s="836"/>
      <c r="O8" s="753"/>
      <c r="P8" s="835"/>
      <c r="Q8" s="835"/>
      <c r="R8" s="835"/>
      <c r="S8" s="836"/>
      <c r="T8" s="508"/>
      <c r="U8" s="509"/>
      <c r="V8" s="510"/>
      <c r="W8" s="511"/>
      <c r="X8" s="504"/>
      <c r="Y8" s="502"/>
      <c r="Z8" s="503"/>
      <c r="AA8" s="512"/>
      <c r="AB8" s="502"/>
      <c r="AC8" s="502"/>
      <c r="AD8" s="504"/>
      <c r="AE8" s="502"/>
      <c r="AF8" s="503"/>
      <c r="AG8" s="507"/>
      <c r="AH8" s="479">
        <f aca="true" t="shared" si="0" ref="AH8:AH16">IF(OR(Y8="",AB8=""),"",IF(AE8="","",SUM(Y8,AB8,AE8)))</f>
      </c>
      <c r="AI8" s="518"/>
      <c r="AJ8" s="504"/>
      <c r="AK8" s="502"/>
      <c r="AL8" s="518"/>
      <c r="AM8" s="491">
        <f>IF($W8="","",IF('Percent Passing'!S3="","",'Percent Passing'!S3))</f>
      </c>
      <c r="AN8" s="492">
        <f>IF($W8="","",IF('Percent Passing'!S15="","",'Percent Passing'!S15))</f>
      </c>
      <c r="AO8" s="493">
        <f>IF($W8="","",IF('Percent Passing'!S27="","",'Percent Passing'!S27))</f>
      </c>
      <c r="AP8" s="491">
        <f>IF($W8="","",IF('Percent Passing'!T3="","",'Percent Passing'!T3))</f>
      </c>
      <c r="AQ8" s="492">
        <f>IF($W8="","",IF('Percent Passing'!T15="","",'Percent Passing'!T15))</f>
      </c>
      <c r="AR8" s="493">
        <f>IF($W8="","",IF('Percent Passing'!T27="","",'Percent Passing'!T27))</f>
      </c>
      <c r="AS8" s="491">
        <f>IF(W8="","",IF('Percent Passing'!U3="","",'Percent Passing'!U3))</f>
      </c>
      <c r="AT8" s="492">
        <f>IF($W8="","",IF('Percent Passing'!U15="","",'Percent Passing'!U15))</f>
      </c>
      <c r="AU8" s="493">
        <f>IF($W8="","",IF('Percent Passing'!U27="","",'Percent Passing'!U27))</f>
      </c>
      <c r="AV8" s="512"/>
      <c r="AW8" s="512"/>
      <c r="AX8" s="520"/>
      <c r="AY8" s="491">
        <f>IF($W8="","",IF('Percent Passing'!W3="","",'Percent Passing'!W3))</f>
      </c>
      <c r="AZ8" s="492">
        <f>IF($W8="","",IF('Percent Passing'!W15="","",'Percent Passing'!W15))</f>
      </c>
      <c r="BA8" s="493">
        <f>IF($W8="","",IF('Percent Passing'!W27="","",'Percent Passing'!W27))</f>
      </c>
      <c r="BB8" s="495">
        <f>IF($W8="","",IF('Percent Passing'!X3="","",'Percent Passing'!X3))</f>
      </c>
      <c r="BC8" s="492">
        <f>IF($W8="","",IF('Percent Passing'!X15="","",'Percent Passing'!X15))</f>
      </c>
      <c r="BD8" s="493">
        <f>IF($W8="","",IF('Percent Passing'!X27="","",'Percent Passing'!X27))</f>
      </c>
      <c r="BE8" s="491">
        <f>IF($W8="","",IF('Percent Passing'!Y3="","",'Percent Passing'!Y3))</f>
      </c>
      <c r="BF8" s="492">
        <f>IF($W8="","",IF('Percent Passing'!Y15="","",'Percent Passing'!Y15))</f>
      </c>
      <c r="BG8" s="493">
        <f>IF($W8="","",IF('Percent Passing'!Y27="","",'Percent Passing'!Y27))</f>
      </c>
      <c r="BH8" s="435"/>
      <c r="BI8" s="435"/>
      <c r="BJ8" s="443"/>
      <c r="BK8" s="443"/>
      <c r="BW8" s="427"/>
      <c r="BX8" s="424"/>
      <c r="BZ8" s="435"/>
      <c r="CA8" s="435"/>
      <c r="CB8" s="435"/>
      <c r="CC8" s="443"/>
      <c r="CD8" s="443"/>
      <c r="CG8" s="444"/>
      <c r="CH8" s="444"/>
      <c r="CI8" s="436"/>
      <c r="CJ8" s="436"/>
      <c r="CK8" s="436"/>
      <c r="CL8" s="427"/>
      <c r="CM8" s="427"/>
      <c r="CN8" s="428" t="s">
        <v>591</v>
      </c>
      <c r="CO8" s="427"/>
      <c r="CP8" s="424" t="s">
        <v>463</v>
      </c>
    </row>
    <row r="9" spans="1:94" ht="15" customHeight="1">
      <c r="A9" s="816"/>
      <c r="B9" s="818"/>
      <c r="C9" s="461">
        <f aca="true" t="shared" si="1" ref="C9:C16">IF(OR(A9="",D8=60),"",D8)</f>
      </c>
      <c r="D9" s="503"/>
      <c r="E9" s="753"/>
      <c r="F9" s="835"/>
      <c r="G9" s="835"/>
      <c r="H9" s="835"/>
      <c r="I9" s="836"/>
      <c r="J9" s="753"/>
      <c r="K9" s="835"/>
      <c r="L9" s="835"/>
      <c r="M9" s="835"/>
      <c r="N9" s="836"/>
      <c r="O9" s="753"/>
      <c r="P9" s="835"/>
      <c r="Q9" s="835"/>
      <c r="R9" s="835"/>
      <c r="S9" s="836"/>
      <c r="T9" s="508"/>
      <c r="U9" s="509"/>
      <c r="V9" s="510"/>
      <c r="W9" s="511"/>
      <c r="X9" s="703"/>
      <c r="Y9" s="704"/>
      <c r="Z9" s="707"/>
      <c r="AA9" s="708"/>
      <c r="AB9" s="704"/>
      <c r="AC9" s="704"/>
      <c r="AD9" s="703"/>
      <c r="AE9" s="704"/>
      <c r="AF9" s="707"/>
      <c r="AG9" s="709"/>
      <c r="AH9" s="479">
        <f t="shared" si="0"/>
      </c>
      <c r="AI9" s="710"/>
      <c r="AJ9" s="703"/>
      <c r="AK9" s="704"/>
      <c r="AL9" s="710"/>
      <c r="AM9" s="491">
        <f>IF($W9="","",IF('Percent Passing'!S4="","",'Percent Passing'!S4))</f>
      </c>
      <c r="AN9" s="492">
        <f>IF($W9="","",IF('Percent Passing'!S16="","",'Percent Passing'!S16))</f>
      </c>
      <c r="AO9" s="493">
        <f>IF($W9="","",IF('Percent Passing'!S28="","",'Percent Passing'!S28))</f>
      </c>
      <c r="AP9" s="491">
        <f>IF($W9="","",IF('Percent Passing'!T4="","",'Percent Passing'!T4))</f>
      </c>
      <c r="AQ9" s="492">
        <f>IF($W9="","",IF('Percent Passing'!T16="","",'Percent Passing'!T16))</f>
      </c>
      <c r="AR9" s="493">
        <f>IF($W9="","",IF('Percent Passing'!T28="","",'Percent Passing'!T28))</f>
      </c>
      <c r="AS9" s="491">
        <f>IF(W9="","",IF('Percent Passing'!U4="","",'Percent Passing'!U4))</f>
      </c>
      <c r="AT9" s="492">
        <f>IF($W9="","",IF('Percent Passing'!U16="","",'Percent Passing'!U16))</f>
      </c>
      <c r="AU9" s="493">
        <f>IF($W9="","",IF('Percent Passing'!U28="","",'Percent Passing'!U28))</f>
      </c>
      <c r="AV9" s="708"/>
      <c r="AW9" s="708"/>
      <c r="AX9" s="711"/>
      <c r="AY9" s="491">
        <f>IF($W9="","",IF('Percent Passing'!W4="","",'Percent Passing'!W4))</f>
      </c>
      <c r="AZ9" s="492">
        <f>IF($W9="","",IF('Percent Passing'!W16="","",'Percent Passing'!W16))</f>
      </c>
      <c r="BA9" s="493">
        <f>IF($W9="","",IF('Percent Passing'!W28="","",'Percent Passing'!W28))</f>
      </c>
      <c r="BB9" s="495">
        <f>IF($W9="","",IF('Percent Passing'!X4="","",'Percent Passing'!X4))</f>
      </c>
      <c r="BC9" s="492">
        <f>IF($W9="","",IF('Percent Passing'!X16="","",'Percent Passing'!X16))</f>
      </c>
      <c r="BD9" s="493">
        <f>IF($W9="","",IF('Percent Passing'!X28="","",'Percent Passing'!X28))</f>
      </c>
      <c r="BE9" s="491">
        <f>IF($W9="","",IF('Percent Passing'!Y4="","",'Percent Passing'!Y4))</f>
      </c>
      <c r="BF9" s="492">
        <f>IF($W9="","",IF('Percent Passing'!Y16="","",'Percent Passing'!Y16))</f>
      </c>
      <c r="BG9" s="493">
        <f>IF($W9="","",IF('Percent Passing'!Y28="","",'Percent Passing'!Y28))</f>
      </c>
      <c r="BH9" s="445"/>
      <c r="BI9" s="445"/>
      <c r="BJ9" s="445"/>
      <c r="BK9" s="443"/>
      <c r="BW9" s="427"/>
      <c r="BX9" s="424"/>
      <c r="BZ9" s="784"/>
      <c r="CA9" s="784"/>
      <c r="CB9" s="784"/>
      <c r="CC9" s="784"/>
      <c r="CD9" s="443"/>
      <c r="CG9" s="444"/>
      <c r="CH9" s="444"/>
      <c r="CI9" s="436"/>
      <c r="CJ9" s="436"/>
      <c r="CK9" s="436"/>
      <c r="CL9" s="427"/>
      <c r="CM9" s="427"/>
      <c r="CN9" s="424" t="s">
        <v>458</v>
      </c>
      <c r="CO9" s="427"/>
      <c r="CP9" s="424" t="s">
        <v>374</v>
      </c>
    </row>
    <row r="10" spans="1:94" ht="12.75">
      <c r="A10" s="816"/>
      <c r="B10" s="818"/>
      <c r="C10" s="461">
        <f t="shared" si="1"/>
      </c>
      <c r="D10" s="503"/>
      <c r="E10" s="753"/>
      <c r="F10" s="835"/>
      <c r="G10" s="835"/>
      <c r="H10" s="835"/>
      <c r="I10" s="836"/>
      <c r="J10" s="753"/>
      <c r="K10" s="835"/>
      <c r="L10" s="835"/>
      <c r="M10" s="835"/>
      <c r="N10" s="836"/>
      <c r="O10" s="753"/>
      <c r="P10" s="835"/>
      <c r="Q10" s="835"/>
      <c r="R10" s="835"/>
      <c r="S10" s="836"/>
      <c r="T10" s="508"/>
      <c r="U10" s="509"/>
      <c r="V10" s="510"/>
      <c r="W10" s="511"/>
      <c r="X10" s="703"/>
      <c r="Y10" s="704"/>
      <c r="Z10" s="707"/>
      <c r="AA10" s="708"/>
      <c r="AB10" s="704"/>
      <c r="AC10" s="704"/>
      <c r="AD10" s="703"/>
      <c r="AE10" s="704"/>
      <c r="AF10" s="707"/>
      <c r="AG10" s="709"/>
      <c r="AH10" s="479">
        <f t="shared" si="0"/>
      </c>
      <c r="AI10" s="710"/>
      <c r="AJ10" s="703"/>
      <c r="AK10" s="704"/>
      <c r="AL10" s="710"/>
      <c r="AM10" s="491">
        <f>IF($W10="","",IF('Percent Passing'!S5="","",'Percent Passing'!S5))</f>
      </c>
      <c r="AN10" s="492">
        <f>IF($W10="","",IF('Percent Passing'!S17="","",'Percent Passing'!S17))</f>
      </c>
      <c r="AO10" s="493">
        <f>IF($W10="","",IF('Percent Passing'!S29="","",'Percent Passing'!S29))</f>
      </c>
      <c r="AP10" s="491">
        <f>IF($W10="","",IF('Percent Passing'!T5="","",'Percent Passing'!T5))</f>
      </c>
      <c r="AQ10" s="492">
        <f>IF($W10="","",IF('Percent Passing'!T17="","",'Percent Passing'!T17))</f>
      </c>
      <c r="AR10" s="493">
        <f>IF($W10="","",IF('Percent Passing'!T29="","",'Percent Passing'!T29))</f>
      </c>
      <c r="AS10" s="491">
        <f>IF(W10="","",IF('Percent Passing'!U5="","",'Percent Passing'!U5))</f>
      </c>
      <c r="AT10" s="492">
        <f>IF($W10="","",IF('Percent Passing'!U17="","",'Percent Passing'!U17))</f>
      </c>
      <c r="AU10" s="493">
        <f>IF($W10="","",IF('Percent Passing'!U29="","",'Percent Passing'!U29))</f>
      </c>
      <c r="AV10" s="708"/>
      <c r="AW10" s="708"/>
      <c r="AX10" s="711"/>
      <c r="AY10" s="491">
        <f>IF($W10="","",IF('Percent Passing'!W5="","",'Percent Passing'!W5))</f>
      </c>
      <c r="AZ10" s="492">
        <f>IF($W10="","",IF('Percent Passing'!W17="","",'Percent Passing'!W17))</f>
      </c>
      <c r="BA10" s="493">
        <f>IF($W10="","",IF('Percent Passing'!W29="","",'Percent Passing'!W29))</f>
      </c>
      <c r="BB10" s="495">
        <f>IF($W10="","",IF('Percent Passing'!X5="","",'Percent Passing'!X5))</f>
      </c>
      <c r="BC10" s="492">
        <f>IF($W10="","",IF('Percent Passing'!X17="","",'Percent Passing'!X17))</f>
      </c>
      <c r="BD10" s="493">
        <f>IF($W10="","",IF('Percent Passing'!X29="","",'Percent Passing'!X29))</f>
      </c>
      <c r="BE10" s="491">
        <f>IF($W10="","",IF('Percent Passing'!Y5="","",'Percent Passing'!Y5))</f>
      </c>
      <c r="BF10" s="492">
        <f>IF($W10="","",IF('Percent Passing'!Y17="","",'Percent Passing'!Y17))</f>
      </c>
      <c r="BG10" s="493">
        <f>IF($W10="","",IF('Percent Passing'!Y29="","",'Percent Passing'!Y29))</f>
      </c>
      <c r="BH10" s="445"/>
      <c r="BI10" s="445"/>
      <c r="BJ10" s="445"/>
      <c r="BK10" s="443"/>
      <c r="BW10" s="427"/>
      <c r="BX10" s="424"/>
      <c r="BZ10" s="784"/>
      <c r="CA10" s="784"/>
      <c r="CB10" s="784"/>
      <c r="CC10" s="784"/>
      <c r="CD10" s="443"/>
      <c r="CG10" s="444"/>
      <c r="CH10" s="444"/>
      <c r="CI10" s="436"/>
      <c r="CJ10" s="427"/>
      <c r="CK10" s="427"/>
      <c r="CL10" s="427"/>
      <c r="CM10" s="427"/>
      <c r="CN10" s="428" t="s">
        <v>578</v>
      </c>
      <c r="CO10" s="427"/>
      <c r="CP10" s="427" t="s">
        <v>597</v>
      </c>
    </row>
    <row r="11" spans="1:94" ht="12.75">
      <c r="A11" s="816"/>
      <c r="B11" s="818"/>
      <c r="C11" s="461">
        <f t="shared" si="1"/>
      </c>
      <c r="D11" s="503"/>
      <c r="E11" s="753"/>
      <c r="F11" s="835"/>
      <c r="G11" s="835"/>
      <c r="H11" s="835"/>
      <c r="I11" s="836"/>
      <c r="J11" s="753"/>
      <c r="K11" s="835"/>
      <c r="L11" s="835"/>
      <c r="M11" s="835"/>
      <c r="N11" s="836"/>
      <c r="O11" s="753"/>
      <c r="P11" s="835"/>
      <c r="Q11" s="835"/>
      <c r="R11" s="835"/>
      <c r="S11" s="836"/>
      <c r="T11" s="508"/>
      <c r="U11" s="509"/>
      <c r="V11" s="510"/>
      <c r="W11" s="511"/>
      <c r="X11" s="703"/>
      <c r="Y11" s="704"/>
      <c r="Z11" s="707"/>
      <c r="AA11" s="708"/>
      <c r="AB11" s="704"/>
      <c r="AC11" s="704"/>
      <c r="AD11" s="703"/>
      <c r="AE11" s="704"/>
      <c r="AF11" s="707"/>
      <c r="AG11" s="709"/>
      <c r="AH11" s="479">
        <f t="shared" si="0"/>
      </c>
      <c r="AI11" s="710"/>
      <c r="AJ11" s="703"/>
      <c r="AK11" s="704"/>
      <c r="AL11" s="710"/>
      <c r="AM11" s="491">
        <f>IF($W11="","",IF('Percent Passing'!S6="","",'Percent Passing'!S6))</f>
      </c>
      <c r="AN11" s="492">
        <f>IF($W11="","",IF('Percent Passing'!S18="","",'Percent Passing'!S18))</f>
      </c>
      <c r="AO11" s="493">
        <f>IF($W11="","",IF('Percent Passing'!S30="","",'Percent Passing'!S30))</f>
      </c>
      <c r="AP11" s="491">
        <f>IF($W11="","",IF('Percent Passing'!T6="","",'Percent Passing'!T6))</f>
      </c>
      <c r="AQ11" s="492">
        <f>IF($W11="","",IF('Percent Passing'!T18="","",'Percent Passing'!T18))</f>
      </c>
      <c r="AR11" s="493">
        <f>IF($W11="","",IF('Percent Passing'!T30="","",'Percent Passing'!T30))</f>
      </c>
      <c r="AS11" s="491">
        <f>IF(W11="","",IF('Percent Passing'!U6="","",'Percent Passing'!U6))</f>
      </c>
      <c r="AT11" s="492">
        <f>IF($W11="","",IF('Percent Passing'!U18="","",'Percent Passing'!U18))</f>
      </c>
      <c r="AU11" s="493">
        <f>IF($W11="","",IF('Percent Passing'!U30="","",'Percent Passing'!U30))</f>
      </c>
      <c r="AV11" s="708"/>
      <c r="AW11" s="708"/>
      <c r="AX11" s="711"/>
      <c r="AY11" s="491">
        <f>IF($W11="","",IF('Percent Passing'!W6="","",'Percent Passing'!W6))</f>
      </c>
      <c r="AZ11" s="492">
        <f>IF($W11="","",IF('Percent Passing'!W18="","",'Percent Passing'!W18))</f>
      </c>
      <c r="BA11" s="493">
        <f>IF($W11="","",IF('Percent Passing'!W30="","",'Percent Passing'!W30))</f>
      </c>
      <c r="BB11" s="495">
        <f>IF($W11="","",IF('Percent Passing'!X6="","",'Percent Passing'!X6))</f>
      </c>
      <c r="BC11" s="492">
        <f>IF($W11="","",IF('Percent Passing'!X18="","",'Percent Passing'!X18))</f>
      </c>
      <c r="BD11" s="493">
        <f>IF($W11="","",IF('Percent Passing'!X30="","",'Percent Passing'!X30))</f>
      </c>
      <c r="BE11" s="491">
        <f>IF($W11="","",IF('Percent Passing'!Y6="","",'Percent Passing'!Y6))</f>
      </c>
      <c r="BF11" s="492">
        <f>IF($W11="","",IF('Percent Passing'!Y18="","",'Percent Passing'!Y18))</f>
      </c>
      <c r="BG11" s="493">
        <f>IF($W11="","",IF('Percent Passing'!Y30="","",'Percent Passing'!Y30))</f>
      </c>
      <c r="BH11" s="443"/>
      <c r="BI11" s="443"/>
      <c r="BJ11" s="443"/>
      <c r="BK11" s="443"/>
      <c r="BW11" s="427"/>
      <c r="BX11" s="424"/>
      <c r="BZ11" s="443"/>
      <c r="CA11" s="443"/>
      <c r="CB11" s="443"/>
      <c r="CC11" s="443"/>
      <c r="CD11" s="443"/>
      <c r="CG11" s="444"/>
      <c r="CH11" s="444"/>
      <c r="CI11" s="436"/>
      <c r="CJ11" s="427"/>
      <c r="CK11" s="427"/>
      <c r="CL11" s="427"/>
      <c r="CM11" s="427"/>
      <c r="CN11" s="428" t="s">
        <v>596</v>
      </c>
      <c r="CO11" s="427"/>
      <c r="CP11" s="424" t="s">
        <v>464</v>
      </c>
    </row>
    <row r="12" spans="1:94" ht="12.75">
      <c r="A12" s="816"/>
      <c r="B12" s="818"/>
      <c r="C12" s="461">
        <f t="shared" si="1"/>
      </c>
      <c r="D12" s="503"/>
      <c r="E12" s="753"/>
      <c r="F12" s="835"/>
      <c r="G12" s="835"/>
      <c r="H12" s="835"/>
      <c r="I12" s="836"/>
      <c r="J12" s="753"/>
      <c r="K12" s="835"/>
      <c r="L12" s="835"/>
      <c r="M12" s="835"/>
      <c r="N12" s="836"/>
      <c r="O12" s="753"/>
      <c r="P12" s="835"/>
      <c r="Q12" s="835"/>
      <c r="R12" s="835"/>
      <c r="S12" s="836"/>
      <c r="T12" s="508"/>
      <c r="U12" s="509"/>
      <c r="V12" s="510"/>
      <c r="W12" s="511"/>
      <c r="X12" s="703"/>
      <c r="Y12" s="704"/>
      <c r="Z12" s="707"/>
      <c r="AA12" s="708"/>
      <c r="AB12" s="704"/>
      <c r="AC12" s="704"/>
      <c r="AD12" s="703"/>
      <c r="AE12" s="704"/>
      <c r="AF12" s="707"/>
      <c r="AG12" s="709"/>
      <c r="AH12" s="479">
        <f t="shared" si="0"/>
      </c>
      <c r="AI12" s="710"/>
      <c r="AJ12" s="703"/>
      <c r="AK12" s="704"/>
      <c r="AL12" s="710"/>
      <c r="AM12" s="491">
        <f>IF($W12="","",IF('Percent Passing'!S7="","",'Percent Passing'!S7))</f>
      </c>
      <c r="AN12" s="492">
        <f>IF($W12="","",IF('Percent Passing'!S19="","",'Percent Passing'!S19))</f>
      </c>
      <c r="AO12" s="493">
        <f>IF($W12="","",IF('Percent Passing'!S31="","",'Percent Passing'!S31))</f>
      </c>
      <c r="AP12" s="491">
        <f>IF($W12="","",IF('Percent Passing'!T7="","",'Percent Passing'!T7))</f>
      </c>
      <c r="AQ12" s="492">
        <f>IF($W12="","",IF('Percent Passing'!T19="","",'Percent Passing'!T19))</f>
      </c>
      <c r="AR12" s="493">
        <f>IF($W12="","",IF('Percent Passing'!T31="","",'Percent Passing'!T31))</f>
      </c>
      <c r="AS12" s="491">
        <f>IF(W12="","",IF('Percent Passing'!U7="","",'Percent Passing'!U7))</f>
      </c>
      <c r="AT12" s="492">
        <f>IF($W12="","",IF('Percent Passing'!U19="","",'Percent Passing'!U19))</f>
      </c>
      <c r="AU12" s="493">
        <f>IF($W12="","",IF('Percent Passing'!U31="","",'Percent Passing'!U31))</f>
      </c>
      <c r="AV12" s="708"/>
      <c r="AW12" s="708"/>
      <c r="AX12" s="711"/>
      <c r="AY12" s="491">
        <f>IF($W12="","",IF('Percent Passing'!W7="","",'Percent Passing'!W7))</f>
      </c>
      <c r="AZ12" s="492">
        <f>IF($W12="","",IF('Percent Passing'!W19="","",'Percent Passing'!W19))</f>
      </c>
      <c r="BA12" s="493">
        <f>IF($W12="","",IF('Percent Passing'!W31="","",'Percent Passing'!W31))</f>
      </c>
      <c r="BB12" s="495">
        <f>IF($W12="","",IF('Percent Passing'!X7="","",'Percent Passing'!X7))</f>
      </c>
      <c r="BC12" s="492">
        <f>IF($W12="","",IF('Percent Passing'!X19="","",'Percent Passing'!X19))</f>
      </c>
      <c r="BD12" s="493">
        <f>IF($W12="","",IF('Percent Passing'!X31="","",'Percent Passing'!X31))</f>
      </c>
      <c r="BE12" s="491">
        <f>IF($W12="","",IF('Percent Passing'!Y7="","",'Percent Passing'!Y7))</f>
      </c>
      <c r="BF12" s="492">
        <f>IF($W12="","",IF('Percent Passing'!Y19="","",'Percent Passing'!Y19))</f>
      </c>
      <c r="BG12" s="493">
        <f>IF($W12="","",IF('Percent Passing'!Y31="","",'Percent Passing'!Y31))</f>
      </c>
      <c r="BH12" s="446"/>
      <c r="BI12" s="446"/>
      <c r="BJ12" s="446"/>
      <c r="BK12" s="446"/>
      <c r="BW12" s="427"/>
      <c r="BX12" s="424"/>
      <c r="BZ12" s="785"/>
      <c r="CA12" s="785"/>
      <c r="CB12" s="785"/>
      <c r="CC12" s="785"/>
      <c r="CD12" s="785"/>
      <c r="CG12" s="444"/>
      <c r="CH12" s="444"/>
      <c r="CI12" s="436"/>
      <c r="CJ12" s="427"/>
      <c r="CK12" s="427"/>
      <c r="CL12" s="427"/>
      <c r="CM12" s="427"/>
      <c r="CN12" s="428" t="s">
        <v>598</v>
      </c>
      <c r="CO12" s="427"/>
      <c r="CP12" s="424" t="s">
        <v>375</v>
      </c>
    </row>
    <row r="13" spans="1:94" ht="12.75">
      <c r="A13" s="816"/>
      <c r="B13" s="818"/>
      <c r="C13" s="461">
        <f t="shared" si="1"/>
      </c>
      <c r="D13" s="503"/>
      <c r="E13" s="753"/>
      <c r="F13" s="835"/>
      <c r="G13" s="835"/>
      <c r="H13" s="835"/>
      <c r="I13" s="836"/>
      <c r="J13" s="753"/>
      <c r="K13" s="835"/>
      <c r="L13" s="835"/>
      <c r="M13" s="835"/>
      <c r="N13" s="836"/>
      <c r="O13" s="753"/>
      <c r="P13" s="835"/>
      <c r="Q13" s="835"/>
      <c r="R13" s="835"/>
      <c r="S13" s="836"/>
      <c r="T13" s="508"/>
      <c r="U13" s="509"/>
      <c r="V13" s="510"/>
      <c r="W13" s="511"/>
      <c r="X13" s="703"/>
      <c r="Y13" s="704"/>
      <c r="Z13" s="707"/>
      <c r="AA13" s="708"/>
      <c r="AB13" s="704"/>
      <c r="AC13" s="704"/>
      <c r="AD13" s="703"/>
      <c r="AE13" s="704"/>
      <c r="AF13" s="707"/>
      <c r="AG13" s="709"/>
      <c r="AH13" s="479">
        <f t="shared" si="0"/>
      </c>
      <c r="AI13" s="710"/>
      <c r="AJ13" s="703"/>
      <c r="AK13" s="704"/>
      <c r="AL13" s="710"/>
      <c r="AM13" s="491">
        <f>IF($W13="","",IF('Percent Passing'!S8="","",'Percent Passing'!S8))</f>
      </c>
      <c r="AN13" s="492">
        <f>IF($W13="","",IF('Percent Passing'!S20="","",'Percent Passing'!S20))</f>
      </c>
      <c r="AO13" s="493">
        <f>IF($W13="","",IF('Percent Passing'!S32="","",'Percent Passing'!S32))</f>
      </c>
      <c r="AP13" s="491">
        <f>IF($W13="","",IF('Percent Passing'!T8="","",'Percent Passing'!T8))</f>
      </c>
      <c r="AQ13" s="492">
        <f>IF($W13="","",IF('Percent Passing'!T20="","",'Percent Passing'!T20))</f>
      </c>
      <c r="AR13" s="493">
        <f>IF($W13="","",IF('Percent Passing'!T32="","",'Percent Passing'!T32))</f>
      </c>
      <c r="AS13" s="491">
        <f>IF(W13="","",IF('Percent Passing'!U8="","",'Percent Passing'!U8))</f>
      </c>
      <c r="AT13" s="492">
        <f>IF($W13="","",IF('Percent Passing'!U20="","",'Percent Passing'!U20))</f>
      </c>
      <c r="AU13" s="493">
        <f>IF($W13="","",IF('Percent Passing'!U32="","",'Percent Passing'!U32))</f>
      </c>
      <c r="AV13" s="708"/>
      <c r="AW13" s="708"/>
      <c r="AX13" s="711"/>
      <c r="AY13" s="491">
        <f>IF($W13="","",IF('Percent Passing'!W8="","",'Percent Passing'!W8))</f>
      </c>
      <c r="AZ13" s="492">
        <f>IF($W13="","",IF('Percent Passing'!W20="","",'Percent Passing'!W20))</f>
      </c>
      <c r="BA13" s="493">
        <f>IF($W13="","",IF('Percent Passing'!W32="","",'Percent Passing'!W32))</f>
      </c>
      <c r="BB13" s="495">
        <f>IF($W13="","",IF('Percent Passing'!X8="","",'Percent Passing'!X8))</f>
      </c>
      <c r="BC13" s="492">
        <f>IF($W13="","",IF('Percent Passing'!X20="","",'Percent Passing'!X20))</f>
      </c>
      <c r="BD13" s="493">
        <f>IF($W13="","",IF('Percent Passing'!X32="","",'Percent Passing'!X32))</f>
      </c>
      <c r="BE13" s="491">
        <f>IF($W13="","",IF('Percent Passing'!Y8="","",'Percent Passing'!Y8))</f>
      </c>
      <c r="BF13" s="492">
        <f>IF($W13="","",IF('Percent Passing'!Y20="","",'Percent Passing'!Y20))</f>
      </c>
      <c r="BG13" s="493">
        <f>IF($W13="","",IF('Percent Passing'!Y32="","",'Percent Passing'!Y32))</f>
      </c>
      <c r="BH13" s="447"/>
      <c r="BI13" s="447"/>
      <c r="BJ13" s="447"/>
      <c r="BK13" s="447"/>
      <c r="BW13" s="427"/>
      <c r="BX13" s="424"/>
      <c r="BZ13" s="786"/>
      <c r="CA13" s="786"/>
      <c r="CB13" s="786"/>
      <c r="CC13" s="786"/>
      <c r="CD13" s="786"/>
      <c r="CG13" s="444"/>
      <c r="CH13" s="444"/>
      <c r="CI13" s="436"/>
      <c r="CJ13" s="427"/>
      <c r="CK13" s="427"/>
      <c r="CL13" s="427"/>
      <c r="CM13" s="427"/>
      <c r="CN13" s="428" t="s">
        <v>600</v>
      </c>
      <c r="CO13" s="427"/>
      <c r="CP13" s="427" t="s">
        <v>599</v>
      </c>
    </row>
    <row r="14" spans="1:94" ht="12.75">
      <c r="A14" s="816"/>
      <c r="B14" s="818"/>
      <c r="C14" s="461">
        <f t="shared" si="1"/>
      </c>
      <c r="D14" s="503"/>
      <c r="E14" s="753"/>
      <c r="F14" s="835"/>
      <c r="G14" s="835"/>
      <c r="H14" s="835"/>
      <c r="I14" s="836"/>
      <c r="J14" s="753"/>
      <c r="K14" s="835"/>
      <c r="L14" s="835"/>
      <c r="M14" s="835"/>
      <c r="N14" s="836"/>
      <c r="O14" s="753"/>
      <c r="P14" s="835"/>
      <c r="Q14" s="835"/>
      <c r="R14" s="835"/>
      <c r="S14" s="836"/>
      <c r="T14" s="508"/>
      <c r="U14" s="509"/>
      <c r="V14" s="510"/>
      <c r="W14" s="511"/>
      <c r="X14" s="504"/>
      <c r="Y14" s="502"/>
      <c r="Z14" s="503"/>
      <c r="AA14" s="512"/>
      <c r="AB14" s="502"/>
      <c r="AC14" s="502"/>
      <c r="AD14" s="504"/>
      <c r="AE14" s="502"/>
      <c r="AF14" s="503"/>
      <c r="AG14" s="507"/>
      <c r="AH14" s="479">
        <f t="shared" si="0"/>
      </c>
      <c r="AI14" s="518"/>
      <c r="AJ14" s="504"/>
      <c r="AK14" s="502"/>
      <c r="AL14" s="518"/>
      <c r="AM14" s="491">
        <f>IF($W14="","",IF('Percent Passing'!S9="","",'Percent Passing'!S9))</f>
      </c>
      <c r="AN14" s="492">
        <f>IF($W14="","",IF('Percent Passing'!S21="","",'Percent Passing'!S21))</f>
      </c>
      <c r="AO14" s="493">
        <f>IF($W14="","",IF('Percent Passing'!S33="","",'Percent Passing'!S33))</f>
      </c>
      <c r="AP14" s="491">
        <f>IF($W14="","",IF('Percent Passing'!T9="","",'Percent Passing'!T9))</f>
      </c>
      <c r="AQ14" s="492">
        <f>IF($W14="","",IF('Percent Passing'!T21="","",'Percent Passing'!T21))</f>
      </c>
      <c r="AR14" s="493">
        <f>IF($W14="","",IF('Percent Passing'!T33="","",'Percent Passing'!T33))</f>
      </c>
      <c r="AS14" s="491">
        <f>IF(W14="","",IF('Percent Passing'!U9="","",'Percent Passing'!U9))</f>
      </c>
      <c r="AT14" s="492">
        <f>IF($W14="","",IF('Percent Passing'!U21="","",'Percent Passing'!U21))</f>
      </c>
      <c r="AU14" s="493">
        <f>IF($W14="","",IF('Percent Passing'!U33="","",'Percent Passing'!U33))</f>
      </c>
      <c r="AV14" s="512"/>
      <c r="AW14" s="512"/>
      <c r="AX14" s="520"/>
      <c r="AY14" s="491">
        <f>IF($W14="","",IF('Percent Passing'!W9="","",'Percent Passing'!W9))</f>
      </c>
      <c r="AZ14" s="492">
        <f>IF($W14="","",IF('Percent Passing'!W21="","",'Percent Passing'!W21))</f>
      </c>
      <c r="BA14" s="493">
        <f>IF($W14="","",IF('Percent Passing'!W33="","",'Percent Passing'!W33))</f>
      </c>
      <c r="BB14" s="495">
        <f>IF($W14="","",IF('Percent Passing'!X9="","",'Percent Passing'!X9))</f>
      </c>
      <c r="BC14" s="492">
        <f>IF($W14="","",IF('Percent Passing'!X21="","",'Percent Passing'!X21))</f>
      </c>
      <c r="BD14" s="493">
        <f>IF($W14="","",IF('Percent Passing'!X33="","",'Percent Passing'!X33))</f>
      </c>
      <c r="BE14" s="491">
        <f>IF($W14="","",IF('Percent Passing'!Y9="","",'Percent Passing'!Y9))</f>
      </c>
      <c r="BF14" s="492">
        <f>IF($W14="","",IF('Percent Passing'!Y21="","",'Percent Passing'!Y21))</f>
      </c>
      <c r="BG14" s="493">
        <f>IF($W14="","",IF('Percent Passing'!Y33="","",'Percent Passing'!Y33))</f>
      </c>
      <c r="BH14" s="443"/>
      <c r="BI14" s="443"/>
      <c r="BW14" s="427"/>
      <c r="BX14" s="424"/>
      <c r="CB14" s="424"/>
      <c r="CG14" s="444"/>
      <c r="CH14" s="444"/>
      <c r="CI14" s="436"/>
      <c r="CJ14" s="427"/>
      <c r="CK14" s="427"/>
      <c r="CL14" s="427"/>
      <c r="CM14" s="427"/>
      <c r="CN14" s="428" t="s">
        <v>602</v>
      </c>
      <c r="CO14" s="427"/>
      <c r="CP14" s="424" t="s">
        <v>465</v>
      </c>
    </row>
    <row r="15" spans="1:94" ht="12.75">
      <c r="A15" s="816"/>
      <c r="B15" s="818"/>
      <c r="C15" s="461">
        <f t="shared" si="1"/>
      </c>
      <c r="D15" s="503"/>
      <c r="E15" s="753"/>
      <c r="F15" s="835"/>
      <c r="G15" s="835"/>
      <c r="H15" s="835"/>
      <c r="I15" s="836"/>
      <c r="J15" s="753"/>
      <c r="K15" s="835"/>
      <c r="L15" s="835"/>
      <c r="M15" s="835"/>
      <c r="N15" s="836"/>
      <c r="O15" s="753"/>
      <c r="P15" s="835"/>
      <c r="Q15" s="835"/>
      <c r="R15" s="835"/>
      <c r="S15" s="836"/>
      <c r="T15" s="508"/>
      <c r="U15" s="509"/>
      <c r="V15" s="510"/>
      <c r="W15" s="511"/>
      <c r="X15" s="504"/>
      <c r="Y15" s="502"/>
      <c r="Z15" s="503"/>
      <c r="AA15" s="512"/>
      <c r="AB15" s="502"/>
      <c r="AC15" s="502"/>
      <c r="AD15" s="504"/>
      <c r="AE15" s="502"/>
      <c r="AF15" s="518"/>
      <c r="AG15" s="507"/>
      <c r="AH15" s="479">
        <f t="shared" si="0"/>
      </c>
      <c r="AI15" s="518"/>
      <c r="AJ15" s="504"/>
      <c r="AK15" s="502"/>
      <c r="AL15" s="518"/>
      <c r="AM15" s="491">
        <f>IF($W15="","",IF('Percent Passing'!S10="","",'Percent Passing'!S10))</f>
      </c>
      <c r="AN15" s="492">
        <f>IF($W15="","",IF('Percent Passing'!S22="","",'Percent Passing'!S22))</f>
      </c>
      <c r="AO15" s="493">
        <f>IF($W15="","",IF('Percent Passing'!S34="","",'Percent Passing'!S34))</f>
      </c>
      <c r="AP15" s="491">
        <f>IF($W15="","",IF('Percent Passing'!T10="","",'Percent Passing'!T10))</f>
      </c>
      <c r="AQ15" s="492">
        <f>IF($W15="","",IF('Percent Passing'!T22="","",'Percent Passing'!T22))</f>
      </c>
      <c r="AR15" s="493">
        <f>IF($W15="","",IF('Percent Passing'!T34="","",'Percent Passing'!T34))</f>
      </c>
      <c r="AS15" s="491">
        <f>IF(W15="","",IF('Percent Passing'!U10="","",'Percent Passing'!U10))</f>
      </c>
      <c r="AT15" s="492">
        <f>IF($W15="","",IF('Percent Passing'!U22="","",'Percent Passing'!U22))</f>
      </c>
      <c r="AU15" s="493">
        <f>IF($W15="","",IF('Percent Passing'!U34="","",'Percent Passing'!U34))</f>
      </c>
      <c r="AV15" s="512"/>
      <c r="AW15" s="512"/>
      <c r="AX15" s="520"/>
      <c r="AY15" s="491">
        <f>IF($W15="","",IF('Percent Passing'!W10="","",'Percent Passing'!W10))</f>
      </c>
      <c r="AZ15" s="492">
        <f>IF($W15="","",IF('Percent Passing'!W22="","",'Percent Passing'!W22))</f>
      </c>
      <c r="BA15" s="493">
        <f>IF($W15="","",IF('Percent Passing'!W34="","",'Percent Passing'!W34))</f>
      </c>
      <c r="BB15" s="495">
        <f>IF($W15="","",IF('Percent Passing'!X10="","",'Percent Passing'!X10))</f>
      </c>
      <c r="BC15" s="492">
        <f>IF($W15="","",IF('Percent Passing'!X22="","",'Percent Passing'!X22))</f>
      </c>
      <c r="BD15" s="493">
        <f>IF($W15="","",IF('Percent Passing'!X34="","",'Percent Passing'!X34))</f>
      </c>
      <c r="BE15" s="491">
        <f>IF($W15="","",IF('Percent Passing'!Y10="","",'Percent Passing'!Y10))</f>
      </c>
      <c r="BF15" s="492">
        <f>IF($W15="","",IF('Percent Passing'!Y22="","",'Percent Passing'!Y22))</f>
      </c>
      <c r="BG15" s="493">
        <f>IF($W15="","",IF('Percent Passing'!Y34="","",'Percent Passing'!Y34))</f>
      </c>
      <c r="BH15" s="446"/>
      <c r="BI15" s="446"/>
      <c r="BJ15" s="446"/>
      <c r="BK15" s="446"/>
      <c r="BW15" s="427"/>
      <c r="BX15" s="424"/>
      <c r="CB15" s="424"/>
      <c r="CG15" s="444"/>
      <c r="CH15" s="444"/>
      <c r="CI15" s="436"/>
      <c r="CJ15" s="427"/>
      <c r="CK15" s="427"/>
      <c r="CL15" s="427"/>
      <c r="CM15" s="427"/>
      <c r="CN15" s="424" t="s">
        <v>451</v>
      </c>
      <c r="CO15" s="427"/>
      <c r="CP15" s="424" t="s">
        <v>386</v>
      </c>
    </row>
    <row r="16" spans="1:94" ht="13.5" thickBot="1">
      <c r="A16" s="813"/>
      <c r="B16" s="815"/>
      <c r="C16" s="462">
        <f t="shared" si="1"/>
      </c>
      <c r="D16" s="500"/>
      <c r="E16" s="753"/>
      <c r="F16" s="835"/>
      <c r="G16" s="835"/>
      <c r="H16" s="844"/>
      <c r="I16" s="845"/>
      <c r="J16" s="753"/>
      <c r="K16" s="835"/>
      <c r="L16" s="835"/>
      <c r="M16" s="844"/>
      <c r="N16" s="845"/>
      <c r="O16" s="753"/>
      <c r="P16" s="835"/>
      <c r="Q16" s="835"/>
      <c r="R16" s="844"/>
      <c r="S16" s="845"/>
      <c r="T16" s="513"/>
      <c r="U16" s="514"/>
      <c r="V16" s="515"/>
      <c r="W16" s="516"/>
      <c r="X16" s="505"/>
      <c r="Y16" s="501"/>
      <c r="Z16" s="500"/>
      <c r="AA16" s="517"/>
      <c r="AB16" s="501"/>
      <c r="AC16" s="501"/>
      <c r="AD16" s="505"/>
      <c r="AE16" s="501"/>
      <c r="AF16" s="519"/>
      <c r="AG16" s="506"/>
      <c r="AH16" s="480">
        <f t="shared" si="0"/>
      </c>
      <c r="AI16" s="519"/>
      <c r="AJ16" s="505"/>
      <c r="AK16" s="501"/>
      <c r="AL16" s="519"/>
      <c r="AM16" s="491">
        <f>IF($W16="","",IF('Percent Passing'!S11="","",'Percent Passing'!S11))</f>
      </c>
      <c r="AN16" s="492">
        <f>IF($W16="","",IF('Percent Passing'!S23="","",'Percent Passing'!S23))</f>
      </c>
      <c r="AO16" s="493">
        <f>IF($W16="","",IF('Percent Passing'!S35="","",'Percent Passing'!S35))</f>
      </c>
      <c r="AP16" s="491">
        <f>IF($W16="","",IF('Percent Passing'!T11="","",'Percent Passing'!T11))</f>
      </c>
      <c r="AQ16" s="492">
        <f>IF($W16="","",IF('Percent Passing'!T23="","",'Percent Passing'!T23))</f>
      </c>
      <c r="AR16" s="493">
        <f>IF($W16="","",IF('Percent Passing'!T35="","",'Percent Passing'!T35))</f>
      </c>
      <c r="AS16" s="491">
        <f>IF(W16="","",IF('Percent Passing'!U11="","",'Percent Passing'!U11))</f>
      </c>
      <c r="AT16" s="492">
        <f>IF($W16="","",IF('Percent Passing'!U23="","",'Percent Passing'!U23))</f>
      </c>
      <c r="AU16" s="493">
        <f>IF($W16="","",IF('Percent Passing'!U35="","",'Percent Passing'!U35))</f>
      </c>
      <c r="AV16" s="517"/>
      <c r="AW16" s="517"/>
      <c r="AX16" s="521"/>
      <c r="AY16" s="491">
        <f>IF($W16="","",IF('Percent Passing'!W11="","",'Percent Passing'!W11))</f>
      </c>
      <c r="AZ16" s="492">
        <f>IF($W16="","",IF('Percent Passing'!W23="","",'Percent Passing'!W23))</f>
      </c>
      <c r="BA16" s="493">
        <f>IF($W16="","",IF('Percent Passing'!W35="","",'Percent Passing'!W35))</f>
      </c>
      <c r="BB16" s="495">
        <f>IF($W16="","",IF('Percent Passing'!X11="","",'Percent Passing'!X11))</f>
      </c>
      <c r="BC16" s="492">
        <f>IF($W16="","",IF('Percent Passing'!X23="","",'Percent Passing'!X23))</f>
      </c>
      <c r="BD16" s="493">
        <f>IF($W16="","",IF('Percent Passing'!X35="","",'Percent Passing'!X35))</f>
      </c>
      <c r="BE16" s="491">
        <f>IF($W16="","",IF('Percent Passing'!Y11="","",'Percent Passing'!Y11))</f>
      </c>
      <c r="BF16" s="492">
        <f>IF($W16="","",IF('Percent Passing'!Y23="","",'Percent Passing'!Y23))</f>
      </c>
      <c r="BG16" s="493">
        <f>IF($W16="","",IF('Percent Passing'!Y35="","",'Percent Passing'!Y35))</f>
      </c>
      <c r="BK16" s="431"/>
      <c r="BW16" s="427"/>
      <c r="BX16" s="424"/>
      <c r="CB16" s="424"/>
      <c r="CG16" s="444"/>
      <c r="CH16" s="444"/>
      <c r="CI16" s="436"/>
      <c r="CJ16" s="427"/>
      <c r="CK16" s="427"/>
      <c r="CL16" s="427"/>
      <c r="CM16" s="427"/>
      <c r="CN16" s="427" t="s">
        <v>370</v>
      </c>
      <c r="CO16" s="427"/>
      <c r="CP16" s="427" t="s">
        <v>612</v>
      </c>
    </row>
    <row r="17" spans="15:94" ht="12.75">
      <c r="O17" s="423"/>
      <c r="P17" s="423"/>
      <c r="Q17" s="423"/>
      <c r="R17" s="423"/>
      <c r="T17" s="423"/>
      <c r="U17" s="423"/>
      <c r="V17" s="853"/>
      <c r="W17" s="854"/>
      <c r="X17" s="812"/>
      <c r="Y17" s="854"/>
      <c r="Z17" s="854"/>
      <c r="AA17" s="854"/>
      <c r="AB17" s="423"/>
      <c r="AC17" s="423"/>
      <c r="AD17" s="423"/>
      <c r="AH17" s="443"/>
      <c r="AI17" s="443"/>
      <c r="AJ17" s="443"/>
      <c r="AN17" s="443"/>
      <c r="AO17" s="443"/>
      <c r="AP17" s="443"/>
      <c r="AT17" s="443"/>
      <c r="BF17" s="448"/>
      <c r="BG17" s="448"/>
      <c r="BH17" s="448"/>
      <c r="BW17" s="444"/>
      <c r="BX17" s="424"/>
      <c r="CB17" s="424"/>
      <c r="CC17" s="431"/>
      <c r="CG17" s="444"/>
      <c r="CH17" s="444"/>
      <c r="CI17" s="444"/>
      <c r="CJ17" s="427"/>
      <c r="CK17" s="427"/>
      <c r="CL17" s="427"/>
      <c r="CM17" s="444"/>
      <c r="CN17" s="424" t="s">
        <v>297</v>
      </c>
      <c r="CO17" s="444"/>
      <c r="CP17" s="427" t="s">
        <v>624</v>
      </c>
    </row>
    <row r="18" spans="2:94" ht="13.5" thickBot="1">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49"/>
      <c r="AT18" s="449"/>
      <c r="BW18" s="427"/>
      <c r="CG18" s="451"/>
      <c r="CH18" s="427"/>
      <c r="CI18" s="427"/>
      <c r="CJ18" s="427"/>
      <c r="CK18" s="427"/>
      <c r="CL18" s="427"/>
      <c r="CM18" s="427"/>
      <c r="CN18" s="424" t="s">
        <v>371</v>
      </c>
      <c r="CO18" s="427"/>
      <c r="CP18" s="427" t="s">
        <v>630</v>
      </c>
    </row>
    <row r="19" spans="1:94" ht="16.5" thickBot="1">
      <c r="A19" s="812"/>
      <c r="B19" s="812"/>
      <c r="C19" s="828" t="s">
        <v>613</v>
      </c>
      <c r="D19" s="829"/>
      <c r="E19" s="830"/>
      <c r="F19" s="828" t="s">
        <v>614</v>
      </c>
      <c r="G19" s="829"/>
      <c r="H19" s="830"/>
      <c r="I19" s="828" t="s">
        <v>615</v>
      </c>
      <c r="J19" s="829"/>
      <c r="K19" s="830"/>
      <c r="L19" s="828" t="s">
        <v>616</v>
      </c>
      <c r="M19" s="846"/>
      <c r="N19" s="847"/>
      <c r="O19" s="828" t="s">
        <v>617</v>
      </c>
      <c r="P19" s="829"/>
      <c r="Q19" s="829"/>
      <c r="R19" s="830"/>
      <c r="S19" s="828" t="s">
        <v>618</v>
      </c>
      <c r="T19" s="829"/>
      <c r="U19" s="830"/>
      <c r="V19" s="828" t="s">
        <v>281</v>
      </c>
      <c r="W19" s="829"/>
      <c r="X19" s="830"/>
      <c r="Y19" s="828" t="s">
        <v>619</v>
      </c>
      <c r="Z19" s="829"/>
      <c r="AA19" s="830"/>
      <c r="AB19" s="828" t="s">
        <v>620</v>
      </c>
      <c r="AC19" s="829"/>
      <c r="AD19" s="764"/>
      <c r="AE19" s="828" t="s">
        <v>621</v>
      </c>
      <c r="AF19" s="829"/>
      <c r="AG19" s="830"/>
      <c r="AH19" s="733" t="s">
        <v>622</v>
      </c>
      <c r="AI19" s="829"/>
      <c r="AJ19" s="830"/>
      <c r="AL19" s="758" t="s">
        <v>623</v>
      </c>
      <c r="AM19" s="759"/>
      <c r="AN19" s="759"/>
      <c r="AO19" s="759"/>
      <c r="AP19" s="760"/>
      <c r="AQ19" s="421"/>
      <c r="AR19" s="421"/>
      <c r="AS19" s="426"/>
      <c r="AT19" s="443"/>
      <c r="AU19" s="443"/>
      <c r="AV19" s="443"/>
      <c r="AW19" s="443"/>
      <c r="BW19" s="427"/>
      <c r="CG19" s="421"/>
      <c r="CH19" s="427"/>
      <c r="CI19" s="427"/>
      <c r="CJ19" s="427"/>
      <c r="CK19" s="427"/>
      <c r="CL19" s="427"/>
      <c r="CM19" s="427"/>
      <c r="CN19" s="428" t="s">
        <v>604</v>
      </c>
      <c r="CO19" s="427"/>
      <c r="CP19" s="427" t="s">
        <v>633</v>
      </c>
    </row>
    <row r="20" spans="1:94" ht="13.5" thickBot="1">
      <c r="A20" s="828" t="s">
        <v>574</v>
      </c>
      <c r="B20" s="843"/>
      <c r="C20" s="437" t="s">
        <v>578</v>
      </c>
      <c r="D20" s="439" t="s">
        <v>579</v>
      </c>
      <c r="E20" s="438" t="s">
        <v>580</v>
      </c>
      <c r="F20" s="437" t="s">
        <v>578</v>
      </c>
      <c r="G20" s="439" t="s">
        <v>579</v>
      </c>
      <c r="H20" s="438" t="s">
        <v>580</v>
      </c>
      <c r="I20" s="437" t="s">
        <v>578</v>
      </c>
      <c r="J20" s="439" t="s">
        <v>579</v>
      </c>
      <c r="K20" s="438" t="s">
        <v>580</v>
      </c>
      <c r="L20" s="437" t="s">
        <v>578</v>
      </c>
      <c r="M20" s="439" t="s">
        <v>579</v>
      </c>
      <c r="N20" s="438" t="s">
        <v>580</v>
      </c>
      <c r="O20" s="734" t="s">
        <v>625</v>
      </c>
      <c r="P20" s="735"/>
      <c r="Q20" s="735"/>
      <c r="R20" s="736"/>
      <c r="S20" s="734" t="s">
        <v>626</v>
      </c>
      <c r="T20" s="735"/>
      <c r="U20" s="736"/>
      <c r="V20" s="437" t="s">
        <v>578</v>
      </c>
      <c r="W20" s="439" t="s">
        <v>579</v>
      </c>
      <c r="X20" s="438" t="s">
        <v>580</v>
      </c>
      <c r="Y20" s="437" t="s">
        <v>578</v>
      </c>
      <c r="Z20" s="439" t="s">
        <v>579</v>
      </c>
      <c r="AA20" s="438" t="s">
        <v>580</v>
      </c>
      <c r="AB20" s="437" t="s">
        <v>578</v>
      </c>
      <c r="AC20" s="439" t="s">
        <v>579</v>
      </c>
      <c r="AD20" s="441" t="s">
        <v>580</v>
      </c>
      <c r="AE20" s="437" t="s">
        <v>578</v>
      </c>
      <c r="AF20" s="439" t="s">
        <v>579</v>
      </c>
      <c r="AG20" s="438" t="s">
        <v>580</v>
      </c>
      <c r="AH20" s="440" t="s">
        <v>578</v>
      </c>
      <c r="AI20" s="439" t="s">
        <v>579</v>
      </c>
      <c r="AJ20" s="438" t="s">
        <v>580</v>
      </c>
      <c r="AL20" s="787" t="s">
        <v>627</v>
      </c>
      <c r="AM20" s="788"/>
      <c r="AN20" s="789"/>
      <c r="AO20" s="796" t="s">
        <v>628</v>
      </c>
      <c r="AP20" s="797"/>
      <c r="AQ20" s="431"/>
      <c r="AR20" s="803" t="s">
        <v>629</v>
      </c>
      <c r="AS20" s="804"/>
      <c r="AT20" s="804"/>
      <c r="AU20" s="804"/>
      <c r="AV20" s="804"/>
      <c r="AW20" s="806" t="s">
        <v>640</v>
      </c>
      <c r="AX20" s="807"/>
      <c r="AY20" s="807"/>
      <c r="AZ20" s="807"/>
      <c r="BA20" s="807"/>
      <c r="BB20" s="780" t="s">
        <v>501</v>
      </c>
      <c r="BC20" s="780"/>
      <c r="BD20" s="780"/>
      <c r="BE20" s="780"/>
      <c r="BF20" s="781"/>
      <c r="BW20" s="427"/>
      <c r="CG20" s="427"/>
      <c r="CH20" s="427"/>
      <c r="CI20" s="427"/>
      <c r="CJ20" s="427"/>
      <c r="CK20" s="427"/>
      <c r="CL20" s="427"/>
      <c r="CM20" s="427"/>
      <c r="CN20" s="428" t="s">
        <v>606</v>
      </c>
      <c r="CO20" s="427"/>
      <c r="CP20" s="427" t="s">
        <v>637</v>
      </c>
    </row>
    <row r="21" spans="1:94" ht="12.75">
      <c r="A21" s="841">
        <f>IF(A8="","",A8)</f>
      </c>
      <c r="B21" s="842"/>
      <c r="C21" s="504"/>
      <c r="D21" s="502"/>
      <c r="E21" s="503"/>
      <c r="F21" s="504"/>
      <c r="G21" s="502"/>
      <c r="H21" s="503"/>
      <c r="I21" s="504"/>
      <c r="J21" s="479">
        <f aca="true" t="shared" si="2" ref="J21:J29">IF(OR(D21="",G21=""),"",100-(G21+D21))</f>
      </c>
      <c r="K21" s="503"/>
      <c r="L21" s="522"/>
      <c r="M21" s="523"/>
      <c r="N21" s="528"/>
      <c r="O21" s="750"/>
      <c r="P21" s="751"/>
      <c r="Q21" s="751"/>
      <c r="R21" s="752"/>
      <c r="S21" s="753"/>
      <c r="T21" s="779"/>
      <c r="U21" s="738"/>
      <c r="V21" s="504"/>
      <c r="W21" s="502"/>
      <c r="X21" s="503"/>
      <c r="Y21" s="504"/>
      <c r="Z21" s="502"/>
      <c r="AA21" s="503"/>
      <c r="AB21" s="504"/>
      <c r="AC21" s="502"/>
      <c r="AD21" s="518"/>
      <c r="AE21" s="504"/>
      <c r="AF21" s="502"/>
      <c r="AG21" s="503"/>
      <c r="AH21" s="529"/>
      <c r="AI21" s="530"/>
      <c r="AJ21" s="531"/>
      <c r="AK21" s="452"/>
      <c r="AL21" s="787" t="s">
        <v>631</v>
      </c>
      <c r="AM21" s="788"/>
      <c r="AN21" s="789"/>
      <c r="AO21" s="798" t="s">
        <v>632</v>
      </c>
      <c r="AP21" s="799"/>
      <c r="AQ21" s="431"/>
      <c r="AR21" s="808"/>
      <c r="AS21" s="808"/>
      <c r="AT21" s="808"/>
      <c r="AU21" s="808"/>
      <c r="AV21" s="808"/>
      <c r="AW21" s="769"/>
      <c r="AX21" s="769"/>
      <c r="AY21" s="769"/>
      <c r="AZ21" s="769"/>
      <c r="BA21" s="769"/>
      <c r="BB21" s="769"/>
      <c r="BC21" s="769"/>
      <c r="BD21" s="769"/>
      <c r="BE21" s="769"/>
      <c r="BF21" s="769"/>
      <c r="BW21" s="427"/>
      <c r="CG21" s="427"/>
      <c r="CH21" s="427"/>
      <c r="CI21" s="427"/>
      <c r="CJ21" s="427"/>
      <c r="CK21" s="427"/>
      <c r="CL21" s="427"/>
      <c r="CM21" s="427"/>
      <c r="CN21" s="428" t="s">
        <v>608</v>
      </c>
      <c r="CO21" s="427"/>
      <c r="CP21" s="427" t="s">
        <v>642</v>
      </c>
    </row>
    <row r="22" spans="1:94" ht="12.75">
      <c r="A22" s="841">
        <f aca="true" t="shared" si="3" ref="A22:A29">IF(A9="","",A9)</f>
      </c>
      <c r="B22" s="842"/>
      <c r="C22" s="703"/>
      <c r="D22" s="704"/>
      <c r="E22" s="707"/>
      <c r="F22" s="504"/>
      <c r="G22" s="502"/>
      <c r="H22" s="503"/>
      <c r="I22" s="504"/>
      <c r="J22" s="479">
        <f t="shared" si="2"/>
      </c>
      <c r="K22" s="503"/>
      <c r="L22" s="522"/>
      <c r="M22" s="523"/>
      <c r="N22" s="528"/>
      <c r="O22" s="750"/>
      <c r="P22" s="751"/>
      <c r="Q22" s="751"/>
      <c r="R22" s="752"/>
      <c r="S22" s="753"/>
      <c r="T22" s="779"/>
      <c r="U22" s="738"/>
      <c r="V22" s="504"/>
      <c r="W22" s="502"/>
      <c r="X22" s="503"/>
      <c r="Y22" s="504"/>
      <c r="Z22" s="502"/>
      <c r="AA22" s="503"/>
      <c r="AB22" s="504"/>
      <c r="AC22" s="502"/>
      <c r="AD22" s="518"/>
      <c r="AE22" s="504"/>
      <c r="AF22" s="502"/>
      <c r="AG22" s="503"/>
      <c r="AH22" s="529"/>
      <c r="AI22" s="530"/>
      <c r="AJ22" s="531"/>
      <c r="AK22" s="452"/>
      <c r="AL22" s="787" t="s">
        <v>634</v>
      </c>
      <c r="AM22" s="788"/>
      <c r="AN22" s="789"/>
      <c r="AO22" s="798" t="s">
        <v>635</v>
      </c>
      <c r="AP22" s="799"/>
      <c r="AQ22" s="431"/>
      <c r="AR22" s="808"/>
      <c r="AS22" s="808"/>
      <c r="AT22" s="808"/>
      <c r="AU22" s="808"/>
      <c r="AV22" s="808"/>
      <c r="AW22" s="779" t="s">
        <v>67</v>
      </c>
      <c r="AX22" s="779"/>
      <c r="AY22" s="779"/>
      <c r="AZ22" s="779"/>
      <c r="BA22" s="779"/>
      <c r="BB22" s="782" t="s">
        <v>68</v>
      </c>
      <c r="BC22" s="782"/>
      <c r="BD22" s="782"/>
      <c r="BE22" s="782"/>
      <c r="BF22" s="782"/>
      <c r="BW22" s="427"/>
      <c r="CG22" s="427"/>
      <c r="CH22" s="427"/>
      <c r="CI22" s="427"/>
      <c r="CJ22" s="427"/>
      <c r="CK22" s="427"/>
      <c r="CL22" s="427"/>
      <c r="CM22" s="427"/>
      <c r="CN22" s="428" t="s">
        <v>593</v>
      </c>
      <c r="CO22" s="427"/>
      <c r="CP22" s="427" t="s">
        <v>541</v>
      </c>
    </row>
    <row r="23" spans="1:94" ht="12.75">
      <c r="A23" s="841">
        <f t="shared" si="3"/>
      </c>
      <c r="B23" s="842"/>
      <c r="C23" s="703"/>
      <c r="D23" s="704"/>
      <c r="E23" s="707"/>
      <c r="F23" s="504"/>
      <c r="G23" s="502"/>
      <c r="H23" s="503"/>
      <c r="I23" s="504"/>
      <c r="J23" s="479">
        <f t="shared" si="2"/>
      </c>
      <c r="K23" s="503"/>
      <c r="L23" s="522"/>
      <c r="M23" s="523"/>
      <c r="N23" s="528"/>
      <c r="O23" s="750"/>
      <c r="P23" s="751"/>
      <c r="Q23" s="751"/>
      <c r="R23" s="752"/>
      <c r="S23" s="753"/>
      <c r="T23" s="779"/>
      <c r="U23" s="738"/>
      <c r="V23" s="504"/>
      <c r="W23" s="502"/>
      <c r="X23" s="503"/>
      <c r="Y23" s="504"/>
      <c r="Z23" s="502"/>
      <c r="AA23" s="503"/>
      <c r="AB23" s="504"/>
      <c r="AC23" s="502"/>
      <c r="AD23" s="518"/>
      <c r="AE23" s="504"/>
      <c r="AF23" s="502"/>
      <c r="AG23" s="503"/>
      <c r="AH23" s="529"/>
      <c r="AI23" s="530"/>
      <c r="AJ23" s="531"/>
      <c r="AK23" s="452"/>
      <c r="AL23" s="787" t="s">
        <v>638</v>
      </c>
      <c r="AM23" s="788"/>
      <c r="AN23" s="789"/>
      <c r="AO23" s="798" t="s">
        <v>639</v>
      </c>
      <c r="AP23" s="799"/>
      <c r="AQ23" s="431"/>
      <c r="AR23" s="808"/>
      <c r="AS23" s="808"/>
      <c r="AT23" s="808"/>
      <c r="AU23" s="808"/>
      <c r="AV23" s="808"/>
      <c r="AW23" s="779" t="s">
        <v>67</v>
      </c>
      <c r="AX23" s="779"/>
      <c r="AY23" s="779"/>
      <c r="AZ23" s="779"/>
      <c r="BA23" s="779"/>
      <c r="BB23" s="782" t="s">
        <v>68</v>
      </c>
      <c r="BC23" s="782"/>
      <c r="BD23" s="782"/>
      <c r="BE23" s="782"/>
      <c r="BF23" s="782"/>
      <c r="BW23" s="427"/>
      <c r="CG23" s="427"/>
      <c r="CH23" s="427"/>
      <c r="CI23" s="427"/>
      <c r="CJ23" s="427"/>
      <c r="CK23" s="427"/>
      <c r="CL23" s="427"/>
      <c r="CM23" s="427"/>
      <c r="CN23" s="432" t="s">
        <v>611</v>
      </c>
      <c r="CO23" s="427"/>
      <c r="CP23" s="424" t="s">
        <v>372</v>
      </c>
    </row>
    <row r="24" spans="1:94" ht="12.75">
      <c r="A24" s="841">
        <f t="shared" si="3"/>
      </c>
      <c r="B24" s="842"/>
      <c r="C24" s="703"/>
      <c r="D24" s="704"/>
      <c r="E24" s="707"/>
      <c r="F24" s="504"/>
      <c r="G24" s="502"/>
      <c r="H24" s="503"/>
      <c r="I24" s="504"/>
      <c r="J24" s="479">
        <f t="shared" si="2"/>
      </c>
      <c r="K24" s="503"/>
      <c r="L24" s="522"/>
      <c r="M24" s="523"/>
      <c r="N24" s="528"/>
      <c r="O24" s="750"/>
      <c r="P24" s="751"/>
      <c r="Q24" s="751"/>
      <c r="R24" s="752"/>
      <c r="S24" s="753"/>
      <c r="T24" s="779"/>
      <c r="U24" s="738"/>
      <c r="V24" s="504"/>
      <c r="W24" s="502"/>
      <c r="X24" s="503"/>
      <c r="Y24" s="504"/>
      <c r="Z24" s="502"/>
      <c r="AA24" s="503"/>
      <c r="AB24" s="504"/>
      <c r="AC24" s="502"/>
      <c r="AD24" s="518"/>
      <c r="AE24" s="504"/>
      <c r="AF24" s="502"/>
      <c r="AG24" s="503"/>
      <c r="AH24" s="529"/>
      <c r="AI24" s="530"/>
      <c r="AJ24" s="531"/>
      <c r="AK24" s="452"/>
      <c r="AL24" s="787" t="s">
        <v>643</v>
      </c>
      <c r="AM24" s="788"/>
      <c r="AN24" s="789"/>
      <c r="AO24" s="798" t="s">
        <v>644</v>
      </c>
      <c r="AP24" s="799"/>
      <c r="AQ24" s="431"/>
      <c r="AR24" s="808"/>
      <c r="AS24" s="808"/>
      <c r="AT24" s="808"/>
      <c r="AU24" s="808"/>
      <c r="AV24" s="808"/>
      <c r="AW24" s="779" t="s">
        <v>67</v>
      </c>
      <c r="AX24" s="779"/>
      <c r="AY24" s="779"/>
      <c r="AZ24" s="779"/>
      <c r="BA24" s="779"/>
      <c r="BB24" s="782" t="s">
        <v>68</v>
      </c>
      <c r="BC24" s="782"/>
      <c r="BD24" s="782"/>
      <c r="BE24" s="782"/>
      <c r="BF24" s="782"/>
      <c r="BW24" s="427"/>
      <c r="CG24" s="427"/>
      <c r="CH24" s="427"/>
      <c r="CI24" s="427"/>
      <c r="CJ24" s="427"/>
      <c r="CK24" s="427"/>
      <c r="CL24" s="427"/>
      <c r="CM24" s="427"/>
      <c r="CN24" s="432" t="s">
        <v>589</v>
      </c>
      <c r="CO24" s="427"/>
      <c r="CP24" s="427" t="s">
        <v>573</v>
      </c>
    </row>
    <row r="25" spans="1:94" ht="12.75">
      <c r="A25" s="841">
        <f t="shared" si="3"/>
      </c>
      <c r="B25" s="842"/>
      <c r="C25" s="703"/>
      <c r="D25" s="704"/>
      <c r="E25" s="707"/>
      <c r="F25" s="504"/>
      <c r="G25" s="502"/>
      <c r="H25" s="503"/>
      <c r="I25" s="504"/>
      <c r="J25" s="479">
        <f t="shared" si="2"/>
      </c>
      <c r="K25" s="503"/>
      <c r="L25" s="522"/>
      <c r="M25" s="523"/>
      <c r="N25" s="528"/>
      <c r="O25" s="750"/>
      <c r="P25" s="751"/>
      <c r="Q25" s="751"/>
      <c r="R25" s="752"/>
      <c r="S25" s="753"/>
      <c r="T25" s="779"/>
      <c r="U25" s="738"/>
      <c r="V25" s="504"/>
      <c r="W25" s="502"/>
      <c r="X25" s="503"/>
      <c r="Y25" s="504"/>
      <c r="Z25" s="502"/>
      <c r="AA25" s="503"/>
      <c r="AB25" s="504"/>
      <c r="AC25" s="502"/>
      <c r="AD25" s="518"/>
      <c r="AE25" s="504"/>
      <c r="AF25" s="502"/>
      <c r="AG25" s="503"/>
      <c r="AH25" s="529"/>
      <c r="AI25" s="530"/>
      <c r="AJ25" s="531"/>
      <c r="AK25" s="452"/>
      <c r="AL25" s="787" t="s">
        <v>646</v>
      </c>
      <c r="AM25" s="788"/>
      <c r="AN25" s="789"/>
      <c r="AO25" s="798" t="s">
        <v>647</v>
      </c>
      <c r="AP25" s="799"/>
      <c r="AQ25" s="431"/>
      <c r="AR25" s="808"/>
      <c r="AS25" s="808"/>
      <c r="AT25" s="808"/>
      <c r="AU25" s="808"/>
      <c r="AV25" s="808"/>
      <c r="AW25" s="779" t="s">
        <v>67</v>
      </c>
      <c r="AX25" s="779"/>
      <c r="AY25" s="779"/>
      <c r="AZ25" s="779"/>
      <c r="BA25" s="779"/>
      <c r="BB25" s="782" t="s">
        <v>68</v>
      </c>
      <c r="BC25" s="782"/>
      <c r="BD25" s="782"/>
      <c r="BE25" s="782"/>
      <c r="BF25" s="782"/>
      <c r="BW25" s="427"/>
      <c r="CG25" s="427"/>
      <c r="CH25" s="427"/>
      <c r="CI25" s="427"/>
      <c r="CJ25" s="427"/>
      <c r="CK25" s="427"/>
      <c r="CL25" s="427"/>
      <c r="CM25" s="427"/>
      <c r="CN25" s="428" t="s">
        <v>590</v>
      </c>
      <c r="CO25" s="427"/>
      <c r="CP25" s="613" t="s">
        <v>547</v>
      </c>
    </row>
    <row r="26" spans="1:94" ht="12.75">
      <c r="A26" s="841">
        <f t="shared" si="3"/>
      </c>
      <c r="B26" s="842"/>
      <c r="C26" s="703"/>
      <c r="D26" s="704"/>
      <c r="E26" s="707"/>
      <c r="F26" s="504"/>
      <c r="G26" s="502"/>
      <c r="H26" s="503"/>
      <c r="I26" s="504"/>
      <c r="J26" s="479">
        <f t="shared" si="2"/>
      </c>
      <c r="K26" s="503"/>
      <c r="L26" s="522"/>
      <c r="M26" s="523"/>
      <c r="N26" s="528"/>
      <c r="O26" s="750"/>
      <c r="P26" s="751"/>
      <c r="Q26" s="751"/>
      <c r="R26" s="752"/>
      <c r="S26" s="753"/>
      <c r="T26" s="779"/>
      <c r="U26" s="738"/>
      <c r="V26" s="504"/>
      <c r="W26" s="502"/>
      <c r="X26" s="503"/>
      <c r="Y26" s="504"/>
      <c r="Z26" s="502"/>
      <c r="AA26" s="503"/>
      <c r="AB26" s="504"/>
      <c r="AC26" s="502"/>
      <c r="AD26" s="518"/>
      <c r="AE26" s="504"/>
      <c r="AF26" s="502"/>
      <c r="AG26" s="503"/>
      <c r="AH26" s="529"/>
      <c r="AI26" s="530"/>
      <c r="AJ26" s="531"/>
      <c r="AK26" s="452"/>
      <c r="AL26" s="787" t="s">
        <v>649</v>
      </c>
      <c r="AM26" s="788"/>
      <c r="AN26" s="789"/>
      <c r="AO26" s="798" t="s">
        <v>25</v>
      </c>
      <c r="AP26" s="799"/>
      <c r="AQ26" s="431"/>
      <c r="AR26" s="808"/>
      <c r="AS26" s="808"/>
      <c r="AT26" s="808"/>
      <c r="AU26" s="808"/>
      <c r="AV26" s="808"/>
      <c r="AW26" s="779" t="s">
        <v>67</v>
      </c>
      <c r="AX26" s="779"/>
      <c r="AY26" s="779"/>
      <c r="AZ26" s="779"/>
      <c r="BA26" s="779"/>
      <c r="BB26" s="782" t="s">
        <v>68</v>
      </c>
      <c r="BC26" s="782"/>
      <c r="BD26" s="782"/>
      <c r="BE26" s="782"/>
      <c r="BF26" s="782"/>
      <c r="BW26" s="427"/>
      <c r="CG26" s="427"/>
      <c r="CH26" s="427"/>
      <c r="CI26" s="427"/>
      <c r="CJ26" s="427"/>
      <c r="CK26" s="427"/>
      <c r="CL26" s="427"/>
      <c r="CM26" s="427"/>
      <c r="CN26" s="428" t="s">
        <v>594</v>
      </c>
      <c r="CO26" s="427"/>
      <c r="CP26" s="613" t="s">
        <v>553</v>
      </c>
    </row>
    <row r="27" spans="1:94" ht="12.75">
      <c r="A27" s="841">
        <f t="shared" si="3"/>
      </c>
      <c r="B27" s="842"/>
      <c r="C27" s="504"/>
      <c r="D27" s="502"/>
      <c r="E27" s="503"/>
      <c r="F27" s="504"/>
      <c r="G27" s="502"/>
      <c r="H27" s="503"/>
      <c r="I27" s="504"/>
      <c r="J27" s="479">
        <f t="shared" si="2"/>
      </c>
      <c r="K27" s="503"/>
      <c r="L27" s="522"/>
      <c r="M27" s="523"/>
      <c r="N27" s="528"/>
      <c r="O27" s="750"/>
      <c r="P27" s="751"/>
      <c r="Q27" s="751"/>
      <c r="R27" s="752"/>
      <c r="S27" s="753"/>
      <c r="T27" s="779"/>
      <c r="U27" s="738"/>
      <c r="V27" s="504"/>
      <c r="W27" s="502"/>
      <c r="X27" s="503"/>
      <c r="Y27" s="504"/>
      <c r="Z27" s="502"/>
      <c r="AA27" s="503"/>
      <c r="AB27" s="504"/>
      <c r="AC27" s="502"/>
      <c r="AD27" s="518"/>
      <c r="AE27" s="504"/>
      <c r="AF27" s="502"/>
      <c r="AG27" s="503"/>
      <c r="AH27" s="529"/>
      <c r="AI27" s="530"/>
      <c r="AJ27" s="531"/>
      <c r="AK27" s="452"/>
      <c r="AL27" s="787" t="s">
        <v>651</v>
      </c>
      <c r="AM27" s="788"/>
      <c r="AN27" s="789"/>
      <c r="AO27" s="798" t="s">
        <v>652</v>
      </c>
      <c r="AP27" s="799"/>
      <c r="AQ27" s="431"/>
      <c r="AR27" s="808"/>
      <c r="AS27" s="808"/>
      <c r="AT27" s="808"/>
      <c r="AU27" s="808"/>
      <c r="AV27" s="808"/>
      <c r="AW27" s="779"/>
      <c r="AX27" s="779"/>
      <c r="AY27" s="779"/>
      <c r="AZ27" s="779"/>
      <c r="BA27" s="779"/>
      <c r="BB27" s="782"/>
      <c r="BC27" s="782"/>
      <c r="BD27" s="782"/>
      <c r="BE27" s="782"/>
      <c r="BF27" s="782"/>
      <c r="BW27" s="427"/>
      <c r="CG27" s="427"/>
      <c r="CH27" s="427"/>
      <c r="CI27" s="427"/>
      <c r="CJ27" s="427"/>
      <c r="CK27" s="427"/>
      <c r="CL27" s="427"/>
      <c r="CM27" s="427"/>
      <c r="CN27" s="424" t="s">
        <v>461</v>
      </c>
      <c r="CO27" s="427"/>
      <c r="CP27" s="424" t="s">
        <v>448</v>
      </c>
    </row>
    <row r="28" spans="1:94" ht="12.75">
      <c r="A28" s="841">
        <f t="shared" si="3"/>
      </c>
      <c r="B28" s="842"/>
      <c r="C28" s="504"/>
      <c r="D28" s="502"/>
      <c r="E28" s="503"/>
      <c r="F28" s="504"/>
      <c r="G28" s="502"/>
      <c r="H28" s="503"/>
      <c r="I28" s="504"/>
      <c r="J28" s="479">
        <f t="shared" si="2"/>
      </c>
      <c r="K28" s="503"/>
      <c r="L28" s="522"/>
      <c r="M28" s="523"/>
      <c r="N28" s="528"/>
      <c r="O28" s="750"/>
      <c r="P28" s="751"/>
      <c r="Q28" s="751"/>
      <c r="R28" s="752"/>
      <c r="S28" s="753"/>
      <c r="T28" s="779"/>
      <c r="U28" s="738"/>
      <c r="V28" s="504"/>
      <c r="W28" s="502"/>
      <c r="X28" s="503"/>
      <c r="Y28" s="504"/>
      <c r="Z28" s="502"/>
      <c r="AA28" s="503"/>
      <c r="AB28" s="504"/>
      <c r="AC28" s="502"/>
      <c r="AD28" s="518"/>
      <c r="AE28" s="504"/>
      <c r="AF28" s="502"/>
      <c r="AG28" s="503"/>
      <c r="AH28" s="529"/>
      <c r="AI28" s="530"/>
      <c r="AJ28" s="531"/>
      <c r="AK28" s="452"/>
      <c r="AL28" s="787" t="s">
        <v>653</v>
      </c>
      <c r="AM28" s="788"/>
      <c r="AN28" s="789"/>
      <c r="AO28" s="798" t="s">
        <v>654</v>
      </c>
      <c r="AP28" s="799"/>
      <c r="AQ28" s="431"/>
      <c r="AR28" s="808"/>
      <c r="AS28" s="808"/>
      <c r="AT28" s="808"/>
      <c r="AU28" s="808"/>
      <c r="AV28" s="808"/>
      <c r="AW28" s="779"/>
      <c r="AX28" s="779"/>
      <c r="AY28" s="779"/>
      <c r="AZ28" s="779"/>
      <c r="BA28" s="779"/>
      <c r="BB28" s="782"/>
      <c r="BC28" s="782"/>
      <c r="BD28" s="782"/>
      <c r="BE28" s="782"/>
      <c r="BF28" s="782"/>
      <c r="CN28" s="424" t="s">
        <v>459</v>
      </c>
      <c r="CP28" s="427" t="s">
        <v>588</v>
      </c>
    </row>
    <row r="29" spans="1:94" ht="13.5" thickBot="1">
      <c r="A29" s="841">
        <f t="shared" si="3"/>
      </c>
      <c r="B29" s="842"/>
      <c r="C29" s="505"/>
      <c r="D29" s="501"/>
      <c r="E29" s="500"/>
      <c r="F29" s="505"/>
      <c r="G29" s="501"/>
      <c r="H29" s="500"/>
      <c r="I29" s="505"/>
      <c r="J29" s="480">
        <f t="shared" si="2"/>
      </c>
      <c r="K29" s="500"/>
      <c r="L29" s="525"/>
      <c r="M29" s="526"/>
      <c r="N29" s="532"/>
      <c r="O29" s="855"/>
      <c r="P29" s="856"/>
      <c r="Q29" s="856"/>
      <c r="R29" s="857"/>
      <c r="S29" s="743"/>
      <c r="T29" s="744"/>
      <c r="U29" s="745"/>
      <c r="V29" s="505"/>
      <c r="W29" s="501"/>
      <c r="X29" s="500"/>
      <c r="Y29" s="505"/>
      <c r="Z29" s="501"/>
      <c r="AA29" s="500"/>
      <c r="AB29" s="505"/>
      <c r="AC29" s="501"/>
      <c r="AD29" s="519"/>
      <c r="AE29" s="505"/>
      <c r="AF29" s="501"/>
      <c r="AG29" s="500"/>
      <c r="AH29" s="533"/>
      <c r="AI29" s="534"/>
      <c r="AJ29" s="535"/>
      <c r="AK29" s="452"/>
      <c r="AL29" s="821" t="s">
        <v>655</v>
      </c>
      <c r="AM29" s="822"/>
      <c r="AN29" s="823"/>
      <c r="AO29" s="819" t="s">
        <v>656</v>
      </c>
      <c r="AP29" s="820"/>
      <c r="AQ29" s="431"/>
      <c r="AR29" s="808"/>
      <c r="AS29" s="808"/>
      <c r="AT29" s="808"/>
      <c r="AU29" s="808"/>
      <c r="AV29" s="808"/>
      <c r="AW29" s="779"/>
      <c r="AX29" s="779"/>
      <c r="AY29" s="779"/>
      <c r="AZ29" s="779"/>
      <c r="BA29" s="779"/>
      <c r="BB29" s="782"/>
      <c r="BC29" s="782"/>
      <c r="BD29" s="782"/>
      <c r="BE29" s="782"/>
      <c r="BF29" s="782"/>
      <c r="CN29" s="428" t="s">
        <v>636</v>
      </c>
      <c r="CP29" s="424" t="s">
        <v>373</v>
      </c>
    </row>
    <row r="30" spans="1:94" ht="12.75">
      <c r="A30" s="812"/>
      <c r="B30" s="854"/>
      <c r="L30" s="443"/>
      <c r="M30" s="443"/>
      <c r="N30" s="443"/>
      <c r="O30" s="443"/>
      <c r="P30" s="443"/>
      <c r="Q30" s="443"/>
      <c r="V30" s="423"/>
      <c r="X30" s="423"/>
      <c r="Z30" s="423"/>
      <c r="AJ30" s="452"/>
      <c r="AK30" s="452"/>
      <c r="AL30" s="452"/>
      <c r="CN30" s="428" t="s">
        <v>641</v>
      </c>
      <c r="CP30" s="424" t="s">
        <v>450</v>
      </c>
    </row>
    <row r="31" spans="2:94" ht="13.5" thickBot="1">
      <c r="B31" s="423"/>
      <c r="C31" s="423"/>
      <c r="D31" s="423"/>
      <c r="E31" s="423"/>
      <c r="F31" s="423"/>
      <c r="G31" s="423"/>
      <c r="H31" s="423"/>
      <c r="I31" s="423"/>
      <c r="J31" s="423"/>
      <c r="K31" s="423"/>
      <c r="L31" s="423"/>
      <c r="M31" s="423"/>
      <c r="N31" s="423"/>
      <c r="O31" s="423"/>
      <c r="P31" s="423"/>
      <c r="Q31" s="453"/>
      <c r="R31" s="453"/>
      <c r="S31" s="453"/>
      <c r="T31" s="453"/>
      <c r="U31" s="453"/>
      <c r="V31" s="453"/>
      <c r="W31" s="453"/>
      <c r="X31" s="453"/>
      <c r="Y31" s="453"/>
      <c r="Z31" s="827" t="s">
        <v>657</v>
      </c>
      <c r="AA31" s="827"/>
      <c r="AB31" s="827"/>
      <c r="AC31" s="827"/>
      <c r="AD31" s="827"/>
      <c r="AE31" s="827"/>
      <c r="AF31" s="423"/>
      <c r="AG31" s="423"/>
      <c r="AH31" s="423"/>
      <c r="AI31" s="423"/>
      <c r="AJ31" s="423"/>
      <c r="AK31" s="423"/>
      <c r="AL31" s="423"/>
      <c r="AM31" s="423"/>
      <c r="AN31" s="423"/>
      <c r="AO31" s="423"/>
      <c r="AP31" s="423"/>
      <c r="AQ31" s="423"/>
      <c r="AR31" s="423"/>
      <c r="AT31" s="426"/>
      <c r="AU31" s="426"/>
      <c r="AV31" s="426"/>
      <c r="AW31" s="426"/>
      <c r="AX31" s="426"/>
      <c r="AY31" s="426"/>
      <c r="AZ31" s="426"/>
      <c r="BA31" s="426"/>
      <c r="BB31" s="426"/>
      <c r="BC31" s="426"/>
      <c r="BI31" s="426"/>
      <c r="BL31" s="426"/>
      <c r="CN31" s="424" t="s">
        <v>460</v>
      </c>
      <c r="CP31" s="427" t="s">
        <v>592</v>
      </c>
    </row>
    <row r="32" spans="1:94" ht="16.5" thickBot="1">
      <c r="A32" s="812"/>
      <c r="B32" s="812"/>
      <c r="C32" s="464" t="s">
        <v>282</v>
      </c>
      <c r="D32" s="828" t="s">
        <v>658</v>
      </c>
      <c r="E32" s="829"/>
      <c r="F32" s="830"/>
      <c r="G32" s="828" t="s">
        <v>659</v>
      </c>
      <c r="H32" s="829"/>
      <c r="I32" s="764"/>
      <c r="J32" s="719" t="s">
        <v>660</v>
      </c>
      <c r="K32" s="850"/>
      <c r="L32" s="851"/>
      <c r="M32" s="852" t="s">
        <v>283</v>
      </c>
      <c r="N32" s="850"/>
      <c r="O32" s="851"/>
      <c r="P32" s="426"/>
      <c r="Q32" s="739" t="s">
        <v>661</v>
      </c>
      <c r="R32" s="746"/>
      <c r="S32" s="731"/>
      <c r="T32" s="739" t="s">
        <v>662</v>
      </c>
      <c r="U32" s="746"/>
      <c r="V32" s="732"/>
      <c r="W32" s="739" t="s">
        <v>663</v>
      </c>
      <c r="X32" s="740"/>
      <c r="Y32" s="741"/>
      <c r="Z32" s="739" t="s">
        <v>578</v>
      </c>
      <c r="AA32" s="742"/>
      <c r="AB32" s="739" t="s">
        <v>579</v>
      </c>
      <c r="AC32" s="742"/>
      <c r="AD32" s="739" t="s">
        <v>580</v>
      </c>
      <c r="AE32" s="742"/>
      <c r="AG32" s="426"/>
      <c r="AH32" s="426"/>
      <c r="AR32" s="246"/>
      <c r="AW32" s="776" t="s">
        <v>399</v>
      </c>
      <c r="AX32" s="777"/>
      <c r="AY32" s="777"/>
      <c r="AZ32" s="777"/>
      <c r="BA32" s="777"/>
      <c r="BB32" s="777"/>
      <c r="BC32" s="777"/>
      <c r="BD32" s="777"/>
      <c r="BE32" s="778"/>
      <c r="BH32" s="812"/>
      <c r="BI32" s="812"/>
      <c r="BJ32" s="812"/>
      <c r="BK32" s="812"/>
      <c r="BL32" s="812"/>
      <c r="BM32" s="812"/>
      <c r="BN32" s="812"/>
      <c r="BO32" s="812"/>
      <c r="BP32" s="812"/>
      <c r="BW32" s="450"/>
      <c r="BX32" s="424"/>
      <c r="CA32" s="431"/>
      <c r="CB32" s="424"/>
      <c r="CP32" s="424" t="s">
        <v>387</v>
      </c>
    </row>
    <row r="33" spans="1:94" ht="12.75">
      <c r="A33" s="773" t="s">
        <v>574</v>
      </c>
      <c r="B33" s="775"/>
      <c r="C33" s="463" t="s">
        <v>579</v>
      </c>
      <c r="D33" s="437" t="s">
        <v>579</v>
      </c>
      <c r="E33" s="439">
        <v>2</v>
      </c>
      <c r="F33" s="438">
        <v>3</v>
      </c>
      <c r="G33" s="437" t="s">
        <v>579</v>
      </c>
      <c r="H33" s="439">
        <v>2</v>
      </c>
      <c r="I33" s="441">
        <v>3</v>
      </c>
      <c r="J33" s="437" t="s">
        <v>578</v>
      </c>
      <c r="K33" s="439" t="s">
        <v>579</v>
      </c>
      <c r="L33" s="438" t="s">
        <v>580</v>
      </c>
      <c r="M33" s="440" t="s">
        <v>578</v>
      </c>
      <c r="N33" s="439" t="s">
        <v>579</v>
      </c>
      <c r="O33" s="438" t="s">
        <v>580</v>
      </c>
      <c r="Q33" s="465" t="s">
        <v>578</v>
      </c>
      <c r="R33" s="466" t="s">
        <v>579</v>
      </c>
      <c r="S33" s="467" t="s">
        <v>580</v>
      </c>
      <c r="T33" s="465" t="s">
        <v>578</v>
      </c>
      <c r="U33" s="466" t="s">
        <v>579</v>
      </c>
      <c r="V33" s="468" t="s">
        <v>580</v>
      </c>
      <c r="W33" s="465" t="s">
        <v>578</v>
      </c>
      <c r="X33" s="466" t="s">
        <v>579</v>
      </c>
      <c r="Y33" s="468" t="s">
        <v>580</v>
      </c>
      <c r="Z33" s="469" t="s">
        <v>664</v>
      </c>
      <c r="AA33" s="470" t="s">
        <v>604</v>
      </c>
      <c r="AB33" s="469" t="s">
        <v>664</v>
      </c>
      <c r="AC33" s="470" t="s">
        <v>604</v>
      </c>
      <c r="AD33" s="469" t="s">
        <v>664</v>
      </c>
      <c r="AE33" s="470" t="s">
        <v>604</v>
      </c>
      <c r="AO33" s="809" t="s">
        <v>298</v>
      </c>
      <c r="AP33" s="810"/>
      <c r="AQ33" s="810"/>
      <c r="AR33" s="811"/>
      <c r="AT33" s="773" t="s">
        <v>369</v>
      </c>
      <c r="AU33" s="774"/>
      <c r="AV33" s="775"/>
      <c r="AW33" s="800" t="s">
        <v>391</v>
      </c>
      <c r="AX33" s="801"/>
      <c r="AY33" s="802"/>
      <c r="AZ33" s="800" t="s">
        <v>392</v>
      </c>
      <c r="BA33" s="801"/>
      <c r="BB33" s="802"/>
      <c r="BC33" s="800" t="s">
        <v>393</v>
      </c>
      <c r="BD33" s="801"/>
      <c r="BE33" s="802"/>
      <c r="BH33" s="812"/>
      <c r="BI33" s="812"/>
      <c r="BJ33" s="812"/>
      <c r="BK33" s="812"/>
      <c r="BL33" s="812"/>
      <c r="BM33" s="812"/>
      <c r="BN33" s="812"/>
      <c r="BO33" s="812"/>
      <c r="BP33" s="812"/>
      <c r="BQ33" s="443"/>
      <c r="BR33" s="443"/>
      <c r="BS33" s="443"/>
      <c r="BT33" s="443"/>
      <c r="BU33" s="443"/>
      <c r="BW33" s="450"/>
      <c r="BX33" s="424"/>
      <c r="CA33" s="431"/>
      <c r="CB33" s="424"/>
      <c r="CP33" s="424" t="s">
        <v>462</v>
      </c>
    </row>
    <row r="34" spans="1:94" ht="12.75">
      <c r="A34" s="848">
        <f>IF(A8="","",A8)</f>
      </c>
      <c r="B34" s="849"/>
      <c r="C34" s="497">
        <f>IF('Kf Calculation'!M5="","",'Kf Calculation'!M5)</f>
      </c>
      <c r="D34" s="504"/>
      <c r="E34" s="502"/>
      <c r="F34" s="503"/>
      <c r="G34" s="536"/>
      <c r="H34" s="537"/>
      <c r="I34" s="538"/>
      <c r="J34" s="539"/>
      <c r="K34" s="530"/>
      <c r="L34" s="531"/>
      <c r="M34" s="540"/>
      <c r="N34" s="523"/>
      <c r="O34" s="528"/>
      <c r="Q34" s="471">
        <f>IF(Complete!Q34="","",MROUND(Complete!Q34,5))</f>
      </c>
      <c r="R34" s="482">
        <f>IF(Complete!R34="","",Complete!R34)</f>
      </c>
      <c r="S34" s="471">
        <f>IF(Complete!S34="","",MROUND(Complete!S34,5))</f>
      </c>
      <c r="T34" s="471">
        <f>IF(Complete!T34="","",MROUND(Complete!T34,5))</f>
      </c>
      <c r="U34" s="482">
        <f>IF(Complete!U34="","",Complete!U34)</f>
      </c>
      <c r="V34" s="471">
        <f>IF(Complete!V34="","",MROUND(Complete!V34,5))</f>
      </c>
      <c r="W34" s="473">
        <f>IF(Complete!BA8="","",Complete!BA8)</f>
      </c>
      <c r="X34" s="474">
        <f>IF(Complete!BB8="","",Complete!BB8)</f>
      </c>
      <c r="Y34" s="475">
        <f>IF(Complete!BC8="","",Complete!BC8)</f>
      </c>
      <c r="Z34" s="471">
        <f>IF($A8="","",IF(Complete!AT8="","",100-Complete!AT8))</f>
      </c>
      <c r="AA34" s="472">
        <f>IF($A8="","",IF(OR(Complete!AT8="",Complete!BC8=""),"",Complete!AT8-Complete!BC8))</f>
      </c>
      <c r="AB34" s="471">
        <f>IF($A8="","",IF(Complete!AS8="","",100-Complete!AS8))</f>
      </c>
      <c r="AC34" s="472">
        <f>IF($A8="","",IF(OR(Complete!AS8="",Complete!BB8=""),"",Complete!AS8-Complete!BB8))</f>
      </c>
      <c r="AD34" s="471">
        <f>IF($A8="","",IF(Complete!AR8="","",100-Complete!AR8))</f>
      </c>
      <c r="AE34" s="472">
        <f>IF($A8="","",IF(OR(Complete!AR8="",Complete!BA8=""),"",Complete!AR8-Complete!BA8))</f>
      </c>
      <c r="AG34" s="452"/>
      <c r="AH34" s="452"/>
      <c r="AO34" s="790"/>
      <c r="AP34" s="791"/>
      <c r="AQ34" s="791"/>
      <c r="AR34" s="792"/>
      <c r="AT34" s="562" t="s">
        <v>578</v>
      </c>
      <c r="AU34" s="563" t="s">
        <v>579</v>
      </c>
      <c r="AV34" s="564" t="s">
        <v>580</v>
      </c>
      <c r="AW34" s="565" t="s">
        <v>579</v>
      </c>
      <c r="AX34" s="568">
        <v>2</v>
      </c>
      <c r="AY34" s="571">
        <v>3</v>
      </c>
      <c r="AZ34" s="565" t="s">
        <v>394</v>
      </c>
      <c r="BA34" s="568">
        <v>2</v>
      </c>
      <c r="BB34" s="571">
        <v>3</v>
      </c>
      <c r="BC34" s="565" t="s">
        <v>579</v>
      </c>
      <c r="BD34" s="568">
        <v>2</v>
      </c>
      <c r="BE34" s="571">
        <v>3</v>
      </c>
      <c r="BF34" s="431"/>
      <c r="BO34" s="424"/>
      <c r="BP34" s="443"/>
      <c r="BQ34" s="443"/>
      <c r="BR34" s="443"/>
      <c r="BS34" s="443"/>
      <c r="BT34" s="443"/>
      <c r="BU34" s="443"/>
      <c r="BW34" s="450"/>
      <c r="BX34" s="424"/>
      <c r="CA34" s="431"/>
      <c r="CB34" s="424"/>
      <c r="CP34" s="424" t="s">
        <v>449</v>
      </c>
    </row>
    <row r="35" spans="1:94" ht="12.75">
      <c r="A35" s="848">
        <f aca="true" t="shared" si="4" ref="A35:A42">IF(A9="","",A9)</f>
      </c>
      <c r="B35" s="849"/>
      <c r="C35" s="498">
        <f>IF('Kf Calculation'!M6="","",'Kf Calculation'!M6)</f>
      </c>
      <c r="D35" s="504"/>
      <c r="E35" s="502"/>
      <c r="F35" s="503"/>
      <c r="G35" s="536"/>
      <c r="H35" s="537"/>
      <c r="I35" s="538"/>
      <c r="J35" s="539"/>
      <c r="K35" s="530"/>
      <c r="L35" s="531"/>
      <c r="M35" s="540"/>
      <c r="N35" s="523"/>
      <c r="O35" s="528"/>
      <c r="Q35" s="471">
        <f>IF(Complete!Q35="","",MROUND(Complete!Q35,5))</f>
      </c>
      <c r="R35" s="483">
        <f>IF(Complete!R35="","",Complete!R35)</f>
      </c>
      <c r="S35" s="471">
        <f>IF(Complete!S35="","",MROUND(Complete!S35,5))</f>
      </c>
      <c r="T35" s="471">
        <f>IF(Complete!T35="","",MROUND(Complete!T35,5))</f>
      </c>
      <c r="U35" s="483">
        <f>IF(Complete!U35="","",Complete!U35)</f>
      </c>
      <c r="V35" s="471">
        <f>IF(Complete!V35="","",MROUND(Complete!V35,5))</f>
      </c>
      <c r="W35" s="473">
        <f>IF(Complete!BA9="","",Complete!BA9)</f>
      </c>
      <c r="X35" s="474">
        <f>IF(Complete!BB9="","",Complete!BB9)</f>
      </c>
      <c r="Y35" s="475">
        <f>IF(Complete!BC9="","",Complete!BC9)</f>
      </c>
      <c r="Z35" s="471">
        <f>IF($A9="","",IF(Complete!AT9="","",100-Complete!AT9))</f>
      </c>
      <c r="AA35" s="472">
        <f>IF($A9="","",IF(OR(Complete!AT9="",Complete!BC9=""),"",Complete!AT9-Complete!BC9))</f>
      </c>
      <c r="AB35" s="471">
        <f>IF($A9="","",IF(Complete!AS9="","",100-Complete!AS9))</f>
      </c>
      <c r="AC35" s="472">
        <f>IF($A9="","",IF(OR(Complete!AS9="",Complete!BB9=""),"",Complete!AS9-Complete!BB9))</f>
      </c>
      <c r="AD35" s="471">
        <f>IF($A9="","",IF(Complete!AR9="","",100-Complete!AR9))</f>
      </c>
      <c r="AE35" s="472">
        <f>IF($A9="","",IF(OR(Complete!AR9="",Complete!BA9=""),"",Complete!AR9-Complete!BA9))</f>
      </c>
      <c r="AG35" s="452"/>
      <c r="AH35" s="452"/>
      <c r="AO35" s="790"/>
      <c r="AP35" s="791"/>
      <c r="AQ35" s="791"/>
      <c r="AR35" s="792"/>
      <c r="AT35" s="522"/>
      <c r="AU35" s="523"/>
      <c r="AV35" s="524"/>
      <c r="AW35" s="566">
        <f>IF('AWC+K'!AB4="","",'AWC+K'!AB4)</f>
      </c>
      <c r="AX35" s="569">
        <f>IF('AWC+K'!AB17="","",'AWC+K'!AB17)</f>
      </c>
      <c r="AY35" s="572">
        <f>IF('AWC+K'!AB30="","",'AWC+K'!AB30)</f>
      </c>
      <c r="AZ35" s="566">
        <f>IF('AWC+K'!AC4="","",'AWC+K'!AC4)</f>
      </c>
      <c r="BA35" s="569">
        <f>IF('AWC+K'!AC17="","",'AWC+K'!AC17)</f>
      </c>
      <c r="BB35" s="572">
        <f>IF('AWC+K'!AC30="","",'AWC+K'!AC30)</f>
      </c>
      <c r="BC35" s="566">
        <f>IF('AWC+K'!AD4="","",'AWC+K'!AD4)</f>
      </c>
      <c r="BD35" s="569">
        <f>IF('AWC+K'!AD17="","",'AWC+K'!AD17)</f>
      </c>
      <c r="BE35" s="572">
        <f>IF('AWC+K'!AD30="","",'AWC+K'!AD30)</f>
      </c>
      <c r="BO35" s="424"/>
      <c r="BP35" s="443"/>
      <c r="BQ35" s="443"/>
      <c r="BR35" s="443"/>
      <c r="BS35" s="443"/>
      <c r="BT35" s="443"/>
      <c r="BU35" s="443"/>
      <c r="BW35" s="450"/>
      <c r="BX35" s="424"/>
      <c r="CA35" s="431"/>
      <c r="CB35" s="424"/>
      <c r="CP35" s="427" t="s">
        <v>309</v>
      </c>
    </row>
    <row r="36" spans="1:94" ht="12.75">
      <c r="A36" s="848">
        <f t="shared" si="4"/>
      </c>
      <c r="B36" s="849"/>
      <c r="C36" s="498">
        <f>IF('Kf Calculation'!M7="","",'Kf Calculation'!M7)</f>
      </c>
      <c r="D36" s="504"/>
      <c r="E36" s="502"/>
      <c r="F36" s="503"/>
      <c r="G36" s="536"/>
      <c r="H36" s="537"/>
      <c r="I36" s="538"/>
      <c r="J36" s="539"/>
      <c r="K36" s="530"/>
      <c r="L36" s="531"/>
      <c r="M36" s="540"/>
      <c r="N36" s="523"/>
      <c r="O36" s="528"/>
      <c r="Q36" s="471">
        <f>IF(Complete!Q36="","",MROUND(Complete!Q36,5))</f>
      </c>
      <c r="R36" s="484">
        <f>IF(Complete!R36="","",Complete!R36)</f>
      </c>
      <c r="S36" s="471">
        <f>IF(Complete!S36="","",MROUND(Complete!S36,5))</f>
      </c>
      <c r="T36" s="471">
        <f>IF(Complete!T36="","",MROUND(Complete!T36,5))</f>
      </c>
      <c r="U36" s="484">
        <f>IF(Complete!U36="","",Complete!U36)</f>
      </c>
      <c r="V36" s="471">
        <f>IF(Complete!V36="","",MROUND(Complete!V36,5))</f>
      </c>
      <c r="W36" s="473">
        <f>IF(Complete!BA10="","",Complete!BA10)</f>
      </c>
      <c r="X36" s="474">
        <f>IF(Complete!BB10="","",Complete!BB10)</f>
      </c>
      <c r="Y36" s="475">
        <f>IF(Complete!BC10="","",Complete!BC10)</f>
      </c>
      <c r="Z36" s="471">
        <f>IF($A10="","",IF(Complete!AT10="","",100-Complete!AT10))</f>
      </c>
      <c r="AA36" s="472">
        <f>IF($A10="","",IF(OR(Complete!AT10="",Complete!BC10=""),"",Complete!AT10-Complete!BC10))</f>
      </c>
      <c r="AB36" s="471">
        <f>IF($A10="","",IF(Complete!AS10="","",100-Complete!AS10))</f>
      </c>
      <c r="AC36" s="472">
        <f>IF($A10="","",IF(OR(Complete!AS10="",Complete!BB10=""),"",Complete!AS10-Complete!BB10))</f>
      </c>
      <c r="AD36" s="471">
        <f>IF($A10="","",IF(Complete!AR10="","",100-Complete!AR10))</f>
      </c>
      <c r="AE36" s="472">
        <f>IF($A10="","",IF(OR(Complete!AR10="",Complete!BA10=""),"",Complete!AR10-Complete!BA10))</f>
      </c>
      <c r="AG36" s="452"/>
      <c r="AH36" s="452"/>
      <c r="AO36" s="790"/>
      <c r="AP36" s="791"/>
      <c r="AQ36" s="791"/>
      <c r="AR36" s="792"/>
      <c r="AT36" s="712"/>
      <c r="AU36" s="713"/>
      <c r="AV36" s="714"/>
      <c r="AW36" s="566">
        <f>IF('AWC+K'!AB5="","",'AWC+K'!AB5)</f>
      </c>
      <c r="AX36" s="569">
        <f>IF('AWC+K'!AB18="","",'AWC+K'!AB18)</f>
      </c>
      <c r="AY36" s="572">
        <f>IF('AWC+K'!AB31="","",'AWC+K'!AB31)</f>
      </c>
      <c r="AZ36" s="566">
        <f>IF('AWC+K'!AC5="","",'AWC+K'!AC5)</f>
      </c>
      <c r="BA36" s="569">
        <f>IF('AWC+K'!AC18="","",'AWC+K'!AC18)</f>
      </c>
      <c r="BB36" s="572">
        <f>IF('AWC+K'!AC31="","",'AWC+K'!AC31)</f>
      </c>
      <c r="BC36" s="566">
        <f>IF('AWC+K'!AD5="","",'AWC+K'!AD5)</f>
      </c>
      <c r="BD36" s="569">
        <f>IF('AWC+K'!AD18="","",'AWC+K'!AD18)</f>
      </c>
      <c r="BE36" s="572">
        <f>IF('AWC+K'!AD31="","",'AWC+K'!AD31)</f>
      </c>
      <c r="BP36" s="443"/>
      <c r="BQ36" s="443"/>
      <c r="BR36" s="443"/>
      <c r="BS36" s="443"/>
      <c r="BT36" s="443"/>
      <c r="BU36" s="443"/>
      <c r="BW36" s="450"/>
      <c r="BX36" s="424"/>
      <c r="CA36" s="431"/>
      <c r="CB36" s="424"/>
      <c r="CP36" s="427" t="s">
        <v>645</v>
      </c>
    </row>
    <row r="37" spans="1:94" ht="12.75">
      <c r="A37" s="848">
        <f t="shared" si="4"/>
      </c>
      <c r="B37" s="849"/>
      <c r="C37" s="498">
        <f>IF('Kf Calculation'!M8="","",'Kf Calculation'!M8)</f>
      </c>
      <c r="D37" s="504"/>
      <c r="E37" s="502"/>
      <c r="F37" s="503"/>
      <c r="G37" s="536"/>
      <c r="H37" s="537"/>
      <c r="I37" s="538"/>
      <c r="J37" s="539"/>
      <c r="K37" s="530"/>
      <c r="L37" s="531"/>
      <c r="M37" s="540"/>
      <c r="N37" s="523"/>
      <c r="O37" s="528"/>
      <c r="Q37" s="471">
        <f>IF(Complete!Q37="","",MROUND(Complete!Q37,5))</f>
      </c>
      <c r="R37" s="485">
        <f>IF(Complete!R37="","",Complete!R37)</f>
      </c>
      <c r="S37" s="471">
        <f>IF(Complete!S37="","",MROUND(Complete!S37,5))</f>
      </c>
      <c r="T37" s="471">
        <f>IF(Complete!T37="","",MROUND(Complete!T37,5))</f>
      </c>
      <c r="U37" s="485">
        <f>IF(Complete!U37="","",Complete!U37)</f>
      </c>
      <c r="V37" s="471">
        <f>IF(Complete!V37="","",MROUND(Complete!V37,5))</f>
      </c>
      <c r="W37" s="473">
        <f>IF(Complete!BA11="","",Complete!BA11)</f>
      </c>
      <c r="X37" s="474">
        <f>IF(Complete!BB11="","",Complete!BB11)</f>
      </c>
      <c r="Y37" s="475">
        <f>IF(Complete!BC11="","",Complete!BC11)</f>
      </c>
      <c r="Z37" s="471">
        <f>IF($A11="","",IF(Complete!AT11="","",100-Complete!AT11))</f>
      </c>
      <c r="AA37" s="472">
        <f>IF($A11="","",IF(OR(Complete!AT11="",Complete!BC11=""),"",Complete!AT11-Complete!BC11))</f>
      </c>
      <c r="AB37" s="471">
        <f>IF($A11="","",IF(Complete!AS11="","",100-Complete!AS11))</f>
      </c>
      <c r="AC37" s="472">
        <f>IF($A11="","",IF(OR(Complete!AS11="",Complete!BB11=""),"",Complete!AS11-Complete!BB11))</f>
      </c>
      <c r="AD37" s="471">
        <f>IF($A11="","",IF(Complete!AR11="","",100-Complete!AR11))</f>
      </c>
      <c r="AE37" s="472">
        <f>IF($A11="","",IF(OR(Complete!AR11="",Complete!BA11=""),"",Complete!AR11-Complete!BA11))</f>
      </c>
      <c r="AG37" s="452"/>
      <c r="AH37" s="452"/>
      <c r="AO37" s="790"/>
      <c r="AP37" s="791"/>
      <c r="AQ37" s="791"/>
      <c r="AR37" s="792"/>
      <c r="AT37" s="712"/>
      <c r="AU37" s="713"/>
      <c r="AV37" s="714"/>
      <c r="AW37" s="566">
        <f>IF('AWC+K'!AB6="","",'AWC+K'!AB6)</f>
      </c>
      <c r="AX37" s="569">
        <f>IF('AWC+K'!AB19="","",'AWC+K'!AB19)</f>
      </c>
      <c r="AY37" s="572">
        <f>IF('AWC+K'!AB32="","",'AWC+K'!AB32)</f>
      </c>
      <c r="AZ37" s="566">
        <f>IF('AWC+K'!AC6="","",'AWC+K'!AC6)</f>
      </c>
      <c r="BA37" s="569">
        <f>IF('AWC+K'!AC19="","",'AWC+K'!AC19)</f>
      </c>
      <c r="BB37" s="572">
        <f>IF('AWC+K'!AC32="","",'AWC+K'!AC32)</f>
      </c>
      <c r="BC37" s="566">
        <f>IF('AWC+K'!AD6="","",'AWC+K'!AD6)</f>
      </c>
      <c r="BD37" s="569">
        <f>IF('AWC+K'!AD19="","",'AWC+K'!AD19)</f>
      </c>
      <c r="BE37" s="572">
        <f>IF('AWC+K'!AD32="","",'AWC+K'!AD32)</f>
      </c>
      <c r="BP37" s="443"/>
      <c r="BQ37" s="443"/>
      <c r="BR37" s="443"/>
      <c r="BS37" s="443"/>
      <c r="BT37" s="443"/>
      <c r="BU37" s="443"/>
      <c r="BW37" s="450"/>
      <c r="BX37" s="424"/>
      <c r="CA37" s="431"/>
      <c r="CB37" s="424"/>
      <c r="CP37" s="427" t="s">
        <v>648</v>
      </c>
    </row>
    <row r="38" spans="1:94" ht="12.75">
      <c r="A38" s="848">
        <f t="shared" si="4"/>
      </c>
      <c r="B38" s="849"/>
      <c r="C38" s="498">
        <f>IF('Kf Calculation'!M9="","",'Kf Calculation'!M9)</f>
      </c>
      <c r="D38" s="504"/>
      <c r="E38" s="502"/>
      <c r="F38" s="503"/>
      <c r="G38" s="536"/>
      <c r="H38" s="537"/>
      <c r="I38" s="538"/>
      <c r="J38" s="539"/>
      <c r="K38" s="530"/>
      <c r="L38" s="531"/>
      <c r="M38" s="540"/>
      <c r="N38" s="523"/>
      <c r="O38" s="528"/>
      <c r="Q38" s="471">
        <f>IF(Complete!Q38="","",MROUND(Complete!Q38,5))</f>
      </c>
      <c r="R38" s="486">
        <f>IF(Complete!R38="","",Complete!R38)</f>
      </c>
      <c r="S38" s="471">
        <f>IF(Complete!S38="","",MROUND(Complete!S38,5))</f>
      </c>
      <c r="T38" s="471">
        <f>IF(Complete!T38="","",MROUND(Complete!T38,5))</f>
      </c>
      <c r="U38" s="486">
        <f>IF(Complete!U38="","",Complete!U38)</f>
      </c>
      <c r="V38" s="471">
        <f>IF(Complete!V38="","",MROUND(Complete!V38,5))</f>
      </c>
      <c r="W38" s="473">
        <f>IF(Complete!BA12="","",Complete!BA12)</f>
      </c>
      <c r="X38" s="474">
        <f>IF(Complete!BB12="","",Complete!BB12)</f>
      </c>
      <c r="Y38" s="475">
        <f>IF(Complete!BC12="","",Complete!BC12)</f>
      </c>
      <c r="Z38" s="471">
        <f>IF($A12="","",IF(Complete!AT12="","",100-Complete!AT12))</f>
      </c>
      <c r="AA38" s="472">
        <f>IF($A12="","",IF(OR(Complete!AT12="",Complete!BC12=""),"",Complete!AT12-Complete!BC12))</f>
      </c>
      <c r="AB38" s="471">
        <f>IF($A12="","",IF(Complete!AS12="","",100-Complete!AS12))</f>
      </c>
      <c r="AC38" s="472">
        <f>IF($A12="","",IF(OR(Complete!AS12="",Complete!BB12=""),"",Complete!AS12-Complete!BB12))</f>
      </c>
      <c r="AD38" s="471">
        <f>IF($A12="","",IF(Complete!AR12="","",100-Complete!AR12))</f>
      </c>
      <c r="AE38" s="472">
        <f>IF($A12="","",IF(OR(Complete!AR12="",Complete!BA12=""),"",Complete!AR12-Complete!BA12))</f>
      </c>
      <c r="AG38" s="452"/>
      <c r="AH38" s="452"/>
      <c r="AO38" s="790"/>
      <c r="AP38" s="791"/>
      <c r="AQ38" s="791"/>
      <c r="AR38" s="792"/>
      <c r="AT38" s="712"/>
      <c r="AU38" s="713"/>
      <c r="AV38" s="714"/>
      <c r="AW38" s="566">
        <f>IF('AWC+K'!AB7="","",'AWC+K'!AB7)</f>
      </c>
      <c r="AX38" s="569">
        <f>IF('AWC+K'!AB20="","",'AWC+K'!AB20)</f>
      </c>
      <c r="AY38" s="572">
        <f>IF('AWC+K'!AB33="","",'AWC+K'!AB33)</f>
      </c>
      <c r="AZ38" s="566">
        <f>IF('AWC+K'!AC7="","",'AWC+K'!AC7)</f>
      </c>
      <c r="BA38" s="569">
        <f>IF('AWC+K'!AC20="","",'AWC+K'!AC20)</f>
      </c>
      <c r="BB38" s="572">
        <f>IF('AWC+K'!AC33="","",'AWC+K'!AC33)</f>
      </c>
      <c r="BC38" s="566">
        <f>IF('AWC+K'!AD7="","",'AWC+K'!AD7)</f>
      </c>
      <c r="BD38" s="569">
        <f>IF('AWC+K'!AD20="","",'AWC+K'!AD20)</f>
      </c>
      <c r="BE38" s="572">
        <f>IF('AWC+K'!AD33="","",'AWC+K'!AD33)</f>
      </c>
      <c r="BP38" s="443"/>
      <c r="BQ38" s="443"/>
      <c r="BR38" s="443"/>
      <c r="BS38" s="443"/>
      <c r="BT38" s="443"/>
      <c r="BU38" s="443"/>
      <c r="BW38" s="450"/>
      <c r="BX38" s="424"/>
      <c r="CA38" s="431"/>
      <c r="CB38" s="424"/>
      <c r="CP38" s="427" t="s">
        <v>650</v>
      </c>
    </row>
    <row r="39" spans="1:94" ht="12.75">
      <c r="A39" s="848">
        <f t="shared" si="4"/>
      </c>
      <c r="B39" s="849"/>
      <c r="C39" s="498">
        <f>IF('Kf Calculation'!M10="","",'Kf Calculation'!M10)</f>
      </c>
      <c r="D39" s="504"/>
      <c r="E39" s="502"/>
      <c r="F39" s="503"/>
      <c r="G39" s="536"/>
      <c r="H39" s="537"/>
      <c r="I39" s="538"/>
      <c r="J39" s="539"/>
      <c r="K39" s="530"/>
      <c r="L39" s="531"/>
      <c r="M39" s="540"/>
      <c r="N39" s="523"/>
      <c r="O39" s="528"/>
      <c r="Q39" s="471">
        <f>IF(Complete!Q39="","",MROUND(Complete!Q39,5))</f>
      </c>
      <c r="R39" s="487">
        <f>IF(Complete!R39="","",Complete!R39)</f>
      </c>
      <c r="S39" s="471">
        <f>IF(Complete!S39="","",MROUND(Complete!S39,5))</f>
      </c>
      <c r="T39" s="471">
        <f>IF(Complete!T39="","",MROUND(Complete!T39,5))</f>
      </c>
      <c r="U39" s="487">
        <f>IF(Complete!U39="","",Complete!U39)</f>
      </c>
      <c r="V39" s="471">
        <f>IF(Complete!V39="","",MROUND(Complete!V39,5))</f>
      </c>
      <c r="W39" s="473">
        <f>IF(Complete!BA13="","",Complete!BA13)</f>
      </c>
      <c r="X39" s="474">
        <f>IF(Complete!BB13="","",Complete!BB13)</f>
      </c>
      <c r="Y39" s="475">
        <f>IF(Complete!BC13="","",Complete!BC13)</f>
      </c>
      <c r="Z39" s="471">
        <f>IF($A13="","",IF(Complete!AT13="","",100-Complete!AT13))</f>
      </c>
      <c r="AA39" s="472">
        <f>IF($A13="","",IF(OR(Complete!AT13="",Complete!BC13=""),"",Complete!AT13-Complete!BC13))</f>
      </c>
      <c r="AB39" s="471">
        <f>IF($A13="","",IF(Complete!AS13="","",100-Complete!AS13))</f>
      </c>
      <c r="AC39" s="472">
        <f>IF($A13="","",IF(OR(Complete!AS13="",Complete!BB13=""),"",Complete!AS13-Complete!BB13))</f>
      </c>
      <c r="AD39" s="471">
        <f>IF($A13="","",IF(Complete!AR13="","",100-Complete!AR13))</f>
      </c>
      <c r="AE39" s="472">
        <f>IF($A13="","",IF(OR(Complete!AR13="",Complete!BA13=""),"",Complete!AR13-Complete!BA13))</f>
      </c>
      <c r="AG39" s="452"/>
      <c r="AO39" s="790"/>
      <c r="AP39" s="791"/>
      <c r="AQ39" s="791"/>
      <c r="AR39" s="792"/>
      <c r="AT39" s="712"/>
      <c r="AU39" s="713"/>
      <c r="AV39" s="714"/>
      <c r="AW39" s="566">
        <f>IF('AWC+K'!AB8="","",'AWC+K'!AB8)</f>
      </c>
      <c r="AX39" s="569">
        <f>IF('AWC+K'!AB21="","",'AWC+K'!AB21)</f>
      </c>
      <c r="AY39" s="572">
        <f>IF('AWC+K'!AB34="","",'AWC+K'!AB34)</f>
      </c>
      <c r="AZ39" s="566">
        <f>IF('AWC+K'!AC8="","",'AWC+K'!AC8)</f>
      </c>
      <c r="BA39" s="569">
        <f>IF('AWC+K'!AC21="","",'AWC+K'!AC21)</f>
      </c>
      <c r="BB39" s="572">
        <f>IF('AWC+K'!AC34="","",'AWC+K'!AC34)</f>
      </c>
      <c r="BC39" s="566">
        <f>IF('AWC+K'!AD8="","",'AWC+K'!AD8)</f>
      </c>
      <c r="BD39" s="569">
        <f>IF('AWC+K'!AD21="","",'AWC+K'!AD21)</f>
      </c>
      <c r="BE39" s="572">
        <f>IF('AWC+K'!AD34="","",'AWC+K'!AD34)</f>
      </c>
      <c r="BP39" s="443"/>
      <c r="BQ39" s="443"/>
      <c r="BR39" s="443"/>
      <c r="BS39" s="443"/>
      <c r="BT39" s="443"/>
      <c r="BU39" s="443"/>
      <c r="BW39" s="450"/>
      <c r="BX39" s="424"/>
      <c r="CA39" s="431"/>
      <c r="CB39" s="424"/>
      <c r="CP39" s="424" t="s">
        <v>475</v>
      </c>
    </row>
    <row r="40" spans="1:94" ht="12.75">
      <c r="A40" s="848">
        <f t="shared" si="4"/>
      </c>
      <c r="B40" s="849"/>
      <c r="C40" s="498">
        <f>IF('Kf Calculation'!M11="","",'Kf Calculation'!M11)</f>
      </c>
      <c r="D40" s="504"/>
      <c r="E40" s="502"/>
      <c r="F40" s="503"/>
      <c r="G40" s="536"/>
      <c r="H40" s="537"/>
      <c r="I40" s="538"/>
      <c r="J40" s="539"/>
      <c r="K40" s="530"/>
      <c r="L40" s="531"/>
      <c r="M40" s="540"/>
      <c r="N40" s="523"/>
      <c r="O40" s="528"/>
      <c r="Q40" s="471">
        <f>IF(Complete!Q40="","",MROUND(Complete!Q40,5))</f>
      </c>
      <c r="R40" s="488">
        <f>IF(Complete!R40="","",Complete!R40)</f>
      </c>
      <c r="S40" s="471">
        <f>IF(Complete!S40="","",MROUND(Complete!S40,5))</f>
      </c>
      <c r="T40" s="471">
        <f>IF(Complete!T40="","",MROUND(Complete!T40,5))</f>
      </c>
      <c r="U40" s="488">
        <f>IF(Complete!U40="","",Complete!U40)</f>
      </c>
      <c r="V40" s="471">
        <f>IF(Complete!V40="","",MROUND(Complete!V40,5))</f>
      </c>
      <c r="W40" s="473">
        <f>IF(Complete!BA14="","",Complete!BA14)</f>
      </c>
      <c r="X40" s="474">
        <f>IF(Complete!BB14="","",Complete!BB14)</f>
      </c>
      <c r="Y40" s="475">
        <f>IF(Complete!BC14="","",Complete!BC14)</f>
      </c>
      <c r="Z40" s="471">
        <f>IF($A14="","",IF(Complete!AT14="","",100-Complete!AT14))</f>
      </c>
      <c r="AA40" s="472">
        <f>IF($A14="","",IF(OR(Complete!AT14="",Complete!BC14=""),"",Complete!AT14-Complete!BC14))</f>
      </c>
      <c r="AB40" s="471">
        <f>IF($A14="","",IF(Complete!AS14="","",100-Complete!AS14))</f>
      </c>
      <c r="AC40" s="472">
        <f>IF($A14="","",IF(OR(Complete!AS14="",Complete!BB14=""),"",Complete!AS14-Complete!BB14))</f>
      </c>
      <c r="AD40" s="471">
        <f>IF($A14="","",IF(Complete!AR14="","",100-Complete!AR14))</f>
      </c>
      <c r="AE40" s="472">
        <f>IF($A14="","",IF(OR(Complete!AR14="",Complete!BA14=""),"",Complete!AR14-Complete!BA14))</f>
      </c>
      <c r="AO40" s="790"/>
      <c r="AP40" s="791"/>
      <c r="AQ40" s="791"/>
      <c r="AR40" s="792"/>
      <c r="AT40" s="712"/>
      <c r="AU40" s="713"/>
      <c r="AV40" s="714"/>
      <c r="AW40" s="566">
        <f>IF('AWC+K'!AB9="","",'AWC+K'!AB9)</f>
      </c>
      <c r="AX40" s="569">
        <f>IF('AWC+K'!AB22="","",'AWC+K'!AB22)</f>
      </c>
      <c r="AY40" s="572">
        <f>IF('AWC+K'!AB35="","",'AWC+K'!AB35)</f>
      </c>
      <c r="AZ40" s="566">
        <f>IF('AWC+K'!AC9="","",'AWC+K'!AC9)</f>
      </c>
      <c r="BA40" s="569">
        <f>IF('AWC+K'!AC22="","",'AWC+K'!AC22)</f>
      </c>
      <c r="BB40" s="572">
        <f>IF('AWC+K'!AC35="","",'AWC+K'!AC35)</f>
      </c>
      <c r="BC40" s="566">
        <f>IF('AWC+K'!AD9="","",'AWC+K'!AD9)</f>
      </c>
      <c r="BD40" s="569">
        <f>IF('AWC+K'!AD22="","",'AWC+K'!AD22)</f>
      </c>
      <c r="BE40" s="572">
        <f>IF('AWC+K'!AD35="","",'AWC+K'!AD35)</f>
      </c>
      <c r="BP40" s="443"/>
      <c r="BQ40" s="443"/>
      <c r="BR40" s="443"/>
      <c r="BS40" s="443"/>
      <c r="BT40" s="443"/>
      <c r="BU40" s="443"/>
      <c r="BW40" s="450"/>
      <c r="BX40" s="424"/>
      <c r="CA40" s="431"/>
      <c r="CB40" s="424"/>
      <c r="CP40" s="424" t="s">
        <v>478</v>
      </c>
    </row>
    <row r="41" spans="1:94" ht="12.75">
      <c r="A41" s="848">
        <f t="shared" si="4"/>
      </c>
      <c r="B41" s="849"/>
      <c r="C41" s="498">
        <f>IF('Kf Calculation'!M12="","",'Kf Calculation'!M12)</f>
      </c>
      <c r="D41" s="504"/>
      <c r="E41" s="502"/>
      <c r="F41" s="503"/>
      <c r="G41" s="536"/>
      <c r="H41" s="537"/>
      <c r="I41" s="538"/>
      <c r="J41" s="539"/>
      <c r="K41" s="530"/>
      <c r="L41" s="531"/>
      <c r="M41" s="540"/>
      <c r="N41" s="523"/>
      <c r="O41" s="528"/>
      <c r="Q41" s="471">
        <f>IF(Complete!Q41="","",MROUND(Complete!Q41,5))</f>
      </c>
      <c r="R41" s="489">
        <f>IF(Complete!R41="","",Complete!R41)</f>
      </c>
      <c r="S41" s="471">
        <f>IF(Complete!S41="","",MROUND(Complete!S41,5))</f>
      </c>
      <c r="T41" s="471">
        <f>IF(Complete!T41="","",MROUND(Complete!T41,5))</f>
      </c>
      <c r="U41" s="489">
        <f>IF(Complete!U41="","",Complete!U41)</f>
      </c>
      <c r="V41" s="471">
        <f>IF(Complete!V41="","",MROUND(Complete!V41,5))</f>
      </c>
      <c r="W41" s="473">
        <f>IF(Complete!BA15="","",Complete!BA15)</f>
      </c>
      <c r="X41" s="474">
        <f>IF(Complete!BB15="","",Complete!BB15)</f>
      </c>
      <c r="Y41" s="475">
        <f>IF(Complete!BC15="","",Complete!BC15)</f>
      </c>
      <c r="Z41" s="471">
        <f>IF($A15="","",IF(Complete!AT15="","",100-Complete!AT15))</f>
      </c>
      <c r="AA41" s="472">
        <f>IF($A15="","",IF(OR(Complete!AT15="",Complete!BC15=""),"",Complete!AT15-Complete!BC15))</f>
      </c>
      <c r="AB41" s="471">
        <f>IF($A15="","",IF(Complete!AS15="","",100-Complete!AS15))</f>
      </c>
      <c r="AC41" s="472">
        <f>IF($A15="","",IF(OR(Complete!AS15="",Complete!BB15=""),"",Complete!AS15-Complete!BB15))</f>
      </c>
      <c r="AD41" s="471">
        <f>IF($A15="","",IF(Complete!AR15="","",100-Complete!AR15))</f>
      </c>
      <c r="AE41" s="472">
        <f>IF($A15="","",IF(OR(Complete!AR15="",Complete!BA15=""),"",Complete!AR15-Complete!BA15))</f>
      </c>
      <c r="AO41" s="790"/>
      <c r="AP41" s="791"/>
      <c r="AQ41" s="791"/>
      <c r="AR41" s="792"/>
      <c r="AT41" s="522"/>
      <c r="AU41" s="523"/>
      <c r="AV41" s="524"/>
      <c r="AW41" s="566">
        <f>IF('AWC+K'!AB10="","",'AWC+K'!AB10)</f>
      </c>
      <c r="AX41" s="569">
        <f>IF('AWC+K'!AB23="","",'AWC+K'!AB23)</f>
      </c>
      <c r="AY41" s="572">
        <f>IF('AWC+K'!AB36="","",'AWC+K'!AB36)</f>
      </c>
      <c r="AZ41" s="566">
        <f>IF('AWC+K'!AC10="","",'AWC+K'!AC10)</f>
      </c>
      <c r="BA41" s="569">
        <f>IF('AWC+K'!AC23="","",'AWC+K'!AC23)</f>
      </c>
      <c r="BB41" s="572">
        <f>IF('AWC+K'!AC36="","",'AWC+K'!AC36)</f>
      </c>
      <c r="BC41" s="566">
        <f>IF('AWC+K'!AD10="","",'AWC+K'!AD10)</f>
      </c>
      <c r="BD41" s="569">
        <f>IF('AWC+K'!AD23="","",'AWC+K'!AD23)</f>
      </c>
      <c r="BE41" s="572">
        <f>IF('AWC+K'!AD36="","",'AWC+K'!AD36)</f>
      </c>
      <c r="BP41" s="443"/>
      <c r="BQ41" s="443"/>
      <c r="BR41" s="443"/>
      <c r="BS41" s="443"/>
      <c r="BT41" s="443"/>
      <c r="BU41" s="443"/>
      <c r="BW41" s="450"/>
      <c r="BX41" s="424"/>
      <c r="CA41" s="431"/>
      <c r="CB41" s="424"/>
      <c r="CP41" s="424" t="s">
        <v>377</v>
      </c>
    </row>
    <row r="42" spans="1:94" ht="13.5" thickBot="1">
      <c r="A42" s="863">
        <f t="shared" si="4"/>
      </c>
      <c r="B42" s="864"/>
      <c r="C42" s="499">
        <f>IF('Kf Calculation'!M13="","",'Kf Calculation'!M13)</f>
      </c>
      <c r="D42" s="505"/>
      <c r="E42" s="501"/>
      <c r="F42" s="500"/>
      <c r="G42" s="541"/>
      <c r="H42" s="542"/>
      <c r="I42" s="543"/>
      <c r="J42" s="544"/>
      <c r="K42" s="534"/>
      <c r="L42" s="535"/>
      <c r="M42" s="545"/>
      <c r="N42" s="526"/>
      <c r="O42" s="532"/>
      <c r="Q42" s="471">
        <f>IF(Complete!Q42="","",MROUND(Complete!Q42,5))</f>
      </c>
      <c r="R42" s="490">
        <f>IF(Complete!R42="","",Complete!R42)</f>
      </c>
      <c r="S42" s="471">
        <f>IF(Complete!S42="","",MROUND(Complete!S42,5))</f>
      </c>
      <c r="T42" s="471">
        <f>IF(Complete!T42="","",MROUND(Complete!T42,5))</f>
      </c>
      <c r="U42" s="490">
        <f>IF(Complete!U42="","",Complete!U42)</f>
      </c>
      <c r="V42" s="471">
        <f>IF(Complete!V42="","",MROUND(Complete!V42,5))</f>
      </c>
      <c r="W42" s="476">
        <f>IF(Complete!BA16="","",Complete!BA16)</f>
      </c>
      <c r="X42" s="477">
        <f>IF(Complete!BB16="","",Complete!BB16)</f>
      </c>
      <c r="Y42" s="478">
        <f>IF(Complete!BC16="","",Complete!BC16)</f>
      </c>
      <c r="Z42" s="471">
        <f>IF($A16="","",IF(Complete!AT16="","",100-Complete!AT16))</f>
      </c>
      <c r="AA42" s="472">
        <f>IF($A16="","",IF(OR(Complete!AT16="",Complete!BC16=""),"",Complete!AT16-Complete!BC16))</f>
      </c>
      <c r="AB42" s="471">
        <f>IF($A16="","",IF(Complete!AS16="","",100-Complete!AS16))</f>
      </c>
      <c r="AC42" s="472">
        <f>IF($A16="","",IF(OR(Complete!AS16="",Complete!BB16=""),"",Complete!AS16-Complete!BB16))</f>
      </c>
      <c r="AD42" s="471">
        <f>IF($A16="","",IF(Complete!AR16="","",100-Complete!AR16))</f>
      </c>
      <c r="AE42" s="472">
        <f>IF($A16="","",IF(OR(Complete!AR16="",Complete!BA16=""),"",Complete!AR16-Complete!BA16))</f>
      </c>
      <c r="AO42" s="790"/>
      <c r="AP42" s="791"/>
      <c r="AQ42" s="791"/>
      <c r="AR42" s="792"/>
      <c r="AT42" s="522"/>
      <c r="AU42" s="523"/>
      <c r="AV42" s="524"/>
      <c r="AW42" s="566">
        <f>IF('AWC+K'!AB11="","",'AWC+K'!AB11)</f>
      </c>
      <c r="AX42" s="569">
        <f>IF('AWC+K'!AB24="","",'AWC+K'!AB24)</f>
      </c>
      <c r="AY42" s="572">
        <f>IF('AWC+K'!AB37="","",'AWC+K'!AB37)</f>
      </c>
      <c r="AZ42" s="566">
        <f>IF('AWC+K'!AC11="","",'AWC+K'!AC11)</f>
      </c>
      <c r="BA42" s="569">
        <f>IF('AWC+K'!AC24="","",'AWC+K'!AC24)</f>
      </c>
      <c r="BB42" s="572">
        <f>IF('AWC+K'!AC37="","",'AWC+K'!AC37)</f>
      </c>
      <c r="BC42" s="566">
        <f>IF('AWC+K'!AD11="","",'AWC+K'!AD11)</f>
      </c>
      <c r="BD42" s="569">
        <f>IF('AWC+K'!AD24="","",'AWC+K'!AD24)</f>
      </c>
      <c r="BE42" s="572">
        <f>IF('AWC+K'!AD37="","",'AWC+K'!AD37)</f>
      </c>
      <c r="BP42" s="443"/>
      <c r="BQ42" s="443"/>
      <c r="BR42" s="443"/>
      <c r="BS42" s="443"/>
      <c r="BT42" s="443"/>
      <c r="BU42" s="443"/>
      <c r="BW42" s="450"/>
      <c r="BX42" s="424"/>
      <c r="CA42" s="431"/>
      <c r="CB42" s="424"/>
      <c r="CP42" s="424" t="s">
        <v>477</v>
      </c>
    </row>
    <row r="43" spans="1:94" ht="13.5" thickBot="1">
      <c r="A43" s="812">
        <f>IF(A30="","",A30)</f>
      </c>
      <c r="B43" s="854"/>
      <c r="C43" s="455"/>
      <c r="H43" s="443"/>
      <c r="I43" s="443"/>
      <c r="J43" s="443"/>
      <c r="K43" s="443"/>
      <c r="L43" s="443"/>
      <c r="M43" s="443"/>
      <c r="N43" s="443"/>
      <c r="O43" s="443"/>
      <c r="Q43" s="443"/>
      <c r="R43" s="443"/>
      <c r="S43" s="443"/>
      <c r="T43" s="443"/>
      <c r="U43" s="443"/>
      <c r="V43" s="443"/>
      <c r="AO43" s="793"/>
      <c r="AP43" s="794"/>
      <c r="AQ43" s="794"/>
      <c r="AR43" s="795"/>
      <c r="AT43" s="525"/>
      <c r="AU43" s="526"/>
      <c r="AV43" s="527"/>
      <c r="AW43" s="567">
        <f>IF('AWC+K'!AB12="","",'AWC+K'!AB12)</f>
      </c>
      <c r="AX43" s="570">
        <f>IF('AWC+K'!AB25="","",'AWC+K'!AB25)</f>
      </c>
      <c r="AY43" s="573">
        <f>IF('AWC+K'!AB38="","",'AWC+K'!AB38)</f>
      </c>
      <c r="AZ43" s="567">
        <f>IF('AWC+K'!AC12="","",'AWC+K'!AC12)</f>
      </c>
      <c r="BA43" s="570">
        <f>IF('AWC+K'!AC25="","",'AWC+K'!AC25)</f>
      </c>
      <c r="BB43" s="573">
        <f>IF('AWC+K'!AC38="","",'AWC+K'!AC38)</f>
      </c>
      <c r="BC43" s="567">
        <f>IF('AWC+K'!AD12="","",'AWC+K'!AD12)</f>
      </c>
      <c r="BD43" s="570">
        <f>IF('AWC+K'!AD25="","",'AWC+K'!AD25)</f>
      </c>
      <c r="BE43" s="573">
        <f>IF('AWC+K'!AD38="","",'AWC+K'!AD38)</f>
      </c>
      <c r="BQ43" s="443"/>
      <c r="BR43" s="443"/>
      <c r="BS43" s="443"/>
      <c r="BT43" s="443"/>
      <c r="BU43" s="443"/>
      <c r="BV43" s="443"/>
      <c r="CP43" s="424" t="s">
        <v>479</v>
      </c>
    </row>
    <row r="44" spans="19:94" ht="12.75">
      <c r="S44" s="456"/>
      <c r="AL44" s="423"/>
      <c r="AM44" s="423"/>
      <c r="AN44" s="423"/>
      <c r="AO44" s="625"/>
      <c r="AP44" s="423"/>
      <c r="AQ44" s="423"/>
      <c r="AR44" s="423"/>
      <c r="AS44" s="423"/>
      <c r="CP44" s="424" t="s">
        <v>378</v>
      </c>
    </row>
    <row r="45" spans="1:94" ht="15.75" thickBot="1">
      <c r="A45" s="862" t="s">
        <v>665</v>
      </c>
      <c r="B45" s="862"/>
      <c r="C45" s="457"/>
      <c r="D45" s="457"/>
      <c r="E45" s="457"/>
      <c r="F45" s="458"/>
      <c r="G45" s="458"/>
      <c r="I45" s="423"/>
      <c r="J45" s="423"/>
      <c r="K45" s="423"/>
      <c r="L45" s="423"/>
      <c r="X45" s="426"/>
      <c r="Y45" s="426"/>
      <c r="Z45" s="423"/>
      <c r="AA45" s="423"/>
      <c r="AB45" s="426"/>
      <c r="AC45" s="454"/>
      <c r="AL45" s="423"/>
      <c r="AM45" s="423"/>
      <c r="AN45" s="423"/>
      <c r="AO45" s="423"/>
      <c r="AP45" s="423"/>
      <c r="AQ45" s="423"/>
      <c r="AR45" s="423"/>
      <c r="AS45" s="423"/>
      <c r="CP45" s="424" t="s">
        <v>476</v>
      </c>
    </row>
    <row r="46" spans="1:94" ht="15.75" thickBot="1">
      <c r="A46" s="867" t="s">
        <v>400</v>
      </c>
      <c r="B46" s="868"/>
      <c r="C46" s="885"/>
      <c r="D46" s="886"/>
      <c r="E46" s="886"/>
      <c r="F46" s="886"/>
      <c r="G46" s="887"/>
      <c r="W46" s="426"/>
      <c r="X46" s="426"/>
      <c r="Y46" s="426"/>
      <c r="Z46" s="423"/>
      <c r="AA46" s="423"/>
      <c r="AB46" s="426"/>
      <c r="AC46" s="454"/>
      <c r="CP46" s="424" t="s">
        <v>480</v>
      </c>
    </row>
    <row r="47" spans="1:94" ht="16.5" customHeight="1" thickBot="1">
      <c r="A47" s="858" t="s">
        <v>666</v>
      </c>
      <c r="B47" s="859"/>
      <c r="C47" s="824"/>
      <c r="D47" s="825"/>
      <c r="E47" s="825"/>
      <c r="F47" s="825"/>
      <c r="G47" s="826"/>
      <c r="J47" s="431" t="s">
        <v>668</v>
      </c>
      <c r="M47" s="424">
        <v>10</v>
      </c>
      <c r="N47" s="424">
        <v>4</v>
      </c>
      <c r="W47" s="426"/>
      <c r="X47" s="423"/>
      <c r="Y47" s="423"/>
      <c r="Z47" s="423"/>
      <c r="AA47" s="423"/>
      <c r="AB47" s="460"/>
      <c r="AC47" s="423"/>
      <c r="CP47" s="424" t="s">
        <v>379</v>
      </c>
    </row>
    <row r="48" spans="1:94" ht="19.5" customHeight="1">
      <c r="A48" s="871" t="s">
        <v>667</v>
      </c>
      <c r="B48" s="872"/>
      <c r="C48" s="816"/>
      <c r="D48" s="817"/>
      <c r="E48" s="817"/>
      <c r="F48" s="817"/>
      <c r="G48" s="818"/>
      <c r="M48" s="424">
        <v>26</v>
      </c>
      <c r="N48" s="424">
        <v>4</v>
      </c>
      <c r="W48" s="426"/>
      <c r="X48" s="426"/>
      <c r="Y48" s="426"/>
      <c r="Z48" s="423"/>
      <c r="AA48" s="423"/>
      <c r="AB48" s="460"/>
      <c r="AC48" s="423"/>
      <c r="CP48" s="424" t="s">
        <v>469</v>
      </c>
    </row>
    <row r="49" spans="1:94" ht="17.25" customHeight="1" thickBot="1">
      <c r="A49" s="869" t="s">
        <v>669</v>
      </c>
      <c r="B49" s="870"/>
      <c r="C49" s="816"/>
      <c r="D49" s="817"/>
      <c r="E49" s="817"/>
      <c r="F49" s="817"/>
      <c r="G49" s="818"/>
      <c r="J49" s="431" t="s">
        <v>671</v>
      </c>
      <c r="M49" s="424">
        <v>10</v>
      </c>
      <c r="N49" s="424">
        <v>7</v>
      </c>
      <c r="W49" s="426"/>
      <c r="X49" s="426"/>
      <c r="Y49" s="426"/>
      <c r="Z49" s="423"/>
      <c r="AA49" s="423"/>
      <c r="AB49" s="460"/>
      <c r="AC49" s="460"/>
      <c r="CP49" s="424" t="s">
        <v>472</v>
      </c>
    </row>
    <row r="50" spans="1:94" ht="20.25" customHeight="1" thickBot="1">
      <c r="A50" s="860" t="s">
        <v>670</v>
      </c>
      <c r="B50" s="861"/>
      <c r="C50" s="816"/>
      <c r="D50" s="817"/>
      <c r="E50" s="817"/>
      <c r="F50" s="817"/>
      <c r="G50" s="818"/>
      <c r="M50" s="424">
        <v>30</v>
      </c>
      <c r="N50" s="424">
        <v>7</v>
      </c>
      <c r="W50" s="426"/>
      <c r="X50" s="426"/>
      <c r="Y50" s="426"/>
      <c r="Z50" s="423"/>
      <c r="AA50" s="423"/>
      <c r="AB50" s="460"/>
      <c r="AC50" s="460"/>
      <c r="CP50" s="424" t="s">
        <v>380</v>
      </c>
    </row>
    <row r="51" spans="1:94" ht="20.25" customHeight="1" thickBot="1">
      <c r="A51" s="858" t="s">
        <v>401</v>
      </c>
      <c r="B51" s="859"/>
      <c r="C51" s="888"/>
      <c r="D51" s="767"/>
      <c r="E51" s="767"/>
      <c r="F51" s="767"/>
      <c r="G51" s="889"/>
      <c r="J51" s="424" t="s">
        <v>674</v>
      </c>
      <c r="M51" s="424">
        <v>26</v>
      </c>
      <c r="N51" s="424">
        <v>4</v>
      </c>
      <c r="AC51" s="460"/>
      <c r="CP51" s="424" t="s">
        <v>470</v>
      </c>
    </row>
    <row r="52" spans="1:94" ht="30" customHeight="1" thickBot="1">
      <c r="A52" s="873" t="s">
        <v>402</v>
      </c>
      <c r="B52" s="884"/>
      <c r="C52" s="878">
        <f>IF(OR(C46="",C47=""),"",IF(C34&lt;&gt;"",(C34*C46)/C47,IF(C35&lt;&gt;"",(C35*C46)/C47,IF(C36&lt;&gt;"",(C36*C46)/C47,IF(C37&lt;&gt;"",(C37*C46)/C47,IF(C38&lt;&gt;"",(C38*C46)/C47,IF(C39&lt;&gt;"",(C39*C46)/C47,(C40*C46)/C47)))))))</f>
      </c>
      <c r="D52" s="879"/>
      <c r="E52" s="879"/>
      <c r="F52" s="879"/>
      <c r="G52" s="880"/>
      <c r="M52" s="424">
        <v>45</v>
      </c>
      <c r="N52" s="424">
        <v>18</v>
      </c>
      <c r="CP52" s="424" t="s">
        <v>473</v>
      </c>
    </row>
    <row r="53" spans="1:94" ht="27.75" customHeight="1" thickBot="1">
      <c r="A53" s="873" t="s">
        <v>403</v>
      </c>
      <c r="B53" s="884"/>
      <c r="C53" s="881">
        <f>IF(OR(C51="",C48=""),"",IF(C47="","",((C51*C48)/C47)))</f>
      </c>
      <c r="D53" s="882"/>
      <c r="E53" s="882"/>
      <c r="F53" s="882"/>
      <c r="G53" s="883"/>
      <c r="CP53" s="424" t="s">
        <v>381</v>
      </c>
    </row>
    <row r="54" spans="1:94" ht="27.75" customHeight="1" thickBot="1">
      <c r="A54" s="873" t="s">
        <v>404</v>
      </c>
      <c r="B54" s="874"/>
      <c r="C54" s="875">
        <f>IF('AWC+K'!AF14="","",'AWC+K'!AF14)</f>
        <v>0</v>
      </c>
      <c r="D54" s="876"/>
      <c r="E54" s="876"/>
      <c r="F54" s="876"/>
      <c r="G54" s="877"/>
      <c r="CP54" s="424" t="s">
        <v>471</v>
      </c>
    </row>
    <row r="55" spans="1:94" ht="26.25" customHeight="1" thickBot="1">
      <c r="A55" s="858" t="s">
        <v>672</v>
      </c>
      <c r="B55" s="859"/>
      <c r="C55" s="824"/>
      <c r="D55" s="825"/>
      <c r="E55" s="825"/>
      <c r="F55" s="825"/>
      <c r="G55" s="826"/>
      <c r="CP55" s="424" t="s">
        <v>474</v>
      </c>
    </row>
    <row r="56" spans="1:94" ht="20.25" customHeight="1" thickBot="1">
      <c r="A56" s="860" t="s">
        <v>673</v>
      </c>
      <c r="B56" s="861"/>
      <c r="C56" s="816"/>
      <c r="D56" s="817"/>
      <c r="E56" s="817"/>
      <c r="F56" s="817"/>
      <c r="G56" s="818"/>
      <c r="CP56" s="424" t="s">
        <v>382</v>
      </c>
    </row>
    <row r="57" spans="1:94" ht="18.75" customHeight="1" thickBot="1">
      <c r="A57" s="858" t="s">
        <v>675</v>
      </c>
      <c r="B57" s="859"/>
      <c r="C57" s="816"/>
      <c r="D57" s="817"/>
      <c r="E57" s="817"/>
      <c r="F57" s="817"/>
      <c r="G57" s="818"/>
      <c r="CP57" s="459" t="s">
        <v>457</v>
      </c>
    </row>
    <row r="58" spans="1:94" ht="21.75" customHeight="1" thickBot="1">
      <c r="A58" s="860" t="s">
        <v>676</v>
      </c>
      <c r="B58" s="861"/>
      <c r="C58" s="816"/>
      <c r="D58" s="817"/>
      <c r="E58" s="817"/>
      <c r="F58" s="817"/>
      <c r="G58" s="818"/>
      <c r="CP58" s="427" t="s">
        <v>601</v>
      </c>
    </row>
    <row r="59" spans="1:94" ht="22.5" customHeight="1" thickBot="1">
      <c r="A59" s="860" t="s">
        <v>677</v>
      </c>
      <c r="B59" s="861"/>
      <c r="C59" s="813"/>
      <c r="D59" s="814"/>
      <c r="E59" s="814"/>
      <c r="F59" s="814"/>
      <c r="G59" s="815"/>
      <c r="CP59" s="424" t="s">
        <v>466</v>
      </c>
    </row>
    <row r="60" spans="2:94" ht="12.75">
      <c r="B60" s="433"/>
      <c r="C60" s="433"/>
      <c r="D60" s="423"/>
      <c r="E60" s="423"/>
      <c r="CP60" s="424" t="s">
        <v>383</v>
      </c>
    </row>
    <row r="61" spans="1:94" ht="12.75">
      <c r="A61" s="433"/>
      <c r="B61" s="433"/>
      <c r="C61" s="433"/>
      <c r="CP61" s="427" t="s">
        <v>603</v>
      </c>
    </row>
    <row r="62" spans="2:94" ht="12.75">
      <c r="B62" s="433"/>
      <c r="C62" s="433"/>
      <c r="CP62" s="424" t="s">
        <v>467</v>
      </c>
    </row>
    <row r="63" spans="1:94" ht="12.75">
      <c r="A63" s="433"/>
      <c r="B63" s="433"/>
      <c r="C63" s="433"/>
      <c r="F63" s="460"/>
      <c r="CP63" s="424" t="s">
        <v>384</v>
      </c>
    </row>
    <row r="64" ht="12.75">
      <c r="CP64" s="427" t="s">
        <v>605</v>
      </c>
    </row>
    <row r="65" ht="12.75">
      <c r="CP65" s="427" t="s">
        <v>385</v>
      </c>
    </row>
    <row r="66" ht="12.75">
      <c r="CP66" s="424" t="s">
        <v>468</v>
      </c>
    </row>
    <row r="68" spans="67:94" s="547" customFormat="1" ht="13.5" thickBot="1">
      <c r="BO68" s="548"/>
      <c r="BX68" s="549"/>
      <c r="CB68" s="550"/>
      <c r="CP68" s="424"/>
    </row>
    <row r="69" ht="12.75" hidden="1"/>
    <row r="70" ht="12.75" hidden="1"/>
    <row r="71" ht="12.75" hidden="1"/>
    <row r="72" ht="12.75" hidden="1"/>
    <row r="73" ht="12.75" hidden="1"/>
    <row r="74" ht="12.75" hidden="1"/>
    <row r="75" ht="12.75" hidden="1"/>
    <row r="76" ht="12.75" hidden="1"/>
    <row r="77" ht="12.75" hidden="1"/>
    <row r="78" ht="12.75" hidden="1"/>
    <row r="79" ht="12.75" hidden="1"/>
    <row r="80" ht="13.5" hidden="1" thickBot="1">
      <c r="CP80" s="547"/>
    </row>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customHeight="1" hidden="1"/>
    <row r="101" ht="46.5" customHeight="1" hidden="1"/>
    <row r="102" ht="31.5" customHeight="1" hidden="1"/>
    <row r="103" ht="149.25" customHeight="1" hidden="1"/>
    <row r="104" ht="12.75" hidden="1"/>
    <row r="105" ht="147" customHeight="1" hidden="1"/>
    <row r="106" ht="12.75" hidden="1"/>
    <row r="107" ht="12.75" hidden="1"/>
    <row r="108" ht="12.75" hidden="1"/>
    <row r="109" spans="84:89" ht="12.75" customHeight="1" hidden="1">
      <c r="CF109" s="422"/>
      <c r="CG109" s="422"/>
      <c r="CH109" s="422"/>
      <c r="CI109" s="422"/>
      <c r="CJ109" s="422"/>
      <c r="CK109" s="422"/>
    </row>
    <row r="110" spans="84:89" ht="12.75" customHeight="1" hidden="1">
      <c r="CF110" s="422"/>
      <c r="CG110" s="422"/>
      <c r="CH110" s="422"/>
      <c r="CI110" s="422"/>
      <c r="CJ110" s="422"/>
      <c r="CK110" s="422"/>
    </row>
    <row r="111" ht="12.75" customHeight="1" hidden="1"/>
    <row r="112" ht="12.75" hidden="1"/>
  </sheetData>
  <sheetProtection/>
  <mergeCells count="268">
    <mergeCell ref="BB27:BF27"/>
    <mergeCell ref="BB28:BF28"/>
    <mergeCell ref="BB29:BF29"/>
    <mergeCell ref="AW27:BA27"/>
    <mergeCell ref="BB23:BF23"/>
    <mergeCell ref="BB24:BF24"/>
    <mergeCell ref="BB25:BF25"/>
    <mergeCell ref="BB26:BF26"/>
    <mergeCell ref="C46:G46"/>
    <mergeCell ref="A51:B51"/>
    <mergeCell ref="AR24:AV24"/>
    <mergeCell ref="AR25:AV25"/>
    <mergeCell ref="AR26:AV26"/>
    <mergeCell ref="AR27:AV27"/>
    <mergeCell ref="AR28:AV28"/>
    <mergeCell ref="AR29:AV29"/>
    <mergeCell ref="C51:G51"/>
    <mergeCell ref="A50:B50"/>
    <mergeCell ref="A54:B54"/>
    <mergeCell ref="C54:G54"/>
    <mergeCell ref="C52:G52"/>
    <mergeCell ref="C53:G53"/>
    <mergeCell ref="A52:B52"/>
    <mergeCell ref="A53:B53"/>
    <mergeCell ref="C50:G50"/>
    <mergeCell ref="C48:G48"/>
    <mergeCell ref="C49:G49"/>
    <mergeCell ref="A49:B49"/>
    <mergeCell ref="A48:B48"/>
    <mergeCell ref="AG6:AI6"/>
    <mergeCell ref="A40:B40"/>
    <mergeCell ref="A46:B46"/>
    <mergeCell ref="A47:B47"/>
    <mergeCell ref="A35:B35"/>
    <mergeCell ref="A33:B33"/>
    <mergeCell ref="X17:Y17"/>
    <mergeCell ref="Z17:AA17"/>
    <mergeCell ref="V19:X19"/>
    <mergeCell ref="Y19:AA19"/>
    <mergeCell ref="A45:B45"/>
    <mergeCell ref="A42:B42"/>
    <mergeCell ref="A39:B39"/>
    <mergeCell ref="A43:B43"/>
    <mergeCell ref="A41:B41"/>
    <mergeCell ref="A57:B57"/>
    <mergeCell ref="A58:B58"/>
    <mergeCell ref="A59:B59"/>
    <mergeCell ref="A55:B55"/>
    <mergeCell ref="A56:B56"/>
    <mergeCell ref="J32:L32"/>
    <mergeCell ref="M32:O32"/>
    <mergeCell ref="V17:W17"/>
    <mergeCell ref="A25:B25"/>
    <mergeCell ref="O29:R29"/>
    <mergeCell ref="O27:R27"/>
    <mergeCell ref="O28:R28"/>
    <mergeCell ref="A30:B30"/>
    <mergeCell ref="A29:B29"/>
    <mergeCell ref="A24:B24"/>
    <mergeCell ref="A36:B36"/>
    <mergeCell ref="A37:B37"/>
    <mergeCell ref="A38:B38"/>
    <mergeCell ref="G32:I32"/>
    <mergeCell ref="A32:B32"/>
    <mergeCell ref="A34:B34"/>
    <mergeCell ref="A23:B23"/>
    <mergeCell ref="A28:B28"/>
    <mergeCell ref="A27:B27"/>
    <mergeCell ref="A26:B26"/>
    <mergeCell ref="O20:R20"/>
    <mergeCell ref="O21:R21"/>
    <mergeCell ref="R15:S15"/>
    <mergeCell ref="R16:S16"/>
    <mergeCell ref="O15:Q15"/>
    <mergeCell ref="O16:Q16"/>
    <mergeCell ref="O19:R19"/>
    <mergeCell ref="I19:K19"/>
    <mergeCell ref="L19:N19"/>
    <mergeCell ref="A19:B19"/>
    <mergeCell ref="O10:Q10"/>
    <mergeCell ref="C19:E19"/>
    <mergeCell ref="M14:N14"/>
    <mergeCell ref="H12:I12"/>
    <mergeCell ref="J12:L12"/>
    <mergeCell ref="H14:I14"/>
    <mergeCell ref="J14:L14"/>
    <mergeCell ref="A22:B22"/>
    <mergeCell ref="A21:B21"/>
    <mergeCell ref="A20:B20"/>
    <mergeCell ref="M15:N15"/>
    <mergeCell ref="M16:N16"/>
    <mergeCell ref="A16:B16"/>
    <mergeCell ref="E16:G16"/>
    <mergeCell ref="H16:I16"/>
    <mergeCell ref="J16:L16"/>
    <mergeCell ref="F19:H19"/>
    <mergeCell ref="R14:S14"/>
    <mergeCell ref="A13:B13"/>
    <mergeCell ref="A15:B15"/>
    <mergeCell ref="E15:G15"/>
    <mergeCell ref="H15:I15"/>
    <mergeCell ref="J15:L15"/>
    <mergeCell ref="O13:Q13"/>
    <mergeCell ref="O14:Q14"/>
    <mergeCell ref="A14:B14"/>
    <mergeCell ref="E14:G14"/>
    <mergeCell ref="E13:G13"/>
    <mergeCell ref="H13:I13"/>
    <mergeCell ref="M13:N13"/>
    <mergeCell ref="J13:L13"/>
    <mergeCell ref="R13:S13"/>
    <mergeCell ref="O12:Q12"/>
    <mergeCell ref="M12:N12"/>
    <mergeCell ref="R12:S12"/>
    <mergeCell ref="A11:B11"/>
    <mergeCell ref="E11:G11"/>
    <mergeCell ref="A12:B12"/>
    <mergeCell ref="E12:G12"/>
    <mergeCell ref="H11:I11"/>
    <mergeCell ref="J11:L11"/>
    <mergeCell ref="M9:N9"/>
    <mergeCell ref="R9:S9"/>
    <mergeCell ref="M10:N10"/>
    <mergeCell ref="R10:S10"/>
    <mergeCell ref="M11:N11"/>
    <mergeCell ref="R11:S11"/>
    <mergeCell ref="O11:Q11"/>
    <mergeCell ref="O9:Q9"/>
    <mergeCell ref="A10:B10"/>
    <mergeCell ref="E10:G10"/>
    <mergeCell ref="H10:I10"/>
    <mergeCell ref="J10:L10"/>
    <mergeCell ref="A9:B9"/>
    <mergeCell ref="E9:G9"/>
    <mergeCell ref="H9:I9"/>
    <mergeCell ref="J9:L9"/>
    <mergeCell ref="M8:N8"/>
    <mergeCell ref="R8:S8"/>
    <mergeCell ref="A7:B7"/>
    <mergeCell ref="E7:G7"/>
    <mergeCell ref="O7:Q7"/>
    <mergeCell ref="O8:Q8"/>
    <mergeCell ref="A8:B8"/>
    <mergeCell ref="E8:G8"/>
    <mergeCell ref="H8:I8"/>
    <mergeCell ref="J8:L8"/>
    <mergeCell ref="H7:I7"/>
    <mergeCell ref="J7:L7"/>
    <mergeCell ref="AA6:AC6"/>
    <mergeCell ref="AD6:AF6"/>
    <mergeCell ref="R6:S6"/>
    <mergeCell ref="T6:V6"/>
    <mergeCell ref="O6:Q6"/>
    <mergeCell ref="J6:L6"/>
    <mergeCell ref="M6:N6"/>
    <mergeCell ref="M7:N7"/>
    <mergeCell ref="A6:B6"/>
    <mergeCell ref="C6:D6"/>
    <mergeCell ref="E6:G6"/>
    <mergeCell ref="H6:I6"/>
    <mergeCell ref="A2:B2"/>
    <mergeCell ref="A3:B3"/>
    <mergeCell ref="A4:B4"/>
    <mergeCell ref="D5:E5"/>
    <mergeCell ref="C2:P2"/>
    <mergeCell ref="C3:P3"/>
    <mergeCell ref="C4:P4"/>
    <mergeCell ref="AE19:AG19"/>
    <mergeCell ref="AH19:AJ19"/>
    <mergeCell ref="S25:U25"/>
    <mergeCell ref="S23:U23"/>
    <mergeCell ref="S24:U24"/>
    <mergeCell ref="S22:U22"/>
    <mergeCell ref="AB19:AD19"/>
    <mergeCell ref="S19:U19"/>
    <mergeCell ref="S20:U20"/>
    <mergeCell ref="S21:U21"/>
    <mergeCell ref="S28:U28"/>
    <mergeCell ref="O24:R24"/>
    <mergeCell ref="O25:R25"/>
    <mergeCell ref="O23:R23"/>
    <mergeCell ref="S26:U26"/>
    <mergeCell ref="O26:R26"/>
    <mergeCell ref="O22:R22"/>
    <mergeCell ref="S27:U27"/>
    <mergeCell ref="AL25:AN25"/>
    <mergeCell ref="W32:Y32"/>
    <mergeCell ref="Z32:AA32"/>
    <mergeCell ref="AB32:AC32"/>
    <mergeCell ref="AD32:AE32"/>
    <mergeCell ref="S29:U29"/>
    <mergeCell ref="Q32:S32"/>
    <mergeCell ref="T32:V32"/>
    <mergeCell ref="S2:U2"/>
    <mergeCell ref="S3:U3"/>
    <mergeCell ref="S4:U4"/>
    <mergeCell ref="X6:Z6"/>
    <mergeCell ref="W6:W7"/>
    <mergeCell ref="R7:S7"/>
    <mergeCell ref="Y2:AB4"/>
    <mergeCell ref="AY6:BA6"/>
    <mergeCell ref="AL23:AN23"/>
    <mergeCell ref="AL22:AN22"/>
    <mergeCell ref="AW22:BA22"/>
    <mergeCell ref="AW23:BA23"/>
    <mergeCell ref="AL20:AN20"/>
    <mergeCell ref="AR21:AV21"/>
    <mergeCell ref="AR22:AV22"/>
    <mergeCell ref="AL21:AN21"/>
    <mergeCell ref="AM5:AU5"/>
    <mergeCell ref="AY5:BG5"/>
    <mergeCell ref="AL24:AN24"/>
    <mergeCell ref="AJ6:AL6"/>
    <mergeCell ref="AL19:AP19"/>
    <mergeCell ref="BE6:BG6"/>
    <mergeCell ref="AM6:AO6"/>
    <mergeCell ref="AP6:AR6"/>
    <mergeCell ref="AS6:AU6"/>
    <mergeCell ref="AW24:BA24"/>
    <mergeCell ref="AW25:BA25"/>
    <mergeCell ref="AO26:AP26"/>
    <mergeCell ref="AO24:AP24"/>
    <mergeCell ref="AW26:BA26"/>
    <mergeCell ref="AO28:AP28"/>
    <mergeCell ref="AL28:AN28"/>
    <mergeCell ref="AL26:AN26"/>
    <mergeCell ref="AO22:AP22"/>
    <mergeCell ref="AO23:AP23"/>
    <mergeCell ref="AO25:AP25"/>
    <mergeCell ref="AL27:AN27"/>
    <mergeCell ref="BZ6:CC7"/>
    <mergeCell ref="BZ9:CC10"/>
    <mergeCell ref="BZ12:CD12"/>
    <mergeCell ref="BZ13:CD13"/>
    <mergeCell ref="BB6:BD6"/>
    <mergeCell ref="AT33:AV33"/>
    <mergeCell ref="AZ33:BB33"/>
    <mergeCell ref="BC33:BE33"/>
    <mergeCell ref="AW32:BE32"/>
    <mergeCell ref="AW28:BA28"/>
    <mergeCell ref="BB20:BF20"/>
    <mergeCell ref="BB21:BF21"/>
    <mergeCell ref="AW29:BA29"/>
    <mergeCell ref="BB22:BF22"/>
    <mergeCell ref="AW33:AY33"/>
    <mergeCell ref="AR20:AV20"/>
    <mergeCell ref="AV6:AX6"/>
    <mergeCell ref="AW20:BA20"/>
    <mergeCell ref="AR23:AV23"/>
    <mergeCell ref="AO33:AR43"/>
    <mergeCell ref="AO20:AP20"/>
    <mergeCell ref="AO21:AP21"/>
    <mergeCell ref="AO27:AP27"/>
    <mergeCell ref="AW21:BA21"/>
    <mergeCell ref="C59:G59"/>
    <mergeCell ref="C57:G57"/>
    <mergeCell ref="C58:G58"/>
    <mergeCell ref="AO29:AP29"/>
    <mergeCell ref="AL29:AN29"/>
    <mergeCell ref="C55:G55"/>
    <mergeCell ref="C56:G56"/>
    <mergeCell ref="C47:G47"/>
    <mergeCell ref="Z31:AE31"/>
    <mergeCell ref="D32:F32"/>
    <mergeCell ref="BH33:BJ33"/>
    <mergeCell ref="BK33:BM33"/>
    <mergeCell ref="BH32:BP32"/>
    <mergeCell ref="BN33:BP33"/>
  </mergeCells>
  <conditionalFormatting sqref="AW22:BA22">
    <cfRule type="expression" priority="1" dxfId="0" stopIfTrue="1">
      <formula>$AR$22="andisols or andic subgroups"</formula>
    </cfRule>
    <cfRule type="expression" priority="2" dxfId="1" stopIfTrue="1">
      <formula>$AR$22&lt;&gt;"andisols or andic subgroups"</formula>
    </cfRule>
  </conditionalFormatting>
  <conditionalFormatting sqref="AW23:BA23">
    <cfRule type="expression" priority="3" dxfId="2" stopIfTrue="1">
      <formula>$AR$23="andisols or andic subgroups"</formula>
    </cfRule>
    <cfRule type="expression" priority="4" dxfId="1" stopIfTrue="1">
      <formula>$AR$23&lt;&gt;"andisols or andic subgroups"</formula>
    </cfRule>
  </conditionalFormatting>
  <conditionalFormatting sqref="AW24:BA24">
    <cfRule type="expression" priority="5" dxfId="2" stopIfTrue="1">
      <formula>$AR$24="andisols or andic subgroups"</formula>
    </cfRule>
    <cfRule type="expression" priority="6" dxfId="3" stopIfTrue="1">
      <formula>$AR$24&lt;&gt;"andisols or andic subgroups"</formula>
    </cfRule>
  </conditionalFormatting>
  <conditionalFormatting sqref="AW25:BA25">
    <cfRule type="expression" priority="7" dxfId="2" stopIfTrue="1">
      <formula>$AR$25="andisols or andic subgroups"</formula>
    </cfRule>
    <cfRule type="expression" priority="8" dxfId="3" stopIfTrue="1">
      <formula>$AR$25&lt;&gt;"andisols or andic subgroups"</formula>
    </cfRule>
  </conditionalFormatting>
  <conditionalFormatting sqref="AW26:BA26">
    <cfRule type="expression" priority="9" dxfId="2" stopIfTrue="1">
      <formula>$AR$26="andisols or andic subgroups"</formula>
    </cfRule>
    <cfRule type="expression" priority="10" dxfId="4" stopIfTrue="1">
      <formula>$AR$26&lt;&gt;"andisols or andic subgroups"</formula>
    </cfRule>
  </conditionalFormatting>
  <conditionalFormatting sqref="AW27:BA27">
    <cfRule type="expression" priority="11" dxfId="2" stopIfTrue="1">
      <formula>$AR$27="andisols or andic subgroups"</formula>
    </cfRule>
    <cfRule type="expression" priority="12" dxfId="3" stopIfTrue="1">
      <formula>$AR$27&lt;&gt;"andisols or andic subgroups"</formula>
    </cfRule>
  </conditionalFormatting>
  <conditionalFormatting sqref="AW28:BA28">
    <cfRule type="expression" priority="13" dxfId="2" stopIfTrue="1">
      <formula>$AR$28="andisols or andic subgroups"</formula>
    </cfRule>
    <cfRule type="expression" priority="14" dxfId="3" stopIfTrue="1">
      <formula>$AR$28&lt;&gt;"andisols or andic subgroups"</formula>
    </cfRule>
  </conditionalFormatting>
  <conditionalFormatting sqref="AW29:BA29">
    <cfRule type="expression" priority="15" dxfId="2" stopIfTrue="1">
      <formula>$AR$29="andisols or andic subgroups"</formula>
    </cfRule>
    <cfRule type="expression" priority="16" dxfId="3" stopIfTrue="1">
      <formula>$AR$29&lt;&gt;"andisols or andic subgroups"</formula>
    </cfRule>
  </conditionalFormatting>
  <conditionalFormatting sqref="AW21:BA21">
    <cfRule type="expression" priority="17" dxfId="0" stopIfTrue="1">
      <formula>$AR$21="andisols or andic subgroups"</formula>
    </cfRule>
    <cfRule type="expression" priority="18" dxfId="5" stopIfTrue="1">
      <formula>$AR$21&lt;&gt;"andisols or andic subgroups"</formula>
    </cfRule>
  </conditionalFormatting>
  <conditionalFormatting sqref="BB23:BF23">
    <cfRule type="expression" priority="19" dxfId="2" stopIfTrue="1">
      <formula>AND($AW$23="medial",$AR$23="andisols or andic subgroups")</formula>
    </cfRule>
    <cfRule type="expression" priority="20" dxfId="5" stopIfTrue="1">
      <formula>$AW$23&lt;&gt;"medial"</formula>
    </cfRule>
  </conditionalFormatting>
  <conditionalFormatting sqref="BB21:BF21">
    <cfRule type="expression" priority="21" dxfId="2" stopIfTrue="1">
      <formula>AND($AW$21="medial",$AR$21="andisols or andic subgroups")</formula>
    </cfRule>
    <cfRule type="expression" priority="22" dxfId="5" stopIfTrue="1">
      <formula>$AW$21&lt;&gt;"medial"</formula>
    </cfRule>
  </conditionalFormatting>
  <conditionalFormatting sqref="BB24:BF24">
    <cfRule type="expression" priority="23" dxfId="2" stopIfTrue="1">
      <formula>AND($AW$24="medial",$AR$24="andisols or andic subgroups")</formula>
    </cfRule>
    <cfRule type="expression" priority="24" dxfId="5" stopIfTrue="1">
      <formula>$AW$24&lt;&gt;"medial"</formula>
    </cfRule>
  </conditionalFormatting>
  <conditionalFormatting sqref="BB25:BF25">
    <cfRule type="expression" priority="25" dxfId="2" stopIfTrue="1">
      <formula>AND($AW$25="medial",$AR$25="andisols or andic subgroups")</formula>
    </cfRule>
    <cfRule type="expression" priority="26" dxfId="5" stopIfTrue="1">
      <formula>$AW$25&lt;&gt;"medial"</formula>
    </cfRule>
  </conditionalFormatting>
  <conditionalFormatting sqref="BB26:BF26">
    <cfRule type="expression" priority="27" dxfId="2" stopIfTrue="1">
      <formula>AND($AW$26="medial",$AR$26="andisols or andic subgroups")</formula>
    </cfRule>
    <cfRule type="expression" priority="28" dxfId="5" stopIfTrue="1">
      <formula>$AW$26&lt;&gt;"medial"</formula>
    </cfRule>
  </conditionalFormatting>
  <conditionalFormatting sqref="BB27:BF27">
    <cfRule type="expression" priority="29" dxfId="2" stopIfTrue="1">
      <formula>AND($AW$27="medial",$AR$27="andisols or andic subgroups")</formula>
    </cfRule>
    <cfRule type="expression" priority="30" dxfId="5" stopIfTrue="1">
      <formula>$AW$27&lt;&gt;"medial"</formula>
    </cfRule>
  </conditionalFormatting>
  <conditionalFormatting sqref="BB28:BF28">
    <cfRule type="expression" priority="31" dxfId="2" stopIfTrue="1">
      <formula>AND($AW$28="medial",$AR$28="andisols or andic subgroups")</formula>
    </cfRule>
    <cfRule type="expression" priority="32" dxfId="5" stopIfTrue="1">
      <formula>$AW$28&lt;&gt;"medial"</formula>
    </cfRule>
  </conditionalFormatting>
  <conditionalFormatting sqref="BB29:BF29">
    <cfRule type="expression" priority="33" dxfId="2" stopIfTrue="1">
      <formula>AND($AW$29="medial",$AR$29="andisols or andic subgroups")</formula>
    </cfRule>
    <cfRule type="expression" priority="34" dxfId="5" stopIfTrue="1">
      <formula>$AW$29&lt;&gt;"medial"</formula>
    </cfRule>
  </conditionalFormatting>
  <conditionalFormatting sqref="BB22:BF22">
    <cfRule type="expression" priority="35" dxfId="2" stopIfTrue="1">
      <formula>AND($AW$22="medial",$AR$22="andisols or andic subgroups")</formula>
    </cfRule>
    <cfRule type="expression" priority="36" dxfId="5" stopIfTrue="1">
      <formula>$AW$22&lt;&gt;"medial"</formula>
    </cfRule>
  </conditionalFormatting>
  <dataValidations count="21">
    <dataValidation type="list" allowBlank="1" showInputMessage="1" showErrorMessage="1" sqref="BH13:BK13 BZ13:CD13">
      <formula1>"nonash, nonash; salt influenced, vitrandic subgroups (no andic properties), andisols or andic subgroups"</formula1>
    </dataValidation>
    <dataValidation type="list" allowBlank="1" showInputMessage="1" showErrorMessage="1" sqref="AW21:BA29">
      <formula1>"(blank),medial, ashy"</formula1>
    </dataValidation>
    <dataValidation type="list" allowBlank="1" showInputMessage="1" showErrorMessage="1" sqref="S21:U29">
      <formula1>$CK$3:$CK$7</formula1>
    </dataValidation>
    <dataValidation type="list" allowBlank="1" showInputMessage="1" showErrorMessage="1" sqref="O21:R29">
      <formula1>$CG$3:$CG$7</formula1>
    </dataValidation>
    <dataValidation type="list" allowBlank="1" showInputMessage="1" showErrorMessage="1" sqref="C50:F50">
      <formula1>"Excessively drained, Somewhat excessively drained, Well drained, Moderately well drained, Somewhat poorly drained, Poorly drained, Very poorly drained"</formula1>
    </dataValidation>
    <dataValidation type="list" allowBlank="1" showInputMessage="1" showErrorMessage="1" sqref="C58:G59">
      <formula1>"Low, Moderate, High"</formula1>
    </dataValidation>
    <dataValidation type="list" allowBlank="1" showInputMessage="1" showErrorMessage="1" sqref="C48:G48">
      <formula1>"310, 250, 220, 180, 160, 134, 86, 56, 48,38,0"</formula1>
    </dataValidation>
    <dataValidation type="list" allowBlank="1" showInputMessage="1" showErrorMessage="1" sqref="C49:G49">
      <formula1>"1,2,3,4,4L,5,6,7,8"</formula1>
    </dataValidation>
    <dataValidation type="list" allowBlank="1" showInputMessage="1" showErrorMessage="1" sqref="C57:G57">
      <formula1>"A,B,C,D,A/D,B/D,C/D"</formula1>
    </dataValidation>
    <dataValidation type="list" allowBlank="1" showInputMessage="1" showErrorMessage="1" sqref="BB21:BF26">
      <formula1>"(blank),airfall andisol (A3&amp;E43), Coast R. Andisol (A1)"</formula1>
    </dataValidation>
    <dataValidation type="list" allowBlank="1" showInputMessage="1" showErrorMessage="1" sqref="C56:G56">
      <formula1>"Low, Moderate, High, None"</formula1>
    </dataValidation>
    <dataValidation type="list" allowBlank="1" showInputMessage="1" showErrorMessage="1" sqref="BB27:BF29">
      <formula1>"(blank),Airfall Andisol (A3 &amp; E43), Coast R. Andisol (A1)"</formula1>
    </dataValidation>
    <dataValidation type="list" allowBlank="1" showInputMessage="1" showErrorMessage="1" sqref="R13:S16">
      <formula1>$CP$4:$CP$66</formula1>
    </dataValidation>
    <dataValidation type="list" allowBlank="1" showInputMessage="1" showErrorMessage="1" sqref="M13:N16 H13:I16">
      <formula1>$CP$3:$CP$66</formula1>
    </dataValidation>
    <dataValidation type="list" allowBlank="1" showInputMessage="1" showErrorMessage="1" error="ERROR! ERROR! ERROR!  PICK FROM THE LIST!" sqref="R8:S12">
      <formula1>$CP$3:$CP$66</formula1>
    </dataValidation>
    <dataValidation type="list" allowBlank="1" showInputMessage="1" showErrorMessage="1" error="OH--SO SORRY.  YOU MUST ENTER SOMETHING FROM THE LIST" sqref="M8:N12">
      <formula1>$CP$3:$CP$66</formula1>
    </dataValidation>
    <dataValidation type="list" allowBlank="1" showInputMessage="1" showErrorMessage="1" error="WHOA!  WHAT ARE YOU TRYING TO DO?" sqref="H8:I12">
      <formula1>$CP$3:$CP$66</formula1>
    </dataValidation>
    <dataValidation type="list" allowBlank="1" showInputMessage="1" showErrorMessage="1" error="WHOA! YOU JUST ENTERED SOMETHING NOT ON THE LIST" sqref="E8:G16">
      <formula1>$CN$3:$CN$31</formula1>
    </dataValidation>
    <dataValidation type="list" allowBlank="1" showInputMessage="1" showErrorMessage="1" error="OOPS. TRY AGAIN." sqref="J8:L16">
      <formula1>$CN$3:$CN$31</formula1>
    </dataValidation>
    <dataValidation type="list" allowBlank="1" showInputMessage="1" showErrorMessage="1" error="WHOA!  WRONG ENTRY!" sqref="O8:Q16">
      <formula1>$CN$3:$CN$31</formula1>
    </dataValidation>
    <dataValidation type="list" allowBlank="1" showInputMessage="1" showErrorMessage="1" sqref="AR21:AV29">
      <formula1>"organic, nonash, nonash; salt influenced, vitrandic subgroups (no andic properties), andisols or andic subgroups"</formula1>
    </dataValidation>
  </dataValidations>
  <printOptions/>
  <pageMargins left="0.5" right="0.5" top="0.5" bottom="0.5" header="0.5" footer="0.5"/>
  <pageSetup horizontalDpi="300" verticalDpi="300" orientation="landscape" paperSize="5" r:id="rId4"/>
  <drawing r:id="rId3"/>
  <legacyDrawing r:id="rId2"/>
</worksheet>
</file>

<file path=xl/worksheets/sheet10.xml><?xml version="1.0" encoding="utf-8"?>
<worksheet xmlns="http://schemas.openxmlformats.org/spreadsheetml/2006/main" xmlns:r="http://schemas.openxmlformats.org/officeDocument/2006/relationships">
  <sheetPr codeName="Sheet6"/>
  <dimension ref="A1:AD46"/>
  <sheetViews>
    <sheetView zoomScale="75" zoomScaleNormal="75" workbookViewId="0" topLeftCell="J1">
      <pane ySplit="2" topLeftCell="BM12" activePane="bottomLeft" state="frozen"/>
      <selection pane="topLeft" activeCell="A51" sqref="A51:B51"/>
      <selection pane="bottomLeft" activeCell="S47" sqref="S47"/>
    </sheetView>
  </sheetViews>
  <sheetFormatPr defaultColWidth="9.140625" defaultRowHeight="12.75"/>
  <cols>
    <col min="1" max="1" width="7.57421875" style="0" customWidth="1"/>
    <col min="2" max="3" width="9.140625" style="124" customWidth="1"/>
    <col min="4" max="4" width="7.57421875" style="0" bestFit="1" customWidth="1"/>
    <col min="5" max="5" width="7.57421875" style="0" customWidth="1"/>
    <col min="6" max="7" width="9.140625" style="124" customWidth="1"/>
    <col min="8" max="8" width="2.421875" style="0" customWidth="1"/>
    <col min="9" max="9" width="8.140625" style="0" customWidth="1"/>
    <col min="10" max="11" width="9.140625" style="124" customWidth="1"/>
    <col min="12" max="12" width="3.7109375" style="0" customWidth="1"/>
    <col min="13" max="13" width="8.140625" style="0" customWidth="1"/>
    <col min="14" max="15" width="9.140625" style="124" customWidth="1"/>
    <col min="16" max="16" width="4.421875" style="0" customWidth="1"/>
    <col min="19" max="19" width="8.421875" style="0" customWidth="1"/>
    <col min="20" max="20" width="8.28125" style="0" customWidth="1"/>
  </cols>
  <sheetData>
    <row r="1" spans="1:27" ht="12.75">
      <c r="A1" t="s">
        <v>154</v>
      </c>
      <c r="E1" s="238" t="s">
        <v>155</v>
      </c>
      <c r="I1" s="238" t="s">
        <v>156</v>
      </c>
      <c r="M1" s="239" t="s">
        <v>157</v>
      </c>
      <c r="Q1" t="s">
        <v>495</v>
      </c>
      <c r="S1" s="1049" t="s">
        <v>497</v>
      </c>
      <c r="T1" s="1049"/>
      <c r="U1" s="1049"/>
      <c r="V1" s="1049" t="s">
        <v>499</v>
      </c>
      <c r="W1" s="1049"/>
      <c r="X1" s="1049"/>
      <c r="Y1" s="1049" t="s">
        <v>498</v>
      </c>
      <c r="Z1" s="1049"/>
      <c r="AA1" s="1049"/>
    </row>
    <row r="2" spans="1:27" s="221" customFormat="1" ht="26.25" thickBot="1">
      <c r="A2" s="221" t="s">
        <v>124</v>
      </c>
      <c r="B2" s="237" t="s">
        <v>690</v>
      </c>
      <c r="C2" s="237" t="s">
        <v>662</v>
      </c>
      <c r="E2" s="221" t="s">
        <v>124</v>
      </c>
      <c r="F2" s="237" t="s">
        <v>690</v>
      </c>
      <c r="G2" s="237" t="s">
        <v>662</v>
      </c>
      <c r="I2" s="221" t="s">
        <v>124</v>
      </c>
      <c r="J2" s="237" t="s">
        <v>690</v>
      </c>
      <c r="K2" s="237" t="s">
        <v>662</v>
      </c>
      <c r="M2" s="221" t="s">
        <v>124</v>
      </c>
      <c r="N2" s="237" t="s">
        <v>690</v>
      </c>
      <c r="O2" s="237" t="s">
        <v>662</v>
      </c>
      <c r="Q2" s="221" t="s">
        <v>574</v>
      </c>
      <c r="R2" s="221" t="s">
        <v>496</v>
      </c>
      <c r="S2" s="237" t="s">
        <v>578</v>
      </c>
      <c r="T2" s="237" t="s">
        <v>579</v>
      </c>
      <c r="U2" s="237" t="s">
        <v>580</v>
      </c>
      <c r="V2" s="237" t="s">
        <v>578</v>
      </c>
      <c r="W2" s="237" t="s">
        <v>579</v>
      </c>
      <c r="X2" s="237" t="s">
        <v>580</v>
      </c>
      <c r="Y2" s="237" t="s">
        <v>578</v>
      </c>
      <c r="Z2" s="237" t="s">
        <v>579</v>
      </c>
      <c r="AA2" s="237" t="s">
        <v>580</v>
      </c>
    </row>
    <row r="3" spans="1:27" ht="12.75">
      <c r="A3">
        <v>5</v>
      </c>
      <c r="B3" s="132">
        <v>0</v>
      </c>
      <c r="C3" s="132">
        <v>0</v>
      </c>
      <c r="E3" s="137">
        <v>5</v>
      </c>
      <c r="F3" s="132">
        <v>0</v>
      </c>
      <c r="G3" s="132">
        <v>0</v>
      </c>
      <c r="I3" s="137">
        <v>5</v>
      </c>
      <c r="J3" s="132">
        <v>0</v>
      </c>
      <c r="K3" s="132">
        <v>0</v>
      </c>
      <c r="M3" s="137">
        <v>5</v>
      </c>
      <c r="N3" s="240">
        <v>0</v>
      </c>
      <c r="O3" s="132">
        <v>0</v>
      </c>
      <c r="Q3" s="371">
        <f>IF(Input!A8="","",Input!A8)</f>
      </c>
      <c r="R3" s="372">
        <f>IF(Input!E8="","",Input!E8)</f>
      </c>
      <c r="S3" s="127">
        <f>IF($R3="","",IF(AND($R$13&lt;&gt;"andisols or andic subgroups",$R$13&lt;&gt;"vitrandic subgroups (no andic properties)"),"",IF($R$13="vitrandic subgroups (no andic properties)",VLOOKUP($R3,LL,2,FALSE),IF(AND($R$13="andisols or andic subgroups",$V$13="ashy"),VLOOKUP($R3,LL,5,FALSE),IF(AND($V$13="medial",$Y$13="airfall andisol (A3&amp;E43)"),VLOOKUP($R3,LL,8,FALSE),IF(AND($V$13="medial",$Y$13="Coast R. Andisol (A1)"),VLOOKUP($R3,LL,11,FALSE),"error"))))))</f>
      </c>
      <c r="T3" s="128">
        <f>IF($R3="","",IF(AND($R$13&lt;&gt;"andisols or andic subgroups",$R$13&lt;&gt;"vitrandic subgroups (no andic properties)"),"",IF($R$13="vitrandic subgroups (no andic properties)",VLOOKUP($R3,LL,3,FALSE),IF(AND($R$13="andisols or andic subgroups",$V$13="ashy"),VLOOKUP($R3,LL,6,FALSE),IF(AND($V$13="medial",$Y$13="airfall andisol (A3&amp;E43)"),VLOOKUP($R3,LL,9,FALSE),IF(AND($V$13="medial",$Y$13="Coast R. Andisol (A1)"),VLOOKUP($R3,LL,12,FALSE),"error"))))))</f>
      </c>
      <c r="U3" s="129">
        <f>IF($R3="","",IF(AND($R$13&lt;&gt;"andisols or andic subgroups",$R$13&lt;&gt;"vitrandic subgroups (no andic properties)"),"",IF($R$13="vitrandic subgroups (no andic properties)",VLOOKUP($R3,LL,4,FALSE),IF(AND($R$13="andisols or andic subgroups",$V$13="ashy"),VLOOKUP($R3,LL,7,FALSE),IF(AND($V$13="medial",$Y$13="airfall andisol (A3&amp;E43)"),VLOOKUP($R3,LL,10,FALSE),IF(AND($V$13="medial",$Y$13="Coast R. Andisol (A1)"),VLOOKUP($R3,LL,13,FALSE),"error"))))))</f>
      </c>
      <c r="V3" s="128">
        <f>IF(OR(Input!C21="",Input!$S21=""),"",IF(OR($R$13="andisols or andic subgroups",$R$13="vitrandic subgroups (no andic properties)"),"",IF(Input!C21&lt;10,"0",IF(Input!$S21="Montmorillonitic",VLOOKUP(Input!$C21,Montmorillonitic,2,TRUE),IF(Input!$S21="Mixed; 2:1",VLOOKUP(Input!C21,Twotoone,2,TRUE),IF(Input!$S21="Mixed; 1:1",VLOOKUP(Input!C21,Onetoone,2,TRUE),IF(Input!$S21="Kaolinitic",VLOOKUP(Input!C21,Kaolinitic,2,TRUE),"error")))))))</f>
      </c>
      <c r="W3" s="128">
        <f>IF(OR(Input!D21="",Input!$S21=""),"",IF(OR($R$13="andisols or andic subgroups",$R$13="vitrandic subgroups (no andic properties)"),"",IF(Input!D21&lt;10,5,IF(Input!$S21="Montmorillonitic",VLOOKUP(Input!D21,Montmorillonitic,2,TRUE),IF(Input!$S21="Mixed; 2:1",VLOOKUP(Input!D21,Twotoone,2,TRUE),IF(Input!$S21="Mixed; 1:1",VLOOKUP(Input!D21,Onetoone,2,TRUE),IF(Input!$S21="Kaolinitic",VLOOKUP(Input!D21,Kaolinitic,2,TRUE),"error")))))))</f>
      </c>
      <c r="X3" s="129">
        <f>IF(OR(Input!E21="",Input!$S21=""),"",IF(OR($R$13="andisols or andic subgroups",$R$13="vitrandic subgroups (no andic properties)"),"",IF(Input!E21&lt;10,10,IF(Input!$S21="Montmorillonitic",VLOOKUP(Input!E21,Montmorillonitic,2,TRUE),IF(Input!$S21="Mixed; 2:1",VLOOKUP(Input!E21,Twotoone,2,TRUE),IF(Input!$S21="Mixed; 1:1",VLOOKUP(Input!E21,Onetoone,2,TRUE),IF(Input!$S21="Kaolinitic",VLOOKUP(Input!E21,Kaolinitic,2,TRUE),"error")))))))</f>
      </c>
      <c r="Y3" s="128">
        <f>IF(AND(S3="",V3=""),"",IF(S3&lt;&gt;"",S3,V3))</f>
      </c>
      <c r="Z3" s="128">
        <f>IF(AND(T3="",W3=""),"",IF(T3&lt;&gt;"",T3,W3))</f>
      </c>
      <c r="AA3" s="129">
        <f>IF(AND(U3="",X3=""),"",IF(U3&lt;&gt;"",U3,X3))</f>
      </c>
    </row>
    <row r="4" spans="1:27" ht="12.75">
      <c r="A4">
        <v>10</v>
      </c>
      <c r="B4" s="124">
        <v>26</v>
      </c>
      <c r="C4" s="124">
        <v>9</v>
      </c>
      <c r="E4">
        <v>10</v>
      </c>
      <c r="F4" s="124">
        <v>21</v>
      </c>
      <c r="G4" s="124">
        <v>4</v>
      </c>
      <c r="I4">
        <v>10</v>
      </c>
      <c r="J4" s="124">
        <v>16</v>
      </c>
      <c r="K4" s="124">
        <v>3</v>
      </c>
      <c r="M4">
        <v>10</v>
      </c>
      <c r="N4" s="124">
        <v>18</v>
      </c>
      <c r="O4" s="124">
        <v>5</v>
      </c>
      <c r="Q4" s="373">
        <f>IF(Input!A9="","",Input!A9)</f>
      </c>
      <c r="R4" s="126">
        <f>IF(Input!E9="","",Input!E9)</f>
      </c>
      <c r="S4" s="141">
        <f>IF($R4="","",IF(AND($R$14&lt;&gt;"andisols or andic subgroups",$R$14&lt;&gt;"vitrandic subgroups (no andic properties)"),"",IF($R$14="vitrandic subgroups (no andic properties)",VLOOKUP($R4,LL,2,FALSE),IF(AND($R$14="andisols or andic subgroups",$V$14="ashy"),VLOOKUP($R4,LL,5,FALSE),IF(AND($V$14="medial",$Y$14="airfall andisol (A3&amp;E43)"),VLOOKUP($R4,LL,8,FALSE),IF(AND($V$14="medial",$Y$14="Coast R. Andisol (A1)"),VLOOKUP($R4,LL,11,FALSE),"error"))))))</f>
      </c>
      <c r="T4" s="140">
        <f>IF($R4="","",IF(AND($R$14&lt;&gt;"andisols or andic subgroups",$R$14&lt;&gt;"vitrandic subgroups (no andic properties)"),"",IF($R$14="vitrandic subgroups (no andic properties)",VLOOKUP($R4,LL,3,FALSE),IF(AND($R$14="andisols or andic subgroups",$V$14="ashy"),VLOOKUP($R4,LL,6,FALSE),IF(AND($V$14="medial",$Y$14="airfall andisol (A3&amp;E43)"),VLOOKUP($R4,LL,9,FALSE),IF(AND($V$14="medial",$Y$14="Coast R. Andisol (A1)"),VLOOKUP($R4,LL,12,FALSE),"error"))))))</f>
      </c>
      <c r="U4" s="142">
        <f>IF($R4="","",IF(AND($R$14&lt;&gt;"andisols or andic subgroups",$R$14&lt;&gt;"vitrandic subgroups (no andic properties)"),"",IF($R$14="vitrandic subgroups (no andic properties)",VLOOKUP($R4,LL,4,FALSE),IF(AND($R$14="andisols or andic subgroups",$V$14="ashy"),VLOOKUP($R4,LL,7,FALSE),IF(AND($V$14="medial",$Y$14="airfall andisol (A3&amp;E43)"),VLOOKUP($R4,LL,10,FALSE),IF(AND($V$14="medial",$Y$14="Coast R. Andisol (A1)"),VLOOKUP($R4,LL,13,FALSE),"error"))))))</f>
      </c>
      <c r="V4" s="140">
        <f>IF(OR(Input!C22="",Input!$S22=""),"",IF(OR($R$14="andisols or andic subgroups",$R$14="vitrandic subgroups (no andic properties)"),"",IF(Input!C22&lt;10,"0",IF(Input!$S22="Montmorillonitic",VLOOKUP(Input!$C22,Montmorillonitic,2,TRUE),IF(Input!$S22="Mixed; 2:1",VLOOKUP(Input!C22,Twotoone,2,TRUE),IF(Input!$S22="Mixed; 1:1",VLOOKUP(Input!C22,Onetoone,2,TRUE),IF(Input!$S22="Kaolinitic",VLOOKUP(Input!C22,Kaolinitic,2,TRUE),"error")))))))</f>
      </c>
      <c r="W4" s="140">
        <f>IF(OR(Input!D22="",Input!$S22=""),"",IF(OR($R$14="andisols or andic subgroups",$R$14="vitrandic subgroups (no andic properties)"),"",IF(Input!D22&lt;10,5,IF(Input!$S22="Montmorillonitic",VLOOKUP(Input!D22,Montmorillonitic,2,TRUE),IF(Input!$S22="Mixed; 2:1",VLOOKUP(Input!D22,Twotoone,2,TRUE),IF(Input!$S22="Mixed; 1:1",VLOOKUP(Input!D22,Onetoone,2,TRUE),IF(Input!$S22="Kaolinitic",VLOOKUP(Input!D22,Kaolinitic,2,TRUE),"error")))))))</f>
      </c>
      <c r="X4" s="142">
        <f>IF(OR(Input!E22="",Input!$S22=""),"",IF(OR($R$14="andisols or andic subgroups",$R$14="vitrandic subgroups (no andic properties)"),"",IF(Input!E22&lt;10,10,IF(Input!$S22="Montmorillonitic",VLOOKUP(Input!E22,Montmorillonitic,2,TRUE),IF(Input!$S22="Mixed; 2:1",VLOOKUP(Input!E22,Twotoone,2,TRUE),IF(Input!$S22="Mixed; 1:1",VLOOKUP(Input!E22,Onetoone,2,TRUE),IF(Input!$S22="Kaolinitic",VLOOKUP(Input!E22,Kaolinitic,2,TRUE),"error")))))))</f>
      </c>
      <c r="Y4" s="140">
        <f aca="true" t="shared" si="0" ref="Y4:AA11">IF(AND(S4="",V4=""),"",IF(S4&lt;&gt;"",S4,V4))</f>
      </c>
      <c r="Z4" s="140">
        <f t="shared" si="0"/>
      </c>
      <c r="AA4" s="142">
        <f t="shared" si="0"/>
      </c>
    </row>
    <row r="5" spans="1:27" ht="12.75">
      <c r="A5">
        <v>12</v>
      </c>
      <c r="B5" s="124">
        <v>28</v>
      </c>
      <c r="C5" s="124">
        <v>11</v>
      </c>
      <c r="E5">
        <v>12</v>
      </c>
      <c r="F5" s="124">
        <v>23</v>
      </c>
      <c r="G5" s="124">
        <v>6</v>
      </c>
      <c r="I5">
        <v>12</v>
      </c>
      <c r="J5" s="124">
        <v>18</v>
      </c>
      <c r="K5" s="124">
        <v>4</v>
      </c>
      <c r="M5">
        <v>12</v>
      </c>
      <c r="N5" s="124">
        <v>20</v>
      </c>
      <c r="O5" s="124">
        <v>6</v>
      </c>
      <c r="Q5" s="373">
        <f>IF(Input!A10="","",Input!A10)</f>
      </c>
      <c r="R5" s="126">
        <f>IF(Input!E10="","",Input!E10)</f>
      </c>
      <c r="S5" s="141">
        <f>IF($R5="","",IF(AND($R$15&lt;&gt;"andisols or andic subgroups",$R$15&lt;&gt;"vitrandic subgroups (no andic properties)"),"",IF($R$15="vitrandic subgroups (no andic properties)",VLOOKUP($R5,LL,2,FALSE),IF(AND($R$15="andisols or andic subgroups",$V$15="ashy"),VLOOKUP($R5,LL,5,FALSE),IF(AND($V$15="medial",$Y$15="airfall andisol (A3&amp;E43)"),VLOOKUP($R5,LL,8,FALSE),IF(AND($V$15="medial",$Y$15="Coast R. Andisol (A1)"),VLOOKUP($R5,LL,11,FALSE),"error"))))))</f>
      </c>
      <c r="T5" s="140">
        <f>IF($R5="","",IF(AND($R$15&lt;&gt;"andisols or andic subgroups",$R$15&lt;&gt;"vitrandic subgroups (no andic properties)"),"",IF($R$15="vitrandic subgroups (no andic properties)",VLOOKUP($R5,LL,3,FALSE),IF(AND($R$15="andisols or andic subgroups",$V$15="ashy"),VLOOKUP($R5,LL,6,FALSE),IF(AND($V$15="medial",$Y$15="airfall andisol (A3&amp;E43)"),VLOOKUP($R5,LL,9,FALSE),IF(AND($V$15="medial",$Y$15="Coast R. Andisol (A1)"),VLOOKUP($R5,LL,12,FALSE),"error"))))))</f>
      </c>
      <c r="U5" s="142">
        <f>IF($R5="","",IF(AND($R$15&lt;&gt;"andisols or andic subgroups",$R$15&lt;&gt;"vitrandic subgroups (no andic properties)"),"",IF($R$15="vitrandic subgroups (no andic properties)",VLOOKUP($R5,LL,4,FALSE),IF(AND($R$15="andisols or andic subgroups",$V$15="ashy"),VLOOKUP($R5,LL,7,FALSE),IF(AND($V$15="medial",$Y$15="airfall andisol (A3&amp;E43)"),VLOOKUP($R5,LL,10,FALSE),IF(AND($V$15="medial",$Y$15="Coast R. Andisol (A1)"),VLOOKUP($R5,LL,13,FALSE),"error"))))))</f>
      </c>
      <c r="V5" s="140">
        <f>IF(OR(Input!C23="",Input!$S23=""),"",IF(OR($R$15="andisols or andic subgroups",$R$15="vitrandic subgroups (no andic properties)"),"",IF(Input!C23&lt;10,"0",IF(Input!$S23="Montmorillonitic",VLOOKUP(Input!$C23,Montmorillonitic,2,TRUE),IF(Input!$S23="Mixed; 2:1",VLOOKUP(Input!C23,Twotoone,2,TRUE),IF(Input!$S23="Mixed; 1:1",VLOOKUP(Input!C23,Onetoone,2,TRUE),IF(Input!$S23="Kaolinitic",VLOOKUP(Input!C23,Kaolinitic,2,TRUE),"error")))))))</f>
      </c>
      <c r="W5" s="140">
        <f>IF(OR(Input!D23="",Input!$S23=""),"",IF(OR($R$15="andisols or andic subgroups",$R$15="vitrandic subgroups (no andic properties)"),"",IF(Input!D23&lt;10,5,IF(Input!$S23="Montmorillonitic",VLOOKUP(Input!D23,Montmorillonitic,2,TRUE),IF(Input!$S23="Mixed; 2:1",VLOOKUP(Input!D23,Twotoone,2,TRUE),IF(Input!$S23="Mixed; 1:1",VLOOKUP(Input!D23,Onetoone,2,TRUE),IF(Input!$S23="Kaolinitic",VLOOKUP(Input!D23,Kaolinitic,2,TRUE),"error")))))))</f>
      </c>
      <c r="X5" s="142">
        <f>IF(OR(Input!E23="",Input!$S23=""),"",IF(OR($R$15="andisols or andic subgroups",$R$15="vitrandic subgroups (no andic properties)"),"",IF(Input!E23&lt;10,10,IF(Input!$S23="Montmorillonitic",VLOOKUP(Input!E23,Montmorillonitic,2,TRUE),IF(Input!$S23="Mixed; 2:1",VLOOKUP(Input!E23,Twotoone,2,TRUE),IF(Input!$S23="Mixed; 1:1",VLOOKUP(Input!E23,Onetoone,2,TRUE),IF(Input!$S23="Kaolinitic",VLOOKUP(Input!E23,Kaolinitic,2,TRUE),"error")))))))</f>
      </c>
      <c r="Y5" s="140">
        <f t="shared" si="0"/>
      </c>
      <c r="Z5" s="140">
        <f t="shared" si="0"/>
      </c>
      <c r="AA5" s="142">
        <f t="shared" si="0"/>
      </c>
    </row>
    <row r="6" spans="1:27" ht="12.75">
      <c r="A6">
        <v>14</v>
      </c>
      <c r="B6" s="124">
        <v>30</v>
      </c>
      <c r="C6" s="124">
        <v>12</v>
      </c>
      <c r="E6">
        <v>14</v>
      </c>
      <c r="F6" s="124">
        <v>25</v>
      </c>
      <c r="G6" s="124">
        <v>7</v>
      </c>
      <c r="I6">
        <v>14</v>
      </c>
      <c r="J6" s="124">
        <v>20</v>
      </c>
      <c r="K6" s="124">
        <v>5</v>
      </c>
      <c r="M6">
        <v>14</v>
      </c>
      <c r="N6" s="124">
        <v>21</v>
      </c>
      <c r="O6" s="124">
        <v>6</v>
      </c>
      <c r="Q6" s="373">
        <f>IF(Input!A11="","",Input!A11)</f>
      </c>
      <c r="R6" s="126">
        <f>IF(Input!E11="","",Input!E11)</f>
      </c>
      <c r="S6" s="141">
        <f>IF($R6="","",IF(AND($R$16&lt;&gt;"andisols or andic subgroups",$R$16&lt;&gt;"vitrandic subgroups (no andic properties)"),"",IF($R$16="vitrandic subgroups (no andic properties)",VLOOKUP($R6,LL,2,FALSE),IF(AND($R$16="andisols or andic subgroups",$V$16="ashy"),VLOOKUP($R6,LL,5,FALSE),IF(AND($V$16="medial",$Y$16="airfall andisol (A3&amp;E43)"),VLOOKUP($R6,LL,8,FALSE),IF(AND($V$16="medial",$Y$16="Coast R. Andisol (A1)"),VLOOKUP($R6,LL,11,FALSE),"error"))))))</f>
      </c>
      <c r="T6" s="140">
        <f>IF($R6="","",IF(AND($R$16&lt;&gt;"andisols or andic subgroups",$R$16&lt;&gt;"vitrandic subgroups (no andic properties)"),"",IF($R$16="vitrandic subgroups (no andic properties)",VLOOKUP($R6,LL,3,FALSE),IF(AND($R$16="andisols or andic subgroups",$V$16="ashy"),VLOOKUP($R6,LL,6,FALSE),IF(AND($V$16="medial",$Y$16="airfall andisol (A3&amp;E43)"),VLOOKUP($R6,LL,9,FALSE),IF(AND($V$16="medial",$Y$16="Coast R. Andisol (A1)"),VLOOKUP($R6,LL,12,FALSE),"error"))))))</f>
      </c>
      <c r="U6" s="142">
        <f>IF($R6="","",IF(AND($R$16&lt;&gt;"andisols or andic subgroups",$R$16&lt;&gt;"vitrandic subgroups (no andic properties)"),"",IF($R$16="vitrandic subgroups (no andic properties)",VLOOKUP($R6,LL,4,FALSE),IF(AND($R$16="andisols or andic subgroups",$V$16="ashy"),VLOOKUP($R6,LL,7,FALSE),IF(AND($V$16="medial",$Y$16="airfall andisol (A3&amp;E43)"),VLOOKUP($R6,LL,10,FALSE),IF(AND($V$16="medial",$Y$16="Coast R. Andisol (A1)"),VLOOKUP($R6,LL,13,FALSE),"error"))))))</f>
      </c>
      <c r="V6" s="140">
        <f>IF(OR(Input!C24="",Input!$S24=""),"",IF(OR($R$16="andisols or andic subgroups",$R$16="vitrandic subgroups (no andic properties)"),"",IF(Input!C24&lt;10,"0",IF(Input!$S24="Montmorillonitic",VLOOKUP(Input!$C24,Montmorillonitic,2,TRUE),IF(Input!$S24="Mixed; 2:1",VLOOKUP(Input!C24,Twotoone,2,TRUE),IF(Input!$S24="Mixed; 1:1",VLOOKUP(Input!C24,Onetoone,2,TRUE),IF(Input!$S24="Kaolinitic",VLOOKUP(Input!C24,Kaolinitic,2,TRUE),"error")))))))</f>
      </c>
      <c r="W6" s="140">
        <f>IF(OR(Input!D24="",Input!$S24=""),"",IF(OR($R$16="andisols or andic subgroups",$R$16="vitrandic subgroups (no andic properties)"),"",IF(Input!D24&lt;10,5,IF(Input!$S24="Montmorillonitic",VLOOKUP(Input!D24,Montmorillonitic,2,TRUE),IF(Input!$S24="Mixed; 2:1",VLOOKUP(Input!D24,Twotoone,2,TRUE),IF(Input!$S24="Mixed; 1:1",VLOOKUP(Input!D24,Onetoone,2,TRUE),IF(Input!$S24="Kaolinitic",VLOOKUP(Input!D24,Kaolinitic,2,TRUE),"error")))))))</f>
      </c>
      <c r="X6" s="142">
        <f>IF(OR(Input!E24="",Input!$S24=""),"",IF(OR($R$16="andisols or andic subgroups",$R$16="vitrandic subgroups (no andic properties)"),"",IF(Input!E24&lt;10,10,IF(Input!$S24="Montmorillonitic",VLOOKUP(Input!E24,Montmorillonitic,2,TRUE),IF(Input!$S24="Mixed; 2:1",VLOOKUP(Input!E24,Twotoone,2,TRUE),IF(Input!$S24="Mixed; 1:1",VLOOKUP(Input!E24,Onetoone,2,TRUE),IF(Input!$S24="Kaolinitic",VLOOKUP(Input!E24,Kaolinitic,2,TRUE),"error")))))))</f>
      </c>
      <c r="Y6" s="140">
        <f t="shared" si="0"/>
      </c>
      <c r="Z6" s="140">
        <f t="shared" si="0"/>
      </c>
      <c r="AA6" s="142">
        <f t="shared" si="0"/>
      </c>
    </row>
    <row r="7" spans="1:27" ht="12.75">
      <c r="A7">
        <v>16</v>
      </c>
      <c r="B7" s="124">
        <v>32</v>
      </c>
      <c r="C7" s="124">
        <v>14</v>
      </c>
      <c r="E7">
        <v>16</v>
      </c>
      <c r="F7" s="124">
        <v>26</v>
      </c>
      <c r="G7" s="124">
        <v>8</v>
      </c>
      <c r="I7">
        <v>16</v>
      </c>
      <c r="J7" s="124">
        <v>21</v>
      </c>
      <c r="K7" s="124">
        <v>6</v>
      </c>
      <c r="M7">
        <v>16</v>
      </c>
      <c r="N7" s="124">
        <v>23</v>
      </c>
      <c r="O7" s="124">
        <v>7</v>
      </c>
      <c r="Q7" s="373">
        <f>IF(Input!A12="","",Input!A12)</f>
      </c>
      <c r="R7" s="126">
        <f>IF(Input!E12="","",Input!E12)</f>
      </c>
      <c r="S7" s="141">
        <f>IF($R7="","",IF(AND($R$17&lt;&gt;"andisols or andic subgroups",$R$17&lt;&gt;"vitrandic subgroups (no andic properties)"),"",IF($R$17="vitrandic subgroups (no andic properties)",VLOOKUP($R7,LL,2,FALSE),IF(AND($R$17="andisols or andic subgroups",$V$17="ashy"),VLOOKUP($R7,LL,5,FALSE),IF(AND($V$17="medial",$Y$17="airfall andisol (A3&amp;E43)"),VLOOKUP($R7,LL,8,FALSE),IF(AND($V$17="medial",$Y$17="Coast R. Andisol (A1)"),VLOOKUP($R7,LL,11,FALSE),"error"))))))</f>
      </c>
      <c r="T7" s="140">
        <f>IF($R7="","",IF(AND($R$17&lt;&gt;"andisols or andic subgroups",$R$17&lt;&gt;"vitrandic subgroups (no andic properties)"),"",IF($R$17="vitrandic subgroups (no andic properties)",VLOOKUP($R7,LL,3,FALSE),IF(AND($R$17="andisols or andic subgroups",$V$17="ashy"),VLOOKUP($R7,LL,6,FALSE),IF(AND($V$17="medial",$Y$17="airfall andisol (A3&amp;E43)"),VLOOKUP($R7,LL,9,FALSE),IF(AND($V$17="medial",$Y$17="Coast R. Andisol (A1)"),VLOOKUP($R7,LL,12,FALSE),"error"))))))</f>
      </c>
      <c r="U7" s="142">
        <f>IF($R7="","",IF(AND($R$17&lt;&gt;"andisols or andic subgroups",$R$17&lt;&gt;"vitrandic subgroups (no andic properties)"),"",IF($R$17="vitrandic subgroups (no andic properties)",VLOOKUP($R7,LL,4,FALSE),IF(AND($R$17="andisols or andic subgroups",$V$17="ashy"),VLOOKUP($R7,LL,7,FALSE),IF(AND($V$17="medial",$Y$17="airfall andisol (A3&amp;E43)"),VLOOKUP($R7,LL,10,FALSE),IF(AND($V$17="medial",$Y$17="Coast R. Andisol (A1)"),VLOOKUP($R7,LL,13,FALSE),"error"))))))</f>
      </c>
      <c r="V7" s="140">
        <f>IF(OR(Input!C25="",Input!$S25=""),"",IF(OR($R$17="andisols or andic subgroups",$R$17="vitrandic subgroups (no andic properties)"),"",IF(Input!C25&lt;10,"0",IF(Input!$S25="Montmorillonitic",VLOOKUP(Input!$C25,Montmorillonitic,2,TRUE),IF(Input!$S25="Mixed; 2:1",VLOOKUP(Input!C25,Twotoone,2,TRUE),IF(Input!$S25="Mixed; 1:1",VLOOKUP(Input!C25,Onetoone,2,TRUE),IF(Input!$S25="Kaolinitic",VLOOKUP(Input!C25,Kaolinitic,2,TRUE),"error")))))))</f>
      </c>
      <c r="W7" s="140">
        <f>IF(OR(Input!D25="",Input!$S25=""),"",IF(OR($R$17="andisols or andic subgroups",$R$17="vitrandic subgroups (no andic properties)"),"",IF(Input!D25&lt;10,5,IF(Input!$S25="Montmorillonitic",VLOOKUP(Input!D25,Montmorillonitic,2,TRUE),IF(Input!$S25="Mixed; 2:1",VLOOKUP(Input!D25,Twotoone,2,TRUE),IF(Input!$S25="Mixed; 1:1",VLOOKUP(Input!D25,Onetoone,2,TRUE),IF(Input!$S25="Kaolinitic",VLOOKUP(Input!D25,Kaolinitic,2,TRUE),"error")))))))</f>
      </c>
      <c r="X7" s="142">
        <f>IF(OR(Input!E25="",Input!$S25=""),"",IF(OR($R$17="andisols or andic subgroups",$R$17="vitrandic subgroups (no andic properties)"),"",IF(Input!E25&lt;10,10,IF(Input!$S25="Montmorillonitic",VLOOKUP(Input!E25,Montmorillonitic,2,TRUE),IF(Input!$S25="Mixed; 2:1",VLOOKUP(Input!E25,Twotoone,2,TRUE),IF(Input!$S25="Mixed; 1:1",VLOOKUP(Input!E25,Onetoone,2,TRUE),IF(Input!$S25="Kaolinitic",VLOOKUP(Input!E25,Kaolinitic,2,TRUE),"error")))))))</f>
      </c>
      <c r="Y7" s="140">
        <f t="shared" si="0"/>
      </c>
      <c r="Z7" s="140">
        <f t="shared" si="0"/>
      </c>
      <c r="AA7" s="142">
        <f t="shared" si="0"/>
      </c>
    </row>
    <row r="8" spans="1:27" ht="12.75">
      <c r="A8">
        <v>18</v>
      </c>
      <c r="B8" s="124">
        <v>34</v>
      </c>
      <c r="C8" s="124">
        <v>15</v>
      </c>
      <c r="E8">
        <v>18</v>
      </c>
      <c r="F8" s="124">
        <v>28</v>
      </c>
      <c r="G8" s="124">
        <v>9</v>
      </c>
      <c r="I8">
        <v>18</v>
      </c>
      <c r="J8" s="124">
        <v>23</v>
      </c>
      <c r="K8" s="124">
        <v>7</v>
      </c>
      <c r="M8">
        <v>18</v>
      </c>
      <c r="N8" s="124">
        <v>24</v>
      </c>
      <c r="O8" s="124">
        <v>8</v>
      </c>
      <c r="Q8" s="373">
        <f>IF(Input!A13="","",Input!A13)</f>
      </c>
      <c r="R8" s="126">
        <f>IF(Input!E13="","",Input!E13)</f>
      </c>
      <c r="S8" s="141">
        <f>IF($R8="","",IF(AND($R$18&lt;&gt;"andisols or andic subgroups",$R$18&lt;&gt;"vitrandic subgroups (no andic properties)"),"",IF($R$18="vitrandic subgroups (no andic properties)",VLOOKUP($R8,LL,2,FALSE),IF(AND($R$18="andisols or andic subgroups",$V$18="ashy"),VLOOKUP($R8,LL,5,FALSE),IF(AND($V$18="medial",$Y$18="airfall andisol (A3&amp;E43)"),VLOOKUP($R8,LL,8,FALSE),IF(AND($V$18="medial",$Y$18="Coast R. Andisol (A1)"),VLOOKUP($R8,LL,11,FALSE),"error"))))))</f>
      </c>
      <c r="T8" s="140">
        <f>IF($R8="","",IF(AND($R$18&lt;&gt;"andisols or andic subgroups",$R$18&lt;&gt;"vitrandic subgroups (no andic properties)"),"",IF($R$18="vitrandic subgroups (no andic properties)",VLOOKUP($R8,LL,3,FALSE),IF(AND($R$18="andisols or andic subgroups",$V$18="ashy"),VLOOKUP($R8,LL,6,FALSE),IF(AND($V$18="medial",$Y$18="airfall andisol (A3&amp;E43)"),VLOOKUP($R8,LL,9,FALSE),IF(AND($V$18="medial",$Y$18="Coast R. Andisol (A1)"),VLOOKUP($R8,LL,12,FALSE),"error"))))))</f>
      </c>
      <c r="U8" s="142">
        <f>IF($R8="","",IF(AND($R$18&lt;&gt;"andisols or andic subgroups",$R$18&lt;&gt;"vitrandic subgroups (no andic properties)"),"",IF($R$18="vitrandic subgroups (no andic properties)",VLOOKUP($R8,LL,4,FALSE),IF(AND($R$18="andisols or andic subgroups",$V$18="ashy"),VLOOKUP($R8,LL,7,FALSE),IF(AND($V$18="medial",$Y$18="airfall andisol (A3&amp;E43)"),VLOOKUP($R8,LL,10,FALSE),IF(AND($V$18="medial",$Y$18="Coast R. Andisol (A1)"),VLOOKUP($R8,LL,13,FALSE),"error"))))))</f>
      </c>
      <c r="V8" s="140">
        <f>IF(OR(Input!C26="",Input!$S26=""),"",IF(OR($R$18="andisols or andic subgroups",$R$18="vitrandic subgroups (no andic properties)"),"",IF(Input!C26&lt;10,"0",IF(Input!$S26="Montmorillonitic",VLOOKUP(Input!$C26,Montmorillonitic,2,TRUE),IF(Input!$S26="Mixed; 2:1",VLOOKUP(Input!C26,Twotoone,2,TRUE),IF(Input!$S26="Mixed; 1:1",VLOOKUP(Input!C26,Onetoone,2,TRUE),IF(Input!$S26="Kaolinitic",VLOOKUP(Input!C26,Kaolinitic,2,TRUE),"error")))))))</f>
      </c>
      <c r="W8" s="140">
        <f>IF(OR(Input!D26="",Input!$S26=""),"",IF(OR($R$18="andisols or andic subgroups",$R$18="vitrandic subgroups (no andic properties)"),"",IF(Input!D26&lt;10,5,IF(Input!$S26="Montmorillonitic",VLOOKUP(Input!D26,Montmorillonitic,2,TRUE),IF(Input!$S26="Mixed; 2:1",VLOOKUP(Input!D26,Twotoone,2,TRUE),IF(Input!$S26="Mixed; 1:1",VLOOKUP(Input!D26,Onetoone,2,TRUE),IF(Input!$S26="Kaolinitic",VLOOKUP(Input!D26,Kaolinitic,2,TRUE),"error")))))))</f>
      </c>
      <c r="X8" s="142">
        <f>IF(OR(Input!E26="",Input!$S26=""),"",IF(OR($R$18="andisols or andic subgroups",$R$18="vitrandic subgroups (no andic properties)"),"",IF(Input!E26&lt;10,10,IF(Input!$S26="Montmorillonitic",VLOOKUP(Input!E26,Montmorillonitic,2,TRUE),IF(Input!$S26="Mixed; 2:1",VLOOKUP(Input!E26,Twotoone,2,TRUE),IF(Input!$S26="Mixed; 1:1",VLOOKUP(Input!E26,Onetoone,2,TRUE),IF(Input!$S26="Kaolinitic",VLOOKUP(Input!E26,Kaolinitic,2,TRUE),"error")))))))</f>
      </c>
      <c r="Y8" s="140">
        <f t="shared" si="0"/>
      </c>
      <c r="Z8" s="140">
        <f t="shared" si="0"/>
      </c>
      <c r="AA8" s="142">
        <f t="shared" si="0"/>
      </c>
    </row>
    <row r="9" spans="1:27" ht="12.75">
      <c r="A9">
        <v>20</v>
      </c>
      <c r="B9" s="124">
        <v>36</v>
      </c>
      <c r="C9" s="124">
        <v>17</v>
      </c>
      <c r="E9">
        <v>20</v>
      </c>
      <c r="F9" s="124">
        <v>30</v>
      </c>
      <c r="G9" s="124">
        <v>11</v>
      </c>
      <c r="I9">
        <v>20</v>
      </c>
      <c r="J9" s="124">
        <v>25</v>
      </c>
      <c r="K9" s="124">
        <v>8</v>
      </c>
      <c r="M9">
        <v>20</v>
      </c>
      <c r="N9" s="124">
        <v>26</v>
      </c>
      <c r="O9" s="124">
        <v>9</v>
      </c>
      <c r="Q9" s="373">
        <f>IF(Input!A14="","",Input!A14)</f>
      </c>
      <c r="R9" s="126">
        <f>IF(Input!E14="","",Input!E14)</f>
      </c>
      <c r="S9" s="141">
        <f>IF($R9="","",IF(AND($R$19&lt;&gt;"andisols or andic subgroups",$R$19&lt;&gt;"vitrandic subgroups (no andic properties)"),"",IF($R$19="vitrandic subgroups (no andic properties)",VLOOKUP($R9,LL,2,FALSE),IF(AND($R$19="andisols or andic subgroups",$V$19="ashy"),VLOOKUP($R9,LL,5,FALSE),IF(AND($V$19="medial",$Y$19="airfall andisol (A3&amp;E43)"),VLOOKUP($R9,LL,8,FALSE),IF(AND($V$19="medial",$Y$19="Coast R. Andisol (A1)"),VLOOKUP($R9,LL,11,FALSE),"error"))))))</f>
      </c>
      <c r="T9" s="140">
        <f>IF($R9="","",IF(AND($R$19&lt;&gt;"andisols or andic subgroups",$R$19&lt;&gt;"vitrandic subgroups (no andic properties)"),"",IF($R$19="vitrandic subgroups (no andic properties)",VLOOKUP($R9,LL,3,FALSE),IF(AND($R$19="andisols or andic subgroups",$V$19="ashy"),VLOOKUP($R9,LL,6,FALSE),IF(AND($V$19="medial",$Y$19="airfall andisol (A3&amp;E43)"),VLOOKUP($R9,LL,9,FALSE),IF(AND($V$19="medial",$Y$19="Coast R. Andisol (A1)"),VLOOKUP($R9,LL,12,FALSE),"error"))))))</f>
      </c>
      <c r="U9" s="142">
        <f>IF($R9="","",IF(AND($R$19&lt;&gt;"andisols or andic subgroups",$R$19&lt;&gt;"vitrandic subgroups (no andic properties)"),"",IF($R$19="vitrandic subgroups (no andic properties)",VLOOKUP($R9,LL,4,FALSE),IF(AND($R$19="andisols or andic subgroups",$V$19="ashy"),VLOOKUP($R9,LL,7,FALSE),IF(AND($V$19="medial",$Y$19="airfall andisol (A3&amp;E43)"),VLOOKUP($R9,LL,10,FALSE),IF(AND($V$19="medial",$Y$19="Coast R. Andisol (A1)"),VLOOKUP($R9,LL,13,FALSE),"error"))))))</f>
      </c>
      <c r="V9" s="140">
        <f>IF(OR(Input!C27="",Input!$S27=""),"",IF(OR($R$19="andisols or andic subgroups",$R$19="vitrandic subgroups (no andic properties)"),"",IF(Input!C27&lt;10,"0",IF(Input!$S27="Montmorillonitic",VLOOKUP(Input!$C27,Montmorillonitic,2,TRUE),IF(Input!$S27="Mixed; 2:1",VLOOKUP(Input!C27,Twotoone,2,TRUE),IF(Input!$S27="Mixed; 1:1",VLOOKUP(Input!C27,Onetoone,2,TRUE),IF(Input!$S27="Kaolinitic",VLOOKUP(Input!C27,Kaolinitic,2,TRUE),"error")))))))</f>
      </c>
      <c r="W9" s="140">
        <f>IF(OR(Input!D27="",Input!$S27=""),"",IF(OR($R$19="andisols or andic subgroups",$R$19="vitrandic subgroups (no andic properties)"),"",IF(Input!D27&lt;10,5,IF(Input!$S27="Montmorillonitic",VLOOKUP(Input!D27,Montmorillonitic,2,TRUE),IF(Input!$S27="Mixed; 2:1",VLOOKUP(Input!D27,Twotoone,2,TRUE),IF(Input!$S27="Mixed; 1:1",VLOOKUP(Input!D27,Onetoone,2,TRUE),IF(Input!$S27="Kaolinitic",VLOOKUP(Input!D27,Kaolinitic,2,TRUE),"error")))))))</f>
      </c>
      <c r="X9" s="142">
        <f>IF(OR(Input!E27="",Input!$S27=""),"",IF(OR($R$19="andisols or andic subgroups",$R$19="vitrandic subgroups (no andic properties)"),"",IF(Input!E27&lt;10,10,IF(Input!$S27="Montmorillonitic",VLOOKUP(Input!E27,Montmorillonitic,2,TRUE),IF(Input!$S27="Mixed; 2:1",VLOOKUP(Input!E27,Twotoone,2,TRUE),IF(Input!$S27="Mixed; 1:1",VLOOKUP(Input!E27,Onetoone,2,TRUE),IF(Input!$S27="Kaolinitic",VLOOKUP(Input!E27,Kaolinitic,2,TRUE),"error")))))))</f>
      </c>
      <c r="Y9" s="140">
        <f t="shared" si="0"/>
      </c>
      <c r="Z9" s="140">
        <f t="shared" si="0"/>
      </c>
      <c r="AA9" s="142">
        <f t="shared" si="0"/>
      </c>
    </row>
    <row r="10" spans="1:27" ht="12.75">
      <c r="A10">
        <v>22</v>
      </c>
      <c r="B10" s="124">
        <v>38</v>
      </c>
      <c r="C10" s="124">
        <v>19</v>
      </c>
      <c r="E10">
        <v>22</v>
      </c>
      <c r="F10" s="124">
        <v>32</v>
      </c>
      <c r="G10" s="124">
        <v>13</v>
      </c>
      <c r="I10">
        <v>22</v>
      </c>
      <c r="J10" s="124">
        <v>27</v>
      </c>
      <c r="K10" s="124">
        <v>9</v>
      </c>
      <c r="M10">
        <v>22</v>
      </c>
      <c r="N10" s="124">
        <v>28</v>
      </c>
      <c r="O10" s="124">
        <v>10</v>
      </c>
      <c r="Q10" s="373">
        <f>IF(Input!A15="","",Input!A15)</f>
      </c>
      <c r="R10" s="126">
        <f>IF(Input!E15="","",Input!E15)</f>
      </c>
      <c r="S10" s="141">
        <f>IF($R10="","",IF(AND($R$20&lt;&gt;"andisols or andic subgroups",$R$20&lt;&gt;"vitrandic subgroups (no andic properties)"),"",IF($R$20="vitrandic subgroups (no andic properties)",VLOOKUP($R10,LL,2,FALSE),IF(AND($R$20="andisols or andic subgroups",$V$20="ashy"),VLOOKUP($R10,LL,5,FALSE),IF(AND($V$20="medial",$Y$20="airfall andisol (A3&amp;E43)"),VLOOKUP($R10,LL,8,FALSE),IF(AND($V$20="medial",$Y$20="Coast R. Andisol (A1)"),VLOOKUP($R10,LL,11,FALSE),"error"))))))</f>
      </c>
      <c r="T10" s="140">
        <f>IF($R10="","",IF(AND($R$20&lt;&gt;"andisols or andic subgroups",$R$20&lt;&gt;"vitrandic subgroups (no andic properties)"),"",IF($R$20="vitrandic subgroups (no andic properties)",VLOOKUP($R10,LL,3,FALSE),IF(AND($R$20="andisols or andic subgroups",$V$20="ashy"),VLOOKUP($R10,LL,6,FALSE),IF(AND($V$20="medial",$Y$20="airfall andisol (A3&amp;E43)"),VLOOKUP($R10,LL,9,FALSE),IF(AND($V$20="medial",$Y$20="Coast R. Andisol (A1)"),VLOOKUP($R10,LL,12,FALSE),"error"))))))</f>
      </c>
      <c r="U10" s="142">
        <f>IF($R10="","",IF(AND($R$20&lt;&gt;"andisols or andic subgroups",$R$20&lt;&gt;"vitrandic subgroups (no andic properties)"),"",IF($R$20="vitrandic subgroups (no andic properties)",VLOOKUP($R10,LL,4,FALSE),IF(AND($R$20="andisols or andic subgroups",$V$20="ashy"),VLOOKUP($R10,LL,7,FALSE),IF(AND($V$20="medial",$Y$20="airfall andisol (A3&amp;E43)"),VLOOKUP($R10,LL,10,FALSE),IF(AND($V$20="medial",$Y$20="Coast R. Andisol (A1)"),VLOOKUP($R10,LL,13,FALSE),"error"))))))</f>
      </c>
      <c r="V10" s="140">
        <f>IF(OR(Input!C28="",Input!$S28=""),"",IF(OR($R$20="andisols or andic subgroups",$R$20="vitrandic subgroups (no andic properties)"),"",IF(Input!C28&lt;10,"0",IF(Input!$S28="Montmorillonitic",VLOOKUP(Input!$C28,Montmorillonitic,2,TRUE),IF(Input!$S28="Mixed; 2:1",VLOOKUP(Input!C28,Twotoone,2,TRUE),IF(Input!$S28="Mixed; 1:1",VLOOKUP(Input!C28,Onetoone,2,TRUE),IF(Input!$S28="Kaolinitic",VLOOKUP(Input!C28,Kaolinitic,2,TRUE),"error")))))))</f>
      </c>
      <c r="W10" s="140">
        <f>IF(OR(Input!D28="",Input!$S28=""),"",IF(OR($R$20="andisols or andic subgroups",$R$20="vitrandic subgroups (no andic properties)"),"",IF(Input!D28&lt;10,5,IF(Input!$S28="Montmorillonitic",VLOOKUP(Input!D28,Montmorillonitic,2,TRUE),IF(Input!$S28="Mixed; 2:1",VLOOKUP(Input!D28,Twotoone,2,TRUE),IF(Input!$S28="Mixed; 1:1",VLOOKUP(Input!D28,Onetoone,2,TRUE),IF(Input!$S28="Kaolinitic",VLOOKUP(Input!D28,Kaolinitic,2,TRUE),"error")))))))</f>
      </c>
      <c r="X10" s="142">
        <f>IF(OR(Input!E28="",Input!$S28=""),"",IF(OR($R$20="andisols or andic subgroups",$R$20="vitrandic subgroups (no andic properties)"),"",IF(Input!E28&lt;10,10,IF(Input!$S28="Montmorillonitic",VLOOKUP(Input!E28,Montmorillonitic,2,TRUE),IF(Input!$S28="Mixed; 2:1",VLOOKUP(Input!E28,Twotoone,2,TRUE),IF(Input!$S28="Mixed; 1:1",VLOOKUP(Input!E28,Onetoone,2,TRUE),IF(Input!$S28="Kaolinitic",VLOOKUP(Input!E28,Kaolinitic,2,TRUE),"error")))))))</f>
      </c>
      <c r="Y10" s="140">
        <f t="shared" si="0"/>
      </c>
      <c r="Z10" s="140">
        <f t="shared" si="0"/>
      </c>
      <c r="AA10" s="142">
        <f t="shared" si="0"/>
      </c>
    </row>
    <row r="11" spans="1:27" ht="13.5" thickBot="1">
      <c r="A11">
        <v>24</v>
      </c>
      <c r="B11" s="124">
        <v>40</v>
      </c>
      <c r="C11" s="124">
        <v>20</v>
      </c>
      <c r="E11">
        <v>24</v>
      </c>
      <c r="F11" s="124">
        <v>34</v>
      </c>
      <c r="G11" s="124">
        <v>14</v>
      </c>
      <c r="I11">
        <v>24</v>
      </c>
      <c r="J11" s="124">
        <v>29</v>
      </c>
      <c r="K11" s="124">
        <v>10</v>
      </c>
      <c r="M11">
        <v>24</v>
      </c>
      <c r="N11" s="124">
        <v>30</v>
      </c>
      <c r="O11" s="124">
        <v>11</v>
      </c>
      <c r="Q11" s="374">
        <f>IF(Input!A16="","",Input!A16)</f>
      </c>
      <c r="R11" s="375">
        <f>IF(Input!E16="","",Input!E16)</f>
      </c>
      <c r="S11" s="147">
        <f>IF($R11="","",IF(AND($R$21&lt;&gt;"andisols or andic subgroups",$R$21&lt;&gt;"vitrandic subgroups (no andic properties)"),"",IF($R$21="vitrandic subgroups (no andic properties)",VLOOKUP($R11,LL,2,FALSE),IF(AND($R$21="andisols or andic subgroups",$V$21="ashy"),VLOOKUP($R11,LL,5,FALSE),IF(AND($V$21="medial",$Y$21="airfall andisol (A3&amp;E43)"),VLOOKUP($R11,LL,8,FALSE),IF(AND($V$21="medial",$Y$21="Coast R. Andisol (A1)"),VLOOKUP($R11,LL,11,FALSE),"error"))))))</f>
      </c>
      <c r="T11" s="148">
        <f>IF($R11="","",IF(AND($R$21&lt;&gt;"andisols or andic subgroups",$R$21&lt;&gt;"vitrandic subgroups (no andic properties)"),"",IF($R$21="vitrandic subgroups (no andic properties)",VLOOKUP($R11,LL,3,FALSE),IF(AND($R$21="andisols or andic subgroups",$V$21="ashy"),VLOOKUP($R11,LL,6,FALSE),IF(AND($V$21="medial",$Y$21="airfall andisol (A3&amp;E43)"),VLOOKUP($R11,LL,9,FALSE),IF(AND($V$21="medial",$Y$21="Coast R. Andisol (A1)"),VLOOKUP($R11,LL,12,FALSE),"error"))))))</f>
      </c>
      <c r="U11" s="149">
        <f>IF($R11="","",IF(AND($R$21&lt;&gt;"andisols or andic subgroups",$R$21&lt;&gt;"vitrandic subgroups (no andic properties)"),"",IF($R$21="vitrandic subgroups (no andic properties)",VLOOKUP($R11,LL,4,FALSE),IF(AND($R$21="andisols or andic subgroups",$V$21="ashy"),VLOOKUP($R11,LL,7,FALSE),IF(AND($V$21="medial",$Y$21="airfall andisol (A3&amp;E43)"),VLOOKUP($R11,LL,10,FALSE),IF(AND($V$21="medial",$Y$21="Coast R. Andisol (A1)"),VLOOKUP($R11,LL,13,FALSE),"error"))))))</f>
      </c>
      <c r="V11" s="148">
        <f>IF(OR(Input!C29="",Input!$S29=""),"",IF(OR($R$21="andisols or andic subgroups",$R$21="vitrandic subgroups (no andic properties)"),"",IF(Input!C29&lt;10,"0",IF(Input!$S29="Montmorillonitic",VLOOKUP(Input!$C29,Montmorillonitic,2,TRUE),IF(Input!$S29="Mixed; 2:1",VLOOKUP(Input!C29,Twotoone,2,TRUE),IF(Input!$S29="Mixed; 1:1",VLOOKUP(Input!C29,Onetoone,2,TRUE),IF(Input!$S29="Kaolinitic",VLOOKUP(Input!C29,Kaolinitic,2,TRUE),"error")))))))</f>
      </c>
      <c r="W11" s="148">
        <f>IF(OR(Input!D29="",Input!$S29=""),"",IF(OR($R$21="andisols or andic subgroups",$R$21="vitrandic subgroups (no andic properties)"),"",IF(Input!D29&lt;10,5,IF(Input!$S29="Montmorillonitic",VLOOKUP(Input!D29,Montmorillonitic,2,TRUE),IF(Input!$S29="Mixed; 2:1",VLOOKUP(Input!D29,Twotoone,2,TRUE),IF(Input!$S29="Mixed; 1:1",VLOOKUP(Input!D29,Onetoone,2,TRUE),IF(Input!$S29="Kaolinitic",VLOOKUP(Input!D29,Kaolinitic,2,TRUE),"error")))))))</f>
      </c>
      <c r="X11" s="149">
        <f>IF(OR(Input!E29="",Input!$S29=""),"",IF(OR($R$21="andisols or andic subgroups",$R$21="vitrandic subgroups (no andic properties)"),"",IF(Input!E29&lt;10,10,IF(Input!$S29="Montmorillonitic",VLOOKUP(Input!E29,Montmorillonitic,2,TRUE),IF(Input!$S29="Mixed; 2:1",VLOOKUP(Input!E29,Twotoone,2,TRUE),IF(Input!$S29="Mixed; 1:1",VLOOKUP(Input!E29,Onetoone,2,TRUE),IF(Input!$S29="Kaolinitic",VLOOKUP(Input!E29,Kaolinitic,2,TRUE),"error")))))))</f>
      </c>
      <c r="Y11" s="148">
        <f t="shared" si="0"/>
      </c>
      <c r="Z11" s="148">
        <f t="shared" si="0"/>
      </c>
      <c r="AA11" s="149">
        <f t="shared" si="0"/>
      </c>
    </row>
    <row r="12" spans="1:27" ht="12.75">
      <c r="A12">
        <v>26</v>
      </c>
      <c r="B12" s="124">
        <v>42</v>
      </c>
      <c r="C12" s="124">
        <v>22</v>
      </c>
      <c r="E12">
        <v>26</v>
      </c>
      <c r="F12" s="124">
        <v>35</v>
      </c>
      <c r="G12" s="124">
        <v>15</v>
      </c>
      <c r="I12">
        <v>26</v>
      </c>
      <c r="J12" s="124">
        <v>30</v>
      </c>
      <c r="K12" s="124">
        <v>11</v>
      </c>
      <c r="M12">
        <v>26</v>
      </c>
      <c r="N12" s="124">
        <v>31</v>
      </c>
      <c r="O12" s="124">
        <v>12</v>
      </c>
      <c r="R12" s="1144" t="s">
        <v>629</v>
      </c>
      <c r="S12" s="1144"/>
      <c r="T12" s="1144"/>
      <c r="U12" s="1144"/>
      <c r="V12" s="1144" t="s">
        <v>640</v>
      </c>
      <c r="W12" s="1144"/>
      <c r="X12" s="1144"/>
      <c r="Y12" s="1144" t="s">
        <v>501</v>
      </c>
      <c r="Z12" s="1144"/>
      <c r="AA12" s="1144"/>
    </row>
    <row r="13" spans="1:27" ht="12.75">
      <c r="A13">
        <v>28</v>
      </c>
      <c r="B13" s="124">
        <v>44</v>
      </c>
      <c r="C13" s="124">
        <v>23</v>
      </c>
      <c r="E13">
        <v>28</v>
      </c>
      <c r="F13" s="124">
        <v>37</v>
      </c>
      <c r="G13" s="124">
        <v>16</v>
      </c>
      <c r="I13">
        <v>28</v>
      </c>
      <c r="J13" s="124">
        <v>32</v>
      </c>
      <c r="K13" s="124">
        <v>12</v>
      </c>
      <c r="M13">
        <v>28</v>
      </c>
      <c r="N13" s="124">
        <v>33</v>
      </c>
      <c r="O13" s="124">
        <v>13</v>
      </c>
      <c r="R13" s="1049">
        <f>IF(Input!AR21="","",Input!AR21)</f>
      </c>
      <c r="S13" s="1049"/>
      <c r="T13" s="1049"/>
      <c r="U13" s="1049"/>
      <c r="V13" s="1049">
        <f>IF(Input!AR21&lt;&gt;"andisols or andic subgroups","",Input!AW21)</f>
      </c>
      <c r="W13" s="1049"/>
      <c r="X13" s="1049"/>
      <c r="Y13" s="1049">
        <f>IF(Input!AR21&lt;&gt;"andisols or andic subgroups","",Input!BB21)</f>
      </c>
      <c r="Z13" s="1049"/>
      <c r="AA13" s="1049"/>
    </row>
    <row r="14" spans="1:27" ht="12.75">
      <c r="A14">
        <v>30</v>
      </c>
      <c r="B14" s="124">
        <v>46</v>
      </c>
      <c r="C14" s="124">
        <v>25</v>
      </c>
      <c r="E14">
        <v>30</v>
      </c>
      <c r="F14" s="124">
        <v>39</v>
      </c>
      <c r="G14" s="124">
        <v>18</v>
      </c>
      <c r="I14">
        <v>30</v>
      </c>
      <c r="J14" s="124">
        <v>34</v>
      </c>
      <c r="K14" s="124">
        <v>13</v>
      </c>
      <c r="M14">
        <v>30</v>
      </c>
      <c r="N14" s="124">
        <v>35</v>
      </c>
      <c r="O14" s="124">
        <v>14</v>
      </c>
      <c r="R14" s="1143">
        <f>IF(Input!AR22="","",Input!AR22)</f>
      </c>
      <c r="S14" s="1143"/>
      <c r="T14" s="1143"/>
      <c r="U14" s="1143"/>
      <c r="V14" s="1143">
        <f>IF(Input!AR22&lt;&gt;"andisols or andic subgroups","",Input!AW22)</f>
      </c>
      <c r="W14" s="1143"/>
      <c r="X14" s="1143"/>
      <c r="Y14" s="1049">
        <f>IF(Input!AR22&lt;&gt;"andisols or andic subgroups","",Input!BB22)</f>
      </c>
      <c r="Z14" s="1049"/>
      <c r="AA14" s="1049"/>
    </row>
    <row r="15" spans="1:27" ht="12.75">
      <c r="A15">
        <v>32</v>
      </c>
      <c r="B15" s="124">
        <v>48</v>
      </c>
      <c r="C15" s="124">
        <v>27</v>
      </c>
      <c r="E15">
        <v>32</v>
      </c>
      <c r="F15" s="124">
        <v>41</v>
      </c>
      <c r="G15" s="124">
        <v>20</v>
      </c>
      <c r="I15">
        <v>32</v>
      </c>
      <c r="J15" s="124">
        <v>36</v>
      </c>
      <c r="K15" s="124">
        <v>14</v>
      </c>
      <c r="M15">
        <v>32</v>
      </c>
      <c r="N15" s="124">
        <v>37</v>
      </c>
      <c r="O15" s="124">
        <v>15</v>
      </c>
      <c r="R15" s="1049">
        <f>IF(Input!AR23="","",Input!AR23)</f>
      </c>
      <c r="S15" s="1049"/>
      <c r="T15" s="1049"/>
      <c r="U15" s="1049"/>
      <c r="V15" s="1049">
        <f>IF(Input!AR23&lt;&gt;"andisols or andic subgroups","",Input!AW23)</f>
      </c>
      <c r="W15" s="1049"/>
      <c r="X15" s="1049"/>
      <c r="Y15" s="1049">
        <f>IF(Input!AR23&lt;&gt;"andisols or andic subgroups","",Input!BB23)</f>
      </c>
      <c r="Z15" s="1049"/>
      <c r="AA15" s="1049"/>
    </row>
    <row r="16" spans="1:27" ht="12.75" customHeight="1">
      <c r="A16">
        <v>34</v>
      </c>
      <c r="B16" s="124">
        <v>50</v>
      </c>
      <c r="C16" s="124">
        <v>28</v>
      </c>
      <c r="E16">
        <v>34</v>
      </c>
      <c r="F16" s="124">
        <v>43</v>
      </c>
      <c r="G16" s="124">
        <v>21</v>
      </c>
      <c r="I16">
        <v>34</v>
      </c>
      <c r="J16" s="124">
        <v>38</v>
      </c>
      <c r="K16" s="124">
        <v>15</v>
      </c>
      <c r="M16">
        <v>34</v>
      </c>
      <c r="N16" s="124">
        <v>39</v>
      </c>
      <c r="O16" s="124">
        <v>16</v>
      </c>
      <c r="R16" s="1049">
        <f>IF(Input!AR24="","",Input!AR24)</f>
      </c>
      <c r="S16" s="1049"/>
      <c r="T16" s="1049"/>
      <c r="U16" s="1049"/>
      <c r="V16" s="1049">
        <f>IF(Input!AR24&lt;&gt;"andisols or andic subgroups","",Input!AW24)</f>
      </c>
      <c r="W16" s="1049"/>
      <c r="X16" s="1049"/>
      <c r="Y16" s="1049">
        <f>IF(Input!AR24&lt;&gt;"andisols or andic subgroups","",Input!BB24)</f>
      </c>
      <c r="Z16" s="1049"/>
      <c r="AA16" s="1049"/>
    </row>
    <row r="17" spans="1:27" ht="12.75">
      <c r="A17">
        <v>36</v>
      </c>
      <c r="B17" s="124">
        <v>52</v>
      </c>
      <c r="C17" s="124">
        <v>30</v>
      </c>
      <c r="E17">
        <v>36</v>
      </c>
      <c r="F17" s="124">
        <v>44</v>
      </c>
      <c r="G17" s="124">
        <v>22</v>
      </c>
      <c r="I17">
        <v>36</v>
      </c>
      <c r="J17" s="124">
        <v>39</v>
      </c>
      <c r="K17" s="124">
        <v>16</v>
      </c>
      <c r="M17">
        <v>36</v>
      </c>
      <c r="N17" s="124">
        <v>40</v>
      </c>
      <c r="O17" s="124">
        <v>17</v>
      </c>
      <c r="R17" s="1049">
        <f>IF(Input!AR25="","",Input!AR25)</f>
      </c>
      <c r="S17" s="1049"/>
      <c r="T17" s="1049"/>
      <c r="U17" s="1049"/>
      <c r="V17" s="1049">
        <f>IF(Input!AR25&lt;&gt;"andisols or andic subgroups","",Input!AW25)</f>
      </c>
      <c r="W17" s="1049"/>
      <c r="X17" s="1049"/>
      <c r="Y17" s="1049">
        <f>IF(Input!AR25&lt;&gt;"andisols or andic subgroups","",Input!BB25)</f>
      </c>
      <c r="Z17" s="1049"/>
      <c r="AA17" s="1049"/>
    </row>
    <row r="18" spans="1:27" ht="12.75">
      <c r="A18">
        <v>38</v>
      </c>
      <c r="B18" s="124">
        <v>54</v>
      </c>
      <c r="C18" s="124">
        <v>31</v>
      </c>
      <c r="E18">
        <v>38</v>
      </c>
      <c r="F18" s="124">
        <v>46</v>
      </c>
      <c r="G18" s="124">
        <v>23</v>
      </c>
      <c r="I18">
        <v>38</v>
      </c>
      <c r="J18" s="124">
        <v>41</v>
      </c>
      <c r="K18" s="124">
        <v>17</v>
      </c>
      <c r="M18">
        <v>38</v>
      </c>
      <c r="N18" s="124">
        <v>42</v>
      </c>
      <c r="O18" s="124">
        <v>18</v>
      </c>
      <c r="R18" s="1049">
        <f>IF(Input!AR26="","",Input!AR26)</f>
      </c>
      <c r="S18" s="1049"/>
      <c r="T18" s="1049"/>
      <c r="U18" s="1049"/>
      <c r="V18" s="1049">
        <f>IF(Input!AR26&lt;&gt;"andisols or andic subgroups","",Input!AW26)</f>
      </c>
      <c r="W18" s="1049"/>
      <c r="X18" s="1049"/>
      <c r="Y18" s="1049">
        <f>IF(Input!AR26&lt;&gt;"andisols or andic subgroups","",Input!BB26)</f>
      </c>
      <c r="Z18" s="1049"/>
      <c r="AA18" s="1049"/>
    </row>
    <row r="19" spans="1:27" ht="12.75">
      <c r="A19">
        <v>40</v>
      </c>
      <c r="B19" s="124">
        <v>56</v>
      </c>
      <c r="C19" s="124">
        <v>33</v>
      </c>
      <c r="E19">
        <v>40</v>
      </c>
      <c r="F19" s="124">
        <v>48</v>
      </c>
      <c r="G19" s="124">
        <v>25</v>
      </c>
      <c r="I19">
        <v>40</v>
      </c>
      <c r="J19" s="124">
        <v>43</v>
      </c>
      <c r="K19" s="124">
        <v>18</v>
      </c>
      <c r="M19">
        <v>40</v>
      </c>
      <c r="N19" s="124">
        <v>44</v>
      </c>
      <c r="O19" s="124">
        <v>19</v>
      </c>
      <c r="R19" s="1049">
        <f>IF(Input!AR27="","",Input!AR27)</f>
      </c>
      <c r="S19" s="1049"/>
      <c r="T19" s="1049"/>
      <c r="U19" s="1049"/>
      <c r="V19" s="1049">
        <f>IF(Input!AR27&lt;&gt;"andisols or andic subgroups","",Input!AW27)</f>
      </c>
      <c r="W19" s="1049"/>
      <c r="X19" s="1049"/>
      <c r="Y19" s="1049">
        <f>IF(Input!AR27&lt;&gt;"andisols or andic subgroups","",Input!BB27)</f>
      </c>
      <c r="Z19" s="1049"/>
      <c r="AA19" s="1049"/>
    </row>
    <row r="20" spans="1:27" ht="12.75">
      <c r="A20">
        <v>42</v>
      </c>
      <c r="B20" s="124">
        <v>58</v>
      </c>
      <c r="C20" s="124">
        <v>35</v>
      </c>
      <c r="E20">
        <v>42</v>
      </c>
      <c r="F20" s="124">
        <v>50</v>
      </c>
      <c r="G20" s="124">
        <v>27</v>
      </c>
      <c r="I20">
        <v>42</v>
      </c>
      <c r="J20" s="124">
        <v>45</v>
      </c>
      <c r="K20" s="124">
        <v>19</v>
      </c>
      <c r="M20">
        <v>42</v>
      </c>
      <c r="N20" s="124">
        <v>46</v>
      </c>
      <c r="O20" s="124">
        <v>20</v>
      </c>
      <c r="R20" s="1049">
        <f>IF(Input!AR28="","",Input!AR28)</f>
      </c>
      <c r="S20" s="1049"/>
      <c r="T20" s="1049"/>
      <c r="U20" s="1049"/>
      <c r="V20" s="1049">
        <f>IF(Input!AR28&lt;&gt;"andisols or andic subgroups","",Input!AW28)</f>
      </c>
      <c r="W20" s="1049"/>
      <c r="X20" s="1049"/>
      <c r="Y20" s="1049">
        <f>IF(Input!AR28&lt;&gt;"andisols or andic subgroups","",Input!BB28)</f>
      </c>
      <c r="Z20" s="1049"/>
      <c r="AA20" s="1049"/>
    </row>
    <row r="21" spans="1:27" ht="12.75">
      <c r="A21">
        <v>44</v>
      </c>
      <c r="B21" s="124">
        <v>60</v>
      </c>
      <c r="C21" s="124">
        <v>36</v>
      </c>
      <c r="E21">
        <v>44</v>
      </c>
      <c r="F21" s="124">
        <v>52</v>
      </c>
      <c r="G21" s="124">
        <v>28</v>
      </c>
      <c r="I21">
        <v>44</v>
      </c>
      <c r="J21" s="124">
        <v>47</v>
      </c>
      <c r="K21" s="124">
        <v>20</v>
      </c>
      <c r="M21">
        <v>44</v>
      </c>
      <c r="N21" s="124">
        <v>48</v>
      </c>
      <c r="O21" s="124">
        <v>21</v>
      </c>
      <c r="R21" s="1049">
        <f>IF(Input!AR29="","",Input!AR29)</f>
      </c>
      <c r="S21" s="1049"/>
      <c r="T21" s="1049"/>
      <c r="U21" s="1049"/>
      <c r="V21" s="1049">
        <f>IF(Input!AR29&lt;&gt;"andisols or andic subgroups","",Input!AW29)</f>
      </c>
      <c r="W21" s="1049"/>
      <c r="X21" s="1049"/>
      <c r="Y21" s="1049">
        <f>IF(Input!AR29&lt;&gt;"andisols or andic subgroups","",Input!BB29)</f>
      </c>
      <c r="Z21" s="1049"/>
      <c r="AA21" s="1049"/>
    </row>
    <row r="22" spans="1:15" ht="12.75">
      <c r="A22">
        <v>46</v>
      </c>
      <c r="B22" s="124">
        <v>62</v>
      </c>
      <c r="C22" s="124">
        <v>38</v>
      </c>
      <c r="E22">
        <v>46</v>
      </c>
      <c r="F22" s="124">
        <v>53</v>
      </c>
      <c r="G22" s="124">
        <v>29</v>
      </c>
      <c r="I22">
        <v>46</v>
      </c>
      <c r="J22" s="124">
        <v>48</v>
      </c>
      <c r="K22" s="124">
        <v>21</v>
      </c>
      <c r="M22">
        <v>46</v>
      </c>
      <c r="N22" s="124">
        <v>50</v>
      </c>
      <c r="O22" s="124">
        <v>22</v>
      </c>
    </row>
    <row r="23" spans="1:15" ht="13.5" thickBot="1">
      <c r="A23">
        <v>48</v>
      </c>
      <c r="B23" s="124">
        <v>64</v>
      </c>
      <c r="C23" s="124">
        <v>39</v>
      </c>
      <c r="E23">
        <v>48</v>
      </c>
      <c r="F23" s="124">
        <v>55</v>
      </c>
      <c r="G23" s="124">
        <v>30</v>
      </c>
      <c r="I23">
        <v>48</v>
      </c>
      <c r="J23" s="124">
        <v>50</v>
      </c>
      <c r="K23" s="124">
        <v>22</v>
      </c>
      <c r="M23">
        <v>48</v>
      </c>
      <c r="N23" s="124">
        <v>52</v>
      </c>
      <c r="O23" s="124">
        <v>23</v>
      </c>
    </row>
    <row r="24" spans="1:30" ht="12.75">
      <c r="A24">
        <v>50</v>
      </c>
      <c r="B24" s="124">
        <v>66</v>
      </c>
      <c r="C24" s="124">
        <v>41</v>
      </c>
      <c r="E24">
        <v>50</v>
      </c>
      <c r="F24" s="124">
        <v>57</v>
      </c>
      <c r="G24" s="124">
        <v>32</v>
      </c>
      <c r="I24">
        <v>50</v>
      </c>
      <c r="J24" s="124">
        <v>52</v>
      </c>
      <c r="K24" s="124">
        <v>23</v>
      </c>
      <c r="M24">
        <v>50</v>
      </c>
      <c r="N24" s="124">
        <v>54</v>
      </c>
      <c r="O24" s="124">
        <v>24</v>
      </c>
      <c r="Q24" t="s">
        <v>495</v>
      </c>
      <c r="S24" s="1052" t="s">
        <v>500</v>
      </c>
      <c r="T24" s="1053"/>
      <c r="U24" s="1053"/>
      <c r="V24" s="1053" t="s">
        <v>502</v>
      </c>
      <c r="W24" s="1053"/>
      <c r="X24" s="1053"/>
      <c r="Y24" s="372" t="s">
        <v>503</v>
      </c>
      <c r="Z24" s="372"/>
      <c r="AA24" s="372"/>
      <c r="AB24" s="1053" t="s">
        <v>504</v>
      </c>
      <c r="AC24" s="1053"/>
      <c r="AD24" s="1054"/>
    </row>
    <row r="25" spans="1:30" ht="13.5" thickBot="1">
      <c r="A25">
        <v>52</v>
      </c>
      <c r="B25" s="124">
        <v>68</v>
      </c>
      <c r="C25" s="124">
        <v>43</v>
      </c>
      <c r="E25">
        <v>52</v>
      </c>
      <c r="F25" s="124">
        <v>59</v>
      </c>
      <c r="G25" s="124">
        <v>34</v>
      </c>
      <c r="I25">
        <v>52</v>
      </c>
      <c r="J25" s="124">
        <v>54</v>
      </c>
      <c r="K25" s="124">
        <v>24</v>
      </c>
      <c r="M25">
        <v>52</v>
      </c>
      <c r="N25" s="124">
        <v>56</v>
      </c>
      <c r="O25" s="124">
        <v>25</v>
      </c>
      <c r="S25" s="141" t="s">
        <v>578</v>
      </c>
      <c r="T25" s="140" t="s">
        <v>579</v>
      </c>
      <c r="U25" s="140" t="s">
        <v>580</v>
      </c>
      <c r="V25" s="376" t="s">
        <v>578</v>
      </c>
      <c r="W25" s="140" t="s">
        <v>579</v>
      </c>
      <c r="X25" s="140" t="s">
        <v>580</v>
      </c>
      <c r="Y25" s="376" t="s">
        <v>578</v>
      </c>
      <c r="Z25" s="140" t="s">
        <v>579</v>
      </c>
      <c r="AA25" s="140" t="s">
        <v>580</v>
      </c>
      <c r="AB25" s="376" t="s">
        <v>578</v>
      </c>
      <c r="AC25" s="140" t="s">
        <v>579</v>
      </c>
      <c r="AD25" s="142" t="s">
        <v>580</v>
      </c>
    </row>
    <row r="26" spans="1:30" ht="12.75">
      <c r="A26">
        <v>54</v>
      </c>
      <c r="B26" s="124">
        <v>70</v>
      </c>
      <c r="C26" s="124">
        <v>44</v>
      </c>
      <c r="E26">
        <v>54</v>
      </c>
      <c r="F26" s="124">
        <v>61</v>
      </c>
      <c r="G26" s="124">
        <v>35</v>
      </c>
      <c r="I26">
        <v>54</v>
      </c>
      <c r="J26" s="124">
        <v>56</v>
      </c>
      <c r="K26" s="124">
        <v>25</v>
      </c>
      <c r="M26">
        <v>54</v>
      </c>
      <c r="N26" s="124">
        <v>58</v>
      </c>
      <c r="O26" s="124">
        <v>26</v>
      </c>
      <c r="R26" s="138" t="s">
        <v>540</v>
      </c>
      <c r="S26" s="127" t="s">
        <v>854</v>
      </c>
      <c r="T26" s="128" t="s">
        <v>854</v>
      </c>
      <c r="U26" s="128" t="s">
        <v>854</v>
      </c>
      <c r="V26" s="128" t="s">
        <v>854</v>
      </c>
      <c r="W26" s="128" t="s">
        <v>854</v>
      </c>
      <c r="X26" s="128" t="s">
        <v>854</v>
      </c>
      <c r="Y26" s="128" t="s">
        <v>854</v>
      </c>
      <c r="Z26" s="128" t="s">
        <v>854</v>
      </c>
      <c r="AA26" s="128" t="s">
        <v>854</v>
      </c>
      <c r="AB26" s="128" t="s">
        <v>854</v>
      </c>
      <c r="AC26" s="128" t="s">
        <v>854</v>
      </c>
      <c r="AD26" s="129" t="s">
        <v>854</v>
      </c>
    </row>
    <row r="27" spans="1:30" ht="12.75">
      <c r="A27">
        <v>56</v>
      </c>
      <c r="B27" s="124">
        <v>72</v>
      </c>
      <c r="C27" s="124">
        <v>46</v>
      </c>
      <c r="E27">
        <v>56</v>
      </c>
      <c r="F27" s="124">
        <v>62</v>
      </c>
      <c r="G27" s="124">
        <v>36</v>
      </c>
      <c r="I27">
        <v>56</v>
      </c>
      <c r="J27" s="124">
        <v>57</v>
      </c>
      <c r="K27" s="124">
        <v>26</v>
      </c>
      <c r="M27">
        <v>56</v>
      </c>
      <c r="N27" s="124">
        <v>59</v>
      </c>
      <c r="O27" s="124">
        <v>27</v>
      </c>
      <c r="R27" s="143" t="s">
        <v>546</v>
      </c>
      <c r="S27" s="141">
        <v>25</v>
      </c>
      <c r="T27" s="140">
        <v>32</v>
      </c>
      <c r="U27" s="140">
        <v>40</v>
      </c>
      <c r="V27" s="140">
        <v>30</v>
      </c>
      <c r="W27" s="140">
        <v>40</v>
      </c>
      <c r="X27" s="140">
        <v>50</v>
      </c>
      <c r="Y27" s="140">
        <v>35</v>
      </c>
      <c r="Z27" s="140">
        <v>45</v>
      </c>
      <c r="AA27" s="140">
        <v>55</v>
      </c>
      <c r="AB27" s="140">
        <v>50</v>
      </c>
      <c r="AC27" s="140">
        <v>55</v>
      </c>
      <c r="AD27" s="142">
        <v>60</v>
      </c>
    </row>
    <row r="28" spans="1:30" ht="12.75">
      <c r="A28">
        <v>58</v>
      </c>
      <c r="B28" s="124">
        <v>74</v>
      </c>
      <c r="C28" s="124">
        <v>47</v>
      </c>
      <c r="E28">
        <v>58</v>
      </c>
      <c r="F28" s="124">
        <v>64</v>
      </c>
      <c r="G28" s="124">
        <v>37</v>
      </c>
      <c r="I28">
        <v>58</v>
      </c>
      <c r="J28" s="124">
        <v>59</v>
      </c>
      <c r="K28" s="124">
        <v>27</v>
      </c>
      <c r="M28">
        <v>58</v>
      </c>
      <c r="N28" s="124">
        <v>61</v>
      </c>
      <c r="O28" s="124">
        <v>29</v>
      </c>
      <c r="R28" s="143" t="s">
        <v>552</v>
      </c>
      <c r="S28" s="141">
        <v>0</v>
      </c>
      <c r="T28" s="140">
        <v>5</v>
      </c>
      <c r="U28" s="140">
        <v>10</v>
      </c>
      <c r="V28" s="140">
        <v>0</v>
      </c>
      <c r="W28" s="140">
        <v>5</v>
      </c>
      <c r="X28" s="140">
        <v>10</v>
      </c>
      <c r="Y28" s="140" t="s">
        <v>854</v>
      </c>
      <c r="Z28" s="140" t="s">
        <v>854</v>
      </c>
      <c r="AA28" s="140" t="s">
        <v>854</v>
      </c>
      <c r="AB28" s="140" t="s">
        <v>854</v>
      </c>
      <c r="AC28" s="140" t="s">
        <v>854</v>
      </c>
      <c r="AD28" s="142" t="s">
        <v>854</v>
      </c>
    </row>
    <row r="29" spans="1:30" ht="12.75">
      <c r="A29">
        <v>60</v>
      </c>
      <c r="B29" s="124">
        <v>76</v>
      </c>
      <c r="C29" s="124">
        <v>49</v>
      </c>
      <c r="E29">
        <v>60</v>
      </c>
      <c r="F29" s="124">
        <v>66</v>
      </c>
      <c r="G29" s="124">
        <v>39</v>
      </c>
      <c r="I29">
        <v>60</v>
      </c>
      <c r="J29" s="124">
        <v>61</v>
      </c>
      <c r="K29" s="124">
        <v>28</v>
      </c>
      <c r="M29">
        <v>60</v>
      </c>
      <c r="N29" s="124">
        <v>63</v>
      </c>
      <c r="O29" s="124">
        <v>30</v>
      </c>
      <c r="R29" s="143" t="s">
        <v>572</v>
      </c>
      <c r="S29" s="141">
        <v>10</v>
      </c>
      <c r="T29" s="140">
        <v>18</v>
      </c>
      <c r="U29" s="140">
        <v>25</v>
      </c>
      <c r="V29" s="140">
        <v>15</v>
      </c>
      <c r="W29" s="140">
        <v>22</v>
      </c>
      <c r="X29" s="140">
        <v>30</v>
      </c>
      <c r="Y29" s="140">
        <v>20</v>
      </c>
      <c r="Z29" s="140">
        <v>30</v>
      </c>
      <c r="AA29" s="140">
        <v>40</v>
      </c>
      <c r="AB29" s="140">
        <v>40</v>
      </c>
      <c r="AC29" s="140">
        <v>45</v>
      </c>
      <c r="AD29" s="142">
        <v>50</v>
      </c>
    </row>
    <row r="30" spans="18:30" ht="12.75">
      <c r="R30" s="143" t="s">
        <v>587</v>
      </c>
      <c r="S30" s="141">
        <v>0</v>
      </c>
      <c r="T30" s="140">
        <v>5</v>
      </c>
      <c r="U30" s="140">
        <v>10</v>
      </c>
      <c r="V30" s="140">
        <v>0</v>
      </c>
      <c r="W30" s="140">
        <v>5</v>
      </c>
      <c r="X30" s="140">
        <v>10</v>
      </c>
      <c r="Y30" s="140" t="s">
        <v>854</v>
      </c>
      <c r="Z30" s="140" t="s">
        <v>854</v>
      </c>
      <c r="AA30" s="140" t="s">
        <v>854</v>
      </c>
      <c r="AB30" s="140" t="s">
        <v>854</v>
      </c>
      <c r="AC30" s="140" t="s">
        <v>854</v>
      </c>
      <c r="AD30" s="142" t="s">
        <v>854</v>
      </c>
    </row>
    <row r="31" spans="18:30" ht="12.75">
      <c r="R31" s="143" t="s">
        <v>591</v>
      </c>
      <c r="S31" s="141">
        <v>15</v>
      </c>
      <c r="T31" s="140">
        <v>22</v>
      </c>
      <c r="U31" s="140">
        <v>30</v>
      </c>
      <c r="V31" s="140">
        <v>20</v>
      </c>
      <c r="W31" s="140">
        <v>30</v>
      </c>
      <c r="X31" s="140">
        <v>40</v>
      </c>
      <c r="Y31" s="140">
        <v>25</v>
      </c>
      <c r="Z31" s="140">
        <v>35</v>
      </c>
      <c r="AA31" s="140">
        <v>45</v>
      </c>
      <c r="AB31" s="140">
        <v>45</v>
      </c>
      <c r="AC31" s="140">
        <v>50</v>
      </c>
      <c r="AD31" s="142">
        <v>55</v>
      </c>
    </row>
    <row r="32" spans="4:30" ht="12.75">
      <c r="D32" t="s">
        <v>574</v>
      </c>
      <c r="E32" s="124" t="s">
        <v>578</v>
      </c>
      <c r="F32" s="124" t="s">
        <v>579</v>
      </c>
      <c r="G32" t="s">
        <v>580</v>
      </c>
      <c r="R32" s="143" t="s">
        <v>578</v>
      </c>
      <c r="S32" s="141">
        <v>20</v>
      </c>
      <c r="T32" s="140">
        <v>27</v>
      </c>
      <c r="U32" s="140">
        <v>35</v>
      </c>
      <c r="V32" s="140">
        <v>25</v>
      </c>
      <c r="W32" s="140">
        <v>32</v>
      </c>
      <c r="X32" s="140">
        <v>40</v>
      </c>
      <c r="Y32" s="140">
        <v>30</v>
      </c>
      <c r="Z32" s="140">
        <v>40</v>
      </c>
      <c r="AA32" s="140">
        <v>50</v>
      </c>
      <c r="AB32" s="140">
        <v>50</v>
      </c>
      <c r="AC32" s="140">
        <v>55</v>
      </c>
      <c r="AD32" s="142">
        <v>60</v>
      </c>
    </row>
    <row r="33" spans="1:30" ht="12.75">
      <c r="A33" s="163" t="s">
        <v>430</v>
      </c>
      <c r="D33" s="496">
        <f>IF(Input!A8="","",Input!A8)</f>
      </c>
      <c r="E33" s="124" t="str">
        <f>IF(Input!AR21="vitrandic subgroups (no andic properties)",0,IF(Input!AR21="andisols or andic subgroups",0,"NA"))</f>
        <v>NA</v>
      </c>
      <c r="F33" s="124" t="str">
        <f>IF(Input!AR21="vitrandic subgroups (no andic properties)",5,IF(Input!AR21="andisols or andic subgroups",3,"NA"))</f>
        <v>NA</v>
      </c>
      <c r="G33" s="124" t="str">
        <f>IF(Input!AR21="vitrandic subgroups (no andic properties)",10,IF(Input!AR21="andisols or andic subgroups",5,"NA"))</f>
        <v>NA</v>
      </c>
      <c r="R33" s="143" t="s">
        <v>596</v>
      </c>
      <c r="S33" s="141">
        <v>10</v>
      </c>
      <c r="T33" s="140">
        <v>17</v>
      </c>
      <c r="U33" s="140">
        <v>25</v>
      </c>
      <c r="V33" s="140">
        <v>10</v>
      </c>
      <c r="W33" s="140">
        <v>17</v>
      </c>
      <c r="X33" s="140">
        <v>25</v>
      </c>
      <c r="Y33" s="140" t="s">
        <v>854</v>
      </c>
      <c r="Z33" s="140" t="s">
        <v>854</v>
      </c>
      <c r="AA33" s="140" t="s">
        <v>854</v>
      </c>
      <c r="AB33" s="140" t="s">
        <v>854</v>
      </c>
      <c r="AC33" s="140" t="s">
        <v>854</v>
      </c>
      <c r="AD33" s="142" t="s">
        <v>854</v>
      </c>
    </row>
    <row r="34" spans="4:30" ht="12.75">
      <c r="D34" s="496">
        <f>IF(Input!A9="","",Input!A9)</f>
      </c>
      <c r="E34" s="124" t="str">
        <f>IF(Input!AR22="vitrandic subgroups (no andic properties)",0,IF(Input!AR22="andisols or andic subgroups",0,"NA"))</f>
        <v>NA</v>
      </c>
      <c r="F34" s="124" t="str">
        <f>IF(Input!AR22="vitrandic subgroups (no andic properties)",5,IF(Input!AR22="andisols or andic subgroups",3,"NA"))</f>
        <v>NA</v>
      </c>
      <c r="G34" s="124" t="str">
        <f>IF(Input!AR22="vitrandic subgroups (no andic properties)",10,IF(Input!AR22="andisols or andic subgroups",5,"NA"))</f>
        <v>NA</v>
      </c>
      <c r="R34" s="143" t="s">
        <v>598</v>
      </c>
      <c r="S34" s="141">
        <v>10</v>
      </c>
      <c r="T34" s="140">
        <v>17</v>
      </c>
      <c r="U34" s="140">
        <v>25</v>
      </c>
      <c r="V34" s="140">
        <v>10</v>
      </c>
      <c r="W34" s="140">
        <v>17</v>
      </c>
      <c r="X34" s="140">
        <v>25</v>
      </c>
      <c r="Y34" s="140" t="s">
        <v>854</v>
      </c>
      <c r="Z34" s="140" t="s">
        <v>854</v>
      </c>
      <c r="AA34" s="140" t="s">
        <v>854</v>
      </c>
      <c r="AB34" s="140" t="s">
        <v>854</v>
      </c>
      <c r="AC34" s="140" t="s">
        <v>854</v>
      </c>
      <c r="AD34" s="142" t="s">
        <v>854</v>
      </c>
    </row>
    <row r="35" spans="4:30" ht="12.75">
      <c r="D35" s="496">
        <f>IF(Input!A10="","",Input!A10)</f>
      </c>
      <c r="E35" s="124" t="str">
        <f>IF(Input!AR23="vitrandic subgroups (no andic properties)",0,IF(Input!AR23="andisols or andic subgroups",0,"NA"))</f>
        <v>NA</v>
      </c>
      <c r="F35" s="124" t="str">
        <f>IF(Input!AR23="vitrandic subgroups (no andic properties)",5,IF(Input!AR23="andisols or andic subgroups",3,"NA"))</f>
        <v>NA</v>
      </c>
      <c r="G35" s="124" t="str">
        <f>IF(Input!AR23="vitrandic subgroups (no andic properties)",10,IF(Input!AR23="andisols or andic subgroups",5,"NA"))</f>
        <v>NA</v>
      </c>
      <c r="R35" s="143" t="s">
        <v>600</v>
      </c>
      <c r="S35" s="141">
        <v>10</v>
      </c>
      <c r="T35" s="140">
        <v>17</v>
      </c>
      <c r="U35" s="140">
        <v>25</v>
      </c>
      <c r="V35" s="377">
        <v>10</v>
      </c>
      <c r="W35" s="377">
        <v>17</v>
      </c>
      <c r="X35" s="377">
        <v>25</v>
      </c>
      <c r="Y35" s="377" t="s">
        <v>854</v>
      </c>
      <c r="Z35" s="140" t="s">
        <v>854</v>
      </c>
      <c r="AA35" s="377" t="s">
        <v>854</v>
      </c>
      <c r="AB35" s="140" t="s">
        <v>854</v>
      </c>
      <c r="AC35" s="140" t="s">
        <v>854</v>
      </c>
      <c r="AD35" s="142" t="s">
        <v>854</v>
      </c>
    </row>
    <row r="36" spans="4:30" ht="12.75">
      <c r="D36" s="496">
        <f>IF(Input!A11="","",Input!A11)</f>
      </c>
      <c r="E36" s="124" t="str">
        <f>IF(Input!AR24="vitrandic subgroups (no andic properties)",0,IF(Input!AR24="andisols or andic subgroups",0,"NA"))</f>
        <v>NA</v>
      </c>
      <c r="F36" s="124" t="str">
        <f>IF(Input!AR24="vitrandic subgroups (no andic properties)",5,IF(Input!AR24="andisols or andic subgroups",3,"NA"))</f>
        <v>NA</v>
      </c>
      <c r="G36" s="124" t="str">
        <f>IF(Input!AR24="vitrandic subgroups (no andic properties)",10,IF(Input!AR24="andisols or andic subgroups",5,"NA"))</f>
        <v>NA</v>
      </c>
      <c r="R36" s="143" t="s">
        <v>602</v>
      </c>
      <c r="S36" s="141">
        <v>10</v>
      </c>
      <c r="T36" s="140">
        <v>17</v>
      </c>
      <c r="U36" s="140">
        <v>25</v>
      </c>
      <c r="V36" s="140">
        <v>10</v>
      </c>
      <c r="W36" s="140">
        <v>17</v>
      </c>
      <c r="X36" s="140">
        <v>25</v>
      </c>
      <c r="Y36" s="140" t="s">
        <v>854</v>
      </c>
      <c r="Z36" s="140" t="s">
        <v>854</v>
      </c>
      <c r="AA36" s="140" t="s">
        <v>854</v>
      </c>
      <c r="AB36" s="140" t="s">
        <v>854</v>
      </c>
      <c r="AC36" s="140" t="s">
        <v>854</v>
      </c>
      <c r="AD36" s="142" t="s">
        <v>854</v>
      </c>
    </row>
    <row r="37" spans="4:30" ht="12.75">
      <c r="D37" s="496">
        <f>IF(Input!A12="","",Input!A12)</f>
      </c>
      <c r="E37" s="124" t="str">
        <f>IF(Input!AR25="vitrandic subgroups (no andic properties)",0,IF(Input!AR25="andisols or andic subgroups",0,"NA"))</f>
        <v>NA</v>
      </c>
      <c r="F37" s="124" t="str">
        <f>IF(Input!AR25="vitrandic subgroups (no andic properties)",5,IF(Input!AR25="andisols or andic subgroups",3,"NA"))</f>
        <v>NA</v>
      </c>
      <c r="G37" s="124" t="str">
        <f>IF(Input!AR25="vitrandic subgroups (no andic properties)",10,IF(Input!AR25="andisols or andic subgroups",5,"NA"))</f>
        <v>NA</v>
      </c>
      <c r="R37" s="143" t="s">
        <v>604</v>
      </c>
      <c r="S37" s="141">
        <v>0</v>
      </c>
      <c r="T37" s="140">
        <v>5</v>
      </c>
      <c r="U37" s="140">
        <v>10</v>
      </c>
      <c r="V37" s="140">
        <v>0</v>
      </c>
      <c r="W37" s="140">
        <v>5</v>
      </c>
      <c r="X37" s="140">
        <v>10</v>
      </c>
      <c r="Y37" s="140" t="s">
        <v>854</v>
      </c>
      <c r="Z37" s="140" t="s">
        <v>854</v>
      </c>
      <c r="AA37" s="140" t="s">
        <v>854</v>
      </c>
      <c r="AB37" s="140" t="s">
        <v>854</v>
      </c>
      <c r="AC37" s="140" t="s">
        <v>854</v>
      </c>
      <c r="AD37" s="142" t="s">
        <v>854</v>
      </c>
    </row>
    <row r="38" spans="4:30" ht="12.75">
      <c r="D38" s="496">
        <f>IF(Input!A13="","",Input!A13)</f>
      </c>
      <c r="E38" s="124" t="str">
        <f>IF(Input!AR26="vitrandic subgroups (no andic properties)",0,IF(Input!AR26="andisols or andic subgroups",0,"NA"))</f>
        <v>NA</v>
      </c>
      <c r="F38" s="124" t="str">
        <f>IF(Input!AR26="vitrandic subgroups (no andic properties)",5,IF(Input!AR26="andisols or andic subgroups",3,"NA"))</f>
        <v>NA</v>
      </c>
      <c r="G38" s="124" t="str">
        <f>IF(Input!AR26="vitrandic subgroups (no andic properties)",10,IF(Input!AR26="andisols or andic subgroups",5,"NA"))</f>
        <v>NA</v>
      </c>
      <c r="R38" s="143" t="s">
        <v>606</v>
      </c>
      <c r="S38" s="141">
        <v>40</v>
      </c>
      <c r="T38" s="140">
        <v>50</v>
      </c>
      <c r="U38" s="140">
        <v>60</v>
      </c>
      <c r="V38" s="140">
        <v>40</v>
      </c>
      <c r="W38" s="140">
        <v>50</v>
      </c>
      <c r="X38" s="140">
        <v>60</v>
      </c>
      <c r="Y38" s="140" t="s">
        <v>854</v>
      </c>
      <c r="Z38" s="140" t="s">
        <v>854</v>
      </c>
      <c r="AA38" s="140" t="s">
        <v>854</v>
      </c>
      <c r="AB38" s="140" t="s">
        <v>854</v>
      </c>
      <c r="AC38" s="140" t="s">
        <v>854</v>
      </c>
      <c r="AD38" s="142" t="s">
        <v>854</v>
      </c>
    </row>
    <row r="39" spans="4:30" ht="12.75">
      <c r="D39" s="496">
        <f>IF(Input!A14="","",Input!A14)</f>
      </c>
      <c r="E39" s="124" t="str">
        <f>IF(Input!AR27="vitrandic subgroups (no andic properties)",0,IF(Input!AR27="andisols or andic subgroups",0,"NA"))</f>
        <v>NA</v>
      </c>
      <c r="F39" s="124" t="str">
        <f>IF(Input!AR27="vitrandic subgroups (no andic properties)",5,IF(Input!AR27="andisols or andic subgroups",3,"NA"))</f>
        <v>NA</v>
      </c>
      <c r="G39" s="124" t="str">
        <f>IF(Input!AR27="vitrandic subgroups (no andic properties)",10,IF(Input!AR27="andisols or andic subgroups",5,"NA"))</f>
        <v>NA</v>
      </c>
      <c r="R39" s="143" t="s">
        <v>608</v>
      </c>
      <c r="S39" s="141">
        <v>25</v>
      </c>
      <c r="T39" s="140">
        <v>32</v>
      </c>
      <c r="U39" s="140">
        <v>40</v>
      </c>
      <c r="V39" s="140">
        <v>30</v>
      </c>
      <c r="W39" s="140">
        <v>40</v>
      </c>
      <c r="X39" s="140">
        <v>50</v>
      </c>
      <c r="Y39" s="140">
        <v>35</v>
      </c>
      <c r="Z39" s="140">
        <v>45</v>
      </c>
      <c r="AA39" s="140">
        <v>55</v>
      </c>
      <c r="AB39" s="140">
        <v>50</v>
      </c>
      <c r="AC39" s="140">
        <v>55</v>
      </c>
      <c r="AD39" s="142">
        <v>60</v>
      </c>
    </row>
    <row r="40" spans="4:30" ht="12.75">
      <c r="D40" s="496">
        <f>IF(Input!A15="","",Input!A15)</f>
      </c>
      <c r="E40" s="124" t="str">
        <f>IF(Input!AR28="vitrandic subgroups (no andic properties)",0,IF(Input!AR28="andisols or andic subgroups",0,"NA"))</f>
        <v>NA</v>
      </c>
      <c r="F40" s="124" t="str">
        <f>IF(Input!AR28="vitrandic subgroups (no andic properties)",5,IF(Input!AR28="andisols or andic subgroups",3,"NA"))</f>
        <v>NA</v>
      </c>
      <c r="G40" s="124" t="str">
        <f>IF(Input!AR28="vitrandic subgroups (no andic properties)",10,IF(Input!AR28="andisols or andic subgroups",5,"NA"))</f>
        <v>NA</v>
      </c>
      <c r="R40" s="143" t="s">
        <v>593</v>
      </c>
      <c r="S40" s="141">
        <v>20</v>
      </c>
      <c r="T40" s="140">
        <v>27</v>
      </c>
      <c r="U40" s="140">
        <v>35</v>
      </c>
      <c r="V40" s="140">
        <v>25</v>
      </c>
      <c r="W40" s="140">
        <v>32</v>
      </c>
      <c r="X40" s="140">
        <v>40</v>
      </c>
      <c r="Y40" s="140">
        <v>30</v>
      </c>
      <c r="Z40" s="140">
        <v>40</v>
      </c>
      <c r="AA40" s="140">
        <v>50</v>
      </c>
      <c r="AB40" s="140">
        <v>50</v>
      </c>
      <c r="AC40" s="140">
        <v>55</v>
      </c>
      <c r="AD40" s="142">
        <v>60</v>
      </c>
    </row>
    <row r="41" spans="4:30" ht="12.75">
      <c r="D41" s="496">
        <f>IF(Input!A16="","",Input!A16)</f>
      </c>
      <c r="E41" s="124" t="str">
        <f>IF(Input!AR29="vitrandic subgroups (no andic properties)",0,IF(Input!AR29="andisols or andic subgroups",0,"NA"))</f>
        <v>NA</v>
      </c>
      <c r="F41" s="124" t="str">
        <f>IF(Input!AR29="vitrandic subgroups (no andic properties)",5,IF(Input!AR29="andisols or andic subgroups",3,"NA"))</f>
        <v>NA</v>
      </c>
      <c r="G41" s="124" t="str">
        <f>IF(Input!AR29="vitrandic subgroups (no andic properties)",10,IF(Input!AR29="andisols or andic subgroups",5,"NA"))</f>
        <v>NA</v>
      </c>
      <c r="R41" s="143" t="s">
        <v>611</v>
      </c>
      <c r="S41" s="141" t="s">
        <v>854</v>
      </c>
      <c r="T41" s="140" t="s">
        <v>854</v>
      </c>
      <c r="U41" s="140" t="s">
        <v>854</v>
      </c>
      <c r="V41" s="140" t="s">
        <v>854</v>
      </c>
      <c r="W41" s="140" t="s">
        <v>854</v>
      </c>
      <c r="X41" s="140" t="s">
        <v>854</v>
      </c>
      <c r="Y41" s="140" t="s">
        <v>854</v>
      </c>
      <c r="Z41" s="140" t="s">
        <v>854</v>
      </c>
      <c r="AA41" s="140" t="s">
        <v>854</v>
      </c>
      <c r="AB41" s="140" t="s">
        <v>854</v>
      </c>
      <c r="AC41" s="140" t="s">
        <v>854</v>
      </c>
      <c r="AD41" s="142" t="s">
        <v>854</v>
      </c>
    </row>
    <row r="42" spans="18:30" ht="12.75">
      <c r="R42" s="143" t="s">
        <v>589</v>
      </c>
      <c r="S42" s="141">
        <v>25</v>
      </c>
      <c r="T42" s="140">
        <v>32</v>
      </c>
      <c r="U42" s="140">
        <v>40</v>
      </c>
      <c r="V42" s="140">
        <v>30</v>
      </c>
      <c r="W42" s="140">
        <v>40</v>
      </c>
      <c r="X42" s="140">
        <v>50</v>
      </c>
      <c r="Y42" s="140">
        <v>35</v>
      </c>
      <c r="Z42" s="140">
        <v>45</v>
      </c>
      <c r="AA42" s="140">
        <v>55</v>
      </c>
      <c r="AB42" s="140">
        <v>55</v>
      </c>
      <c r="AC42" s="140">
        <v>60</v>
      </c>
      <c r="AD42" s="142">
        <v>65</v>
      </c>
    </row>
    <row r="43" spans="18:30" ht="12.75">
      <c r="R43" s="143" t="s">
        <v>590</v>
      </c>
      <c r="S43" s="141">
        <v>20</v>
      </c>
      <c r="T43" s="140">
        <v>27</v>
      </c>
      <c r="U43" s="140">
        <v>35</v>
      </c>
      <c r="V43" s="140">
        <v>25</v>
      </c>
      <c r="W43" s="140">
        <v>32</v>
      </c>
      <c r="X43" s="140">
        <v>40</v>
      </c>
      <c r="Y43" s="140">
        <v>30</v>
      </c>
      <c r="Z43" s="140">
        <v>40</v>
      </c>
      <c r="AA43" s="140">
        <v>50</v>
      </c>
      <c r="AB43" s="140">
        <v>50</v>
      </c>
      <c r="AC43" s="140">
        <v>55</v>
      </c>
      <c r="AD43" s="142">
        <v>60</v>
      </c>
    </row>
    <row r="44" spans="18:30" ht="12.75">
      <c r="R44" s="143" t="s">
        <v>594</v>
      </c>
      <c r="S44" s="141">
        <v>15</v>
      </c>
      <c r="T44" s="140">
        <v>22</v>
      </c>
      <c r="U44" s="140">
        <v>30</v>
      </c>
      <c r="V44" s="140">
        <v>20</v>
      </c>
      <c r="W44" s="140">
        <v>30</v>
      </c>
      <c r="X44" s="140">
        <v>40</v>
      </c>
      <c r="Y44" s="140">
        <v>25</v>
      </c>
      <c r="Z44" s="140">
        <v>35</v>
      </c>
      <c r="AA44" s="140">
        <v>45</v>
      </c>
      <c r="AB44" s="140">
        <v>45</v>
      </c>
      <c r="AC44" s="140">
        <v>50</v>
      </c>
      <c r="AD44" s="142">
        <v>55</v>
      </c>
    </row>
    <row r="45" spans="18:30" ht="12.75">
      <c r="R45" s="143" t="s">
        <v>636</v>
      </c>
      <c r="S45" s="141">
        <v>5</v>
      </c>
      <c r="T45" s="140">
        <v>10</v>
      </c>
      <c r="U45" s="140">
        <v>15</v>
      </c>
      <c r="V45" s="140">
        <v>5</v>
      </c>
      <c r="W45" s="140">
        <v>10</v>
      </c>
      <c r="X45" s="140">
        <v>15</v>
      </c>
      <c r="Y45" s="140" t="s">
        <v>854</v>
      </c>
      <c r="Z45" s="140" t="s">
        <v>854</v>
      </c>
      <c r="AA45" s="140" t="s">
        <v>854</v>
      </c>
      <c r="AB45" s="140" t="s">
        <v>854</v>
      </c>
      <c r="AC45" s="140" t="s">
        <v>854</v>
      </c>
      <c r="AD45" s="142" t="s">
        <v>854</v>
      </c>
    </row>
    <row r="46" spans="18:30" ht="13.5" thickBot="1">
      <c r="R46" s="146" t="s">
        <v>641</v>
      </c>
      <c r="S46" s="147">
        <v>20</v>
      </c>
      <c r="T46" s="148">
        <v>27</v>
      </c>
      <c r="U46" s="148">
        <v>35</v>
      </c>
      <c r="V46" s="148">
        <v>25</v>
      </c>
      <c r="W46" s="148">
        <v>32</v>
      </c>
      <c r="X46" s="148">
        <v>40</v>
      </c>
      <c r="Y46" s="148">
        <v>30</v>
      </c>
      <c r="Z46" s="148">
        <v>40</v>
      </c>
      <c r="AA46" s="148">
        <v>50</v>
      </c>
      <c r="AB46" s="148">
        <v>50</v>
      </c>
      <c r="AC46" s="148">
        <v>55</v>
      </c>
      <c r="AD46" s="149">
        <v>60</v>
      </c>
    </row>
  </sheetData>
  <sheetProtection sheet="1" objects="1" scenarios="1"/>
  <mergeCells count="36">
    <mergeCell ref="R12:U12"/>
    <mergeCell ref="V12:X12"/>
    <mergeCell ref="Y12:AA12"/>
    <mergeCell ref="V13:X13"/>
    <mergeCell ref="Y18:AA18"/>
    <mergeCell ref="Y19:AA19"/>
    <mergeCell ref="Y20:AA20"/>
    <mergeCell ref="Y21:AA21"/>
    <mergeCell ref="Y14:AA14"/>
    <mergeCell ref="Y15:AA15"/>
    <mergeCell ref="Y16:AA16"/>
    <mergeCell ref="Y17:AA17"/>
    <mergeCell ref="R20:U20"/>
    <mergeCell ref="R21:U21"/>
    <mergeCell ref="V14:X14"/>
    <mergeCell ref="V15:X15"/>
    <mergeCell ref="V16:X16"/>
    <mergeCell ref="V17:X17"/>
    <mergeCell ref="V18:X18"/>
    <mergeCell ref="V19:X19"/>
    <mergeCell ref="V20:X20"/>
    <mergeCell ref="V21:X21"/>
    <mergeCell ref="R16:U16"/>
    <mergeCell ref="R17:U17"/>
    <mergeCell ref="R18:U18"/>
    <mergeCell ref="R19:U19"/>
    <mergeCell ref="AB24:AD24"/>
    <mergeCell ref="Y1:AA1"/>
    <mergeCell ref="Y13:AA13"/>
    <mergeCell ref="S24:U24"/>
    <mergeCell ref="V24:X24"/>
    <mergeCell ref="R13:U13"/>
    <mergeCell ref="S1:U1"/>
    <mergeCell ref="V1:X1"/>
    <mergeCell ref="R14:U14"/>
    <mergeCell ref="R15:U15"/>
  </mergeCells>
  <conditionalFormatting sqref="Y13:AA13">
    <cfRule type="expression" priority="1" dxfId="3" stopIfTrue="1">
      <formula>$V$13="ashy"</formula>
    </cfRule>
  </conditionalFormatting>
  <conditionalFormatting sqref="Y14:AA14">
    <cfRule type="expression" priority="2" dxfId="4" stopIfTrue="1">
      <formula>$V$14="ashy"</formula>
    </cfRule>
  </conditionalFormatting>
  <conditionalFormatting sqref="Y15:AA15">
    <cfRule type="expression" priority="3" dxfId="4" stopIfTrue="1">
      <formula>$V$15="ashy"</formula>
    </cfRule>
  </conditionalFormatting>
  <conditionalFormatting sqref="Y16:AA16">
    <cfRule type="expression" priority="4" dxfId="6" stopIfTrue="1">
      <formula>$V$16="ashy"</formula>
    </cfRule>
  </conditionalFormatting>
  <conditionalFormatting sqref="Y17:AA17">
    <cfRule type="expression" priority="5" dxfId="6" stopIfTrue="1">
      <formula>$V$17="ashy"</formula>
    </cfRule>
  </conditionalFormatting>
  <conditionalFormatting sqref="Y18:AA18">
    <cfRule type="expression" priority="6" dxfId="6" stopIfTrue="1">
      <formula>$V$18="ashy"</formula>
    </cfRule>
  </conditionalFormatting>
  <conditionalFormatting sqref="Y19:AA19">
    <cfRule type="expression" priority="7" dxfId="6" stopIfTrue="1">
      <formula>$V$19="ashy"</formula>
    </cfRule>
  </conditionalFormatting>
  <conditionalFormatting sqref="Y20:AA20">
    <cfRule type="expression" priority="8" dxfId="6" stopIfTrue="1">
      <formula>$V$20="ashy"</formula>
    </cfRule>
  </conditionalFormatting>
  <conditionalFormatting sqref="Y21:AA21">
    <cfRule type="expression" priority="9" dxfId="6" stopIfTrue="1">
      <formula>$V$21="ashy"</formula>
    </cfRule>
  </conditionalFormatting>
  <printOptions/>
  <pageMargins left="0.75" right="0.75" top="1" bottom="1" header="0.5" footer="0.5"/>
  <pageSetup horizontalDpi="600" verticalDpi="600" orientation="portrait" r:id="rId3"/>
  <ignoredErrors>
    <ignoredError sqref="R14:U21 V14:X21" unlockedFormula="1"/>
    <ignoredError sqref="S4:T4 U4" formula="1"/>
  </ignoredErrors>
  <legacyDrawing r:id="rId2"/>
</worksheet>
</file>

<file path=xl/worksheets/sheet11.xml><?xml version="1.0" encoding="utf-8"?>
<worksheet xmlns="http://schemas.openxmlformats.org/spreadsheetml/2006/main" xmlns:r="http://schemas.openxmlformats.org/officeDocument/2006/relationships">
  <sheetPr codeName="Sheet4"/>
  <dimension ref="A1:O94"/>
  <sheetViews>
    <sheetView workbookViewId="0" topLeftCell="A29">
      <selection activeCell="H45" sqref="H45"/>
    </sheetView>
  </sheetViews>
  <sheetFormatPr defaultColWidth="9.140625" defaultRowHeight="12.75"/>
  <sheetData>
    <row r="1" spans="1:2" ht="12.75">
      <c r="A1" s="241">
        <v>37634</v>
      </c>
      <c r="B1" t="s">
        <v>158</v>
      </c>
    </row>
    <row r="2" spans="1:2" ht="12.75">
      <c r="A2" s="241">
        <v>37634</v>
      </c>
      <c r="B2" t="s">
        <v>159</v>
      </c>
    </row>
    <row r="3" spans="1:2" ht="12.75">
      <c r="A3" s="241">
        <v>37634</v>
      </c>
      <c r="B3" t="s">
        <v>160</v>
      </c>
    </row>
    <row r="4" spans="1:2" ht="12.75">
      <c r="A4" s="241">
        <v>37635</v>
      </c>
      <c r="B4" t="s">
        <v>161</v>
      </c>
    </row>
    <row r="5" spans="1:2" ht="12.75">
      <c r="A5" s="241">
        <v>37635</v>
      </c>
      <c r="B5" t="s">
        <v>162</v>
      </c>
    </row>
    <row r="6" spans="1:2" ht="12.75">
      <c r="A6" s="241">
        <v>37635</v>
      </c>
      <c r="B6" t="s">
        <v>163</v>
      </c>
    </row>
    <row r="7" spans="1:2" ht="12.75">
      <c r="A7" s="241">
        <v>37636</v>
      </c>
      <c r="B7" t="s">
        <v>164</v>
      </c>
    </row>
    <row r="8" spans="1:2" ht="12.75">
      <c r="A8" s="241">
        <v>37636</v>
      </c>
      <c r="B8" t="s">
        <v>165</v>
      </c>
    </row>
    <row r="9" spans="1:2" ht="12.75">
      <c r="A9" s="241">
        <v>37636</v>
      </c>
      <c r="B9" t="s">
        <v>166</v>
      </c>
    </row>
    <row r="10" spans="1:2" ht="12.75">
      <c r="A10" s="241">
        <v>37636</v>
      </c>
      <c r="B10" t="s">
        <v>167</v>
      </c>
    </row>
    <row r="11" spans="1:2" ht="12.75">
      <c r="A11" s="241">
        <v>37636</v>
      </c>
      <c r="B11" t="s">
        <v>168</v>
      </c>
    </row>
    <row r="12" spans="1:2" ht="12.75">
      <c r="A12" s="241">
        <v>37656</v>
      </c>
      <c r="B12" t="s">
        <v>169</v>
      </c>
    </row>
    <row r="13" spans="1:2" ht="12.75">
      <c r="A13" s="241">
        <v>37656</v>
      </c>
      <c r="B13" t="s">
        <v>170</v>
      </c>
    </row>
    <row r="14" spans="1:2" ht="12.75">
      <c r="A14" s="241">
        <v>37656</v>
      </c>
      <c r="B14" t="s">
        <v>171</v>
      </c>
    </row>
    <row r="15" spans="1:2" ht="12.75">
      <c r="A15" s="241">
        <v>37656</v>
      </c>
      <c r="B15" t="s">
        <v>172</v>
      </c>
    </row>
    <row r="16" spans="1:2" ht="12.75">
      <c r="A16" s="241">
        <v>37656</v>
      </c>
      <c r="B16" t="s">
        <v>173</v>
      </c>
    </row>
    <row r="17" spans="1:2" ht="12.75">
      <c r="A17" s="241">
        <v>37656</v>
      </c>
      <c r="B17" t="s">
        <v>174</v>
      </c>
    </row>
    <row r="18" spans="1:2" ht="12.75">
      <c r="A18" s="241">
        <v>37656</v>
      </c>
      <c r="B18" t="s">
        <v>175</v>
      </c>
    </row>
    <row r="19" spans="1:2" ht="12.75">
      <c r="A19" s="241">
        <v>37656</v>
      </c>
      <c r="B19" t="s">
        <v>176</v>
      </c>
    </row>
    <row r="20" spans="1:2" ht="12.75">
      <c r="A20" s="241">
        <v>37656</v>
      </c>
      <c r="B20" t="s">
        <v>177</v>
      </c>
    </row>
    <row r="21" spans="1:2" ht="12.75">
      <c r="A21" s="241">
        <v>37657</v>
      </c>
      <c r="B21" t="s">
        <v>178</v>
      </c>
    </row>
    <row r="22" spans="1:2" ht="12.75">
      <c r="A22" s="241">
        <v>37657</v>
      </c>
      <c r="B22" t="s">
        <v>179</v>
      </c>
    </row>
    <row r="23" spans="1:2" ht="12.75">
      <c r="A23" s="241">
        <v>37657</v>
      </c>
      <c r="B23" t="s">
        <v>180</v>
      </c>
    </row>
    <row r="24" spans="1:2" ht="12.75">
      <c r="A24" s="241">
        <v>37657</v>
      </c>
      <c r="B24" t="s">
        <v>513</v>
      </c>
    </row>
    <row r="25" spans="1:2" ht="12.75">
      <c r="A25" s="241">
        <v>37657</v>
      </c>
      <c r="B25" t="s">
        <v>395</v>
      </c>
    </row>
    <row r="26" spans="1:2" ht="12.75">
      <c r="A26" s="241">
        <v>37658</v>
      </c>
      <c r="B26" t="s">
        <v>492</v>
      </c>
    </row>
    <row r="27" spans="1:2" ht="12.75">
      <c r="A27" s="241">
        <v>37658</v>
      </c>
      <c r="B27" t="s">
        <v>493</v>
      </c>
    </row>
    <row r="28" spans="1:2" ht="12.75">
      <c r="A28" s="241">
        <v>37658</v>
      </c>
      <c r="B28" t="s">
        <v>494</v>
      </c>
    </row>
    <row r="29" spans="1:2" ht="12.75">
      <c r="A29" s="241">
        <v>37658</v>
      </c>
      <c r="B29" t="s">
        <v>505</v>
      </c>
    </row>
    <row r="30" spans="1:2" ht="12.75">
      <c r="A30" s="241">
        <v>37658</v>
      </c>
      <c r="B30" t="s">
        <v>396</v>
      </c>
    </row>
    <row r="31" spans="1:2" ht="12.75">
      <c r="A31" s="241">
        <v>37670</v>
      </c>
      <c r="B31" t="s">
        <v>405</v>
      </c>
    </row>
    <row r="32" spans="1:2" ht="12.75">
      <c r="A32" s="241">
        <v>37670</v>
      </c>
      <c r="B32" t="s">
        <v>406</v>
      </c>
    </row>
    <row r="33" spans="1:2" ht="12.75">
      <c r="A33" s="241">
        <v>37670</v>
      </c>
      <c r="B33" t="s">
        <v>407</v>
      </c>
    </row>
    <row r="34" spans="1:2" ht="12.75">
      <c r="A34" s="241">
        <v>37670</v>
      </c>
      <c r="B34" t="s">
        <v>408</v>
      </c>
    </row>
    <row r="35" spans="1:2" ht="12.75">
      <c r="A35" s="241">
        <v>37670</v>
      </c>
      <c r="B35" t="s">
        <v>409</v>
      </c>
    </row>
    <row r="36" spans="1:2" ht="12.75">
      <c r="A36" s="241">
        <v>37670</v>
      </c>
      <c r="B36" t="s">
        <v>410</v>
      </c>
    </row>
    <row r="37" spans="1:2" ht="12.75">
      <c r="A37" s="241">
        <v>37670</v>
      </c>
      <c r="B37" t="s">
        <v>411</v>
      </c>
    </row>
    <row r="38" spans="1:2" ht="12.75">
      <c r="A38" s="241">
        <v>37670</v>
      </c>
      <c r="B38" t="s">
        <v>412</v>
      </c>
    </row>
    <row r="39" spans="1:2" ht="12.75">
      <c r="A39" s="241">
        <v>37670</v>
      </c>
      <c r="B39" t="s">
        <v>413</v>
      </c>
    </row>
    <row r="40" spans="1:2" ht="12.75">
      <c r="A40" s="241">
        <v>37671</v>
      </c>
      <c r="B40" t="s">
        <v>414</v>
      </c>
    </row>
    <row r="41" spans="1:2" ht="12.75">
      <c r="A41" s="241">
        <v>37672</v>
      </c>
      <c r="B41" t="s">
        <v>425</v>
      </c>
    </row>
    <row r="42" spans="1:2" ht="12.75">
      <c r="A42" s="241">
        <v>37672</v>
      </c>
      <c r="B42" t="s">
        <v>426</v>
      </c>
    </row>
    <row r="43" ht="12.75">
      <c r="A43" s="241"/>
    </row>
    <row r="44" ht="12.75">
      <c r="A44" s="241"/>
    </row>
    <row r="45" ht="12.75">
      <c r="A45" s="241"/>
    </row>
    <row r="46" spans="1:15" ht="12.75">
      <c r="A46" s="242" t="s">
        <v>181</v>
      </c>
      <c r="B46" s="1147" t="s">
        <v>182</v>
      </c>
      <c r="C46" s="1147"/>
      <c r="D46" s="1147"/>
      <c r="E46" s="1147"/>
      <c r="F46" s="1147"/>
      <c r="G46" s="1147"/>
      <c r="H46" s="1147"/>
      <c r="I46" s="1147"/>
      <c r="J46" s="1147" t="s">
        <v>183</v>
      </c>
      <c r="K46" s="1147"/>
      <c r="L46" s="1147" t="s">
        <v>184</v>
      </c>
      <c r="M46" s="1147"/>
      <c r="N46" s="1147" t="s">
        <v>185</v>
      </c>
      <c r="O46" s="1147"/>
    </row>
    <row r="47" spans="1:15" ht="25.5">
      <c r="A47" s="243" t="s">
        <v>186</v>
      </c>
      <c r="B47" s="1058" t="s">
        <v>187</v>
      </c>
      <c r="C47" s="1058"/>
      <c r="D47" s="1058"/>
      <c r="E47" s="1058"/>
      <c r="F47" s="1058"/>
      <c r="G47" s="1058"/>
      <c r="H47" s="1058"/>
      <c r="I47" s="1058"/>
      <c r="J47" s="1146" t="s">
        <v>188</v>
      </c>
      <c r="K47" s="1146"/>
      <c r="L47" s="1058"/>
      <c r="M47" s="1058"/>
      <c r="N47" s="1146" t="s">
        <v>189</v>
      </c>
      <c r="O47" s="1146"/>
    </row>
    <row r="48" spans="1:15" ht="12.75">
      <c r="A48" s="221"/>
      <c r="B48" s="1058"/>
      <c r="C48" s="1058"/>
      <c r="D48" s="1058"/>
      <c r="E48" s="1058"/>
      <c r="F48" s="1058"/>
      <c r="G48" s="1058"/>
      <c r="H48" s="1058"/>
      <c r="I48" s="1058"/>
      <c r="J48" s="1146"/>
      <c r="K48" s="1146"/>
      <c r="L48" s="1058"/>
      <c r="M48" s="1058"/>
      <c r="N48" s="1058"/>
      <c r="O48" s="1058"/>
    </row>
    <row r="49" spans="1:15" ht="25.5">
      <c r="A49" s="243" t="s">
        <v>537</v>
      </c>
      <c r="B49" s="1058" t="s">
        <v>187</v>
      </c>
      <c r="C49" s="1058"/>
      <c r="D49" s="1058"/>
      <c r="E49" s="1058"/>
      <c r="F49" s="1058"/>
      <c r="G49" s="1058"/>
      <c r="H49" s="1058"/>
      <c r="I49" s="1058"/>
      <c r="J49" s="1146" t="s">
        <v>190</v>
      </c>
      <c r="K49" s="1146"/>
      <c r="L49" s="1058"/>
      <c r="M49" s="1058"/>
      <c r="N49" s="1146" t="s">
        <v>191</v>
      </c>
      <c r="O49" s="1146"/>
    </row>
    <row r="50" spans="1:15" ht="12.75">
      <c r="A50" s="221"/>
      <c r="B50" s="1058"/>
      <c r="C50" s="1058"/>
      <c r="D50" s="1058"/>
      <c r="E50" s="1058"/>
      <c r="F50" s="1058"/>
      <c r="G50" s="1058"/>
      <c r="H50" s="1058"/>
      <c r="I50" s="1058"/>
      <c r="J50" s="1146"/>
      <c r="K50" s="1146"/>
      <c r="L50" s="1058"/>
      <c r="M50" s="1058"/>
      <c r="N50" s="1146"/>
      <c r="O50" s="1146"/>
    </row>
    <row r="51" spans="1:15" ht="12.75">
      <c r="A51" s="243" t="s">
        <v>192</v>
      </c>
      <c r="B51" s="1058" t="s">
        <v>187</v>
      </c>
      <c r="C51" s="1058"/>
      <c r="D51" s="1058"/>
      <c r="E51" s="1058"/>
      <c r="F51" s="1058"/>
      <c r="G51" s="1058"/>
      <c r="H51" s="1058"/>
      <c r="I51" s="1058"/>
      <c r="J51" s="1146" t="s">
        <v>193</v>
      </c>
      <c r="K51" s="1146"/>
      <c r="L51" s="1058"/>
      <c r="M51" s="1058"/>
      <c r="N51" s="1146" t="s">
        <v>194</v>
      </c>
      <c r="O51" s="1146"/>
    </row>
    <row r="52" spans="1:15" ht="12.75">
      <c r="A52" s="221"/>
      <c r="B52" s="1058"/>
      <c r="C52" s="1058"/>
      <c r="D52" s="1058"/>
      <c r="E52" s="1058"/>
      <c r="F52" s="1058"/>
      <c r="G52" s="1058"/>
      <c r="H52" s="1058"/>
      <c r="I52" s="1058"/>
      <c r="J52" s="1146"/>
      <c r="K52" s="1146"/>
      <c r="L52" s="1058"/>
      <c r="M52" s="1058"/>
      <c r="N52" s="1146"/>
      <c r="O52" s="1146"/>
    </row>
    <row r="53" spans="1:15" ht="12.75">
      <c r="A53" s="243" t="s">
        <v>531</v>
      </c>
      <c r="B53" s="1058" t="s">
        <v>187</v>
      </c>
      <c r="C53" s="1058"/>
      <c r="D53" s="1058"/>
      <c r="E53" s="1058"/>
      <c r="F53" s="1058"/>
      <c r="G53" s="1058"/>
      <c r="H53" s="1058"/>
      <c r="I53" s="1058"/>
      <c r="J53" s="1146" t="s">
        <v>195</v>
      </c>
      <c r="K53" s="1146"/>
      <c r="L53" s="1058"/>
      <c r="M53" s="1058"/>
      <c r="N53" s="1058" t="s">
        <v>196</v>
      </c>
      <c r="O53" s="1058"/>
    </row>
    <row r="54" spans="1:15" ht="12.75">
      <c r="A54" s="221"/>
      <c r="B54" s="1058"/>
      <c r="C54" s="1058"/>
      <c r="D54" s="1058"/>
      <c r="E54" s="1058"/>
      <c r="F54" s="1058"/>
      <c r="G54" s="1058"/>
      <c r="H54" s="1058"/>
      <c r="I54" s="1058"/>
      <c r="J54" s="1145"/>
      <c r="K54" s="1145"/>
      <c r="L54" s="1058"/>
      <c r="M54" s="1058"/>
      <c r="N54" s="1058"/>
      <c r="O54" s="1058"/>
    </row>
    <row r="55" spans="1:15" ht="12.75">
      <c r="A55" s="243" t="s">
        <v>538</v>
      </c>
      <c r="B55" s="1058" t="s">
        <v>187</v>
      </c>
      <c r="C55" s="1058"/>
      <c r="D55" s="1058"/>
      <c r="E55" s="1058"/>
      <c r="F55" s="1058"/>
      <c r="G55" s="1058"/>
      <c r="H55" s="1058"/>
      <c r="I55" s="1058"/>
      <c r="J55" s="1058" t="s">
        <v>197</v>
      </c>
      <c r="K55" s="1058"/>
      <c r="L55" s="1058"/>
      <c r="M55" s="1058"/>
      <c r="N55" s="1058" t="s">
        <v>198</v>
      </c>
      <c r="O55" s="1058"/>
    </row>
    <row r="56" spans="1:15" ht="12.75">
      <c r="A56" s="243"/>
      <c r="B56" s="1145"/>
      <c r="C56" s="1145"/>
      <c r="D56" s="1145"/>
      <c r="E56" s="1145"/>
      <c r="F56" s="123"/>
      <c r="G56" s="123"/>
      <c r="H56" s="123"/>
      <c r="I56" s="123"/>
      <c r="J56" s="1145"/>
      <c r="K56" s="1145"/>
      <c r="L56" s="1058"/>
      <c r="M56" s="1058"/>
      <c r="N56" s="1145"/>
      <c r="O56" s="1145"/>
    </row>
    <row r="57" spans="1:15" ht="12.75">
      <c r="A57" s="243" t="s">
        <v>543</v>
      </c>
      <c r="B57" s="1058" t="s">
        <v>187</v>
      </c>
      <c r="C57" s="1058"/>
      <c r="D57" s="1058"/>
      <c r="E57" s="1058"/>
      <c r="F57" s="1058"/>
      <c r="G57" s="1058"/>
      <c r="H57" s="1058"/>
      <c r="I57" s="1058"/>
      <c r="J57" s="1058" t="s">
        <v>199</v>
      </c>
      <c r="K57" s="1058"/>
      <c r="L57" s="1058"/>
      <c r="M57" s="1058"/>
      <c r="N57" s="1058" t="s">
        <v>200</v>
      </c>
      <c r="O57" s="1058"/>
    </row>
    <row r="58" spans="1:15" ht="12.75">
      <c r="A58" s="243"/>
      <c r="B58" s="1145"/>
      <c r="C58" s="1145"/>
      <c r="D58" s="1145"/>
      <c r="E58" s="1145"/>
      <c r="F58" s="123"/>
      <c r="G58" s="123"/>
      <c r="H58" s="123"/>
      <c r="I58" s="123"/>
      <c r="J58" s="1145"/>
      <c r="K58" s="1145"/>
      <c r="L58" s="1058"/>
      <c r="M58" s="1058"/>
      <c r="N58" s="1145"/>
      <c r="O58" s="1145"/>
    </row>
    <row r="59" spans="1:15" ht="12.75">
      <c r="A59" s="243" t="s">
        <v>201</v>
      </c>
      <c r="B59" s="1058" t="s">
        <v>187</v>
      </c>
      <c r="C59" s="1058"/>
      <c r="D59" s="1058"/>
      <c r="E59" s="1058"/>
      <c r="F59" s="1058"/>
      <c r="G59" s="1058"/>
      <c r="H59" s="1058"/>
      <c r="I59" s="1058"/>
      <c r="J59" s="1058" t="s">
        <v>202</v>
      </c>
      <c r="K59" s="1058"/>
      <c r="L59" s="1058"/>
      <c r="M59" s="1058"/>
      <c r="N59" s="1058" t="s">
        <v>203</v>
      </c>
      <c r="O59" s="1058"/>
    </row>
    <row r="60" spans="1:15" ht="12.75">
      <c r="A60" s="221"/>
      <c r="B60" s="1058"/>
      <c r="C60" s="1058"/>
      <c r="D60" s="1058"/>
      <c r="E60" s="1058"/>
      <c r="F60" s="1058"/>
      <c r="G60" s="1058"/>
      <c r="H60" s="1058"/>
      <c r="I60" s="1058"/>
      <c r="J60" s="1058"/>
      <c r="K60" s="1058"/>
      <c r="L60" s="1058"/>
      <c r="M60" s="1058"/>
      <c r="N60" s="1058"/>
      <c r="O60" s="1058"/>
    </row>
    <row r="61" spans="1:15" ht="12.75">
      <c r="A61" s="243" t="s">
        <v>204</v>
      </c>
      <c r="B61" s="1058" t="s">
        <v>205</v>
      </c>
      <c r="C61" s="1058"/>
      <c r="D61" s="1058"/>
      <c r="E61" s="1058"/>
      <c r="F61" s="1058"/>
      <c r="G61" s="1058"/>
      <c r="H61" s="1058"/>
      <c r="I61" s="1058"/>
      <c r="J61" s="1058" t="s">
        <v>206</v>
      </c>
      <c r="K61" s="1058"/>
      <c r="L61" s="1058" t="s">
        <v>207</v>
      </c>
      <c r="M61" s="1058"/>
      <c r="N61" s="1058" t="s">
        <v>208</v>
      </c>
      <c r="O61" s="1058"/>
    </row>
    <row r="62" spans="1:15" ht="12.75">
      <c r="A62" s="221"/>
      <c r="B62" s="1058"/>
      <c r="C62" s="1058"/>
      <c r="D62" s="1058"/>
      <c r="E62" s="1058"/>
      <c r="F62" s="1058"/>
      <c r="G62" s="1058"/>
      <c r="H62" s="1058"/>
      <c r="I62" s="1058"/>
      <c r="J62" s="1058"/>
      <c r="K62" s="1058"/>
      <c r="L62" s="1058"/>
      <c r="M62" s="1058"/>
      <c r="N62" s="1058"/>
      <c r="O62" s="1058"/>
    </row>
    <row r="63" spans="1:15" ht="25.5">
      <c r="A63" s="243" t="s">
        <v>209</v>
      </c>
      <c r="B63" s="1058" t="s">
        <v>210</v>
      </c>
      <c r="C63" s="1058"/>
      <c r="D63" s="1058"/>
      <c r="E63" s="1058"/>
      <c r="F63" s="1058"/>
      <c r="G63" s="1058"/>
      <c r="H63" s="1058"/>
      <c r="I63" s="1058"/>
      <c r="J63" s="1058" t="s">
        <v>211</v>
      </c>
      <c r="K63" s="1058"/>
      <c r="L63" s="1058"/>
      <c r="M63" s="1058"/>
      <c r="N63" s="1058" t="s">
        <v>212</v>
      </c>
      <c r="O63" s="1058"/>
    </row>
    <row r="64" spans="1:15" ht="12.75">
      <c r="A64" s="221"/>
      <c r="B64" s="1058"/>
      <c r="C64" s="1058"/>
      <c r="D64" s="1058"/>
      <c r="E64" s="1058"/>
      <c r="F64" s="1058"/>
      <c r="G64" s="1058"/>
      <c r="H64" s="1058"/>
      <c r="I64" s="1058"/>
      <c r="J64" s="1058"/>
      <c r="K64" s="1058"/>
      <c r="L64" s="1058"/>
      <c r="M64" s="1058"/>
      <c r="N64" s="1058"/>
      <c r="O64" s="1058"/>
    </row>
    <row r="65" spans="1:15" ht="25.5">
      <c r="A65" s="243" t="s">
        <v>213</v>
      </c>
      <c r="B65" s="1058" t="s">
        <v>210</v>
      </c>
      <c r="C65" s="1058"/>
      <c r="D65" s="1058"/>
      <c r="E65" s="1058"/>
      <c r="F65" s="1058"/>
      <c r="G65" s="1058"/>
      <c r="H65" s="1058"/>
      <c r="I65" s="1058"/>
      <c r="J65" s="1058" t="s">
        <v>214</v>
      </c>
      <c r="K65" s="1058"/>
      <c r="L65" s="1058"/>
      <c r="M65" s="1058"/>
      <c r="N65" s="1058" t="s">
        <v>215</v>
      </c>
      <c r="O65" s="1058"/>
    </row>
    <row r="66" spans="1:15" ht="12.75">
      <c r="A66" s="221"/>
      <c r="B66" s="1058"/>
      <c r="C66" s="1058"/>
      <c r="D66" s="1058"/>
      <c r="E66" s="1058"/>
      <c r="F66" s="1058"/>
      <c r="G66" s="1058"/>
      <c r="H66" s="1058"/>
      <c r="I66" s="1058"/>
      <c r="J66" s="1058"/>
      <c r="K66" s="1058"/>
      <c r="L66" s="1058"/>
      <c r="M66" s="1058"/>
      <c r="N66" s="1058"/>
      <c r="O66" s="1058"/>
    </row>
    <row r="67" spans="1:15" ht="12.75">
      <c r="A67" s="221"/>
      <c r="B67" s="1058"/>
      <c r="C67" s="1058"/>
      <c r="D67" s="1058"/>
      <c r="E67" s="1058"/>
      <c r="F67" s="1058"/>
      <c r="G67" s="1058"/>
      <c r="H67" s="1058"/>
      <c r="I67" s="1058"/>
      <c r="J67" s="1058"/>
      <c r="K67" s="1058"/>
      <c r="L67" s="1058"/>
      <c r="M67" s="1058"/>
      <c r="N67" s="1058"/>
      <c r="O67" s="1058"/>
    </row>
    <row r="68" spans="1:15" ht="12.75">
      <c r="A68" s="243" t="s">
        <v>216</v>
      </c>
      <c r="B68" s="1058" t="s">
        <v>187</v>
      </c>
      <c r="C68" s="1058"/>
      <c r="D68" s="1058"/>
      <c r="E68" s="1058"/>
      <c r="F68" s="1058"/>
      <c r="G68" s="1058"/>
      <c r="H68" s="1058"/>
      <c r="I68" s="1058"/>
      <c r="J68" s="1058" t="s">
        <v>217</v>
      </c>
      <c r="K68" s="1058"/>
      <c r="L68" s="1058"/>
      <c r="M68" s="1058"/>
      <c r="N68" s="1058" t="s">
        <v>218</v>
      </c>
      <c r="O68" s="1058"/>
    </row>
    <row r="69" spans="1:15" ht="12.75">
      <c r="A69" s="221"/>
      <c r="B69" s="1058"/>
      <c r="C69" s="1058"/>
      <c r="D69" s="1058"/>
      <c r="E69" s="1058"/>
      <c r="F69" s="1058"/>
      <c r="G69" s="1058"/>
      <c r="H69" s="1058"/>
      <c r="I69" s="1058"/>
      <c r="J69" s="1058"/>
      <c r="K69" s="1058"/>
      <c r="L69" s="1058"/>
      <c r="M69" s="1058"/>
      <c r="N69" s="1058"/>
      <c r="O69" s="1058"/>
    </row>
    <row r="70" spans="1:15" ht="25.5">
      <c r="A70" s="243" t="s">
        <v>219</v>
      </c>
      <c r="B70" s="1058" t="s">
        <v>220</v>
      </c>
      <c r="C70" s="1058"/>
      <c r="D70" s="1058"/>
      <c r="E70" s="1058"/>
      <c r="F70" s="1058"/>
      <c r="G70" s="1058"/>
      <c r="H70" s="1058"/>
      <c r="I70" s="1058"/>
      <c r="J70" s="1058" t="s">
        <v>221</v>
      </c>
      <c r="K70" s="1058"/>
      <c r="L70" s="1058" t="s">
        <v>222</v>
      </c>
      <c r="M70" s="1058"/>
      <c r="N70" s="1058" t="s">
        <v>223</v>
      </c>
      <c r="O70" s="1058"/>
    </row>
    <row r="71" spans="1:15" ht="12.75">
      <c r="A71" s="243"/>
      <c r="B71" s="1145"/>
      <c r="C71" s="1145"/>
      <c r="D71" s="1145"/>
      <c r="E71" s="1145"/>
      <c r="F71" s="123"/>
      <c r="G71" s="123"/>
      <c r="H71" s="123"/>
      <c r="I71" s="123"/>
      <c r="J71" s="1145"/>
      <c r="K71" s="1145"/>
      <c r="L71" s="1145"/>
      <c r="M71" s="1145"/>
      <c r="N71" s="1145"/>
      <c r="O71" s="1145"/>
    </row>
    <row r="72" spans="1:15" ht="25.5">
      <c r="A72" s="243" t="s">
        <v>224</v>
      </c>
      <c r="B72" s="1058" t="s">
        <v>225</v>
      </c>
      <c r="C72" s="1058"/>
      <c r="D72" s="1058"/>
      <c r="E72" s="1058"/>
      <c r="F72" s="1058"/>
      <c r="G72" s="1058"/>
      <c r="H72" s="1058"/>
      <c r="I72" s="1058"/>
      <c r="J72" s="1058" t="s">
        <v>221</v>
      </c>
      <c r="K72" s="1058"/>
      <c r="L72" s="1058" t="s">
        <v>226</v>
      </c>
      <c r="M72" s="1058"/>
      <c r="N72" s="1058" t="s">
        <v>227</v>
      </c>
      <c r="O72" s="1058"/>
    </row>
    <row r="73" spans="1:15" ht="12.75">
      <c r="A73" s="221"/>
      <c r="B73" s="1058"/>
      <c r="C73" s="1058"/>
      <c r="D73" s="1058"/>
      <c r="E73" s="1058"/>
      <c r="F73" s="1058"/>
      <c r="G73" s="1058"/>
      <c r="H73" s="1058"/>
      <c r="I73" s="1058"/>
      <c r="J73" s="1058"/>
      <c r="K73" s="1058"/>
      <c r="L73" s="1145"/>
      <c r="M73" s="1145"/>
      <c r="N73" s="1058"/>
      <c r="O73" s="1058"/>
    </row>
    <row r="74" spans="1:15" ht="25.5">
      <c r="A74" s="243" t="s">
        <v>228</v>
      </c>
      <c r="B74" s="1058" t="s">
        <v>220</v>
      </c>
      <c r="C74" s="1058"/>
      <c r="D74" s="1058"/>
      <c r="E74" s="1058"/>
      <c r="F74" s="1058"/>
      <c r="G74" s="1058"/>
      <c r="H74" s="1058"/>
      <c r="I74" s="1058"/>
      <c r="J74" s="1058" t="s">
        <v>229</v>
      </c>
      <c r="K74" s="1058"/>
      <c r="L74" s="1058" t="s">
        <v>230</v>
      </c>
      <c r="M74" s="1058"/>
      <c r="N74" s="1058" t="s">
        <v>231</v>
      </c>
      <c r="O74" s="1058"/>
    </row>
    <row r="75" spans="1:15" ht="12.75">
      <c r="A75" s="243"/>
      <c r="B75" s="1145"/>
      <c r="C75" s="1145"/>
      <c r="D75" s="1145"/>
      <c r="E75" s="1145"/>
      <c r="F75" s="123"/>
      <c r="G75" s="123"/>
      <c r="H75" s="123"/>
      <c r="I75" s="123"/>
      <c r="J75" s="1145"/>
      <c r="K75" s="1145"/>
      <c r="L75" s="1145"/>
      <c r="M75" s="1145"/>
      <c r="N75" s="1145"/>
      <c r="O75" s="1145"/>
    </row>
    <row r="76" spans="1:15" ht="25.5">
      <c r="A76" s="243" t="s">
        <v>232</v>
      </c>
      <c r="B76" s="1058" t="s">
        <v>233</v>
      </c>
      <c r="C76" s="1058"/>
      <c r="D76" s="1058"/>
      <c r="E76" s="1058"/>
      <c r="F76" s="1058"/>
      <c r="G76" s="1058"/>
      <c r="H76" s="1058"/>
      <c r="I76" s="1058"/>
      <c r="J76" s="1058" t="s">
        <v>229</v>
      </c>
      <c r="K76" s="1058"/>
      <c r="L76" s="1058" t="s">
        <v>226</v>
      </c>
      <c r="M76" s="1058"/>
      <c r="N76" s="1058" t="s">
        <v>234</v>
      </c>
      <c r="O76" s="1058"/>
    </row>
    <row r="77" spans="1:15" ht="12.75">
      <c r="A77" s="221"/>
      <c r="B77" s="1058"/>
      <c r="C77" s="1058"/>
      <c r="D77" s="1058"/>
      <c r="E77" s="1058"/>
      <c r="F77" s="1058"/>
      <c r="G77" s="1058"/>
      <c r="H77" s="1058"/>
      <c r="I77" s="1058"/>
      <c r="J77" s="1058"/>
      <c r="K77" s="1058"/>
      <c r="L77" s="1145"/>
      <c r="M77" s="1145"/>
      <c r="N77" s="1058"/>
      <c r="O77" s="1058"/>
    </row>
    <row r="78" spans="1:15" ht="25.5">
      <c r="A78" s="243" t="s">
        <v>235</v>
      </c>
      <c r="B78" s="1058" t="s">
        <v>187</v>
      </c>
      <c r="C78" s="1058"/>
      <c r="D78" s="1058"/>
      <c r="E78" s="1058"/>
      <c r="F78" s="1058"/>
      <c r="G78" s="1058"/>
      <c r="H78" s="1058"/>
      <c r="I78" s="1058"/>
      <c r="J78" s="1058" t="s">
        <v>236</v>
      </c>
      <c r="K78" s="1058"/>
      <c r="L78" s="1058" t="s">
        <v>237</v>
      </c>
      <c r="M78" s="1058"/>
      <c r="N78" s="1058" t="s">
        <v>238</v>
      </c>
      <c r="O78" s="1058"/>
    </row>
    <row r="79" spans="1:15" ht="12.75">
      <c r="A79" s="221"/>
      <c r="B79" s="1058"/>
      <c r="C79" s="1058"/>
      <c r="D79" s="1058"/>
      <c r="E79" s="1058"/>
      <c r="F79" s="1058"/>
      <c r="G79" s="1058"/>
      <c r="H79" s="1058"/>
      <c r="I79" s="1058"/>
      <c r="J79" s="1058"/>
      <c r="K79" s="1058"/>
      <c r="L79" s="1145"/>
      <c r="M79" s="1145"/>
      <c r="N79" s="1058"/>
      <c r="O79" s="1058"/>
    </row>
    <row r="80" spans="1:15" ht="25.5">
      <c r="A80" s="243" t="s">
        <v>239</v>
      </c>
      <c r="B80" s="1058" t="s">
        <v>233</v>
      </c>
      <c r="C80" s="1058"/>
      <c r="D80" s="1058"/>
      <c r="E80" s="1058"/>
      <c r="F80" s="1058"/>
      <c r="G80" s="1058"/>
      <c r="H80" s="1058"/>
      <c r="I80" s="1058"/>
      <c r="J80" s="1058" t="s">
        <v>236</v>
      </c>
      <c r="K80" s="1058"/>
      <c r="L80" s="1058" t="s">
        <v>226</v>
      </c>
      <c r="M80" s="1058"/>
      <c r="N80" s="1058" t="s">
        <v>240</v>
      </c>
      <c r="O80" s="1058"/>
    </row>
    <row r="81" spans="1:15" ht="12.75">
      <c r="A81" s="221"/>
      <c r="B81" s="1058"/>
      <c r="C81" s="1058"/>
      <c r="D81" s="1058"/>
      <c r="E81" s="1058"/>
      <c r="F81" s="1058"/>
      <c r="G81" s="1058"/>
      <c r="H81" s="1058"/>
      <c r="I81" s="1058"/>
      <c r="J81" s="1058"/>
      <c r="K81" s="1058"/>
      <c r="L81" s="1145"/>
      <c r="M81" s="1145"/>
      <c r="N81" s="1058"/>
      <c r="O81" s="1058"/>
    </row>
    <row r="82" spans="1:15" ht="25.5">
      <c r="A82" s="243" t="s">
        <v>241</v>
      </c>
      <c r="B82" s="1058" t="s">
        <v>187</v>
      </c>
      <c r="C82" s="1058"/>
      <c r="D82" s="1058"/>
      <c r="E82" s="1058"/>
      <c r="F82" s="1058"/>
      <c r="G82" s="1058"/>
      <c r="H82" s="1058"/>
      <c r="I82" s="1058"/>
      <c r="J82" s="1058" t="s">
        <v>242</v>
      </c>
      <c r="K82" s="1058"/>
      <c r="L82" s="1145"/>
      <c r="M82" s="1145"/>
      <c r="N82" s="1058" t="s">
        <v>243</v>
      </c>
      <c r="O82" s="1058"/>
    </row>
    <row r="83" spans="1:15" ht="12.75">
      <c r="A83" s="221"/>
      <c r="B83" s="1058"/>
      <c r="C83" s="1058"/>
      <c r="D83" s="1058"/>
      <c r="E83" s="1058"/>
      <c r="F83" s="1058"/>
      <c r="G83" s="1058"/>
      <c r="H83" s="1058"/>
      <c r="I83" s="1058"/>
      <c r="J83" s="1058"/>
      <c r="K83" s="1058"/>
      <c r="L83" s="1145"/>
      <c r="M83" s="1145"/>
      <c r="N83" s="1058"/>
      <c r="O83" s="1058"/>
    </row>
    <row r="84" spans="1:15" ht="25.5">
      <c r="A84" s="243" t="s">
        <v>244</v>
      </c>
      <c r="B84" s="1058" t="s">
        <v>233</v>
      </c>
      <c r="C84" s="1058"/>
      <c r="D84" s="1058"/>
      <c r="E84" s="1058"/>
      <c r="F84" s="1058"/>
      <c r="G84" s="1058"/>
      <c r="H84" s="1058"/>
      <c r="I84" s="1058"/>
      <c r="J84" s="1058" t="s">
        <v>242</v>
      </c>
      <c r="K84" s="1058"/>
      <c r="L84" s="1058" t="s">
        <v>245</v>
      </c>
      <c r="M84" s="1058"/>
      <c r="N84" s="1058" t="s">
        <v>246</v>
      </c>
      <c r="O84" s="1058"/>
    </row>
    <row r="85" spans="1:15" ht="12.75">
      <c r="A85" s="221"/>
      <c r="B85" s="1058"/>
      <c r="C85" s="1058"/>
      <c r="D85" s="1058"/>
      <c r="E85" s="1058"/>
      <c r="F85" s="1058"/>
      <c r="G85" s="1058"/>
      <c r="H85" s="1058"/>
      <c r="I85" s="1058"/>
      <c r="J85" s="1058"/>
      <c r="K85" s="1058"/>
      <c r="L85" s="1145"/>
      <c r="M85" s="1145"/>
      <c r="N85" s="1058"/>
      <c r="O85" s="1058"/>
    </row>
    <row r="86" spans="1:15" ht="12.75">
      <c r="A86" s="243" t="s">
        <v>247</v>
      </c>
      <c r="B86" s="1058" t="s">
        <v>187</v>
      </c>
      <c r="C86" s="1058"/>
      <c r="D86" s="1058"/>
      <c r="E86" s="1058"/>
      <c r="F86" s="1058"/>
      <c r="G86" s="1058"/>
      <c r="H86" s="1058"/>
      <c r="I86" s="1058"/>
      <c r="J86" s="1058" t="s">
        <v>248</v>
      </c>
      <c r="K86" s="1058"/>
      <c r="L86" s="1058"/>
      <c r="M86" s="1058"/>
      <c r="N86" s="1058" t="s">
        <v>249</v>
      </c>
      <c r="O86" s="1058"/>
    </row>
    <row r="87" spans="1:15" ht="12.75">
      <c r="A87" s="221"/>
      <c r="B87" s="1058"/>
      <c r="C87" s="1058"/>
      <c r="D87" s="1058"/>
      <c r="E87" s="1058"/>
      <c r="F87" s="1058"/>
      <c r="G87" s="1058"/>
      <c r="H87" s="1058"/>
      <c r="I87" s="1058"/>
      <c r="J87" s="1058"/>
      <c r="K87" s="1058"/>
      <c r="L87" s="1145"/>
      <c r="M87" s="1145"/>
      <c r="N87" s="1058"/>
      <c r="O87" s="1058"/>
    </row>
    <row r="88" spans="1:15" ht="12.75">
      <c r="A88" s="243" t="s">
        <v>250</v>
      </c>
      <c r="B88" s="1058" t="s">
        <v>187</v>
      </c>
      <c r="C88" s="1058"/>
      <c r="D88" s="1058"/>
      <c r="E88" s="1058"/>
      <c r="F88" s="1058"/>
      <c r="G88" s="1058"/>
      <c r="H88" s="1058"/>
      <c r="I88" s="1058"/>
      <c r="J88" s="1058" t="s">
        <v>251</v>
      </c>
      <c r="K88" s="1058"/>
      <c r="L88" s="1058" t="s">
        <v>252</v>
      </c>
      <c r="M88" s="1058"/>
      <c r="N88" s="1058" t="s">
        <v>253</v>
      </c>
      <c r="O88" s="1058"/>
    </row>
    <row r="89" spans="1:15" ht="12.75">
      <c r="A89" s="221"/>
      <c r="B89" s="1058"/>
      <c r="C89" s="1058"/>
      <c r="D89" s="1058"/>
      <c r="E89" s="1058"/>
      <c r="F89" s="1058"/>
      <c r="G89" s="1058"/>
      <c r="H89" s="1058"/>
      <c r="I89" s="1058"/>
      <c r="J89" s="1058"/>
      <c r="K89" s="1058"/>
      <c r="L89" s="1145"/>
      <c r="M89" s="1145"/>
      <c r="N89" s="1058"/>
      <c r="O89" s="1058"/>
    </row>
    <row r="90" spans="1:15" ht="12.75">
      <c r="A90" s="243" t="s">
        <v>615</v>
      </c>
      <c r="B90" s="1058" t="s">
        <v>254</v>
      </c>
      <c r="C90" s="1058"/>
      <c r="D90" s="1058"/>
      <c r="E90" s="1058"/>
      <c r="F90" s="1058"/>
      <c r="G90" s="1058"/>
      <c r="H90" s="1058"/>
      <c r="I90" s="1058"/>
      <c r="J90" s="1058" t="s">
        <v>255</v>
      </c>
      <c r="K90" s="1058"/>
      <c r="L90" s="1058" t="s">
        <v>256</v>
      </c>
      <c r="M90" s="1058"/>
      <c r="N90" s="1058" t="s">
        <v>257</v>
      </c>
      <c r="O90" s="1058"/>
    </row>
    <row r="91" spans="1:15" ht="12.75">
      <c r="A91" s="221"/>
      <c r="B91" s="1058"/>
      <c r="C91" s="1058"/>
      <c r="D91" s="1058"/>
      <c r="E91" s="1058"/>
      <c r="F91" s="1058"/>
      <c r="G91" s="1058"/>
      <c r="H91" s="1058"/>
      <c r="I91" s="1058"/>
      <c r="J91" s="1058"/>
      <c r="K91" s="1058"/>
      <c r="L91" s="1145"/>
      <c r="M91" s="1145"/>
      <c r="N91" s="1058"/>
      <c r="O91" s="1058"/>
    </row>
    <row r="92" spans="1:15" ht="12.75">
      <c r="A92" s="243" t="s">
        <v>689</v>
      </c>
      <c r="B92" s="1058" t="s">
        <v>258</v>
      </c>
      <c r="C92" s="1058"/>
      <c r="D92" s="1058"/>
      <c r="E92" s="1058"/>
      <c r="F92" s="1058"/>
      <c r="G92" s="1058"/>
      <c r="H92" s="1058"/>
      <c r="I92" s="1058"/>
      <c r="J92" s="1058" t="s">
        <v>278</v>
      </c>
      <c r="K92" s="1058"/>
      <c r="L92" s="1058" t="s">
        <v>279</v>
      </c>
      <c r="M92" s="1058"/>
      <c r="N92" s="1058" t="s">
        <v>280</v>
      </c>
      <c r="O92" s="1058"/>
    </row>
    <row r="93" spans="1:15" ht="12.75">
      <c r="A93" s="221"/>
      <c r="B93" s="1058"/>
      <c r="C93" s="1058"/>
      <c r="D93" s="1058"/>
      <c r="E93" s="1058"/>
      <c r="F93" s="1058"/>
      <c r="G93" s="1058"/>
      <c r="H93" s="1058"/>
      <c r="I93" s="1058"/>
      <c r="J93" s="1058"/>
      <c r="K93" s="1058"/>
      <c r="L93" s="1145"/>
      <c r="M93" s="1145"/>
      <c r="N93" s="1058"/>
      <c r="O93" s="1058"/>
    </row>
    <row r="94" spans="1:15" ht="12.75">
      <c r="A94" s="221"/>
      <c r="B94" s="1058"/>
      <c r="C94" s="1058"/>
      <c r="D94" s="1058"/>
      <c r="E94" s="1058"/>
      <c r="F94" s="1058"/>
      <c r="G94" s="1058"/>
      <c r="H94" s="1058"/>
      <c r="I94" s="1058"/>
      <c r="J94" s="1058"/>
      <c r="K94" s="1058"/>
      <c r="L94" s="1145"/>
      <c r="M94" s="1145"/>
      <c r="N94" s="1058"/>
      <c r="O94" s="1058"/>
    </row>
  </sheetData>
  <sheetProtection sheet="1" objects="1" scenarios="1"/>
  <mergeCells count="196">
    <mergeCell ref="B46:I46"/>
    <mergeCell ref="J46:K46"/>
    <mergeCell ref="L46:M46"/>
    <mergeCell ref="N46:O46"/>
    <mergeCell ref="B47:I47"/>
    <mergeCell ref="J47:K47"/>
    <mergeCell ref="L47:M47"/>
    <mergeCell ref="N47:O47"/>
    <mergeCell ref="B48:I48"/>
    <mergeCell ref="J48:K48"/>
    <mergeCell ref="L48:M48"/>
    <mergeCell ref="N48:O48"/>
    <mergeCell ref="B49:I49"/>
    <mergeCell ref="J49:K49"/>
    <mergeCell ref="L49:M49"/>
    <mergeCell ref="N49:O49"/>
    <mergeCell ref="B50:I50"/>
    <mergeCell ref="J50:K50"/>
    <mergeCell ref="L50:M50"/>
    <mergeCell ref="N50:O50"/>
    <mergeCell ref="B51:I51"/>
    <mergeCell ref="J51:K51"/>
    <mergeCell ref="L51:M51"/>
    <mergeCell ref="N51:O51"/>
    <mergeCell ref="B52:I52"/>
    <mergeCell ref="J52:K52"/>
    <mergeCell ref="L52:M52"/>
    <mergeCell ref="N52:O52"/>
    <mergeCell ref="B53:I53"/>
    <mergeCell ref="J53:K53"/>
    <mergeCell ref="L53:M53"/>
    <mergeCell ref="N53:O53"/>
    <mergeCell ref="B54:I54"/>
    <mergeCell ref="J54:K54"/>
    <mergeCell ref="L54:M54"/>
    <mergeCell ref="N54:O54"/>
    <mergeCell ref="B55:I55"/>
    <mergeCell ref="J55:K55"/>
    <mergeCell ref="L55:M55"/>
    <mergeCell ref="N55:O55"/>
    <mergeCell ref="B56:E56"/>
    <mergeCell ref="J56:K56"/>
    <mergeCell ref="L56:M56"/>
    <mergeCell ref="N56:O56"/>
    <mergeCell ref="B57:I57"/>
    <mergeCell ref="J57:K57"/>
    <mergeCell ref="L57:M57"/>
    <mergeCell ref="N57:O57"/>
    <mergeCell ref="B58:E58"/>
    <mergeCell ref="J58:K58"/>
    <mergeCell ref="L58:M58"/>
    <mergeCell ref="N58:O58"/>
    <mergeCell ref="B59:I59"/>
    <mergeCell ref="J59:K59"/>
    <mergeCell ref="L59:M59"/>
    <mergeCell ref="N59:O59"/>
    <mergeCell ref="B60:I60"/>
    <mergeCell ref="J60:K60"/>
    <mergeCell ref="L60:M60"/>
    <mergeCell ref="N60:O60"/>
    <mergeCell ref="B61:I61"/>
    <mergeCell ref="J61:K61"/>
    <mergeCell ref="L61:M61"/>
    <mergeCell ref="N61:O61"/>
    <mergeCell ref="B62:I62"/>
    <mergeCell ref="J62:K62"/>
    <mergeCell ref="L62:M62"/>
    <mergeCell ref="N62:O62"/>
    <mergeCell ref="B63:I63"/>
    <mergeCell ref="J63:K63"/>
    <mergeCell ref="L63:M63"/>
    <mergeCell ref="N63:O63"/>
    <mergeCell ref="B64:I64"/>
    <mergeCell ref="J64:K64"/>
    <mergeCell ref="L64:M64"/>
    <mergeCell ref="N64:O64"/>
    <mergeCell ref="B65:I65"/>
    <mergeCell ref="J65:K65"/>
    <mergeCell ref="L65:M65"/>
    <mergeCell ref="N65:O65"/>
    <mergeCell ref="B66:I66"/>
    <mergeCell ref="J66:K66"/>
    <mergeCell ref="L66:M66"/>
    <mergeCell ref="N66:O66"/>
    <mergeCell ref="B67:I67"/>
    <mergeCell ref="J67:K67"/>
    <mergeCell ref="L67:M67"/>
    <mergeCell ref="N67:O67"/>
    <mergeCell ref="B68:I68"/>
    <mergeCell ref="J68:K68"/>
    <mergeCell ref="L68:M68"/>
    <mergeCell ref="N68:O68"/>
    <mergeCell ref="B69:I69"/>
    <mergeCell ref="J69:K69"/>
    <mergeCell ref="L69:M69"/>
    <mergeCell ref="N69:O69"/>
    <mergeCell ref="B70:I70"/>
    <mergeCell ref="J70:K70"/>
    <mergeCell ref="L70:M70"/>
    <mergeCell ref="N70:O70"/>
    <mergeCell ref="B71:E71"/>
    <mergeCell ref="J71:K71"/>
    <mergeCell ref="L71:M71"/>
    <mergeCell ref="N71:O71"/>
    <mergeCell ref="B72:I72"/>
    <mergeCell ref="J72:K72"/>
    <mergeCell ref="L72:M72"/>
    <mergeCell ref="N72:O72"/>
    <mergeCell ref="B73:I73"/>
    <mergeCell ref="J73:K73"/>
    <mergeCell ref="L73:M73"/>
    <mergeCell ref="N73:O73"/>
    <mergeCell ref="B74:I74"/>
    <mergeCell ref="J74:K74"/>
    <mergeCell ref="L74:M74"/>
    <mergeCell ref="N74:O74"/>
    <mergeCell ref="B75:E75"/>
    <mergeCell ref="J75:K75"/>
    <mergeCell ref="L75:M75"/>
    <mergeCell ref="N75:O75"/>
    <mergeCell ref="B76:I76"/>
    <mergeCell ref="J76:K76"/>
    <mergeCell ref="L76:M76"/>
    <mergeCell ref="N76:O76"/>
    <mergeCell ref="B77:I77"/>
    <mergeCell ref="J77:K77"/>
    <mergeCell ref="L77:M77"/>
    <mergeCell ref="N77:O77"/>
    <mergeCell ref="B78:I78"/>
    <mergeCell ref="J78:K78"/>
    <mergeCell ref="L78:M78"/>
    <mergeCell ref="N78:O78"/>
    <mergeCell ref="B79:I79"/>
    <mergeCell ref="J79:K79"/>
    <mergeCell ref="L79:M79"/>
    <mergeCell ref="N79:O79"/>
    <mergeCell ref="B80:I80"/>
    <mergeCell ref="J80:K80"/>
    <mergeCell ref="L80:M80"/>
    <mergeCell ref="N80:O80"/>
    <mergeCell ref="B81:I81"/>
    <mergeCell ref="J81:K81"/>
    <mergeCell ref="L81:M81"/>
    <mergeCell ref="N81:O81"/>
    <mergeCell ref="B82:I82"/>
    <mergeCell ref="J82:K82"/>
    <mergeCell ref="L82:M82"/>
    <mergeCell ref="N82:O82"/>
    <mergeCell ref="B83:I83"/>
    <mergeCell ref="J83:K83"/>
    <mergeCell ref="L83:M83"/>
    <mergeCell ref="N83:O83"/>
    <mergeCell ref="B84:I84"/>
    <mergeCell ref="J84:K84"/>
    <mergeCell ref="L84:M84"/>
    <mergeCell ref="N84:O84"/>
    <mergeCell ref="B85:I85"/>
    <mergeCell ref="J85:K85"/>
    <mergeCell ref="L85:M85"/>
    <mergeCell ref="N85:O85"/>
    <mergeCell ref="B86:I86"/>
    <mergeCell ref="J86:K86"/>
    <mergeCell ref="L86:M86"/>
    <mergeCell ref="N86:O86"/>
    <mergeCell ref="B87:I87"/>
    <mergeCell ref="J87:K87"/>
    <mergeCell ref="L87:M87"/>
    <mergeCell ref="N87:O87"/>
    <mergeCell ref="B88:I88"/>
    <mergeCell ref="J88:K88"/>
    <mergeCell ref="L88:M88"/>
    <mergeCell ref="N88:O88"/>
    <mergeCell ref="B89:I89"/>
    <mergeCell ref="J89:K89"/>
    <mergeCell ref="L89:M89"/>
    <mergeCell ref="N89:O89"/>
    <mergeCell ref="B90:I90"/>
    <mergeCell ref="J90:K90"/>
    <mergeCell ref="L90:M90"/>
    <mergeCell ref="N90:O90"/>
    <mergeCell ref="B91:I91"/>
    <mergeCell ref="J91:K91"/>
    <mergeCell ref="L91:M91"/>
    <mergeCell ref="N91:O91"/>
    <mergeCell ref="B92:I92"/>
    <mergeCell ref="J92:K92"/>
    <mergeCell ref="L92:M92"/>
    <mergeCell ref="N92:O92"/>
    <mergeCell ref="B93:I93"/>
    <mergeCell ref="J93:K93"/>
    <mergeCell ref="L93:M93"/>
    <mergeCell ref="N93:O93"/>
    <mergeCell ref="B94:I94"/>
    <mergeCell ref="J94:K94"/>
    <mergeCell ref="L94:M94"/>
    <mergeCell ref="N94:O9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tabColor indexed="11"/>
  </sheetPr>
  <dimension ref="A1:N13"/>
  <sheetViews>
    <sheetView workbookViewId="0" topLeftCell="A1">
      <selection activeCell="G5" sqref="G5"/>
    </sheetView>
  </sheetViews>
  <sheetFormatPr defaultColWidth="9.140625" defaultRowHeight="12.75"/>
  <cols>
    <col min="1" max="1" width="20.00390625" style="0" customWidth="1"/>
    <col min="2" max="2" width="10.140625" style="0" customWidth="1"/>
    <col min="3" max="3" width="7.140625" style="0" customWidth="1"/>
    <col min="4" max="4" width="6.57421875" style="0" customWidth="1"/>
    <col min="5" max="5" width="8.421875" style="0" customWidth="1"/>
    <col min="6" max="6" width="6.57421875" style="0" customWidth="1"/>
    <col min="7" max="7" width="5.28125" style="0" customWidth="1"/>
    <col min="8" max="8" width="6.00390625" style="0" customWidth="1"/>
    <col min="9" max="9" width="6.7109375" style="0" customWidth="1"/>
    <col min="11" max="11" width="11.7109375" style="0" customWidth="1"/>
    <col min="13" max="13" width="9.140625" style="124" customWidth="1"/>
  </cols>
  <sheetData>
    <row r="1" spans="3:10" ht="21">
      <c r="C1" s="890" t="s">
        <v>481</v>
      </c>
      <c r="D1" s="890"/>
      <c r="E1" s="890"/>
      <c r="F1" s="890"/>
      <c r="G1" s="890"/>
      <c r="H1" s="890"/>
      <c r="I1" s="890"/>
      <c r="J1" s="890"/>
    </row>
    <row r="3" spans="1:14" ht="60" customHeight="1" thickBot="1">
      <c r="A3" s="551" t="s">
        <v>436</v>
      </c>
      <c r="B3" s="551" t="s">
        <v>574</v>
      </c>
      <c r="C3" s="551" t="s">
        <v>437</v>
      </c>
      <c r="D3" s="551" t="s">
        <v>438</v>
      </c>
      <c r="E3" s="551" t="s">
        <v>555</v>
      </c>
      <c r="F3" s="551" t="s">
        <v>439</v>
      </c>
      <c r="G3" s="551" t="s">
        <v>440</v>
      </c>
      <c r="H3" s="551" t="s">
        <v>441</v>
      </c>
      <c r="I3" s="551" t="s">
        <v>442</v>
      </c>
      <c r="J3" s="551" t="s">
        <v>443</v>
      </c>
      <c r="K3" s="551" t="s">
        <v>444</v>
      </c>
      <c r="L3" s="551" t="s">
        <v>445</v>
      </c>
      <c r="M3" s="551" t="s">
        <v>692</v>
      </c>
      <c r="N3" s="376"/>
    </row>
    <row r="4" spans="1:14" ht="13.5" thickTop="1">
      <c r="A4" s="402" t="s">
        <v>446</v>
      </c>
      <c r="B4" s="403" t="s">
        <v>447</v>
      </c>
      <c r="C4" s="403">
        <v>0</v>
      </c>
      <c r="D4" s="403">
        <v>8</v>
      </c>
      <c r="E4" s="403"/>
      <c r="F4" s="403">
        <v>60</v>
      </c>
      <c r="G4" s="403">
        <v>20</v>
      </c>
      <c r="H4" s="403">
        <v>15</v>
      </c>
      <c r="I4" s="403">
        <v>1</v>
      </c>
      <c r="J4" s="403">
        <v>2</v>
      </c>
      <c r="K4" s="403">
        <v>3</v>
      </c>
      <c r="L4" s="401">
        <f>IF(K4&gt;0,(F4+G4)*(100-H4),"")</f>
        <v>6800</v>
      </c>
      <c r="M4" s="401">
        <f>IF(K4&gt;0,(2.1*(L4^1.14)*(10^-4)*(12-I4)+(3.25*(J4-2))+(2.5*(K4-3)))/100,"")</f>
        <v>0.5403462482136336</v>
      </c>
      <c r="N4" s="230" t="s">
        <v>482</v>
      </c>
    </row>
    <row r="5" spans="1:13" ht="12.75">
      <c r="A5" s="403">
        <f>IF(Input!C2="","",Input!C2)</f>
      </c>
      <c r="B5" s="403">
        <f>IF(Input!A8="","",Input!A8)</f>
      </c>
      <c r="C5" s="403">
        <f>IF(Input!C8="","",Input!C8)</f>
      </c>
      <c r="D5" s="403">
        <f>IF(Input!D8="","",Input!D8)</f>
      </c>
      <c r="E5" s="403">
        <f>IF(Input!E8="","",Input!E8)</f>
      </c>
      <c r="F5" s="404">
        <f>IF(Input!J21="","",Input!J21)</f>
      </c>
      <c r="G5" s="398"/>
      <c r="H5" s="404">
        <f>IF(Input!D21="","",Input!D21)</f>
      </c>
      <c r="I5" s="404">
        <f>IF(Input!M21="","",IF(Input!M21&gt;4,4,Input!M21))</f>
      </c>
      <c r="J5" s="398"/>
      <c r="K5" s="404">
        <f>IF(Input!N34="","",IF(Input!N34&gt;42,"1",IF(Input!N34&gt;14,"2",IF(Input!N34&gt;4,"3",IF(Input!N34&gt;1.4,"4",IF(Input!N34&gt;0.42,"5",IF(Input!N34&gt;0.01,"6")))))))</f>
      </c>
      <c r="L5" s="405">
        <f>IF(G5="","",IF(K5&gt;0,(F5+G5)*(100-H5),""))</f>
      </c>
      <c r="M5" s="405">
        <f>IF(L5="","",IF(K5&gt;0,(2.1*(L5^1.14)*(10^-4)*(12-I5)+(3.25*(J5-2))+(2.5*(K5-3)))/100,""))</f>
      </c>
    </row>
    <row r="6" spans="1:13" ht="12.75">
      <c r="A6" s="399"/>
      <c r="B6" s="403">
        <f>IF(Input!A9="","",Input!A9)</f>
      </c>
      <c r="C6" s="403">
        <f>IF(Input!C9="","",Input!C9)</f>
      </c>
      <c r="D6" s="403">
        <f>IF(Input!D9="","",Input!D9)</f>
      </c>
      <c r="E6" s="403">
        <f>IF(Input!E9="","",Input!E9)</f>
      </c>
      <c r="F6" s="404">
        <f>IF(Input!J22="","",Input!J22)</f>
      </c>
      <c r="G6" s="400"/>
      <c r="H6" s="404">
        <f>IF(Input!D22="","",Input!D22)</f>
      </c>
      <c r="I6" s="404">
        <f>IF(Input!M22="","",IF(Input!M22&gt;4,4,Input!M22))</f>
      </c>
      <c r="J6" s="400"/>
      <c r="K6" s="404">
        <f>IF(Input!N35="","",IF(Input!N35&gt;42,"1",IF(Input!N35&gt;14,"2",IF(Input!N35&gt;4,"3",IF(Input!N35&gt;1.4,"4",IF(Input!N35&gt;0.42,"5",IF(Input!N35&gt;0.01,"6")))))))</f>
      </c>
      <c r="L6" s="405">
        <f aca="true" t="shared" si="0" ref="L6:L13">IF(G6="","",IF(K6&gt;0,(F6+G6)*(100-H6),""))</f>
      </c>
      <c r="M6" s="405">
        <f aca="true" t="shared" si="1" ref="M6:M13">IF(L6="","",IF(K6&gt;0,(2.1*(L6^1.14)*(10^-4)*(12-I6)+(3.25*(J6-2))+(2.5*(K6-3)))/100,""))</f>
      </c>
    </row>
    <row r="7" spans="1:13" ht="12.75">
      <c r="A7" s="399"/>
      <c r="B7" s="403">
        <f>IF(Input!A10="","",Input!A10)</f>
      </c>
      <c r="C7" s="403">
        <f>IF(Input!C10="","",Input!C10)</f>
      </c>
      <c r="D7" s="403">
        <f>IF(Input!D10="","",Input!D10)</f>
      </c>
      <c r="E7" s="403">
        <f>IF(Input!E10="","",Input!E10)</f>
      </c>
      <c r="F7" s="404">
        <f>IF(Input!J23="","",Input!J23)</f>
      </c>
      <c r="G7" s="400"/>
      <c r="H7" s="404">
        <f>IF(Input!D23="","",Input!D23)</f>
      </c>
      <c r="I7" s="404">
        <f>IF(Input!M23="","",IF(Input!M23&gt;4,4,Input!M23))</f>
      </c>
      <c r="J7" s="400"/>
      <c r="K7" s="404">
        <f>IF(Input!N36="","",IF(Input!N36&gt;42,"1",IF(Input!N36&gt;14,"2",IF(Input!N36&gt;4,"3",IF(Input!N36&gt;1.4,"4",IF(Input!N36&gt;0.42,"5",IF(Input!N36&gt;0.01,"6")))))))</f>
      </c>
      <c r="L7" s="405">
        <f t="shared" si="0"/>
      </c>
      <c r="M7" s="405">
        <f t="shared" si="1"/>
      </c>
    </row>
    <row r="8" spans="1:13" ht="12.75">
      <c r="A8" s="399"/>
      <c r="B8" s="403">
        <f>IF(Input!A11="","",Input!A11)</f>
      </c>
      <c r="C8" s="403">
        <f>IF(Input!C11="","",Input!C11)</f>
      </c>
      <c r="D8" s="403">
        <f>IF(Input!D11="","",Input!D11)</f>
      </c>
      <c r="E8" s="403">
        <f>IF(Input!E11="","",Input!E11)</f>
      </c>
      <c r="F8" s="404">
        <f>IF(Input!J24="","",Input!J24)</f>
      </c>
      <c r="G8" s="400"/>
      <c r="H8" s="404">
        <f>IF(Input!D24="","",Input!D24)</f>
      </c>
      <c r="I8" s="404">
        <f>IF(Input!M24="","",IF(Input!M24&gt;4,4,Input!M24))</f>
      </c>
      <c r="J8" s="400"/>
      <c r="K8" s="404">
        <f>IF(Input!N37="","",IF(Input!N37&gt;42,"1",IF(Input!N37&gt;14,"2",IF(Input!N37&gt;4,"3",IF(Input!N37&gt;1.4,"4",IF(Input!N37&gt;0.42,"5",IF(Input!N37&gt;0.01,"6")))))))</f>
      </c>
      <c r="L8" s="405">
        <f t="shared" si="0"/>
      </c>
      <c r="M8" s="405">
        <f t="shared" si="1"/>
      </c>
    </row>
    <row r="9" spans="1:13" ht="12.75">
      <c r="A9" s="399"/>
      <c r="B9" s="403">
        <f>IF(Input!A12="","",Input!A12)</f>
      </c>
      <c r="C9" s="403">
        <f>IF(Input!C12="","",Input!C12)</f>
      </c>
      <c r="D9" s="403">
        <f>IF(Input!D12="","",Input!D12)</f>
      </c>
      <c r="E9" s="403">
        <f>IF(Input!E12="","",Input!E12)</f>
      </c>
      <c r="F9" s="404">
        <f>IF(Input!J25="","",Input!J25)</f>
      </c>
      <c r="G9" s="400"/>
      <c r="H9" s="404">
        <f>IF(Input!D25="","",Input!D25)</f>
      </c>
      <c r="I9" s="404">
        <f>IF(Input!M25="","",IF(Input!M25&gt;4,4,Input!M25))</f>
      </c>
      <c r="J9" s="400"/>
      <c r="K9" s="404">
        <f>IF(Input!N38="","",IF(Input!N38&gt;42,"1",IF(Input!N38&gt;14,"2",IF(Input!N38&gt;4,"3",IF(Input!N38&gt;1.4,"4",IF(Input!N38&gt;0.42,"5",IF(Input!N38&gt;0.01,"6")))))))</f>
      </c>
      <c r="L9" s="405">
        <f t="shared" si="0"/>
      </c>
      <c r="M9" s="405">
        <f t="shared" si="1"/>
      </c>
    </row>
    <row r="10" spans="1:13" ht="12.75">
      <c r="A10" s="399"/>
      <c r="B10" s="403">
        <f>IF(Input!A13="","",Input!A13)</f>
      </c>
      <c r="C10" s="403">
        <f>IF(Input!C13="","",Input!C13)</f>
      </c>
      <c r="D10" s="403">
        <f>IF(Input!D13="","",Input!D13)</f>
      </c>
      <c r="E10" s="403">
        <f>IF(Input!E13="","",Input!E13)</f>
      </c>
      <c r="F10" s="404">
        <f>IF(Input!J26="","",Input!J26)</f>
      </c>
      <c r="G10" s="400"/>
      <c r="H10" s="404">
        <f>IF(Input!D26="","",Input!D26)</f>
      </c>
      <c r="I10" s="404">
        <f>IF(Input!M26="","",IF(Input!M26&gt;4,4,Input!M26))</f>
      </c>
      <c r="J10" s="400"/>
      <c r="K10" s="404">
        <f>IF(Input!N39="","",IF(Input!N39&gt;42,"1",IF(Input!N39&gt;14,"2",IF(Input!N39&gt;4,"3",IF(Input!N39&gt;1.4,"4",IF(Input!N39&gt;0.42,"5",IF(Input!N39&gt;0.01,"6")))))))</f>
      </c>
      <c r="L10" s="405">
        <f t="shared" si="0"/>
      </c>
      <c r="M10" s="405">
        <f t="shared" si="1"/>
      </c>
    </row>
    <row r="11" spans="1:13" ht="12.75">
      <c r="A11" s="399"/>
      <c r="B11" s="403">
        <f>IF(Input!A14="","",Input!A14)</f>
      </c>
      <c r="C11" s="403">
        <f>IF(Input!C14="","",Input!C14)</f>
      </c>
      <c r="D11" s="403">
        <f>IF(Input!D14="","",Input!D14)</f>
      </c>
      <c r="E11" s="403">
        <f>IF(Input!E14="","",Input!E14)</f>
      </c>
      <c r="F11" s="404">
        <f>IF(Input!J27="","",Input!J27)</f>
      </c>
      <c r="G11" s="400"/>
      <c r="H11" s="404">
        <f>IF(Input!D27="","",Input!D27)</f>
      </c>
      <c r="I11" s="404">
        <f>IF(Input!M27="","",IF(Input!M27&gt;4,4,Input!M27))</f>
      </c>
      <c r="J11" s="400"/>
      <c r="K11" s="404">
        <f>IF(Input!N40="","",IF(Input!N40&gt;42,"1",IF(Input!N40&gt;14,"2",IF(Input!N40&gt;4,"3",IF(Input!N40&gt;1.4,"4",IF(Input!N40&gt;0.42,"5",IF(Input!N40&gt;0.01,"6")))))))</f>
      </c>
      <c r="L11" s="405">
        <f t="shared" si="0"/>
      </c>
      <c r="M11" s="405">
        <f t="shared" si="1"/>
      </c>
    </row>
    <row r="12" spans="1:13" ht="12.75">
      <c r="A12" s="399"/>
      <c r="B12" s="403">
        <f>IF(Input!A15="","",Input!A15)</f>
      </c>
      <c r="C12" s="403">
        <f>IF(Input!C15="","",Input!C15)</f>
      </c>
      <c r="D12" s="403">
        <f>IF(Input!D15="","",Input!D15)</f>
      </c>
      <c r="E12" s="403">
        <f>IF(Input!E15="","",Input!E15)</f>
      </c>
      <c r="F12" s="404">
        <f>IF(Input!J28="","",Input!J28)</f>
      </c>
      <c r="G12" s="400"/>
      <c r="H12" s="404">
        <f>IF(Input!D28="","",Input!D28)</f>
      </c>
      <c r="I12" s="404">
        <f>IF(Input!M28="","",IF(Input!M28&gt;4,4,Input!M28))</f>
      </c>
      <c r="J12" s="400"/>
      <c r="K12" s="404">
        <f>IF(Input!N41="","",IF(Input!N41&gt;42,"1",IF(Input!N41&gt;14,"2",IF(Input!N41&gt;4,"3",IF(Input!N41&gt;1.4,"4",IF(Input!N41&gt;0.42,"5",IF(Input!N41&gt;0.01,"6")))))))</f>
      </c>
      <c r="L12" s="405">
        <f t="shared" si="0"/>
      </c>
      <c r="M12" s="405">
        <f t="shared" si="1"/>
      </c>
    </row>
    <row r="13" spans="1:13" ht="12.75">
      <c r="A13" s="399"/>
      <c r="B13" s="403">
        <f>IF(Input!A16="","",Input!A16)</f>
      </c>
      <c r="C13" s="403">
        <f>IF(Input!C16="","",Input!C16)</f>
      </c>
      <c r="D13" s="403">
        <f>IF(Input!D16="","",Input!D16)</f>
      </c>
      <c r="E13" s="403">
        <f>IF(Input!E16="","",Input!E16)</f>
      </c>
      <c r="F13" s="404">
        <f>IF(Input!J29="","",Input!J29)</f>
      </c>
      <c r="G13" s="400"/>
      <c r="H13" s="404">
        <f>IF(Input!D29="","",Input!D29)</f>
      </c>
      <c r="I13" s="404">
        <f>IF(Input!M29="","",IF(Input!M29&gt;4,4,Input!M29))</f>
      </c>
      <c r="J13" s="400"/>
      <c r="K13" s="404">
        <f>IF(Input!N42="","",IF(Input!N42&gt;42,"1",IF(Input!N42&gt;14,"2",IF(Input!N42&gt;4,"3",IF(Input!N42&gt;1.4,"4",IF(Input!N42&gt;0.42,"5",IF(Input!N42&gt;0.01,"6")))))))</f>
      </c>
      <c r="L13" s="405">
        <f t="shared" si="0"/>
      </c>
      <c r="M13" s="405">
        <f t="shared" si="1"/>
      </c>
    </row>
  </sheetData>
  <sheetProtection sheet="1" objects="1" scenarios="1"/>
  <mergeCells count="1">
    <mergeCell ref="C1:J1"/>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1">
    <tabColor indexed="12"/>
    <pageSetUpPr fitToPage="1"/>
  </sheetPr>
  <dimension ref="A1:CB90"/>
  <sheetViews>
    <sheetView zoomScale="80" zoomScaleNormal="80" zoomScaleSheetLayoutView="100" workbookViewId="0" topLeftCell="A1">
      <pane xSplit="2" topLeftCell="C1" activePane="topRight" state="frozen"/>
      <selection pane="topLeft" activeCell="A51" sqref="A51:B51"/>
      <selection pane="topRight" activeCell="AC2" sqref="AC2"/>
    </sheetView>
  </sheetViews>
  <sheetFormatPr defaultColWidth="9.140625" defaultRowHeight="12.75"/>
  <cols>
    <col min="1" max="1" width="7.57421875" style="97" customWidth="1"/>
    <col min="2" max="2" width="7.8515625" style="97" customWidth="1"/>
    <col min="3" max="3" width="6.140625" style="97" customWidth="1"/>
    <col min="4" max="4" width="7.00390625" style="97" customWidth="1"/>
    <col min="5" max="5" width="5.8515625" style="97" customWidth="1"/>
    <col min="6" max="6" width="6.28125" style="97" customWidth="1"/>
    <col min="7" max="7" width="5.57421875" style="97" customWidth="1"/>
    <col min="8" max="8" width="5.00390625" style="97" customWidth="1"/>
    <col min="9" max="9" width="6.00390625" style="97" customWidth="1"/>
    <col min="10" max="11" width="6.140625" style="97" customWidth="1"/>
    <col min="12" max="12" width="6.28125" style="97" customWidth="1"/>
    <col min="13" max="13" width="6.00390625" style="97" customWidth="1"/>
    <col min="14" max="14" width="5.7109375" style="97" customWidth="1"/>
    <col min="15" max="15" width="4.28125" style="97" customWidth="1"/>
    <col min="16" max="16" width="4.8515625" style="97" customWidth="1"/>
    <col min="17" max="17" width="5.7109375" style="97" customWidth="1"/>
    <col min="18" max="18" width="5.140625" style="97" customWidth="1"/>
    <col min="19" max="19" width="4.8515625" style="97" customWidth="1"/>
    <col min="20" max="20" width="5.00390625" style="97" customWidth="1"/>
    <col min="21" max="21" width="4.8515625" style="97" customWidth="1"/>
    <col min="22" max="22" width="4.7109375" style="97" customWidth="1"/>
    <col min="23" max="23" width="4.140625" style="97" customWidth="1"/>
    <col min="24" max="24" width="5.140625" style="97" customWidth="1"/>
    <col min="25" max="26" width="5.7109375" style="97" customWidth="1"/>
    <col min="27" max="27" width="6.421875" style="97" customWidth="1"/>
    <col min="28" max="29" width="6.8515625" style="97" customWidth="1"/>
    <col min="30" max="30" width="5.8515625" style="97" customWidth="1"/>
    <col min="31" max="31" width="5.421875" style="97" customWidth="1"/>
    <col min="32" max="33" width="5.140625" style="97" customWidth="1"/>
    <col min="34" max="35" width="6.00390625" style="97" customWidth="1"/>
    <col min="36" max="36" width="5.8515625" style="97" customWidth="1"/>
    <col min="37" max="37" width="5.140625" style="97" customWidth="1"/>
    <col min="38" max="38" width="5.00390625" style="97" customWidth="1"/>
    <col min="39" max="39" width="5.57421875" style="97" customWidth="1"/>
    <col min="40" max="40" width="4.7109375" style="97" customWidth="1"/>
    <col min="41" max="41" width="4.8515625" style="97" customWidth="1"/>
    <col min="42" max="43" width="4.57421875" style="97" customWidth="1"/>
    <col min="44" max="44" width="4.00390625" style="97" customWidth="1"/>
    <col min="45" max="45" width="6.421875" style="97" customWidth="1"/>
    <col min="46" max="46" width="5.7109375" style="97" customWidth="1"/>
    <col min="47" max="47" width="5.8515625" style="97" customWidth="1"/>
    <col min="48" max="48" width="4.57421875" style="97" customWidth="1"/>
    <col min="49" max="49" width="4.7109375" style="97" customWidth="1"/>
    <col min="50" max="50" width="4.28125" style="97" customWidth="1"/>
    <col min="51" max="51" width="5.421875" style="97" customWidth="1"/>
    <col min="52" max="52" width="6.00390625" style="97" customWidth="1"/>
    <col min="53" max="75" width="4.8515625" style="97" customWidth="1"/>
    <col min="76" max="76" width="4.8515625" style="99" customWidth="1"/>
    <col min="77" max="79" width="4.8515625" style="97" customWidth="1"/>
    <col min="80" max="80" width="4.8515625" style="100" customWidth="1"/>
    <col min="81" max="16384" width="4.8515625" style="97" customWidth="1"/>
  </cols>
  <sheetData>
    <row r="1" spans="28:56" s="16" customFormat="1" ht="12.75">
      <c r="AB1" s="426" t="s">
        <v>40</v>
      </c>
      <c r="BB1" s="17"/>
      <c r="BD1" s="17"/>
    </row>
    <row r="2" spans="1:55" s="16" customFormat="1" ht="15">
      <c r="A2" s="903" t="s">
        <v>530</v>
      </c>
      <c r="B2" s="903"/>
      <c r="C2" s="916">
        <f>IF(Input!C2="","",Input!C2)</f>
      </c>
      <c r="D2" s="916"/>
      <c r="E2" s="916"/>
      <c r="F2" s="916"/>
      <c r="G2" s="916"/>
      <c r="H2" s="916"/>
      <c r="I2" s="916"/>
      <c r="J2" s="916"/>
      <c r="K2" s="916"/>
      <c r="L2" s="916"/>
      <c r="M2" s="916"/>
      <c r="N2" s="916"/>
      <c r="O2" s="916"/>
      <c r="P2" s="916"/>
      <c r="R2" s="18" t="s">
        <v>531</v>
      </c>
      <c r="S2" s="940">
        <f>IF(Input!S2="","",Input!S2)</f>
      </c>
      <c r="T2" s="940"/>
      <c r="U2" s="940"/>
      <c r="AD2" s="986"/>
      <c r="AE2" s="986"/>
      <c r="AF2" s="986"/>
      <c r="AG2" s="986"/>
      <c r="AV2" s="17"/>
      <c r="AZ2" s="20"/>
      <c r="BC2" s="17"/>
    </row>
    <row r="3" spans="1:56" s="16" customFormat="1" ht="12.75">
      <c r="A3" s="903" t="s">
        <v>537</v>
      </c>
      <c r="B3" s="903"/>
      <c r="C3" s="916">
        <f>IF(Input!C3="","",Input!C3)</f>
      </c>
      <c r="D3" s="916"/>
      <c r="E3" s="916"/>
      <c r="F3" s="916"/>
      <c r="G3" s="916"/>
      <c r="H3" s="916"/>
      <c r="I3" s="916"/>
      <c r="J3" s="916"/>
      <c r="K3" s="916"/>
      <c r="L3" s="916"/>
      <c r="M3" s="916"/>
      <c r="N3" s="916"/>
      <c r="O3" s="916"/>
      <c r="P3" s="916"/>
      <c r="Q3" s="19"/>
      <c r="R3" s="18" t="s">
        <v>538</v>
      </c>
      <c r="S3" s="940">
        <f>IF(Input!S3="","",Input!S3)</f>
      </c>
      <c r="T3" s="940"/>
      <c r="U3" s="940"/>
      <c r="V3" s="19"/>
      <c r="W3" s="19"/>
      <c r="X3" s="19"/>
      <c r="AD3" s="17"/>
      <c r="AE3" s="987"/>
      <c r="AF3" s="987"/>
      <c r="AG3" s="987"/>
      <c r="AH3" s="987"/>
      <c r="AI3" s="987"/>
      <c r="AJ3" s="987"/>
      <c r="AK3" s="987"/>
      <c r="AL3" s="987"/>
      <c r="AM3" s="987"/>
      <c r="AW3" s="17"/>
      <c r="BA3" s="20"/>
      <c r="BD3" s="17"/>
    </row>
    <row r="4" spans="1:58" s="16" customFormat="1" ht="12.75">
      <c r="A4" s="903" t="s">
        <v>542</v>
      </c>
      <c r="B4" s="903"/>
      <c r="C4" s="916">
        <f>IF(Input!C4="","",Input!C4)</f>
      </c>
      <c r="D4" s="916"/>
      <c r="E4" s="916"/>
      <c r="F4" s="916"/>
      <c r="G4" s="916"/>
      <c r="H4" s="916"/>
      <c r="I4" s="916"/>
      <c r="J4" s="916"/>
      <c r="K4" s="916"/>
      <c r="L4" s="916"/>
      <c r="M4" s="916"/>
      <c r="N4" s="916"/>
      <c r="O4" s="916"/>
      <c r="P4" s="916"/>
      <c r="Q4" s="19"/>
      <c r="R4" s="18" t="s">
        <v>543</v>
      </c>
      <c r="S4" s="940">
        <f>IF(Input!S4="","",Input!S4)</f>
      </c>
      <c r="T4" s="940"/>
      <c r="U4" s="940"/>
      <c r="V4" s="19"/>
      <c r="W4" s="19"/>
      <c r="X4" s="19"/>
      <c r="Y4" s="19"/>
      <c r="Z4" s="19"/>
      <c r="AA4" s="17"/>
      <c r="AB4" s="17"/>
      <c r="AC4" s="920"/>
      <c r="AD4" s="920"/>
      <c r="AE4" s="414"/>
      <c r="AF4" s="414"/>
      <c r="AG4" s="414"/>
      <c r="AH4" s="414"/>
      <c r="AI4" s="414"/>
      <c r="AJ4" s="414"/>
      <c r="AK4" s="414"/>
      <c r="AL4" s="414"/>
      <c r="AM4" s="414"/>
      <c r="AW4" s="21"/>
      <c r="BA4" s="20"/>
      <c r="BD4" s="21"/>
      <c r="BF4" s="22"/>
    </row>
    <row r="5" spans="2:58" s="16" customFormat="1" ht="12.75">
      <c r="B5" s="23"/>
      <c r="C5" s="24"/>
      <c r="D5" s="920"/>
      <c r="E5" s="920"/>
      <c r="F5" s="24"/>
      <c r="G5" s="23"/>
      <c r="H5" s="23"/>
      <c r="I5" s="24"/>
      <c r="J5" s="24"/>
      <c r="K5" s="24"/>
      <c r="L5" s="24"/>
      <c r="M5" s="24"/>
      <c r="N5" s="24"/>
      <c r="O5" s="24"/>
      <c r="P5" s="24"/>
      <c r="Q5" s="24"/>
      <c r="R5" s="24"/>
      <c r="S5" s="24"/>
      <c r="T5" s="24"/>
      <c r="U5" s="24"/>
      <c r="V5" s="24"/>
      <c r="W5" s="18" t="s">
        <v>678</v>
      </c>
      <c r="X5" s="941">
        <f>IF(Input!O21="","",Input!O21)</f>
      </c>
      <c r="Y5" s="942"/>
      <c r="Z5" s="942"/>
      <c r="AA5" s="943"/>
      <c r="AB5" s="23"/>
      <c r="AC5" s="920"/>
      <c r="AD5" s="920"/>
      <c r="AE5" s="23"/>
      <c r="AF5" s="23"/>
      <c r="AG5" s="23"/>
      <c r="AH5" s="23"/>
      <c r="AI5" s="23"/>
      <c r="AJ5" s="23"/>
      <c r="AK5" s="23"/>
      <c r="AL5" s="23"/>
      <c r="AM5" s="23"/>
      <c r="AW5" s="21"/>
      <c r="BA5" s="25"/>
      <c r="BD5" s="21"/>
      <c r="BF5" s="22"/>
    </row>
    <row r="6" spans="1:58" s="16" customFormat="1" ht="15">
      <c r="A6" s="918" t="s">
        <v>679</v>
      </c>
      <c r="B6" s="918"/>
      <c r="C6" s="918"/>
      <c r="D6" s="23"/>
      <c r="E6" s="23"/>
      <c r="F6" s="24"/>
      <c r="G6" s="23"/>
      <c r="H6" s="23"/>
      <c r="I6" s="24"/>
      <c r="M6" s="24"/>
      <c r="N6" s="24"/>
      <c r="O6" s="24"/>
      <c r="P6" s="24"/>
      <c r="Q6" s="24"/>
      <c r="R6" s="24"/>
      <c r="S6" s="24"/>
      <c r="X6" s="949">
        <f>IF(Input!O22="","",Input!O22)</f>
      </c>
      <c r="Y6" s="920"/>
      <c r="Z6" s="920"/>
      <c r="AA6" s="950"/>
      <c r="AB6" s="23"/>
      <c r="AC6" s="920"/>
      <c r="AD6" s="920"/>
      <c r="AE6" s="23"/>
      <c r="AF6" s="23"/>
      <c r="AG6" s="23"/>
      <c r="AH6" s="23"/>
      <c r="AI6" s="23"/>
      <c r="AJ6" s="23"/>
      <c r="AK6" s="23"/>
      <c r="AL6" s="23"/>
      <c r="AM6" s="23"/>
      <c r="AW6" s="21"/>
      <c r="BA6" s="25"/>
      <c r="BD6" s="21"/>
      <c r="BF6" s="22"/>
    </row>
    <row r="7" spans="1:58" s="16" customFormat="1" ht="12.75">
      <c r="A7" s="903" t="s">
        <v>666</v>
      </c>
      <c r="B7" s="903"/>
      <c r="C7" s="903"/>
      <c r="D7" s="914">
        <f>IF(Input!C47="","",Input!C47)</f>
      </c>
      <c r="E7" s="914"/>
      <c r="F7" s="914"/>
      <c r="G7" s="914"/>
      <c r="H7" s="914"/>
      <c r="I7" s="24"/>
      <c r="J7" s="903" t="s">
        <v>673</v>
      </c>
      <c r="K7" s="903"/>
      <c r="L7" s="903"/>
      <c r="M7" s="919">
        <f>IF(Input!C56="","",Input!C56)</f>
      </c>
      <c r="N7" s="919"/>
      <c r="O7" s="919"/>
      <c r="P7" s="919"/>
      <c r="Q7" s="24"/>
      <c r="R7" s="24"/>
      <c r="S7" s="24"/>
      <c r="T7" s="24"/>
      <c r="U7" s="24"/>
      <c r="V7" s="24"/>
      <c r="W7" s="24"/>
      <c r="X7" s="949">
        <f>IF(Input!O23="","",Input!O23)</f>
      </c>
      <c r="Y7" s="920"/>
      <c r="Z7" s="920"/>
      <c r="AA7" s="950"/>
      <c r="AB7" s="23"/>
      <c r="AC7" s="920"/>
      <c r="AD7" s="920"/>
      <c r="AE7" s="23"/>
      <c r="AF7" s="23"/>
      <c r="AG7" s="23"/>
      <c r="AH7" s="23"/>
      <c r="AI7" s="23"/>
      <c r="AJ7" s="23"/>
      <c r="AK7" s="23"/>
      <c r="AL7" s="23"/>
      <c r="AM7" s="23"/>
      <c r="AW7" s="21"/>
      <c r="BA7" s="25"/>
      <c r="BD7" s="21"/>
      <c r="BF7" s="22"/>
    </row>
    <row r="8" spans="1:58" s="16" customFormat="1" ht="12.75">
      <c r="A8" s="903" t="s">
        <v>667</v>
      </c>
      <c r="B8" s="903"/>
      <c r="C8" s="903"/>
      <c r="D8" s="914">
        <f>IF(Input!C48="","",Input!C48)</f>
      </c>
      <c r="E8" s="914"/>
      <c r="F8" s="914"/>
      <c r="G8" s="914"/>
      <c r="H8" s="914"/>
      <c r="I8" s="24"/>
      <c r="J8" s="903" t="s">
        <v>675</v>
      </c>
      <c r="K8" s="903"/>
      <c r="L8" s="903"/>
      <c r="M8" s="915">
        <f>IF(Input!C57="","",Input!C57)</f>
      </c>
      <c r="N8" s="915"/>
      <c r="O8" s="915"/>
      <c r="P8" s="915"/>
      <c r="Q8" s="24"/>
      <c r="R8" s="24"/>
      <c r="S8" s="24"/>
      <c r="T8" s="24"/>
      <c r="U8" s="24"/>
      <c r="V8" s="24"/>
      <c r="W8" s="24"/>
      <c r="X8" s="949">
        <f>IF(Input!O24="","",Input!O24)</f>
      </c>
      <c r="Y8" s="920"/>
      <c r="Z8" s="920"/>
      <c r="AA8" s="950"/>
      <c r="AB8" s="23"/>
      <c r="AC8" s="920"/>
      <c r="AD8" s="920"/>
      <c r="AE8" s="23"/>
      <c r="AF8" s="23"/>
      <c r="AG8" s="23"/>
      <c r="AH8" s="23"/>
      <c r="AI8" s="23"/>
      <c r="AJ8" s="23"/>
      <c r="AK8" s="23"/>
      <c r="AL8" s="23"/>
      <c r="AM8" s="23"/>
      <c r="AW8" s="21"/>
      <c r="BA8" s="25"/>
      <c r="BD8" s="21"/>
      <c r="BF8" s="22"/>
    </row>
    <row r="9" spans="1:58" s="16" customFormat="1" ht="12.75">
      <c r="A9" s="903" t="s">
        <v>669</v>
      </c>
      <c r="B9" s="903"/>
      <c r="C9" s="903"/>
      <c r="D9" s="914">
        <f>IF(Input!C49="","",Input!C49)</f>
      </c>
      <c r="E9" s="914"/>
      <c r="F9" s="914"/>
      <c r="G9" s="914"/>
      <c r="H9" s="914"/>
      <c r="I9" s="24"/>
      <c r="J9" s="903" t="s">
        <v>676</v>
      </c>
      <c r="K9" s="903"/>
      <c r="L9" s="903"/>
      <c r="M9" s="915">
        <f>IF(Input!C58="","",Input!C58)</f>
      </c>
      <c r="N9" s="915"/>
      <c r="O9" s="915"/>
      <c r="P9" s="915"/>
      <c r="Q9" s="24"/>
      <c r="R9" s="24"/>
      <c r="S9" s="24"/>
      <c r="T9" s="24"/>
      <c r="U9" s="24"/>
      <c r="V9" s="24"/>
      <c r="W9" s="24"/>
      <c r="X9" s="949">
        <f>IF(Input!O25="","",Input!O25)</f>
      </c>
      <c r="Y9" s="920"/>
      <c r="Z9" s="920"/>
      <c r="AA9" s="950"/>
      <c r="AB9" s="23"/>
      <c r="AC9" s="920"/>
      <c r="AD9" s="920"/>
      <c r="AE9" s="23"/>
      <c r="AF9" s="23"/>
      <c r="AG9" s="23"/>
      <c r="AH9" s="23"/>
      <c r="AI9" s="23"/>
      <c r="AJ9" s="23"/>
      <c r="AK9" s="23"/>
      <c r="AL9" s="23"/>
      <c r="AM9" s="23"/>
      <c r="AW9" s="21"/>
      <c r="BA9" s="25"/>
      <c r="BD9" s="21"/>
      <c r="BF9" s="22"/>
    </row>
    <row r="10" spans="1:58" s="16" customFormat="1" ht="12.75">
      <c r="A10" s="903" t="s">
        <v>670</v>
      </c>
      <c r="B10" s="903"/>
      <c r="C10" s="903"/>
      <c r="D10" s="914">
        <f>IF(Input!C50="","",Input!C50)</f>
      </c>
      <c r="E10" s="914"/>
      <c r="F10" s="914"/>
      <c r="G10" s="914"/>
      <c r="H10" s="914"/>
      <c r="I10" s="24"/>
      <c r="J10" s="903" t="s">
        <v>677</v>
      </c>
      <c r="K10" s="903"/>
      <c r="L10" s="903"/>
      <c r="M10" s="915">
        <f>IF(Input!C59="","",Input!C59)</f>
      </c>
      <c r="N10" s="915"/>
      <c r="O10" s="915"/>
      <c r="P10" s="915"/>
      <c r="Q10" s="24"/>
      <c r="R10" s="24"/>
      <c r="S10" s="24"/>
      <c r="T10" s="24"/>
      <c r="U10" s="24"/>
      <c r="V10" s="24"/>
      <c r="W10" s="24"/>
      <c r="X10" s="949">
        <f>IF(Input!O26="","",Input!O26)</f>
      </c>
      <c r="Y10" s="920"/>
      <c r="Z10" s="920"/>
      <c r="AA10" s="950"/>
      <c r="AB10" s="23"/>
      <c r="AC10" s="920"/>
      <c r="AD10" s="920"/>
      <c r="AE10" s="23"/>
      <c r="AF10" s="23"/>
      <c r="AG10" s="23"/>
      <c r="AH10" s="23"/>
      <c r="AI10" s="23"/>
      <c r="AJ10" s="23"/>
      <c r="AK10" s="23"/>
      <c r="AL10" s="23"/>
      <c r="AM10" s="23"/>
      <c r="AW10" s="21"/>
      <c r="BA10" s="25"/>
      <c r="BD10" s="21"/>
      <c r="BF10" s="22"/>
    </row>
    <row r="11" spans="1:58" s="16" customFormat="1" ht="12.75">
      <c r="A11" s="903" t="s">
        <v>672</v>
      </c>
      <c r="B11" s="903"/>
      <c r="C11" s="903"/>
      <c r="D11" s="914">
        <f>IF(Input!C55="","",Input!C55)</f>
      </c>
      <c r="E11" s="914"/>
      <c r="F11" s="914"/>
      <c r="G11" s="914"/>
      <c r="H11" s="914"/>
      <c r="I11" s="24"/>
      <c r="J11" s="18"/>
      <c r="K11" s="903" t="s">
        <v>434</v>
      </c>
      <c r="L11" s="904"/>
      <c r="M11" s="282">
        <f>Input!C54</f>
        <v>0</v>
      </c>
      <c r="N11" s="913" t="s">
        <v>435</v>
      </c>
      <c r="O11" s="913"/>
      <c r="P11" s="913"/>
      <c r="Q11" s="24"/>
      <c r="R11" s="24"/>
      <c r="S11" s="24"/>
      <c r="T11" s="24"/>
      <c r="U11" s="24"/>
      <c r="V11" s="24"/>
      <c r="W11" s="24"/>
      <c r="X11" s="949">
        <f>IF(Input!O27="","",Input!O27)</f>
      </c>
      <c r="Y11" s="920"/>
      <c r="Z11" s="920"/>
      <c r="AA11" s="950"/>
      <c r="AB11" s="23"/>
      <c r="AC11" s="920"/>
      <c r="AD11" s="920"/>
      <c r="AE11" s="23"/>
      <c r="AF11" s="23"/>
      <c r="AG11" s="23"/>
      <c r="AH11" s="23"/>
      <c r="AI11" s="23"/>
      <c r="AJ11" s="23"/>
      <c r="AK11" s="23"/>
      <c r="AL11" s="23"/>
      <c r="AM11" s="23"/>
      <c r="AW11" s="21"/>
      <c r="BA11" s="25"/>
      <c r="BD11" s="21"/>
      <c r="BF11" s="22"/>
    </row>
    <row r="12" spans="4:58" s="16" customFormat="1" ht="12.75">
      <c r="D12" s="23"/>
      <c r="E12" s="23"/>
      <c r="F12" s="24"/>
      <c r="G12" s="23"/>
      <c r="H12" s="23"/>
      <c r="I12" s="24"/>
      <c r="J12" s="24"/>
      <c r="K12" s="24"/>
      <c r="L12" s="24"/>
      <c r="M12" s="24"/>
      <c r="N12" s="24"/>
      <c r="O12" s="24"/>
      <c r="P12" s="24"/>
      <c r="Q12" s="24"/>
      <c r="R12" s="24"/>
      <c r="S12" s="24"/>
      <c r="T12" s="24"/>
      <c r="U12" s="24"/>
      <c r="V12" s="24"/>
      <c r="W12" s="24"/>
      <c r="X12" s="949">
        <f>IF(Input!O28="","",Input!O28)</f>
      </c>
      <c r="Y12" s="920"/>
      <c r="Z12" s="920"/>
      <c r="AA12" s="950"/>
      <c r="AB12" s="23"/>
      <c r="AC12" s="920"/>
      <c r="AD12" s="920"/>
      <c r="AE12" s="23"/>
      <c r="AF12" s="23"/>
      <c r="AG12" s="23"/>
      <c r="AH12" s="23"/>
      <c r="AI12" s="23"/>
      <c r="AJ12" s="23"/>
      <c r="AK12" s="23"/>
      <c r="AL12" s="23"/>
      <c r="AM12" s="23"/>
      <c r="AW12" s="21"/>
      <c r="BA12" s="25"/>
      <c r="BD12" s="21"/>
      <c r="BF12" s="22"/>
    </row>
    <row r="13" spans="1:58" s="16" customFormat="1" ht="15.75">
      <c r="A13" s="917" t="s">
        <v>680</v>
      </c>
      <c r="B13" s="917"/>
      <c r="C13" s="917"/>
      <c r="D13" s="23"/>
      <c r="E13" s="23"/>
      <c r="F13" s="24"/>
      <c r="G13" s="23"/>
      <c r="H13" s="23"/>
      <c r="I13" s="24"/>
      <c r="J13" s="24"/>
      <c r="K13" s="24"/>
      <c r="L13" s="24"/>
      <c r="M13" s="24"/>
      <c r="N13" s="24"/>
      <c r="O13" s="24"/>
      <c r="P13" s="24"/>
      <c r="Q13" s="24"/>
      <c r="R13" s="24"/>
      <c r="S13" s="24"/>
      <c r="T13" s="24"/>
      <c r="U13" s="24"/>
      <c r="V13" s="24"/>
      <c r="W13" s="24"/>
      <c r="X13" s="983">
        <f>IF(Input!O29="","",Input!O29)</f>
      </c>
      <c r="Y13" s="984"/>
      <c r="Z13" s="984"/>
      <c r="AA13" s="985"/>
      <c r="AB13" s="23"/>
      <c r="AC13" s="920"/>
      <c r="AD13" s="920"/>
      <c r="AE13" s="23"/>
      <c r="AF13" s="23"/>
      <c r="AG13" s="23"/>
      <c r="AH13" s="23"/>
      <c r="AI13" s="23"/>
      <c r="AJ13" s="23"/>
      <c r="AK13" s="23"/>
      <c r="AL13" s="23"/>
      <c r="AM13" s="23"/>
      <c r="AW13" s="21"/>
      <c r="BA13" s="25"/>
      <c r="BD13" s="21"/>
      <c r="BF13" s="22"/>
    </row>
    <row r="14" spans="2:56" s="16" customFormat="1" ht="13.5" thickBot="1">
      <c r="B14" s="23"/>
      <c r="C14" s="24"/>
      <c r="D14" s="23"/>
      <c r="E14" s="23"/>
      <c r="F14" s="24"/>
      <c r="G14" s="23"/>
      <c r="H14" s="23"/>
      <c r="I14" s="24"/>
      <c r="J14" s="24"/>
      <c r="K14" s="24"/>
      <c r="L14" s="24"/>
      <c r="M14" s="24"/>
      <c r="N14" s="24"/>
      <c r="O14" s="24"/>
      <c r="P14" s="24"/>
      <c r="Q14" s="24"/>
      <c r="R14" s="24"/>
      <c r="AH14" s="406"/>
      <c r="AU14" s="21"/>
      <c r="AY14" s="25"/>
      <c r="BB14" s="21"/>
      <c r="BD14" s="22"/>
    </row>
    <row r="15" spans="1:69" s="16" customFormat="1" ht="12.75">
      <c r="A15" s="936"/>
      <c r="B15" s="936"/>
      <c r="C15" s="892" t="s">
        <v>554</v>
      </c>
      <c r="D15" s="971"/>
      <c r="E15" s="905" t="s">
        <v>681</v>
      </c>
      <c r="F15" s="899"/>
      <c r="G15" s="905" t="s">
        <v>682</v>
      </c>
      <c r="H15" s="906"/>
      <c r="I15" s="907"/>
      <c r="J15" s="905" t="s">
        <v>683</v>
      </c>
      <c r="K15" s="906"/>
      <c r="L15" s="907"/>
      <c r="M15" s="905" t="s">
        <v>684</v>
      </c>
      <c r="N15" s="906"/>
      <c r="O15" s="899"/>
      <c r="P15" s="905" t="s">
        <v>685</v>
      </c>
      <c r="Q15" s="906"/>
      <c r="R15" s="907"/>
      <c r="S15" s="955" t="s">
        <v>686</v>
      </c>
      <c r="T15" s="956"/>
      <c r="U15" s="957"/>
      <c r="V15" s="892" t="s">
        <v>663</v>
      </c>
      <c r="W15" s="805"/>
      <c r="X15" s="900"/>
      <c r="Y15" s="905" t="s">
        <v>614</v>
      </c>
      <c r="Z15" s="906"/>
      <c r="AA15" s="907"/>
      <c r="AB15" s="967" t="s">
        <v>615</v>
      </c>
      <c r="AC15" s="956"/>
      <c r="AD15" s="957"/>
      <c r="AE15" s="905" t="s">
        <v>613</v>
      </c>
      <c r="AF15" s="906"/>
      <c r="AG15" s="907"/>
      <c r="AH15" s="407" t="s">
        <v>456</v>
      </c>
      <c r="AI15" s="23"/>
      <c r="AP15" s="23"/>
      <c r="AQ15" s="23"/>
      <c r="BA15" s="17"/>
      <c r="BB15" s="23"/>
      <c r="BC15" s="26"/>
      <c r="BD15" s="26"/>
      <c r="BE15" s="25"/>
      <c r="BH15" s="17"/>
      <c r="BM15" s="20"/>
      <c r="BQ15" s="17"/>
    </row>
    <row r="16" spans="1:69" s="16" customFormat="1" ht="12.75">
      <c r="A16" s="937" t="s">
        <v>574</v>
      </c>
      <c r="B16" s="938"/>
      <c r="C16" s="28" t="s">
        <v>575</v>
      </c>
      <c r="D16" s="5" t="s">
        <v>576</v>
      </c>
      <c r="E16" s="28" t="s">
        <v>575</v>
      </c>
      <c r="F16" s="5" t="s">
        <v>576</v>
      </c>
      <c r="G16" s="28" t="s">
        <v>578</v>
      </c>
      <c r="H16" s="4" t="s">
        <v>579</v>
      </c>
      <c r="I16" s="29" t="s">
        <v>580</v>
      </c>
      <c r="J16" s="28" t="s">
        <v>578</v>
      </c>
      <c r="K16" s="4" t="s">
        <v>579</v>
      </c>
      <c r="L16" s="29" t="s">
        <v>580</v>
      </c>
      <c r="M16" s="28" t="s">
        <v>578</v>
      </c>
      <c r="N16" s="4" t="s">
        <v>579</v>
      </c>
      <c r="O16" s="5" t="s">
        <v>580</v>
      </c>
      <c r="P16" s="1" t="s">
        <v>578</v>
      </c>
      <c r="Q16" s="2" t="s">
        <v>579</v>
      </c>
      <c r="R16" s="30" t="s">
        <v>580</v>
      </c>
      <c r="S16" s="31" t="s">
        <v>578</v>
      </c>
      <c r="T16" s="2" t="s">
        <v>579</v>
      </c>
      <c r="U16" s="30" t="s">
        <v>580</v>
      </c>
      <c r="V16" s="32" t="s">
        <v>578</v>
      </c>
      <c r="W16" s="33" t="s">
        <v>579</v>
      </c>
      <c r="X16" s="34" t="s">
        <v>580</v>
      </c>
      <c r="Y16" s="1" t="s">
        <v>578</v>
      </c>
      <c r="Z16" s="2" t="s">
        <v>579</v>
      </c>
      <c r="AA16" s="30" t="s">
        <v>580</v>
      </c>
      <c r="AB16" s="1" t="s">
        <v>578</v>
      </c>
      <c r="AC16" s="2" t="s">
        <v>579</v>
      </c>
      <c r="AD16" s="30" t="s">
        <v>580</v>
      </c>
      <c r="AE16" s="1" t="s">
        <v>578</v>
      </c>
      <c r="AF16" s="4" t="s">
        <v>579</v>
      </c>
      <c r="AG16" s="29" t="s">
        <v>580</v>
      </c>
      <c r="AH16" s="109" t="s">
        <v>579</v>
      </c>
      <c r="BC16" s="26"/>
      <c r="BD16" s="26"/>
      <c r="BE16" s="20"/>
      <c r="BH16" s="17"/>
      <c r="BM16" s="20"/>
      <c r="BQ16" s="17"/>
    </row>
    <row r="17" spans="1:69" s="16" customFormat="1" ht="12.75">
      <c r="A17" s="921">
        <f>IF(Input!A8="","",Input!A8)</f>
      </c>
      <c r="B17" s="937"/>
      <c r="C17" s="35">
        <f>IF(Input!C8="","",Input!C8)</f>
      </c>
      <c r="D17" s="27">
        <f>IF(Input!D8="","",Input!D8)</f>
      </c>
      <c r="E17" s="6">
        <f>IF(Complete!E8="","",ROUND(Complete!E8,0))</f>
      </c>
      <c r="F17" s="8">
        <f>IF(Complete!F8="","",ROUND(Complete!F8,0))</f>
      </c>
      <c r="G17" s="63">
        <f>IF(Input!W8="","",MROUND('FRAG conversion'!E65,5))</f>
      </c>
      <c r="H17" s="63">
        <f>IF(Input!W8="","",'FRAG conversion'!F65)</f>
      </c>
      <c r="I17" s="63">
        <f>IF(Input!W8="","",MROUND('FRAG conversion'!G65,5))</f>
      </c>
      <c r="J17" s="63">
        <f>IF(Input!W8="","",MROUND('FRAG conversion'!E53,5))</f>
      </c>
      <c r="K17" s="63">
        <f>IF(Input!W8="","",'FRAG conversion'!F53)</f>
      </c>
      <c r="L17" s="63">
        <f>IF(Input!W8="","",MROUND('FRAG conversion'!G53,5))</f>
      </c>
      <c r="M17" s="63">
        <f>IF(Input!W8="","",IF(P17=100,100,P17+5))</f>
      </c>
      <c r="N17" s="63">
        <f>IF(Input!W8="","",IF(Q17=100,100,Q17+5))</f>
      </c>
      <c r="O17" s="63">
        <f>IF(Input!W8="","",IF(R17=100,100,R17+5))</f>
      </c>
      <c r="P17" s="63">
        <f>IF(Input!W8="","",MROUND('FRAG conversion'!K3,5))</f>
      </c>
      <c r="Q17" s="63">
        <f>IF(Input!W8="","",MROUND('FRAG conversion'!L3,5))</f>
      </c>
      <c r="R17" s="63">
        <f>IF(Input!W8="","",MROUND('FRAG conversion'!M3,5))</f>
      </c>
      <c r="S17" s="9">
        <f>IF(Complete!AX8="","",MROUND(Complete!AX8,5))</f>
      </c>
      <c r="T17" s="7">
        <f>IF(Complete!AY8="","",Complete!AY8)</f>
      </c>
      <c r="U17" s="36">
        <f>IF(Complete!AZ8="","",MROUND(Complete!AZ8,5))</f>
      </c>
      <c r="V17" s="6">
        <f>IF(Complete!BA8="","",MROUND(Complete!BA8,5))</f>
      </c>
      <c r="W17" s="9">
        <f>IF(Complete!BB8="","",Complete!BB8)</f>
      </c>
      <c r="X17" s="37">
        <f>IF(Complete!BC8="","",MROUND(Complete!BC8,5))</f>
      </c>
      <c r="Y17" s="38">
        <f>IF(Input!F21="","",MROUND(Input!F21,1))</f>
      </c>
      <c r="Z17" s="39">
        <f>IF(Input!G21="","",MROUND(Input!G21,1))</f>
      </c>
      <c r="AA17" s="40">
        <f>IF(Input!H21="","",MROUND(Input!H21,1))</f>
      </c>
      <c r="AB17" s="38">
        <f>IF(Input!I21="","",MROUND(Input!I21,1))</f>
      </c>
      <c r="AC17" s="41">
        <f>IF(Input!J21="","",100-Z17-AF17)</f>
      </c>
      <c r="AD17" s="42">
        <f>IF(Input!K21="","",MROUND(Input!K21,1))</f>
      </c>
      <c r="AE17" s="38">
        <f>IF(Input!C21="","",Input!C21)</f>
      </c>
      <c r="AF17" s="39">
        <f>IF(Input!D21="","",Input!D21)</f>
      </c>
      <c r="AG17" s="40">
        <f>IF(Input!E21="","",Input!E21)</f>
      </c>
      <c r="AH17" s="408">
        <f>IF('Kf Calculation'!G5="","",'Kf Calculation'!G5)</f>
      </c>
      <c r="AP17" s="43"/>
      <c r="AQ17" s="43"/>
      <c r="BA17" s="43"/>
      <c r="BB17" s="43"/>
      <c r="BC17" s="26"/>
      <c r="BD17" s="26"/>
      <c r="BE17" s="26"/>
      <c r="BH17" s="17"/>
      <c r="BM17" s="20"/>
      <c r="BO17" s="17"/>
      <c r="BQ17" s="17"/>
    </row>
    <row r="18" spans="1:69" s="16" customFormat="1" ht="12.75">
      <c r="A18" s="921">
        <f>IF(Input!A9="","",Input!A9)</f>
      </c>
      <c r="B18" s="937"/>
      <c r="C18" s="35">
        <f>IF(Input!C9="","",Input!C9)</f>
      </c>
      <c r="D18" s="27">
        <f>IF(Input!D9="","",Input!D9)</f>
      </c>
      <c r="E18" s="6">
        <f>IF(Complete!E9="","",ROUND(Complete!E9,0))</f>
      </c>
      <c r="F18" s="8">
        <f>IF(Complete!F9="","",ROUND(Complete!F9,0))</f>
      </c>
      <c r="G18" s="63">
        <f>IF(Input!W9="","",MROUND('FRAG conversion'!E66,5))</f>
      </c>
      <c r="H18" s="63">
        <f>IF(Input!W9="","",'FRAG conversion'!F66)</f>
      </c>
      <c r="I18" s="63">
        <f>IF(Input!W9="","",MROUND('FRAG conversion'!G66,5))</f>
      </c>
      <c r="J18" s="63">
        <f>IF(Input!W9="","",MROUND('FRAG conversion'!E54,5))</f>
      </c>
      <c r="K18" s="63">
        <f>IF(Input!W9="","",'FRAG conversion'!F54)</f>
      </c>
      <c r="L18" s="63">
        <f>IF(Input!W9="","",MROUND('FRAG conversion'!G54,5))</f>
      </c>
      <c r="M18" s="63">
        <f>IF(Input!W9="","",IF(P18=100,100,P18+5))</f>
      </c>
      <c r="N18" s="63">
        <f>IF(Input!W9="","",IF(Q18=100,100,Q18+5))</f>
      </c>
      <c r="O18" s="63">
        <f>IF(Input!W9="","",IF(R18=100,100,R18+5))</f>
      </c>
      <c r="P18" s="63">
        <f>IF(Input!W9="","",MROUND('FRAG conversion'!K4,5))</f>
      </c>
      <c r="Q18" s="63">
        <f>IF(Input!W9="","",MROUND('FRAG conversion'!L4,5))</f>
      </c>
      <c r="R18" s="63">
        <f>IF(Input!W9="","",MROUND('FRAG conversion'!M4,5))</f>
      </c>
      <c r="S18" s="9">
        <f>IF(Complete!AX9="","",MROUND(Complete!AX9,5))</f>
      </c>
      <c r="T18" s="7">
        <f>IF(Complete!AY9="","",Complete!AY9)</f>
      </c>
      <c r="U18" s="36">
        <f>IF(Complete!AZ9="","",MROUND(Complete!AZ9,5))</f>
      </c>
      <c r="V18" s="6">
        <f>IF(Complete!BA9="","",MROUND(Complete!BA9,5))</f>
      </c>
      <c r="W18" s="9">
        <f>IF(Complete!BB9="","",Complete!BB9)</f>
      </c>
      <c r="X18" s="37">
        <f>IF(Complete!BC9="","",MROUND(Complete!BC9,5))</f>
      </c>
      <c r="Y18" s="38">
        <f>IF(Input!F22="","",MROUND(Input!F22,1))</f>
      </c>
      <c r="Z18" s="39">
        <f>IF(Input!G22="","",MROUND(Input!G22,1))</f>
      </c>
      <c r="AA18" s="40">
        <f>IF(Input!H22="","",MROUND(Input!H22,1))</f>
      </c>
      <c r="AB18" s="38">
        <f>IF(Input!I22="","",MROUND(Input!I22,1))</f>
      </c>
      <c r="AC18" s="41">
        <f>IF(Input!J22="","",100-Z18-AF18)</f>
      </c>
      <c r="AD18" s="42">
        <f>IF(Input!K22="","",MROUND(Input!K22,1))</f>
      </c>
      <c r="AE18" s="38">
        <f>IF(Input!C22="","",Input!C22)</f>
      </c>
      <c r="AF18" s="39">
        <f>IF(Input!D22="","",Input!D22)</f>
      </c>
      <c r="AG18" s="40">
        <f>IF(Input!E22="","",Input!E22)</f>
      </c>
      <c r="AH18" s="408">
        <f>IF('Kf Calculation'!G6="","",'Kf Calculation'!G6)</f>
      </c>
      <c r="AP18" s="43"/>
      <c r="AQ18" s="43"/>
      <c r="BA18" s="43"/>
      <c r="BB18" s="43"/>
      <c r="BC18" s="26"/>
      <c r="BD18" s="26"/>
      <c r="BE18" s="26"/>
      <c r="BH18" s="17"/>
      <c r="BQ18" s="17"/>
    </row>
    <row r="19" spans="1:69" s="16" customFormat="1" ht="12.75">
      <c r="A19" s="921">
        <f>IF(Input!A10="","",Input!A10)</f>
      </c>
      <c r="B19" s="937"/>
      <c r="C19" s="35">
        <f>IF(Input!C10="","",Input!C10)</f>
      </c>
      <c r="D19" s="27">
        <f>IF(Input!D10="","",Input!D10)</f>
      </c>
      <c r="E19" s="6">
        <f>IF(Complete!E10="","",ROUND(Complete!E10,0))</f>
      </c>
      <c r="F19" s="8">
        <f>IF(Complete!F10="","",ROUND(Complete!F10,0))</f>
      </c>
      <c r="G19" s="63">
        <f>IF(Input!W10="","",MROUND('FRAG conversion'!E67,5))</f>
      </c>
      <c r="H19" s="63">
        <f>IF(Input!W10="","",'FRAG conversion'!F67)</f>
      </c>
      <c r="I19" s="63">
        <f>IF(Input!W10="","",MROUND('FRAG conversion'!G67,5))</f>
      </c>
      <c r="J19" s="63">
        <f>IF(Input!W10="","",MROUND('FRAG conversion'!E55,5))</f>
      </c>
      <c r="K19" s="63">
        <f>IF(Input!W10="","",'FRAG conversion'!F55)</f>
      </c>
      <c r="L19" s="63">
        <f>IF(Input!W10="","",MROUND('FRAG conversion'!G55,5))</f>
      </c>
      <c r="M19" s="63">
        <f>IF(Input!W10="","",IF(P19=100,100,P19+5))</f>
      </c>
      <c r="N19" s="63">
        <f>IF(Input!W10="","",IF(Q19=100,100,Q19+5))</f>
      </c>
      <c r="O19" s="63">
        <f>IF(Input!W10="","",IF(R19=100,100,R19+5))</f>
      </c>
      <c r="P19" s="63">
        <f>IF(Input!W10="","",MROUND('FRAG conversion'!K5,5))</f>
      </c>
      <c r="Q19" s="63">
        <f>IF(Input!W10="","",MROUND('FRAG conversion'!L5,5))</f>
      </c>
      <c r="R19" s="63">
        <f>IF(Input!W10="","",MROUND('FRAG conversion'!M5,5))</f>
      </c>
      <c r="S19" s="9">
        <f>IF(Complete!AX10="","",MROUND(Complete!AX10,5))</f>
      </c>
      <c r="T19" s="7">
        <f>IF(Complete!AY10="","",Complete!AY10)</f>
      </c>
      <c r="U19" s="36">
        <f>IF(Complete!AZ10="","",MROUND(Complete!AZ10,5))</f>
      </c>
      <c r="V19" s="6">
        <f>IF(Complete!BA10="","",MROUND(Complete!BA10,5))</f>
      </c>
      <c r="W19" s="9">
        <f>IF(Complete!BB10="","",Complete!BB10)</f>
      </c>
      <c r="X19" s="37">
        <f>IF(Complete!BC10="","",MROUND(Complete!BC10,5))</f>
      </c>
      <c r="Y19" s="38">
        <f>IF(Input!F23="","",MROUND(Input!F23,1))</f>
      </c>
      <c r="Z19" s="39">
        <f>IF(Input!G23="","",MROUND(Input!G23,1))</f>
      </c>
      <c r="AA19" s="40">
        <f>IF(Input!H23="","",MROUND(Input!H23,1))</f>
      </c>
      <c r="AB19" s="38">
        <f>IF(Input!I23="","",MROUND(Input!I23,1))</f>
      </c>
      <c r="AC19" s="41">
        <f>IF(Input!J23="","",100-Z19-AF19)</f>
      </c>
      <c r="AD19" s="42">
        <f>IF(Input!K23="","",MROUND(Input!K23,1))</f>
      </c>
      <c r="AE19" s="38">
        <f>IF(Input!C23="","",Input!C23)</f>
      </c>
      <c r="AF19" s="39">
        <f>IF(Input!D23="","",Input!D23)</f>
      </c>
      <c r="AG19" s="40">
        <f>IF(Input!E23="","",Input!E23)</f>
      </c>
      <c r="AH19" s="408">
        <f>IF('Kf Calculation'!G7="","",'Kf Calculation'!G7)</f>
      </c>
      <c r="AP19" s="43"/>
      <c r="AQ19" s="43"/>
      <c r="BA19" s="43"/>
      <c r="BB19" s="43"/>
      <c r="BC19" s="26"/>
      <c r="BH19" s="17"/>
      <c r="BQ19" s="17"/>
    </row>
    <row r="20" spans="1:69" s="16" customFormat="1" ht="12.75">
      <c r="A20" s="921">
        <f>IF(Input!A11="","",Input!A11)</f>
      </c>
      <c r="B20" s="937"/>
      <c r="C20" s="35">
        <f>IF(Input!C11="","",Input!C11)</f>
      </c>
      <c r="D20" s="27">
        <f>IF(Input!D11="","",Input!D11)</f>
      </c>
      <c r="E20" s="6">
        <f>IF(Complete!E11="","",ROUND(Complete!E11,0))</f>
      </c>
      <c r="F20" s="8">
        <f>IF(Complete!F11="","",ROUND(Complete!F11,0))</f>
      </c>
      <c r="G20" s="63">
        <f>IF(Input!W11="","",MROUND('FRAG conversion'!E68,5))</f>
      </c>
      <c r="H20" s="63">
        <f>IF(Input!W11="","",'FRAG conversion'!F68)</f>
      </c>
      <c r="I20" s="63">
        <f>IF(Input!W11="","",MROUND('FRAG conversion'!G68,5))</f>
      </c>
      <c r="J20" s="63">
        <f>IF(Input!W11="","",MROUND('FRAG conversion'!E56,5))</f>
      </c>
      <c r="K20" s="63">
        <f>IF(Input!W11="","",'FRAG conversion'!F56)</f>
      </c>
      <c r="L20" s="63">
        <f>IF(Input!W11="","",MROUND('FRAG conversion'!G56,5))</f>
      </c>
      <c r="M20" s="63">
        <f>IF(Input!W11="","",IF(P20=100,100,P20+5))</f>
      </c>
      <c r="N20" s="63">
        <f>IF(Input!W11="","",IF(Q20=100,100,Q20+5))</f>
      </c>
      <c r="O20" s="63">
        <f>IF(Input!W11="","",IF(R20=100,100,R20+5))</f>
      </c>
      <c r="P20" s="63">
        <f>IF(Input!W11="","",MROUND('FRAG conversion'!K6,5))</f>
      </c>
      <c r="Q20" s="63">
        <f>IF(Input!W11="","",MROUND('FRAG conversion'!L6,5))</f>
      </c>
      <c r="R20" s="63">
        <f>IF(Input!W11="","",MROUND('FRAG conversion'!M6,5))</f>
      </c>
      <c r="S20" s="9">
        <f>IF(Complete!AX11="","",MROUND(Complete!AX11,5))</f>
      </c>
      <c r="T20" s="7">
        <f>IF(Complete!AY11="","",Complete!AY11)</f>
      </c>
      <c r="U20" s="36">
        <f>IF(Complete!AZ11="","",MROUND(Complete!AZ11,5))</f>
      </c>
      <c r="V20" s="6">
        <f>IF(Complete!BA11="","",MROUND(Complete!BA11,5))</f>
      </c>
      <c r="W20" s="9">
        <f>IF(Complete!BB11="","",Complete!BB11)</f>
      </c>
      <c r="X20" s="37">
        <f>IF(Complete!BC11="","",MROUND(Complete!BC11,5))</f>
      </c>
      <c r="Y20" s="38">
        <f>IF(Input!F24="","",MROUND(Input!F24,1))</f>
      </c>
      <c r="Z20" s="39">
        <f>IF(Input!G24="","",MROUND(Input!G24,1))</f>
      </c>
      <c r="AA20" s="40">
        <f>IF(Input!H24="","",MROUND(Input!H24,1))</f>
      </c>
      <c r="AB20" s="38">
        <f>IF(Input!I24="","",MROUND(Input!I24,1))</f>
      </c>
      <c r="AC20" s="41">
        <f>IF(Input!J24="","",100-Z20-AF20)</f>
      </c>
      <c r="AD20" s="42">
        <f>IF(Input!K24="","",MROUND(Input!K24,1))</f>
      </c>
      <c r="AE20" s="38">
        <f>IF(Input!C24="","",Input!C24)</f>
      </c>
      <c r="AF20" s="39">
        <f>IF(Input!D24="","",Input!D24)</f>
      </c>
      <c r="AG20" s="40">
        <f>IF(Input!E24="","",Input!E24)</f>
      </c>
      <c r="AH20" s="408">
        <f>IF('Kf Calculation'!G8="","",'Kf Calculation'!G8)</f>
      </c>
      <c r="AP20" s="43"/>
      <c r="AQ20" s="43"/>
      <c r="BA20" s="43"/>
      <c r="BB20" s="43"/>
      <c r="BC20" s="26"/>
      <c r="BH20" s="17"/>
      <c r="BQ20" s="17"/>
    </row>
    <row r="21" spans="1:69" s="16" customFormat="1" ht="12.75">
      <c r="A21" s="921">
        <f>IF(Input!A12="","",Input!A12)</f>
      </c>
      <c r="B21" s="937"/>
      <c r="C21" s="35">
        <f>IF(Input!C12="","",Input!C12)</f>
      </c>
      <c r="D21" s="27">
        <f>IF(Input!D12="","",Input!D12)</f>
      </c>
      <c r="E21" s="6">
        <f>IF(Complete!E12="","",ROUND(Complete!E12,0))</f>
      </c>
      <c r="F21" s="8">
        <f>IF(Complete!F12="","",ROUND(Complete!F12,0))</f>
      </c>
      <c r="G21" s="63">
        <f>IF(Input!W12="","",MROUND('FRAG conversion'!E69,5))</f>
      </c>
      <c r="H21" s="63">
        <f>IF(Input!W12="","",'FRAG conversion'!F69)</f>
      </c>
      <c r="I21" s="63">
        <f>IF(Input!W12="","",MROUND('FRAG conversion'!G69,5))</f>
      </c>
      <c r="J21" s="63">
        <f>IF(Input!W12="","",MROUND('FRAG conversion'!E57,5))</f>
      </c>
      <c r="K21" s="63">
        <f>IF(Input!W12="","",'FRAG conversion'!F57)</f>
      </c>
      <c r="L21" s="63">
        <f>IF(Input!W12="","",MROUND('FRAG conversion'!G57,5))</f>
      </c>
      <c r="M21" s="63">
        <f>IF(Input!W12="","",IF(P21=100,100,P21+5))</f>
      </c>
      <c r="N21" s="63">
        <f>IF(Input!W12="","",IF(Q21=100,100,Q21+5))</f>
      </c>
      <c r="O21" s="63">
        <f>IF(Input!W12="","",IF(R21=100,100,R21+5))</f>
      </c>
      <c r="P21" s="63">
        <f>IF(Input!W12="","",MROUND('FRAG conversion'!K7,5))</f>
      </c>
      <c r="Q21" s="63">
        <f>IF(Input!W12="","",MROUND('FRAG conversion'!L7,5))</f>
      </c>
      <c r="R21" s="63">
        <f>IF(Input!W12="","",MROUND('FRAG conversion'!M7,5))</f>
      </c>
      <c r="S21" s="9">
        <f>IF(Complete!AX12="","",MROUND(Complete!AX12,5))</f>
      </c>
      <c r="T21" s="7">
        <f>IF(Complete!AY12="","",Complete!AY12)</f>
      </c>
      <c r="U21" s="36">
        <f>IF(Complete!AZ12="","",MROUND(Complete!AZ12,5))</f>
      </c>
      <c r="V21" s="6">
        <f>IF(Complete!BA12="","",MROUND(Complete!BA12,5))</f>
      </c>
      <c r="W21" s="9">
        <f>IF(Complete!BB12="","",Complete!BB12)</f>
      </c>
      <c r="X21" s="37">
        <f>IF(Complete!BC12="","",MROUND(Complete!BC12,5))</f>
      </c>
      <c r="Y21" s="38">
        <f>IF(Input!F25="","",MROUND(Input!F25,1))</f>
      </c>
      <c r="Z21" s="39">
        <f>IF(Input!G25="","",MROUND(Input!G25,1))</f>
      </c>
      <c r="AA21" s="40">
        <f>IF(Input!H25="","",MROUND(Input!H25,1))</f>
      </c>
      <c r="AB21" s="38">
        <f>IF(Input!I25="","",MROUND(Input!I25,1))</f>
      </c>
      <c r="AC21" s="41">
        <f>IF(Input!J25="","",100-Z21-AF21)</f>
      </c>
      <c r="AD21" s="42">
        <f>IF(Input!K25="","",MROUND(Input!K25,1))</f>
      </c>
      <c r="AE21" s="38">
        <f>IF(Input!C25="","",Input!C25)</f>
      </c>
      <c r="AF21" s="39">
        <f>IF(Input!D25="","",Input!D25)</f>
      </c>
      <c r="AG21" s="40">
        <f>IF(Input!E25="","",Input!E25)</f>
      </c>
      <c r="AH21" s="408">
        <f>IF('Kf Calculation'!G9="","",'Kf Calculation'!G9)</f>
      </c>
      <c r="AP21" s="43"/>
      <c r="AQ21" s="43"/>
      <c r="BA21" s="43"/>
      <c r="BB21" s="43"/>
      <c r="BC21" s="26"/>
      <c r="BH21" s="17"/>
      <c r="BQ21" s="17"/>
    </row>
    <row r="22" spans="1:69" s="16" customFormat="1" ht="12.75">
      <c r="A22" s="921">
        <f>IF(Input!A13="","",Input!A13)</f>
      </c>
      <c r="B22" s="937"/>
      <c r="C22" s="35">
        <f>IF(Input!C13="","",Input!C13)</f>
      </c>
      <c r="D22" s="27">
        <f>IF(Input!D13="","",Input!D13)</f>
      </c>
      <c r="E22" s="6">
        <f>IF(Complete!E13="","",ROUND(Complete!E13,0))</f>
      </c>
      <c r="F22" s="8">
        <f>IF(Complete!F13="","",ROUND(Complete!F13,0))</f>
      </c>
      <c r="G22" s="63">
        <f>IF(Input!W13="","",MROUND('FRAG conversion'!E70,5))</f>
      </c>
      <c r="H22" s="63">
        <f>IF(Input!W13="","",'FRAG conversion'!F70)</f>
      </c>
      <c r="I22" s="63">
        <f>IF(Input!W13="","",MROUND('FRAG conversion'!G70,5))</f>
      </c>
      <c r="J22" s="63">
        <f>IF(Input!W13="","",MROUND('FRAG conversion'!E58,5))</f>
      </c>
      <c r="K22" s="63">
        <f>IF(Input!W13="","",'FRAG conversion'!F58)</f>
      </c>
      <c r="L22" s="63">
        <f>IF(Input!W13="","",MROUND('FRAG conversion'!G58,5))</f>
      </c>
      <c r="M22" s="63">
        <f>IF(Input!W13="","",IF(P22=100,100,P22+5))</f>
      </c>
      <c r="N22" s="63">
        <f>IF(Input!W13="","",IF(Q22=100,100,Q22+5))</f>
      </c>
      <c r="O22" s="63">
        <f>IF(Input!W13="","",IF(R22=100,100,R22+5))</f>
      </c>
      <c r="P22" s="63">
        <f>IF(Input!W13="","",MROUND('FRAG conversion'!K8,5))</f>
      </c>
      <c r="Q22" s="63">
        <f>IF(Input!W13="","",MROUND('FRAG conversion'!L8,5))</f>
      </c>
      <c r="R22" s="63">
        <f>IF(Input!W13="","",MROUND('FRAG conversion'!M8,5))</f>
      </c>
      <c r="S22" s="9">
        <f>IF(Complete!AX13="","",MROUND(Complete!AX13,5))</f>
      </c>
      <c r="T22" s="7">
        <f>IF(Complete!AY13="","",Complete!AY13)</f>
      </c>
      <c r="U22" s="36">
        <f>IF(Complete!AZ13="","",MROUND(Complete!AZ13,5))</f>
      </c>
      <c r="V22" s="6">
        <f>IF(Complete!BA13="","",MROUND(Complete!BA13,5))</f>
      </c>
      <c r="W22" s="9">
        <f>IF(Complete!BB13="","",Complete!BB13)</f>
      </c>
      <c r="X22" s="37">
        <f>IF(Complete!BC13="","",MROUND(Complete!BC13,5))</f>
      </c>
      <c r="Y22" s="38">
        <f>IF(Input!F26="","",MROUND(Input!F26,1))</f>
      </c>
      <c r="Z22" s="39">
        <f>IF(Input!G26="","",MROUND(Input!G26,1))</f>
      </c>
      <c r="AA22" s="40">
        <f>IF(Input!H26="","",MROUND(Input!H26,1))</f>
      </c>
      <c r="AB22" s="38">
        <f>IF(Input!I26="","",MROUND(Input!I26,1))</f>
      </c>
      <c r="AC22" s="41">
        <f>IF(Input!J26="","",100-Z22-AF22)</f>
      </c>
      <c r="AD22" s="42">
        <f>IF(Input!K26="","",MROUND(Input!K26,1))</f>
      </c>
      <c r="AE22" s="38">
        <f>IF(Input!C26="","",Input!C26)</f>
      </c>
      <c r="AF22" s="39">
        <f>IF(Input!D26="","",Input!D26)</f>
      </c>
      <c r="AG22" s="40">
        <f>IF(Input!E26="","",Input!E26)</f>
      </c>
      <c r="AH22" s="408">
        <f>IF('Kf Calculation'!G10="","",'Kf Calculation'!G10)</f>
      </c>
      <c r="AP22" s="43"/>
      <c r="AQ22" s="43"/>
      <c r="BA22" s="43"/>
      <c r="BB22" s="43"/>
      <c r="BC22" s="26"/>
      <c r="BH22" s="17"/>
      <c r="BQ22" s="17"/>
    </row>
    <row r="23" spans="1:69" s="16" customFormat="1" ht="12.75">
      <c r="A23" s="921">
        <f>IF(Input!A14="","",Input!A14)</f>
      </c>
      <c r="B23" s="937"/>
      <c r="C23" s="35">
        <f>IF(Input!C14="","",Input!C14)</f>
      </c>
      <c r="D23" s="27">
        <f>IF(Input!D14="","",Input!D14)</f>
      </c>
      <c r="E23" s="6">
        <f>IF(Complete!E14="","",ROUND(Complete!E14,0))</f>
      </c>
      <c r="F23" s="8">
        <f>IF(Complete!F14="","",ROUND(Complete!F14,0))</f>
      </c>
      <c r="G23" s="63">
        <f>IF(Input!W14="","",MROUND('FRAG conversion'!E71,5))</f>
      </c>
      <c r="H23" s="63">
        <f>IF(Input!W14="","",'FRAG conversion'!F71)</f>
      </c>
      <c r="I23" s="63">
        <f>IF(Input!W14="","",MROUND('FRAG conversion'!G71,5))</f>
      </c>
      <c r="J23" s="63">
        <f>IF(Input!W14="","",MROUND('FRAG conversion'!E59,5))</f>
      </c>
      <c r="K23" s="63">
        <f>IF(Input!W14="","",'FRAG conversion'!F59)</f>
      </c>
      <c r="L23" s="63">
        <f>IF(Input!W14="","",MROUND('FRAG conversion'!G59,5))</f>
      </c>
      <c r="M23" s="63">
        <f>IF(Input!W14="","",IF(P23=100,100,P23+5))</f>
      </c>
      <c r="N23" s="63">
        <f>IF(Input!W14="","",IF(Q23=100,100,Q23+5))</f>
      </c>
      <c r="O23" s="63">
        <f>IF(Input!W14="","",IF(R23=100,100,R23+5))</f>
      </c>
      <c r="P23" s="63">
        <f>IF(Input!W14="","",MROUND('FRAG conversion'!K9,5))</f>
      </c>
      <c r="Q23" s="63">
        <f>IF(Input!W14="","",MROUND('FRAG conversion'!L9,5))</f>
      </c>
      <c r="R23" s="63">
        <f>IF(Input!W14="","",MROUND('FRAG conversion'!M9,5))</f>
      </c>
      <c r="S23" s="9">
        <f>IF(Complete!AX14="","",MROUND(Complete!AX14,5))</f>
      </c>
      <c r="T23" s="7">
        <f>IF(Complete!AY14="","",Complete!AY14)</f>
      </c>
      <c r="U23" s="36">
        <f>IF(Complete!AZ14="","",MROUND(Complete!AZ14,5))</f>
      </c>
      <c r="V23" s="6">
        <f>IF(Complete!BA14="","",MROUND(Complete!BA14,5))</f>
      </c>
      <c r="W23" s="9">
        <f>IF(Complete!BB14="","",Complete!BB14)</f>
      </c>
      <c r="X23" s="37">
        <f>IF(Complete!BC14="","",MROUND(Complete!BC14,5))</f>
      </c>
      <c r="Y23" s="38">
        <f>IF(Input!F27="","",MROUND(Input!F27,1))</f>
      </c>
      <c r="Z23" s="39">
        <f>IF(Input!G27="","",MROUND(Input!G27,1))</f>
      </c>
      <c r="AA23" s="40">
        <f>IF(Input!H27="","",MROUND(Input!H27,1))</f>
      </c>
      <c r="AB23" s="38">
        <f>IF(Input!I27="","",MROUND(Input!I27,1))</f>
      </c>
      <c r="AC23" s="41">
        <f>IF(Input!J27="","",100-Z23-AF23)</f>
      </c>
      <c r="AD23" s="42">
        <f>IF(Input!K27="","",MROUND(Input!K27,1))</f>
      </c>
      <c r="AE23" s="38">
        <f>IF(Input!C27="","",Input!C27)</f>
      </c>
      <c r="AF23" s="39">
        <f>IF(Input!D27="","",Input!D27)</f>
      </c>
      <c r="AG23" s="40">
        <f>IF(Input!E27="","",Input!E27)</f>
      </c>
      <c r="AH23" s="408">
        <f>IF('Kf Calculation'!G11="","",'Kf Calculation'!G11)</f>
      </c>
      <c r="AP23" s="43"/>
      <c r="AQ23" s="43"/>
      <c r="BA23" s="43"/>
      <c r="BB23" s="43"/>
      <c r="BC23" s="26"/>
      <c r="BH23" s="17"/>
      <c r="BQ23" s="17"/>
    </row>
    <row r="24" spans="1:69" s="16" customFormat="1" ht="12.75">
      <c r="A24" s="921">
        <f>IF(Input!A15="","",Input!A15)</f>
      </c>
      <c r="B24" s="937"/>
      <c r="C24" s="35">
        <f>IF(Input!C15="","",Input!C15)</f>
      </c>
      <c r="D24" s="27">
        <f>IF(Input!D15="","",Input!D15)</f>
      </c>
      <c r="E24" s="6">
        <f>IF(Complete!E15="","",ROUND(Complete!E15,0))</f>
      </c>
      <c r="F24" s="8">
        <f>IF(Complete!F15="","",ROUND(Complete!F15,0))</f>
      </c>
      <c r="G24" s="63">
        <f>IF(Input!W15="","",MROUND('FRAG conversion'!E72,5))</f>
      </c>
      <c r="H24" s="63">
        <f>IF(Input!W15="","",'FRAG conversion'!F72)</f>
      </c>
      <c r="I24" s="63">
        <f>IF(Input!W15="","",MROUND('FRAG conversion'!G72,5))</f>
      </c>
      <c r="J24" s="63">
        <f>IF(Input!W15="","",MROUND('FRAG conversion'!E60,5))</f>
      </c>
      <c r="K24" s="63">
        <f>IF(Input!W15="","",'FRAG conversion'!F60)</f>
      </c>
      <c r="L24" s="63">
        <f>IF(Input!W15="","",MROUND('FRAG conversion'!G60,5))</f>
      </c>
      <c r="M24" s="63">
        <f>IF(Input!W15="","",IF(P24=100,100,P24+5))</f>
      </c>
      <c r="N24" s="63">
        <f>IF(Input!W15="","",IF(Q24=100,100,Q24+5))</f>
      </c>
      <c r="O24" s="63">
        <f>IF(Input!W15="","",IF(R24=100,100,R24+5))</f>
      </c>
      <c r="P24" s="63">
        <f>IF(Input!W15="","",MROUND('FRAG conversion'!K10,5))</f>
      </c>
      <c r="Q24" s="63">
        <f>IF(Input!W15="","",MROUND('FRAG conversion'!L10,5))</f>
      </c>
      <c r="R24" s="63">
        <f>IF(Input!W15="","",MROUND('FRAG conversion'!M10,5))</f>
      </c>
      <c r="S24" s="9">
        <f>IF(Complete!AX15="","",MROUND(Complete!AX15,5))</f>
      </c>
      <c r="T24" s="7">
        <f>IF(Complete!AY15="","",Complete!AY15)</f>
      </c>
      <c r="U24" s="36">
        <f>IF(Complete!AZ15="","",MROUND(Complete!AZ15,5))</f>
      </c>
      <c r="V24" s="6">
        <f>IF(Complete!BA15="","",MROUND(Complete!BA15,5))</f>
      </c>
      <c r="W24" s="9">
        <f>IF(Complete!BB15="","",Complete!BB15)</f>
      </c>
      <c r="X24" s="37">
        <f>IF(Complete!BC15="","",MROUND(Complete!BC15,5))</f>
      </c>
      <c r="Y24" s="38">
        <f>IF(Input!F28="","",MROUND(Input!F28,1))</f>
      </c>
      <c r="Z24" s="39">
        <f>IF(Input!G28="","",MROUND(Input!G28,1))</f>
      </c>
      <c r="AA24" s="40">
        <f>IF(Input!H28="","",MROUND(Input!H28,1))</f>
      </c>
      <c r="AB24" s="38">
        <f>IF(Input!I28="","",MROUND(Input!I28,1))</f>
      </c>
      <c r="AC24" s="41">
        <f>IF(Input!J28="","",100-Z24-AF24)</f>
      </c>
      <c r="AD24" s="42">
        <f>IF(Input!K28="","",MROUND(Input!K28,1))</f>
      </c>
      <c r="AE24" s="38">
        <f>IF(Input!C28="","",Input!C28)</f>
      </c>
      <c r="AF24" s="39">
        <f>IF(Input!D28="","",Input!D28)</f>
      </c>
      <c r="AG24" s="40">
        <f>IF(Input!E28="","",Input!E28)</f>
      </c>
      <c r="AH24" s="408">
        <f>IF('Kf Calculation'!G12="","",'Kf Calculation'!G12)</f>
      </c>
      <c r="AP24" s="43"/>
      <c r="AQ24" s="43"/>
      <c r="BA24" s="43"/>
      <c r="BB24" s="43"/>
      <c r="BC24" s="26"/>
      <c r="BH24" s="17"/>
      <c r="BQ24" s="17"/>
    </row>
    <row r="25" spans="1:69" s="16" customFormat="1" ht="13.5" thickBot="1">
      <c r="A25" s="921">
        <f>IF(Input!A16="","",Input!A16)</f>
      </c>
      <c r="B25" s="937"/>
      <c r="C25" s="44">
        <f>IF(Input!C16="","",Input!C16)</f>
      </c>
      <c r="D25" s="45">
        <f>IF(Input!D16="","",Input!D16)</f>
      </c>
      <c r="E25" s="11">
        <f>IF(Complete!E16="","",ROUND(Complete!E16,0))</f>
      </c>
      <c r="F25" s="13">
        <f>IF(Complete!F16="","",ROUND(Complete!F16,0))</f>
      </c>
      <c r="G25" s="63">
        <f>IF(Input!W16="","",MROUND('FRAG conversion'!E73,5))</f>
      </c>
      <c r="H25" s="63">
        <f>IF(Input!W16="","",'FRAG conversion'!F73)</f>
      </c>
      <c r="I25" s="63">
        <f>IF(Input!W16="","",MROUND('FRAG conversion'!G73,5))</f>
      </c>
      <c r="J25" s="63">
        <f>IF(Input!W16="","",MROUND('FRAG conversion'!E61,5))</f>
      </c>
      <c r="K25" s="63">
        <f>IF(Input!W16="","",'FRAG conversion'!F61)</f>
      </c>
      <c r="L25" s="63">
        <f>IF(Input!W16="","",MROUND('FRAG conversion'!G61,5))</f>
      </c>
      <c r="M25" s="63">
        <f>IF(Input!W16="","",IF(P25=100,100,P25+5))</f>
      </c>
      <c r="N25" s="63">
        <f>IF(Input!W16="","",IF(Q25=100,100,Q25+5))</f>
      </c>
      <c r="O25" s="63">
        <f>IF(Input!W16="","",IF(R25=100,100,R25+5))</f>
      </c>
      <c r="P25" s="63">
        <f>IF(Input!W16="","",MROUND('FRAG conversion'!K11,5))</f>
      </c>
      <c r="Q25" s="63">
        <f>IF(Input!W16="","",MROUND('FRAG conversion'!L11,5))</f>
      </c>
      <c r="R25" s="63">
        <f>IF(Input!W16="","",MROUND('FRAG conversion'!M11,5))</f>
      </c>
      <c r="S25" s="14">
        <f>IF(Complete!AX16="","",MROUND(Complete!AX16,5))</f>
      </c>
      <c r="T25" s="7">
        <f>IF(Complete!AY16="","",Complete!AY16)</f>
      </c>
      <c r="U25" s="46">
        <f>IF(Complete!AZ16="","",MROUND(Complete!AZ16,5))</f>
      </c>
      <c r="V25" s="11">
        <f>IF(Complete!BA16="","",MROUND(Complete!BA16,5))</f>
      </c>
      <c r="W25" s="9">
        <f>IF(Complete!BB16="","",Complete!BB16)</f>
      </c>
      <c r="X25" s="47">
        <f>IF(Complete!BC16="","",MROUND(Complete!BC16,5))</f>
      </c>
      <c r="Y25" s="48">
        <f>IF(Input!F29="","",MROUND(Input!F29,1))</f>
      </c>
      <c r="Z25" s="49">
        <f>IF(Input!G29="","",MROUND(Input!G29,1))</f>
      </c>
      <c r="AA25" s="50">
        <f>IF(Input!H29="","",MROUND(Input!H29,1))</f>
      </c>
      <c r="AB25" s="48">
        <f>IF(Input!I29="","",MROUND(Input!I29,1))</f>
      </c>
      <c r="AC25" s="51">
        <f>IF(Input!J29="","",100-Z25-AF25)</f>
      </c>
      <c r="AD25" s="52">
        <f>IF(Input!K29="","",MROUND(Input!K29,1))</f>
      </c>
      <c r="AE25" s="48">
        <f>IF(Input!C29="","",Input!C29)</f>
      </c>
      <c r="AF25" s="49">
        <f>IF(Input!D29="","",Input!D29)</f>
      </c>
      <c r="AG25" s="50">
        <f>IF(Input!E29="","",Input!E29)</f>
      </c>
      <c r="AH25" s="409">
        <f>IF('Kf Calculation'!G13="","",'Kf Calculation'!G13)</f>
      </c>
      <c r="AP25" s="43"/>
      <c r="AQ25" s="43"/>
      <c r="BA25" s="43"/>
      <c r="BB25" s="43"/>
      <c r="BC25" s="26"/>
      <c r="BH25" s="17"/>
      <c r="BQ25" s="17"/>
    </row>
    <row r="26" spans="76:80" s="16" customFormat="1" ht="13.5" thickBot="1">
      <c r="BX26" s="20"/>
      <c r="CB26" s="17"/>
    </row>
    <row r="27" spans="1:79" s="16" customFormat="1" ht="12.75">
      <c r="A27" s="936"/>
      <c r="B27" s="936"/>
      <c r="C27" s="905" t="s">
        <v>687</v>
      </c>
      <c r="D27" s="906"/>
      <c r="E27" s="907"/>
      <c r="F27" s="905" t="s">
        <v>559</v>
      </c>
      <c r="G27" s="906"/>
      <c r="H27" s="899"/>
      <c r="I27" s="905" t="s">
        <v>688</v>
      </c>
      <c r="J27" s="906"/>
      <c r="K27" s="907"/>
      <c r="L27" s="924" t="s">
        <v>689</v>
      </c>
      <c r="M27" s="925"/>
      <c r="N27" s="926"/>
      <c r="O27" s="892" t="s">
        <v>660</v>
      </c>
      <c r="P27" s="805"/>
      <c r="Q27" s="805"/>
      <c r="R27" s="905" t="s">
        <v>690</v>
      </c>
      <c r="S27" s="906"/>
      <c r="T27" s="907"/>
      <c r="U27" s="905" t="s">
        <v>662</v>
      </c>
      <c r="V27" s="906"/>
      <c r="W27" s="907"/>
      <c r="X27" s="53" t="s">
        <v>691</v>
      </c>
      <c r="Y27" s="53" t="s">
        <v>692</v>
      </c>
      <c r="Z27" s="892" t="s">
        <v>693</v>
      </c>
      <c r="AA27" s="805"/>
      <c r="AB27" s="900"/>
      <c r="AC27" s="892" t="s">
        <v>619</v>
      </c>
      <c r="AD27" s="805"/>
      <c r="AE27" s="900"/>
      <c r="AF27" s="892" t="s">
        <v>620</v>
      </c>
      <c r="AG27" s="805"/>
      <c r="AH27" s="805"/>
      <c r="AI27" s="905" t="s">
        <v>695</v>
      </c>
      <c r="AJ27" s="906"/>
      <c r="AK27" s="907"/>
      <c r="AL27" s="805" t="s">
        <v>622</v>
      </c>
      <c r="AM27" s="805"/>
      <c r="AN27" s="900"/>
      <c r="AO27" s="905" t="s">
        <v>621</v>
      </c>
      <c r="AP27" s="906"/>
      <c r="AQ27" s="907"/>
      <c r="AR27" s="920"/>
      <c r="AS27" s="920"/>
      <c r="AT27" s="920"/>
      <c r="BA27" s="17"/>
      <c r="BW27" s="20"/>
      <c r="CA27" s="17"/>
    </row>
    <row r="28" spans="1:79" s="16" customFormat="1" ht="12.75">
      <c r="A28" s="921" t="s">
        <v>574</v>
      </c>
      <c r="B28" s="901"/>
      <c r="C28" s="28" t="s">
        <v>578</v>
      </c>
      <c r="D28" s="4" t="s">
        <v>579</v>
      </c>
      <c r="E28" s="29" t="s">
        <v>580</v>
      </c>
      <c r="F28" s="28" t="s">
        <v>578</v>
      </c>
      <c r="G28" s="4" t="s">
        <v>579</v>
      </c>
      <c r="H28" s="5" t="s">
        <v>580</v>
      </c>
      <c r="I28" s="28" t="s">
        <v>578</v>
      </c>
      <c r="J28" s="4" t="s">
        <v>579</v>
      </c>
      <c r="K28" s="29" t="s">
        <v>580</v>
      </c>
      <c r="L28" s="396" t="s">
        <v>578</v>
      </c>
      <c r="M28" s="55" t="s">
        <v>579</v>
      </c>
      <c r="N28" s="56" t="s">
        <v>580</v>
      </c>
      <c r="O28" s="28" t="s">
        <v>578</v>
      </c>
      <c r="P28" s="4" t="s">
        <v>579</v>
      </c>
      <c r="Q28" s="5" t="s">
        <v>580</v>
      </c>
      <c r="R28" s="28" t="s">
        <v>578</v>
      </c>
      <c r="S28" s="4" t="s">
        <v>579</v>
      </c>
      <c r="T28" s="29" t="s">
        <v>580</v>
      </c>
      <c r="U28" s="28" t="s">
        <v>578</v>
      </c>
      <c r="V28" s="4" t="s">
        <v>579</v>
      </c>
      <c r="W28" s="29" t="s">
        <v>580</v>
      </c>
      <c r="X28" s="57" t="s">
        <v>577</v>
      </c>
      <c r="Y28" s="57" t="s">
        <v>577</v>
      </c>
      <c r="Z28" s="28" t="s">
        <v>578</v>
      </c>
      <c r="AA28" s="4" t="s">
        <v>579</v>
      </c>
      <c r="AB28" s="29" t="s">
        <v>580</v>
      </c>
      <c r="AC28" s="28" t="s">
        <v>578</v>
      </c>
      <c r="AD28" s="4" t="s">
        <v>579</v>
      </c>
      <c r="AE28" s="29" t="s">
        <v>580</v>
      </c>
      <c r="AF28" s="28" t="s">
        <v>578</v>
      </c>
      <c r="AG28" s="4" t="s">
        <v>579</v>
      </c>
      <c r="AH28" s="5" t="s">
        <v>580</v>
      </c>
      <c r="AI28" s="28" t="s">
        <v>578</v>
      </c>
      <c r="AJ28" s="4" t="s">
        <v>579</v>
      </c>
      <c r="AK28" s="29" t="s">
        <v>580</v>
      </c>
      <c r="AL28" s="3" t="s">
        <v>578</v>
      </c>
      <c r="AM28" s="4" t="s">
        <v>579</v>
      </c>
      <c r="AN28" s="29" t="s">
        <v>580</v>
      </c>
      <c r="AO28" s="28" t="s">
        <v>578</v>
      </c>
      <c r="AP28" s="4" t="s">
        <v>579</v>
      </c>
      <c r="AQ28" s="29" t="s">
        <v>580</v>
      </c>
      <c r="BW28" s="20"/>
      <c r="CA28" s="17"/>
    </row>
    <row r="29" spans="1:79" s="16" customFormat="1" ht="12.75">
      <c r="A29" s="922">
        <f>IF(Input!A21="","",Input!A21)</f>
      </c>
      <c r="B29" s="923"/>
      <c r="C29" s="58">
        <f>IF(Input!L21="","",Input!L21)</f>
      </c>
      <c r="D29" s="59">
        <f>IF(Input!M21="","",Input!M21)</f>
      </c>
      <c r="E29" s="60">
        <f>IF(Input!N21="","",Input!N21)</f>
      </c>
      <c r="F29" s="58">
        <f>IF(Input!T8="","",Input!T8)</f>
      </c>
      <c r="G29" s="59">
        <f>IF(Input!U8="","",Input!U8)</f>
      </c>
      <c r="H29" s="378">
        <f>IF(Input!V8="","",Input!V8)</f>
      </c>
      <c r="I29" s="365">
        <f>IF(Input!M34="","",IF(Input!M34&gt;2,ROUND(Input!M34,0),IF(AND(Input!M34&lt;=2,Input!M34&gt;1),ROUND(Input!M34,1),ROUND(Input!M34,2))))</f>
      </c>
      <c r="J29" s="366">
        <f>IF(Input!N34="","",IF(Input!N34&gt;2,ROUND(Input!N34,0),IF(AND(Input!N34&lt;=2,Input!N34&gt;1),ROUND(Input!N34,1),ROUND(Input!N34,2))))</f>
      </c>
      <c r="K29" s="367">
        <f>IF(Input!O34="","",IF(Input!O34&gt;2,ROUND(Input!O34,0),IF(AND(Input!O34&lt;=2,Input!O34&gt;1),ROUND(Input!O34,1),ROUND(Input!O34,2))))</f>
      </c>
      <c r="L29" s="61">
        <f>IF(Complete!W34="","",Complete!W34)</f>
      </c>
      <c r="M29" s="61">
        <f>IF(Complete!X34="","",Complete!X34)</f>
      </c>
      <c r="N29" s="62">
        <f>IF(Complete!Y34="","",Complete!Y34)</f>
      </c>
      <c r="O29" s="111">
        <f>IF(Input!J34="","",Input!J34)</f>
      </c>
      <c r="P29" s="112">
        <f>IF(Input!K34="","",Input!K34)</f>
      </c>
      <c r="Q29" s="288">
        <f>IF(Input!L34="","",Input!L34)</f>
      </c>
      <c r="R29" s="6">
        <f>IF(Complete!Q34="","",MROUND(Complete!Q34,5))</f>
      </c>
      <c r="S29" s="7">
        <f>IF('LL &amp; PI'!Z3="","",Complete!R34)</f>
      </c>
      <c r="T29" s="6">
        <f>IF(Complete!S34="","",MROUND(Complete!S34,5))</f>
      </c>
      <c r="U29" s="6">
        <f>IF(Complete!T34="","",MROUND(Complete!T34,5))</f>
      </c>
      <c r="V29" s="9">
        <f>IF(Complete!U34="","",Complete!U34)</f>
      </c>
      <c r="W29" s="6">
        <f>IF(Complete!V34="","",MROUND(Complete!V34,5))</f>
      </c>
      <c r="X29" s="110">
        <f>IF(Complete!C34="","",Complete!C34)</f>
      </c>
      <c r="Y29" s="110">
        <f>IF(Input!C34="","",IF(Input!C34&lt;0.01,0.02,VLOOKUP(Input!C34,Kw,2,TRUE)))</f>
      </c>
      <c r="Z29" s="6">
        <f>IF(Input!V21="","",Input!V21)</f>
      </c>
      <c r="AA29" s="9">
        <f>IF(Input!W21="","",Input!W21)</f>
      </c>
      <c r="AB29" s="37">
        <f>IF(Input!X21="","",Input!X21)</f>
      </c>
      <c r="AC29" s="6">
        <f>IF(Input!Y21="","",Input!Y21)</f>
      </c>
      <c r="AD29" s="9">
        <f>IF(Input!Z21="","",Input!Z21)</f>
      </c>
      <c r="AE29" s="37">
        <f>IF(Input!AA21="","",Input!AA21)</f>
      </c>
      <c r="AF29" s="63">
        <f>IF(Input!AB21="","",Input!AB21)</f>
      </c>
      <c r="AG29" s="64">
        <f>IF(Input!AC21="","",Input!AC21)</f>
      </c>
      <c r="AH29" s="105">
        <f>IF(Input!AD21="","",Input!AD21)</f>
      </c>
      <c r="AI29" s="361">
        <f>IF(Complete!AK21="","",IF(Complete!AK21&lt;5,Complete!AK21,IF(Complete!AK21="See","See",MROUND(Complete!AK21,5))))</f>
      </c>
      <c r="AJ29" s="362">
        <f>IF(Complete!AL21="","",IF(Complete!AL21="MO-1","MO-1",Complete!AL21))</f>
      </c>
      <c r="AK29" s="385">
        <f>IF(Complete!AM21="","",IF(Complete!AM21&lt;5,Complete!AM21,IF(Complete!AM21="NASIS Guide 17","NASIS Guide 17",MROUND(Complete!AM21,5))))</f>
      </c>
      <c r="AL29" s="390">
        <f>IF(Input!AH21="","",Input!AH21)</f>
      </c>
      <c r="AM29" s="391">
        <f>IF(Input!AI21="","",Input!AI21)</f>
      </c>
      <c r="AN29" s="392">
        <f>IF(Input!AJ21="","",Input!AJ21)</f>
      </c>
      <c r="AO29" s="361">
        <f>IF(Input!AE21="","",Input!AE21)</f>
      </c>
      <c r="AP29" s="362">
        <f>IF(Input!AF21="","",Input!AF21)</f>
      </c>
      <c r="AQ29" s="385">
        <f>IF(Input!AG21="","",Input!AG21)</f>
      </c>
      <c r="BW29" s="20"/>
      <c r="CA29" s="17"/>
    </row>
    <row r="30" spans="1:79" s="16" customFormat="1" ht="12.75">
      <c r="A30" s="922">
        <f>IF(Input!A22="","",Input!A22)</f>
      </c>
      <c r="B30" s="923"/>
      <c r="C30" s="58">
        <f>IF(Input!L22="","",Input!L22)</f>
      </c>
      <c r="D30" s="59">
        <f>IF(Input!M22="","",Input!M22)</f>
      </c>
      <c r="E30" s="60">
        <f>IF(Input!N22="","",Input!N22)</f>
      </c>
      <c r="F30" s="58">
        <f>IF(Input!T9="","",Input!T9)</f>
      </c>
      <c r="G30" s="59">
        <f>IF(Input!U9="","",Input!U9)</f>
      </c>
      <c r="H30" s="378">
        <f>IF(Input!V9="","",Input!V9)</f>
      </c>
      <c r="I30" s="365">
        <f>IF(Input!M35="","",IF(Input!M35&gt;2,ROUND(Input!M35,0),IF(AND(Input!M35&lt;=2,Input!M35&gt;1),ROUND(Input!M35,1),ROUND(Input!M35,2))))</f>
      </c>
      <c r="J30" s="366">
        <f>IF(Input!N35="","",IF(Input!N35&gt;2,ROUND(Input!N35,0),IF(AND(Input!N35&lt;=2,Input!N35&gt;1),ROUND(Input!N35,1),ROUND(Input!N35,2))))</f>
      </c>
      <c r="K30" s="367">
        <f>IF(Input!O35="","",IF(Input!O35&gt;2,ROUND(Input!O35,0),IF(AND(Input!O35&lt;=2,Input!O35&gt;1),ROUND(Input!O35,1),ROUND(Input!O35,2))))</f>
      </c>
      <c r="L30" s="61">
        <f>IF(Complete!W35="","",Complete!W35)</f>
      </c>
      <c r="M30" s="61">
        <f>IF(Complete!X35="","",Complete!X35)</f>
      </c>
      <c r="N30" s="62">
        <f>IF(Complete!Y35="","",Complete!Y35)</f>
      </c>
      <c r="O30" s="111">
        <f>IF(Input!J35="","",Input!J35)</f>
      </c>
      <c r="P30" s="112">
        <f>IF(Input!K35="","",Input!K35)</f>
      </c>
      <c r="Q30" s="288">
        <f>IF(Input!L35="","",Input!L35)</f>
      </c>
      <c r="R30" s="6">
        <f>IF(Complete!Q35="","",MROUND(Complete!Q35,5))</f>
      </c>
      <c r="S30" s="7">
        <f>IF('LL &amp; PI'!Z4="","",Complete!R35)</f>
      </c>
      <c r="T30" s="6">
        <f>IF(Complete!S35="","",MROUND(Complete!S35,5))</f>
      </c>
      <c r="U30" s="6">
        <f>IF(Complete!T35="","",MROUND(Complete!T35,5))</f>
      </c>
      <c r="V30" s="9">
        <f>IF(Complete!U35="","",Complete!U35)</f>
      </c>
      <c r="W30" s="6">
        <f>IF(Complete!V35="","",MROUND(Complete!V35,5))</f>
      </c>
      <c r="X30" s="110">
        <f>IF(Complete!C35="","",Complete!C35)</f>
      </c>
      <c r="Y30" s="110">
        <f>IF(Input!C35="","",IF(Input!C35&lt;0.01,0.02,VLOOKUP(Input!C35,Kw,2,TRUE)))</f>
      </c>
      <c r="Z30" s="6">
        <f>IF(Input!V22="","",Input!V22)</f>
      </c>
      <c r="AA30" s="9">
        <f>IF(Input!W22="","",Input!W22)</f>
      </c>
      <c r="AB30" s="37">
        <f>IF(Input!X22="","",Input!X22)</f>
      </c>
      <c r="AC30" s="6">
        <f>IF(Input!Y22="","",Input!Y22)</f>
      </c>
      <c r="AD30" s="9">
        <f>IF(Input!Z22="","",Input!Z22)</f>
      </c>
      <c r="AE30" s="37">
        <f>IF(Input!AA22="","",Input!AA22)</f>
      </c>
      <c r="AF30" s="63">
        <f>IF(Input!AB22="","",Input!AB22)</f>
      </c>
      <c r="AG30" s="64">
        <f>IF(Input!AC22="","",Input!AC22)</f>
      </c>
      <c r="AH30" s="105">
        <f>IF(Input!AD22="","",Input!AD22)</f>
      </c>
      <c r="AI30" s="361">
        <f>IF(Complete!AK22="","",IF(Complete!AK22&lt;5,Complete!AK22,IF(Complete!AK22="See","See",MROUND(Complete!AK22,5))))</f>
      </c>
      <c r="AJ30" s="362">
        <f>IF(Complete!AL22="","",IF(Complete!AL22="MO-1","MO-1",Complete!AL22))</f>
      </c>
      <c r="AK30" s="385">
        <f>IF(Complete!AM22="","",IF(Complete!AM22&lt;5,Complete!AM22,IF(Complete!AM22="NASIS Guide 17","NASIS Guide 17",MROUND(Complete!AM22,5))))</f>
      </c>
      <c r="AL30" s="390">
        <f>IF(Input!AH22="","",Input!AH22)</f>
      </c>
      <c r="AM30" s="391">
        <f>IF(Input!AI22="","",Input!AI22)</f>
      </c>
      <c r="AN30" s="392">
        <f>IF(Input!AJ22="","",Input!AJ22)</f>
      </c>
      <c r="AO30" s="361">
        <f>IF(Input!AE22="","",Input!AE22)</f>
      </c>
      <c r="AP30" s="362">
        <f>IF(Input!AF22="","",Input!AF22)</f>
      </c>
      <c r="AQ30" s="385">
        <f>IF(Input!AG22="","",Input!AG22)</f>
      </c>
      <c r="BW30" s="20"/>
      <c r="CA30" s="17"/>
    </row>
    <row r="31" spans="1:79" s="16" customFormat="1" ht="12.75">
      <c r="A31" s="922">
        <f>IF(Input!A23="","",Input!A23)</f>
      </c>
      <c r="B31" s="923"/>
      <c r="C31" s="58">
        <f>IF(Input!L23="","",Input!L23)</f>
      </c>
      <c r="D31" s="59">
        <f>IF(Input!M23="","",Input!M23)</f>
      </c>
      <c r="E31" s="60">
        <f>IF(Input!N23="","",Input!N23)</f>
      </c>
      <c r="F31" s="58">
        <f>IF(Input!T10="","",Input!T10)</f>
      </c>
      <c r="G31" s="59">
        <f>IF(Input!U10="","",Input!U10)</f>
      </c>
      <c r="H31" s="378">
        <f>IF(Input!V10="","",Input!V10)</f>
      </c>
      <c r="I31" s="365">
        <f>IF(Input!M36="","",IF(Input!M36&gt;2,ROUND(Input!M36,0),IF(AND(Input!M36&lt;=2,Input!M36&gt;1),ROUND(Input!M36,1),ROUND(Input!M36,2))))</f>
      </c>
      <c r="J31" s="366">
        <f>IF(Input!N36="","",IF(Input!N36&gt;2,ROUND(Input!N36,0),IF(AND(Input!N36&lt;=2,Input!N36&gt;1),ROUND(Input!N36,1),ROUND(Input!N36,2))))</f>
      </c>
      <c r="K31" s="367">
        <f>IF(Input!O36="","",IF(Input!O36&gt;2,ROUND(Input!O36,0),IF(AND(Input!O36&lt;=2,Input!O36&gt;1),ROUND(Input!O36,1),ROUND(Input!O36,2))))</f>
      </c>
      <c r="L31" s="61">
        <f>IF(Complete!W36="","",Complete!W36)</f>
      </c>
      <c r="M31" s="61">
        <f>IF(Complete!X36="","",Complete!X36)</f>
      </c>
      <c r="N31" s="62">
        <f>IF(Complete!Y36="","",Complete!Y36)</f>
      </c>
      <c r="O31" s="111">
        <f>IF(Input!J36="","",Input!J36)</f>
      </c>
      <c r="P31" s="112">
        <f>IF(Input!K36="","",Input!K36)</f>
      </c>
      <c r="Q31" s="288">
        <f>IF(Input!L36="","",Input!L36)</f>
      </c>
      <c r="R31" s="6">
        <f>IF(Complete!Q36="","",MROUND(Complete!Q36,5))</f>
      </c>
      <c r="S31" s="7">
        <f>IF('LL &amp; PI'!Z5="","",Complete!R36)</f>
      </c>
      <c r="T31" s="6">
        <f>IF(Complete!S36="","",MROUND(Complete!S36,5))</f>
      </c>
      <c r="U31" s="6">
        <f>IF(Complete!T36="","",MROUND(Complete!T36,5))</f>
      </c>
      <c r="V31" s="9">
        <f>IF(Complete!U36="","",Complete!U36)</f>
      </c>
      <c r="W31" s="6">
        <f>IF(Complete!V36="","",MROUND(Complete!V36,5))</f>
      </c>
      <c r="X31" s="110">
        <f>IF(Complete!C36="","",Complete!C36)</f>
      </c>
      <c r="Y31" s="110">
        <f>IF(Input!C36="","",IF(Input!C36&lt;0.01,0.02,VLOOKUP(Input!C36,Kw,2,TRUE)))</f>
      </c>
      <c r="Z31" s="6">
        <f>IF(Input!V23="","",Input!V23)</f>
      </c>
      <c r="AA31" s="9">
        <f>IF(Input!W23="","",Input!W23)</f>
      </c>
      <c r="AB31" s="37">
        <f>IF(Input!X23="","",Input!X23)</f>
      </c>
      <c r="AC31" s="6">
        <f>IF(Input!Y23="","",Input!Y23)</f>
      </c>
      <c r="AD31" s="9">
        <f>IF(Input!Z23="","",Input!Z23)</f>
      </c>
      <c r="AE31" s="37">
        <f>IF(Input!AA23="","",Input!AA23)</f>
      </c>
      <c r="AF31" s="63">
        <f>IF(Input!AB23="","",Input!AB23)</f>
      </c>
      <c r="AG31" s="64">
        <f>IF(Input!AC23="","",Input!AC23)</f>
      </c>
      <c r="AH31" s="105">
        <f>IF(Input!AD23="","",Input!AD23)</f>
      </c>
      <c r="AI31" s="361">
        <f>IF(Complete!AK23="","",IF(Complete!AK23&lt;5,Complete!AK23,IF(Complete!AK23="See","See",MROUND(Complete!AK23,5))))</f>
      </c>
      <c r="AJ31" s="362">
        <f>IF(Complete!AL23="","",IF(Complete!AL23="MO-1","MO-1",Complete!AL23))</f>
      </c>
      <c r="AK31" s="385">
        <f>IF(Complete!AM23="","",IF(Complete!AM23&lt;5,Complete!AM23,IF(Complete!AM23="NASIS Guide 17","NASIS Guide 17",MROUND(Complete!AM23,5))))</f>
      </c>
      <c r="AL31" s="390">
        <f>IF(Input!AH23="","",Input!AH23)</f>
      </c>
      <c r="AM31" s="391">
        <f>IF(Input!AI23="","",Input!AI23)</f>
      </c>
      <c r="AN31" s="392">
        <f>IF(Input!AJ23="","",Input!AJ23)</f>
      </c>
      <c r="AO31" s="361">
        <f>IF(Input!AE23="","",Input!AE23)</f>
      </c>
      <c r="AP31" s="362">
        <f>IF(Input!AF23="","",Input!AF23)</f>
      </c>
      <c r="AQ31" s="385">
        <f>IF(Input!AG23="","",Input!AG23)</f>
      </c>
      <c r="BW31" s="20"/>
      <c r="CA31" s="17"/>
    </row>
    <row r="32" spans="1:79" s="16" customFormat="1" ht="12.75">
      <c r="A32" s="922">
        <f>IF(Input!A24="","",Input!A24)</f>
      </c>
      <c r="B32" s="923"/>
      <c r="C32" s="58">
        <f>IF(Input!L24="","",Input!L24)</f>
      </c>
      <c r="D32" s="59">
        <f>IF(Input!M24="","",Input!M24)</f>
      </c>
      <c r="E32" s="60">
        <f>IF(Input!N24="","",Input!N24)</f>
      </c>
      <c r="F32" s="58">
        <f>IF(Input!T11="","",Input!T11)</f>
      </c>
      <c r="G32" s="59">
        <f>IF(Input!U11="","",Input!U11)</f>
      </c>
      <c r="H32" s="378">
        <f>IF(Input!V11="","",Input!V11)</f>
      </c>
      <c r="I32" s="365">
        <f>IF(Input!M37="","",IF(Input!M37&gt;2,ROUND(Input!M37,0),IF(AND(Input!M37&lt;=2,Input!M37&gt;1),ROUND(Input!M37,1),ROUND(Input!M37,2))))</f>
      </c>
      <c r="J32" s="366">
        <f>IF(Input!N37="","",IF(Input!N37&gt;2,ROUND(Input!N37,0),IF(AND(Input!N37&lt;=2,Input!N37&gt;1),ROUND(Input!N37,1),ROUND(Input!N37,2))))</f>
      </c>
      <c r="K32" s="367">
        <f>IF(Input!O37="","",IF(Input!O37&gt;2,ROUND(Input!O37,0),IF(AND(Input!O37&lt;=2,Input!O37&gt;1),ROUND(Input!O37,1),ROUND(Input!O37,2))))</f>
      </c>
      <c r="L32" s="61">
        <f>IF(Complete!W37="","",Complete!W37)</f>
      </c>
      <c r="M32" s="61">
        <f>IF(Complete!X37="","",Complete!X37)</f>
      </c>
      <c r="N32" s="62">
        <f>IF(Complete!Y37="","",Complete!Y37)</f>
      </c>
      <c r="O32" s="111">
        <f>IF(Input!J37="","",Input!J37)</f>
      </c>
      <c r="P32" s="112">
        <f>IF(Input!K37="","",Input!K37)</f>
      </c>
      <c r="Q32" s="288">
        <f>IF(Input!L37="","",Input!L37)</f>
      </c>
      <c r="R32" s="6">
        <f>IF(Complete!Q37="","",MROUND(Complete!Q37,5))</f>
      </c>
      <c r="S32" s="7">
        <f>IF('LL &amp; PI'!Z6="","",Complete!R37)</f>
      </c>
      <c r="T32" s="6">
        <f>IF(Complete!S37="","",MROUND(Complete!S37,5))</f>
      </c>
      <c r="U32" s="6">
        <f>IF(Complete!T37="","",MROUND(Complete!T37,5))</f>
      </c>
      <c r="V32" s="9">
        <f>IF(Complete!U37="","",Complete!U37)</f>
      </c>
      <c r="W32" s="6">
        <f>IF(Complete!V37="","",MROUND(Complete!V37,5))</f>
      </c>
      <c r="X32" s="110">
        <f>IF(Complete!C37="","",Complete!C37)</f>
      </c>
      <c r="Y32" s="110">
        <f>IF(Input!C37="","",IF(Input!C37&lt;0.01,0.02,VLOOKUP(Input!C37,Kw,2,TRUE)))</f>
      </c>
      <c r="Z32" s="6">
        <f>IF(Input!V24="","",Input!V24)</f>
      </c>
      <c r="AA32" s="9">
        <f>IF(Input!W24="","",Input!W24)</f>
      </c>
      <c r="AB32" s="37">
        <f>IF(Input!X24="","",Input!X24)</f>
      </c>
      <c r="AC32" s="6">
        <f>IF(Input!Y24="","",Input!Y24)</f>
      </c>
      <c r="AD32" s="9">
        <f>IF(Input!Z24="","",Input!Z24)</f>
      </c>
      <c r="AE32" s="37">
        <f>IF(Input!AA24="","",Input!AA24)</f>
      </c>
      <c r="AF32" s="63">
        <f>IF(Input!AB24="","",Input!AB24)</f>
      </c>
      <c r="AG32" s="64">
        <f>IF(Input!AC24="","",Input!AC24)</f>
      </c>
      <c r="AH32" s="105">
        <f>IF(Input!AD24="","",Input!AD24)</f>
      </c>
      <c r="AI32" s="361">
        <f>IF(Complete!AK24="","",IF(Complete!AK24&lt;5,Complete!AK24,IF(Complete!AK24="See","See",MROUND(Complete!AK24,5))))</f>
      </c>
      <c r="AJ32" s="362">
        <f>IF(Complete!AL24="","",IF(Complete!AL24="MO-1","MO-1",Complete!AL24))</f>
      </c>
      <c r="AK32" s="385">
        <f>IF(Complete!AM24="","",IF(Complete!AM24&lt;5,Complete!AM24,IF(Complete!AM24="NASIS Guide 17","NASIS Guide 17",MROUND(Complete!AM24,5))))</f>
      </c>
      <c r="AL32" s="390">
        <f>IF(Input!AH24="","",Input!AH24)</f>
      </c>
      <c r="AM32" s="391">
        <f>IF(Input!AI24="","",Input!AI24)</f>
      </c>
      <c r="AN32" s="392">
        <f>IF(Input!AJ24="","",Input!AJ24)</f>
      </c>
      <c r="AO32" s="361">
        <f>IF(Input!AE24="","",Input!AE24)</f>
      </c>
      <c r="AP32" s="362">
        <f>IF(Input!AF24="","",Input!AF24)</f>
      </c>
      <c r="AQ32" s="385">
        <f>IF(Input!AG24="","",Input!AG24)</f>
      </c>
      <c r="BW32" s="20"/>
      <c r="CA32" s="17"/>
    </row>
    <row r="33" spans="1:79" s="16" customFormat="1" ht="12.75">
      <c r="A33" s="922">
        <f>IF(Input!A25="","",Input!A25)</f>
      </c>
      <c r="B33" s="923"/>
      <c r="C33" s="58">
        <f>IF(Input!L25="","",Input!L25)</f>
      </c>
      <c r="D33" s="59">
        <f>IF(Input!M25="","",Input!M25)</f>
      </c>
      <c r="E33" s="60">
        <f>IF(Input!N25="","",Input!N25)</f>
      </c>
      <c r="F33" s="58">
        <f>IF(Input!T12="","",Input!T12)</f>
      </c>
      <c r="G33" s="59">
        <f>IF(Input!U12="","",Input!U12)</f>
      </c>
      <c r="H33" s="378">
        <f>IF(Input!V12="","",Input!V12)</f>
      </c>
      <c r="I33" s="365">
        <f>IF(Input!M38="","",IF(Input!M38&gt;2,ROUND(Input!M38,0),IF(AND(Input!M38&lt;=2,Input!M38&gt;1),ROUND(Input!M38,1),ROUND(Input!M38,2))))</f>
      </c>
      <c r="J33" s="366">
        <f>IF(Input!N38="","",IF(Input!N38&gt;2,ROUND(Input!N38,0),IF(AND(Input!N38&lt;=2,Input!N38&gt;1),ROUND(Input!N38,1),ROUND(Input!N38,2))))</f>
      </c>
      <c r="K33" s="367">
        <f>IF(Input!O38="","",IF(Input!O38&gt;2,ROUND(Input!O38,0),IF(AND(Input!O38&lt;=2,Input!O38&gt;1),ROUND(Input!O38,1),ROUND(Input!O38,2))))</f>
      </c>
      <c r="L33" s="61">
        <f>IF(Complete!W38="","",Complete!W38)</f>
      </c>
      <c r="M33" s="61">
        <f>IF(Complete!X38="","",Complete!X38)</f>
      </c>
      <c r="N33" s="62">
        <f>IF(Complete!Y38="","",Complete!Y38)</f>
      </c>
      <c r="O33" s="111">
        <f>IF(Input!J38="","",Input!J38)</f>
      </c>
      <c r="P33" s="112">
        <f>IF(Input!K38="","",Input!K38)</f>
      </c>
      <c r="Q33" s="288">
        <f>IF(Input!L38="","",Input!L38)</f>
      </c>
      <c r="R33" s="6">
        <f>IF(Complete!Q38="","",MROUND(Complete!Q38,5))</f>
      </c>
      <c r="S33" s="7">
        <f>IF('LL &amp; PI'!Z7="","",Complete!R38)</f>
      </c>
      <c r="T33" s="6">
        <f>IF(Complete!S38="","",MROUND(Complete!S38,5))</f>
      </c>
      <c r="U33" s="6">
        <f>IF(Complete!T38="","",MROUND(Complete!T38,5))</f>
      </c>
      <c r="V33" s="9">
        <f>IF(Complete!U38="","",Complete!U38)</f>
      </c>
      <c r="W33" s="6">
        <f>IF(Complete!V38="","",MROUND(Complete!V38,5))</f>
      </c>
      <c r="X33" s="110">
        <f>IF(Complete!C38="","",Complete!C38)</f>
      </c>
      <c r="Y33" s="110">
        <f>IF(Input!C38="","",IF(Input!C38&lt;0.01,0.02,VLOOKUP(Input!C38,Kw,2,TRUE)))</f>
      </c>
      <c r="Z33" s="6">
        <f>IF(Input!V25="","",Input!V25)</f>
      </c>
      <c r="AA33" s="9">
        <f>IF(Input!W25="","",Input!W25)</f>
      </c>
      <c r="AB33" s="37">
        <f>IF(Input!X25="","",Input!X25)</f>
      </c>
      <c r="AC33" s="6">
        <f>IF(Input!Y25="","",Input!Y25)</f>
      </c>
      <c r="AD33" s="9">
        <f>IF(Input!Z25="","",Input!Z25)</f>
      </c>
      <c r="AE33" s="37">
        <f>IF(Input!AA25="","",Input!AA25)</f>
      </c>
      <c r="AF33" s="63">
        <f>IF(Input!AB25="","",Input!AB25)</f>
      </c>
      <c r="AG33" s="64">
        <f>IF(Input!AC25="","",Input!AC25)</f>
      </c>
      <c r="AH33" s="105">
        <f>IF(Input!AD25="","",Input!AD25)</f>
      </c>
      <c r="AI33" s="361">
        <f>IF(Complete!AK25="","",IF(Complete!AK25&lt;5,Complete!AK25,IF(Complete!AK25="See","See",MROUND(Complete!AK25,5))))</f>
      </c>
      <c r="AJ33" s="362">
        <f>IF(Complete!AL25="","",IF(Complete!AL25="MO-1","MO-1",Complete!AL25))</f>
      </c>
      <c r="AK33" s="385">
        <f>IF(Complete!AM25="","",IF(Complete!AM25&lt;5,Complete!AM25,IF(Complete!AM25="NASIS Guide 17","NASIS Guide 17",MROUND(Complete!AM25,5))))</f>
      </c>
      <c r="AL33" s="390">
        <f>IF(Input!AH25="","",Input!AH25)</f>
      </c>
      <c r="AM33" s="391">
        <f>IF(Input!AI25="","",Input!AI25)</f>
      </c>
      <c r="AN33" s="392">
        <f>IF(Input!AJ25="","",Input!AJ25)</f>
      </c>
      <c r="AO33" s="361">
        <f>IF(Input!AE25="","",Input!AE25)</f>
      </c>
      <c r="AP33" s="362">
        <f>IF(Input!AF25="","",Input!AF25)</f>
      </c>
      <c r="AQ33" s="385">
        <f>IF(Input!AG25="","",Input!AG25)</f>
      </c>
      <c r="BW33" s="20"/>
      <c r="CA33" s="17"/>
    </row>
    <row r="34" spans="1:79" s="16" customFormat="1" ht="12.75">
      <c r="A34" s="922">
        <f>IF(Input!A26="","",Input!A26)</f>
      </c>
      <c r="B34" s="923"/>
      <c r="C34" s="58">
        <f>IF(Input!L26="","",Input!L26)</f>
      </c>
      <c r="D34" s="59">
        <f>IF(Input!M26="","",Input!M26)</f>
      </c>
      <c r="E34" s="60">
        <f>IF(Input!N26="","",Input!N26)</f>
      </c>
      <c r="F34" s="58">
        <f>IF(Input!T13="","",Input!T13)</f>
      </c>
      <c r="G34" s="59">
        <f>IF(Input!U13="","",Input!U13)</f>
      </c>
      <c r="H34" s="378">
        <f>IF(Input!V13="","",Input!V13)</f>
      </c>
      <c r="I34" s="365">
        <f>IF(Input!M39="","",IF(Input!M39&gt;2,ROUND(Input!M39,0),IF(AND(Input!M39&lt;=2,Input!M39&gt;1),ROUND(Input!M39,1),ROUND(Input!M39,2))))</f>
      </c>
      <c r="J34" s="366">
        <f>IF(Input!N39="","",IF(Input!N39&gt;2,ROUND(Input!N39,0),IF(AND(Input!N39&lt;=2,Input!N39&gt;1),ROUND(Input!N39,1),ROUND(Input!N39,2))))</f>
      </c>
      <c r="K34" s="367">
        <f>IF(Input!O39="","",IF(Input!O39&gt;2,ROUND(Input!O39,0),IF(AND(Input!O39&lt;=2,Input!O39&gt;1),ROUND(Input!O39,1),ROUND(Input!O39,2))))</f>
      </c>
      <c r="L34" s="61">
        <f>IF(Complete!W39="","",Complete!W39)</f>
      </c>
      <c r="M34" s="61">
        <f>IF(Complete!X39="","",Complete!X39)</f>
      </c>
      <c r="N34" s="62">
        <f>IF(Complete!Y39="","",Complete!Y39)</f>
      </c>
      <c r="O34" s="111">
        <f>IF(Input!J39="","",Input!J39)</f>
      </c>
      <c r="P34" s="112">
        <f>IF(Input!K39="","",Input!K39)</f>
      </c>
      <c r="Q34" s="288">
        <f>IF(Input!L39="","",Input!L39)</f>
      </c>
      <c r="R34" s="6">
        <f>IF(Complete!Q39="","",MROUND(Complete!Q39,5))</f>
      </c>
      <c r="S34" s="7">
        <f>IF('LL &amp; PI'!Z8="","",Complete!R39)</f>
      </c>
      <c r="T34" s="6">
        <f>IF(Complete!S39="","",MROUND(Complete!S39,5))</f>
      </c>
      <c r="U34" s="6">
        <f>IF(Complete!T39="","",MROUND(Complete!T39,5))</f>
      </c>
      <c r="V34" s="9">
        <f>IF(Complete!U39="","",Complete!U39)</f>
      </c>
      <c r="W34" s="6">
        <f>IF(Complete!V39="","",MROUND(Complete!V39,5))</f>
      </c>
      <c r="X34" s="110">
        <f>IF(Complete!C39="","",Complete!C39)</f>
      </c>
      <c r="Y34" s="110">
        <f>IF(Input!C39="","",IF(Input!C39&lt;0.01,0.02,VLOOKUP(Input!C39,Kw,2,TRUE)))</f>
      </c>
      <c r="Z34" s="6">
        <f>IF(Input!V26="","",Input!V26)</f>
      </c>
      <c r="AA34" s="9">
        <f>IF(Input!W26="","",Input!W26)</f>
      </c>
      <c r="AB34" s="37">
        <f>IF(Input!X26="","",Input!X26)</f>
      </c>
      <c r="AC34" s="6">
        <f>IF(Input!Y26="","",Input!Y26)</f>
      </c>
      <c r="AD34" s="9">
        <f>IF(Input!Z26="","",Input!Z26)</f>
      </c>
      <c r="AE34" s="37">
        <f>IF(Input!AA26="","",Input!AA26)</f>
      </c>
      <c r="AF34" s="63">
        <f>IF(Input!AB26="","",Input!AB26)</f>
      </c>
      <c r="AG34" s="64">
        <f>IF(Input!AC26="","",Input!AC26)</f>
      </c>
      <c r="AH34" s="105">
        <f>IF(Input!AD26="","",Input!AD26)</f>
      </c>
      <c r="AI34" s="361">
        <f>IF(Complete!AK26="","",IF(Complete!AK26&lt;5,Complete!AK26,IF(Complete!AK26="See","See",MROUND(Complete!AK26,5))))</f>
      </c>
      <c r="AJ34" s="362">
        <f>IF(Complete!AL26="","",IF(Complete!AL26="MO-1","MO-1",Complete!AL26))</f>
      </c>
      <c r="AK34" s="385">
        <f>IF(Complete!AM26="","",IF(Complete!AM26&lt;5,Complete!AM26,IF(Complete!AM26="NASIS Guide 17","NASIS Guide 17",MROUND(Complete!AM26,5))))</f>
      </c>
      <c r="AL34" s="390">
        <f>IF(Input!AH26="","",Input!AH26)</f>
      </c>
      <c r="AM34" s="391">
        <f>IF(Input!AI26="","",Input!AI26)</f>
      </c>
      <c r="AN34" s="392">
        <f>IF(Input!AJ26="","",Input!AJ26)</f>
      </c>
      <c r="AO34" s="361">
        <f>IF(Input!AE26="","",Input!AE26)</f>
      </c>
      <c r="AP34" s="362">
        <f>IF(Input!AF26="","",Input!AF26)</f>
      </c>
      <c r="AQ34" s="385">
        <f>IF(Input!AG26="","",Input!AG26)</f>
      </c>
      <c r="BW34" s="20"/>
      <c r="CA34" s="17"/>
    </row>
    <row r="35" spans="1:79" s="16" customFormat="1" ht="12.75">
      <c r="A35" s="922">
        <f>IF(Input!A27="","",Input!A27)</f>
      </c>
      <c r="B35" s="923"/>
      <c r="C35" s="58">
        <f>IF(Input!L27="","",Input!L27)</f>
      </c>
      <c r="D35" s="59">
        <f>IF(Input!M27="","",Input!M27)</f>
      </c>
      <c r="E35" s="60">
        <f>IF(Input!N27="","",Input!N27)</f>
      </c>
      <c r="F35" s="58">
        <f>IF(Input!T14="","",Input!T14)</f>
      </c>
      <c r="G35" s="59">
        <f>IF(Input!U14="","",Input!U14)</f>
      </c>
      <c r="H35" s="378">
        <f>IF(Input!V14="","",Input!V14)</f>
      </c>
      <c r="I35" s="365">
        <f>IF(Input!M40="","",IF(Input!M40&gt;2,ROUND(Input!M40,0),IF(AND(Input!M40&lt;=2,Input!M40&gt;1),ROUND(Input!M40,1),ROUND(Input!M40,2))))</f>
      </c>
      <c r="J35" s="366">
        <f>IF(Input!N40="","",IF(Input!N40&gt;2,ROUND(Input!N40,0),IF(AND(Input!N40&lt;=2,Input!N40&gt;1),ROUND(Input!N40,1),ROUND(Input!N40,2))))</f>
      </c>
      <c r="K35" s="367">
        <f>IF(Input!O40="","",IF(Input!O40&gt;2,ROUND(Input!O40,0),IF(AND(Input!O40&lt;=2,Input!O40&gt;1),ROUND(Input!O40,1),ROUND(Input!O40,2))))</f>
      </c>
      <c r="L35" s="61">
        <f>IF(Complete!W40="","",Complete!W40)</f>
      </c>
      <c r="M35" s="61">
        <f>IF(Complete!X40="","",Complete!X40)</f>
      </c>
      <c r="N35" s="62">
        <f>IF(Complete!Y40="","",Complete!Y40)</f>
      </c>
      <c r="O35" s="111">
        <f>IF(Input!J40="","",Input!J40)</f>
      </c>
      <c r="P35" s="112">
        <f>IF(Input!K40="","",Input!K40)</f>
      </c>
      <c r="Q35" s="288">
        <f>IF(Input!L40="","",Input!L40)</f>
      </c>
      <c r="R35" s="6">
        <f>IF(Complete!Q40="","",MROUND(Complete!Q40,5))</f>
      </c>
      <c r="S35" s="7">
        <f>IF('LL &amp; PI'!Z9="","",Complete!R40)</f>
      </c>
      <c r="T35" s="6">
        <f>IF(Complete!S40="","",MROUND(Complete!S40,5))</f>
      </c>
      <c r="U35" s="6">
        <f>IF(Complete!T40="","",MROUND(Complete!T40,5))</f>
      </c>
      <c r="V35" s="9">
        <f>IF(Complete!U40="","",Complete!U40)</f>
      </c>
      <c r="W35" s="6">
        <f>IF(Complete!V40="","",MROUND(Complete!V40,5))</f>
      </c>
      <c r="X35" s="110">
        <f>IF(Complete!C40="","",Complete!C40)</f>
      </c>
      <c r="Y35" s="110">
        <f>IF(Input!C40="","",IF(Input!C40&lt;0.01,0.02,VLOOKUP(Input!C40,Kw,2,TRUE)))</f>
      </c>
      <c r="Z35" s="6">
        <f>IF(Input!V27="","",Input!V27)</f>
      </c>
      <c r="AA35" s="9">
        <f>IF(Input!W27="","",Input!W27)</f>
      </c>
      <c r="AB35" s="37">
        <f>IF(Input!X27="","",Input!X27)</f>
      </c>
      <c r="AC35" s="6">
        <f>IF(Input!Y27="","",Input!Y27)</f>
      </c>
      <c r="AD35" s="9">
        <f>IF(Input!Z27="","",Input!Z27)</f>
      </c>
      <c r="AE35" s="37">
        <f>IF(Input!AA27="","",Input!AA27)</f>
      </c>
      <c r="AF35" s="63">
        <f>IF(Input!AB27="","",Input!AB27)</f>
      </c>
      <c r="AG35" s="64">
        <f>IF(Input!AC27="","",Input!AC27)</f>
      </c>
      <c r="AH35" s="105">
        <f>IF(Input!AD27="","",Input!AD27)</f>
      </c>
      <c r="AI35" s="361">
        <f>IF(Complete!AK27="","",IF(Complete!AK27&lt;5,Complete!AK27,IF(Complete!AK27="See","See",MROUND(Complete!AK27,5))))</f>
      </c>
      <c r="AJ35" s="362">
        <f>IF(Complete!AL27="","",IF(Complete!AL27="MO-1","MO-1",Complete!AL27))</f>
      </c>
      <c r="AK35" s="385">
        <f>IF(Complete!AM27="","",IF(Complete!AM27&lt;5,Complete!AM27,IF(Complete!AM27="NASIS Guide 17","NASIS Guide 17",MROUND(Complete!AM27,5))))</f>
      </c>
      <c r="AL35" s="390">
        <f>IF(Input!AH27="","",Input!AH27)</f>
      </c>
      <c r="AM35" s="391">
        <f>IF(Input!AI27="","",Input!AI27)</f>
      </c>
      <c r="AN35" s="392">
        <f>IF(Input!AJ27="","",Input!AJ27)</f>
      </c>
      <c r="AO35" s="361">
        <f>IF(Input!AE27="","",Input!AE27)</f>
      </c>
      <c r="AP35" s="362">
        <f>IF(Input!AF27="","",Input!AF27)</f>
      </c>
      <c r="AQ35" s="385">
        <f>IF(Input!AG27="","",Input!AG27)</f>
      </c>
      <c r="BW35" s="20"/>
      <c r="CA35" s="17"/>
    </row>
    <row r="36" spans="1:79" s="16" customFormat="1" ht="12.75">
      <c r="A36" s="922">
        <f>IF(Input!A28="","",Input!A28)</f>
      </c>
      <c r="B36" s="923"/>
      <c r="C36" s="58">
        <f>IF(Input!L28="","",Input!L28)</f>
      </c>
      <c r="D36" s="59">
        <f>IF(Input!M28="","",Input!M28)</f>
      </c>
      <c r="E36" s="60">
        <f>IF(Input!N28="","",Input!N28)</f>
      </c>
      <c r="F36" s="58">
        <f>IF(Input!T15="","",Input!T15)</f>
      </c>
      <c r="G36" s="59">
        <f>IF(Input!U15="","",Input!U15)</f>
      </c>
      <c r="H36" s="378">
        <f>IF(Input!V15="","",Input!V15)</f>
      </c>
      <c r="I36" s="365">
        <f>IF(Input!M41="","",IF(Input!M41&gt;2,ROUND(Input!M41,0),IF(AND(Input!M41&lt;=2,Input!M41&gt;1),ROUND(Input!M41,1),ROUND(Input!M41,2))))</f>
      </c>
      <c r="J36" s="366">
        <f>IF(Input!N41="","",IF(Input!N41&gt;2,ROUND(Input!N41,0),IF(AND(Input!N41&lt;=2,Input!N41&gt;1),ROUND(Input!N41,1),ROUND(Input!N41,2))))</f>
      </c>
      <c r="K36" s="367">
        <f>IF(Input!O41="","",IF(Input!O41&gt;2,ROUND(Input!O41,0),IF(AND(Input!O41&lt;=2,Input!O41&gt;1),ROUND(Input!O41,1),ROUND(Input!O41,2))))</f>
      </c>
      <c r="L36" s="61">
        <f>IF(Complete!W41="","",Complete!W41)</f>
      </c>
      <c r="M36" s="61">
        <f>IF(Complete!X41="","",Complete!X41)</f>
      </c>
      <c r="N36" s="62">
        <f>IF(Complete!Y41="","",Complete!Y41)</f>
      </c>
      <c r="O36" s="111">
        <f>IF(Input!J41="","",Input!J41)</f>
      </c>
      <c r="P36" s="112">
        <f>IF(Input!K41="","",Input!K41)</f>
      </c>
      <c r="Q36" s="288">
        <f>IF(Input!L41="","",Input!L41)</f>
      </c>
      <c r="R36" s="6">
        <f>IF(Complete!Q41="","",MROUND(Complete!Q41,5))</f>
      </c>
      <c r="S36" s="7">
        <f>IF('LL &amp; PI'!Z10="","",Complete!R41)</f>
      </c>
      <c r="T36" s="6">
        <f>IF(Complete!S41="","",MROUND(Complete!S41,5))</f>
      </c>
      <c r="U36" s="6">
        <f>IF(Complete!T41="","",MROUND(Complete!T41,5))</f>
      </c>
      <c r="V36" s="9">
        <f>IF(Complete!U41="","",Complete!U41)</f>
      </c>
      <c r="W36" s="6">
        <f>IF(Complete!V41="","",MROUND(Complete!V41,5))</f>
      </c>
      <c r="X36" s="110">
        <f>IF(Complete!C41="","",Complete!C41)</f>
      </c>
      <c r="Y36" s="110">
        <f>IF(Input!C41="","",IF(Input!C41&lt;0.01,0.02,VLOOKUP(Input!C41,Kw,2,TRUE)))</f>
      </c>
      <c r="Z36" s="6">
        <f>IF(Input!V28="","",Input!V28)</f>
      </c>
      <c r="AA36" s="9">
        <f>IF(Input!W28="","",Input!W28)</f>
      </c>
      <c r="AB36" s="37">
        <f>IF(Input!X28="","",Input!X28)</f>
      </c>
      <c r="AC36" s="6">
        <f>IF(Input!Y28="","",Input!Y28)</f>
      </c>
      <c r="AD36" s="9">
        <f>IF(Input!Z28="","",Input!Z28)</f>
      </c>
      <c r="AE36" s="37">
        <f>IF(Input!AA28="","",Input!AA28)</f>
      </c>
      <c r="AF36" s="63">
        <f>IF(Input!AB28="","",Input!AB28)</f>
      </c>
      <c r="AG36" s="64">
        <f>IF(Input!AC28="","",Input!AC28)</f>
      </c>
      <c r="AH36" s="105">
        <f>IF(Input!AD28="","",Input!AD28)</f>
      </c>
      <c r="AI36" s="361">
        <f>IF(Complete!AK28="","",IF(Complete!AK28&lt;5,Complete!AK28,IF(Complete!AK28="See","See",MROUND(Complete!AK28,5))))</f>
      </c>
      <c r="AJ36" s="362">
        <f>IF(Complete!AL28="","",IF(Complete!AL28="MO-1","MO-1",Complete!AL28))</f>
      </c>
      <c r="AK36" s="385">
        <f>IF(Complete!AM28="","",IF(Complete!AM28&lt;5,Complete!AM28,IF(Complete!AM28="NASIS Guide 17","NASIS Guide 17",MROUND(Complete!AM28,5))))</f>
      </c>
      <c r="AL36" s="390">
        <f>IF(Input!AH28="","",Input!AH28)</f>
      </c>
      <c r="AM36" s="391">
        <f>IF(Input!AI28="","",Input!AI28)</f>
      </c>
      <c r="AN36" s="392">
        <f>IF(Input!AJ28="","",Input!AJ28)</f>
      </c>
      <c r="AO36" s="361">
        <f>IF(Input!AE28="","",Input!AE28)</f>
      </c>
      <c r="AP36" s="362">
        <f>IF(Input!AF28="","",Input!AF28)</f>
      </c>
      <c r="AQ36" s="385">
        <f>IF(Input!AG28="","",Input!AG28)</f>
      </c>
      <c r="BW36" s="20"/>
      <c r="CA36" s="17"/>
    </row>
    <row r="37" spans="1:79" s="16" customFormat="1" ht="13.5" thickBot="1">
      <c r="A37" s="922">
        <f>IF(Input!A29="","",Input!A29)</f>
      </c>
      <c r="B37" s="923"/>
      <c r="C37" s="66">
        <f>IF(Input!L29="","",Input!L29)</f>
      </c>
      <c r="D37" s="67">
        <f>IF(Input!M29="","",Input!M29)</f>
      </c>
      <c r="E37" s="68">
        <f>IF(Input!N29="","",Input!N29)</f>
      </c>
      <c r="F37" s="66">
        <f>IF(Input!T16="","",Input!T16)</f>
      </c>
      <c r="G37" s="67">
        <f>IF(Input!U16="","",Input!U16)</f>
      </c>
      <c r="H37" s="379">
        <f>IF(Input!V16="","",Input!V16)</f>
      </c>
      <c r="I37" s="368">
        <f>IF(Input!M42="","",IF(Input!M42&gt;2,ROUND(Input!M42,0),IF(AND(Input!M42&lt;=2,Input!M42&gt;1),ROUND(Input!M42,1),ROUND(Input!M42,2))))</f>
      </c>
      <c r="J37" s="369">
        <f>IF(Input!N42="","",IF(Input!N42&gt;2,ROUND(Input!N42,0),IF(AND(Input!N42&lt;=2,Input!N42&gt;1),ROUND(Input!N42,1),ROUND(Input!N42,2))))</f>
      </c>
      <c r="K37" s="370">
        <f>IF(Input!O42="","",IF(Input!O42&gt;2,ROUND(Input!O42,0),IF(AND(Input!O42&lt;=2,Input!O42&gt;1),ROUND(Input!O42,1),ROUND(Input!O42,2))))</f>
      </c>
      <c r="L37" s="69">
        <f>IF(Complete!W42="","",Complete!W42)</f>
      </c>
      <c r="M37" s="69">
        <f>IF(Complete!X42="","",Complete!X42)</f>
      </c>
      <c r="N37" s="70">
        <f>IF(Complete!Y42="","",Complete!Y42)</f>
      </c>
      <c r="O37" s="115">
        <f>IF(Input!J42="","",Input!J42)</f>
      </c>
      <c r="P37" s="116">
        <f>IF(Input!K42="","",Input!K42)</f>
      </c>
      <c r="Q37" s="289">
        <f>IF(Input!L42="","",Input!L42)</f>
      </c>
      <c r="R37" s="6">
        <f>IF(Complete!Q42="","",MROUND(Complete!Q42,5))</f>
      </c>
      <c r="S37" s="7">
        <f>IF('LL &amp; PI'!Z11="","",Complete!R42)</f>
      </c>
      <c r="T37" s="6">
        <f>IF(Complete!S42="","",MROUND(Complete!S42,5))</f>
      </c>
      <c r="U37" s="6">
        <f>IF(Complete!T42="","",MROUND(Complete!T42,5))</f>
      </c>
      <c r="V37" s="9">
        <f>IF(Complete!U42="","",Complete!U42)</f>
      </c>
      <c r="W37" s="6">
        <f>IF(Complete!V42="","",MROUND(Complete!V42,5))</f>
      </c>
      <c r="X37" s="114">
        <f>IF(Complete!C42="","",Complete!C42)</f>
      </c>
      <c r="Y37" s="114">
        <f>IF(Input!C42="","",IF(Input!C42&lt;0.01,0.02,VLOOKUP(Input!C42,Kw,2,TRUE)))</f>
      </c>
      <c r="Z37" s="11">
        <f>IF(Input!V29="","",Input!V29)</f>
      </c>
      <c r="AA37" s="14">
        <f>IF(Input!W29="","",Input!W29)</f>
      </c>
      <c r="AB37" s="47">
        <f>IF(Input!X29="","",Input!X29)</f>
      </c>
      <c r="AC37" s="11">
        <f>IF(Input!Y29="","",Input!Y29)</f>
      </c>
      <c r="AD37" s="14">
        <f>IF(Input!Z29="","",Input!Z29)</f>
      </c>
      <c r="AE37" s="47">
        <f>IF(Input!AA29="","",Input!AA29)</f>
      </c>
      <c r="AF37" s="71">
        <f>IF(Input!AB29="","",Input!AB29)</f>
      </c>
      <c r="AG37" s="72">
        <f>IF(Input!AC29="","",Input!AC29)</f>
      </c>
      <c r="AH37" s="108">
        <f>IF(Input!AD29="","",Input!AD29)</f>
      </c>
      <c r="AI37" s="361">
        <f>IF(Complete!AK29="","",IF(Complete!AK29&lt;5,Complete!AK29,IF(Complete!AK29="See","See",MROUND(Complete!AK29,5))))</f>
      </c>
      <c r="AJ37" s="362">
        <f>IF(Complete!AL29="","",IF(Complete!AL29="MO-1","MO-1",Complete!AL29))</f>
      </c>
      <c r="AK37" s="385">
        <f>IF(Complete!AM29="","",IF(Complete!AM29&lt;5,Complete!AM29,IF(Complete!AM29="NASIS Guide 17","NASIS Guide 17",MROUND(Complete!AM29,5))))</f>
      </c>
      <c r="AL37" s="393">
        <f>IF(Input!AH29="","",Input!AH29)</f>
      </c>
      <c r="AM37" s="394">
        <f>IF(Input!AI29="","",Input!AI29)</f>
      </c>
      <c r="AN37" s="395">
        <f>IF(Input!AJ29="","",Input!AJ29)</f>
      </c>
      <c r="AO37" s="363">
        <f>IF(Input!AE29="","",Input!AE29)</f>
      </c>
      <c r="AP37" s="364">
        <f>IF(Input!AF29="","",Input!AF29)</f>
      </c>
      <c r="AQ37" s="386">
        <f>IF(Input!AG29="","",Input!AG29)</f>
      </c>
      <c r="BW37" s="20"/>
      <c r="CA37" s="17"/>
    </row>
    <row r="38" spans="3:80" s="16" customFormat="1" ht="16.5" thickBot="1">
      <c r="C38" s="959" t="s">
        <v>694</v>
      </c>
      <c r="D38" s="959"/>
      <c r="E38" s="959"/>
      <c r="F38" s="959"/>
      <c r="G38" s="959"/>
      <c r="H38" s="959"/>
      <c r="M38" s="891"/>
      <c r="N38" s="891"/>
      <c r="O38" s="891"/>
      <c r="P38" s="958"/>
      <c r="Q38" s="958"/>
      <c r="S38" s="964" t="s">
        <v>455</v>
      </c>
      <c r="T38" s="965"/>
      <c r="U38" s="965"/>
      <c r="V38" s="965"/>
      <c r="W38" s="966"/>
      <c r="X38" s="966"/>
      <c r="Y38" s="966"/>
      <c r="Z38" s="406"/>
      <c r="AA38" s="406"/>
      <c r="AB38" s="74"/>
      <c r="AC38" s="74"/>
      <c r="AD38" s="74"/>
      <c r="AE38" s="74"/>
      <c r="AF38" s="74"/>
      <c r="AG38" s="74"/>
      <c r="AH38" s="74"/>
      <c r="AS38" s="43"/>
      <c r="AT38" s="43"/>
      <c r="AU38" s="43"/>
      <c r="AV38" s="43"/>
      <c r="AW38" s="43"/>
      <c r="AX38" s="43"/>
      <c r="AY38" s="43"/>
      <c r="AZ38" s="43"/>
      <c r="BA38" s="43"/>
      <c r="BB38" s="43"/>
      <c r="BC38" s="43"/>
      <c r="BD38" s="43"/>
      <c r="BE38" s="26"/>
      <c r="BF38" s="26"/>
      <c r="BG38" s="26"/>
      <c r="CB38" s="17"/>
    </row>
    <row r="39" spans="1:80" s="16" customFormat="1" ht="12.75">
      <c r="A39" s="936"/>
      <c r="B39" s="974"/>
      <c r="C39" s="892" t="s">
        <v>555</v>
      </c>
      <c r="D39" s="805"/>
      <c r="E39" s="893"/>
      <c r="F39" s="899" t="s">
        <v>556</v>
      </c>
      <c r="G39" s="900"/>
      <c r="H39" s="892" t="s">
        <v>557</v>
      </c>
      <c r="I39" s="805"/>
      <c r="J39" s="893"/>
      <c r="K39" s="899" t="s">
        <v>556</v>
      </c>
      <c r="L39" s="900"/>
      <c r="M39" s="905" t="s">
        <v>558</v>
      </c>
      <c r="N39" s="906"/>
      <c r="O39" s="906"/>
      <c r="P39" s="906" t="s">
        <v>556</v>
      </c>
      <c r="Q39" s="907"/>
      <c r="R39" s="415"/>
      <c r="S39" s="929" t="s">
        <v>452</v>
      </c>
      <c r="T39" s="930"/>
      <c r="U39" s="931"/>
      <c r="V39" s="929" t="s">
        <v>453</v>
      </c>
      <c r="W39" s="932"/>
      <c r="X39" s="933"/>
      <c r="Y39" s="929" t="s">
        <v>454</v>
      </c>
      <c r="Z39" s="932"/>
      <c r="AA39" s="933"/>
      <c r="AC39" s="905" t="s">
        <v>658</v>
      </c>
      <c r="AD39" s="906"/>
      <c r="AE39" s="907"/>
      <c r="AF39" s="892" t="s">
        <v>659</v>
      </c>
      <c r="AG39" s="934"/>
      <c r="AH39" s="935"/>
      <c r="AO39" s="43"/>
      <c r="AY39" s="920"/>
      <c r="AZ39" s="928"/>
      <c r="BA39" s="920"/>
      <c r="BB39" s="928"/>
      <c r="BC39" s="920"/>
      <c r="BD39" s="927"/>
      <c r="BX39" s="20"/>
      <c r="CB39" s="17"/>
    </row>
    <row r="40" spans="1:80" s="16" customFormat="1" ht="13.5" thickBot="1">
      <c r="A40" s="921" t="str">
        <f>IF(A16="","",A16)</f>
        <v>Horizon</v>
      </c>
      <c r="B40" s="939"/>
      <c r="C40" s="946" t="s">
        <v>577</v>
      </c>
      <c r="D40" s="947"/>
      <c r="E40" s="948"/>
      <c r="F40" s="944" t="s">
        <v>577</v>
      </c>
      <c r="G40" s="945"/>
      <c r="H40" s="946" t="s">
        <v>577</v>
      </c>
      <c r="I40" s="947"/>
      <c r="J40" s="948"/>
      <c r="K40" s="944" t="s">
        <v>577</v>
      </c>
      <c r="L40" s="945"/>
      <c r="M40" s="953" t="s">
        <v>577</v>
      </c>
      <c r="N40" s="954"/>
      <c r="O40" s="954"/>
      <c r="P40" s="962" t="s">
        <v>577</v>
      </c>
      <c r="Q40" s="963"/>
      <c r="R40" s="416"/>
      <c r="S40" s="14" t="s">
        <v>578</v>
      </c>
      <c r="T40" s="12" t="s">
        <v>579</v>
      </c>
      <c r="U40" s="46" t="s">
        <v>580</v>
      </c>
      <c r="V40" s="14" t="s">
        <v>578</v>
      </c>
      <c r="W40" s="12" t="s">
        <v>579</v>
      </c>
      <c r="X40" s="46" t="s">
        <v>580</v>
      </c>
      <c r="Y40" s="14" t="s">
        <v>578</v>
      </c>
      <c r="Z40" s="12" t="s">
        <v>579</v>
      </c>
      <c r="AA40" s="46" t="s">
        <v>580</v>
      </c>
      <c r="AC40" s="417" t="s">
        <v>579</v>
      </c>
      <c r="AD40" s="418">
        <v>2</v>
      </c>
      <c r="AE40" s="419">
        <v>3</v>
      </c>
      <c r="AF40" s="417" t="s">
        <v>579</v>
      </c>
      <c r="AG40" s="418">
        <v>2</v>
      </c>
      <c r="AH40" s="419">
        <v>3</v>
      </c>
      <c r="AY40" s="23"/>
      <c r="AZ40" s="23"/>
      <c r="BA40" s="23"/>
      <c r="BB40" s="23"/>
      <c r="BC40" s="23"/>
      <c r="BD40" s="23"/>
      <c r="BQ40" s="43"/>
      <c r="BR40" s="43"/>
      <c r="BS40" s="43"/>
      <c r="BT40" s="43"/>
      <c r="BU40" s="43"/>
      <c r="BV40" s="43"/>
      <c r="BX40" s="20"/>
      <c r="CB40" s="17"/>
    </row>
    <row r="41" spans="1:80" s="16" customFormat="1" ht="12.75">
      <c r="A41" s="921">
        <f>IF(Input!A34="","",Input!A34)</f>
      </c>
      <c r="B41" s="939"/>
      <c r="C41" s="908">
        <f>IF(Input!E8="","",Input!E8)</f>
      </c>
      <c r="D41" s="909"/>
      <c r="E41" s="910"/>
      <c r="F41" s="960">
        <f>IF(Input!H8="","",Input!H8)</f>
      </c>
      <c r="G41" s="961"/>
      <c r="H41" s="908">
        <f>IF(Input!J8="","",Input!J8)</f>
      </c>
      <c r="I41" s="909"/>
      <c r="J41" s="910"/>
      <c r="K41" s="911">
        <f>IF(Input!M8="","",Input!M8)</f>
      </c>
      <c r="L41" s="912"/>
      <c r="M41" s="951">
        <f>IF(Input!O8="","",Input!O8)</f>
      </c>
      <c r="N41" s="952"/>
      <c r="O41" s="952"/>
      <c r="P41" s="972">
        <f>IF(Input!R8="","",Input!R8)</f>
      </c>
      <c r="Q41" s="973"/>
      <c r="R41" s="416"/>
      <c r="S41" s="410">
        <f>IF(Input!X8="","",Input!X8)</f>
      </c>
      <c r="T41" s="411">
        <f>IF(Input!Y8="","",Input!Y8)</f>
      </c>
      <c r="U41" s="412">
        <f>IF(Input!Z8="","",Input!Z8)</f>
      </c>
      <c r="V41" s="410">
        <f>IF(Input!AA8="","",Input!AA8)</f>
      </c>
      <c r="W41" s="411">
        <f>IF(Input!AB8="","",Input!AB8)</f>
      </c>
      <c r="X41" s="412">
        <f>IF(Input!AC8="","",Input!AC8)</f>
      </c>
      <c r="Y41" s="410">
        <f>IF(Input!AD8="","",Input!AD8)</f>
      </c>
      <c r="Z41" s="411">
        <f>IF(Input!AE8="","",Input!AE8)</f>
      </c>
      <c r="AA41" s="412">
        <f>IF(Input!AF8="","",Input!AF8)</f>
      </c>
      <c r="AC41" s="413">
        <f>IF(Input!D34="","",Input!D34)</f>
      </c>
      <c r="AD41" s="410">
        <f>IF(Input!E34="","",Input!E34)</f>
      </c>
      <c r="AE41" s="408">
        <f>IF(Input!F34="","",Input!F34)</f>
      </c>
      <c r="AF41" s="413">
        <f>IF(Input!G34="","",Input!G34)</f>
      </c>
      <c r="AG41" s="411">
        <f>IF(Input!H34="","",Input!H34)</f>
      </c>
      <c r="AH41" s="412">
        <f>IF(Input!I34="","",Input!I34)</f>
      </c>
      <c r="AY41" s="43"/>
      <c r="AZ41" s="43"/>
      <c r="BA41" s="43"/>
      <c r="BB41" s="43"/>
      <c r="BC41" s="43"/>
      <c r="BD41" s="43"/>
      <c r="BQ41" s="43"/>
      <c r="BR41" s="43"/>
      <c r="BS41" s="43"/>
      <c r="BT41" s="43"/>
      <c r="BU41" s="43"/>
      <c r="BV41" s="43"/>
      <c r="BX41" s="20"/>
      <c r="CB41" s="17"/>
    </row>
    <row r="42" spans="1:80" s="16" customFormat="1" ht="12.75">
      <c r="A42" s="921">
        <f>IF(Input!A35="","",Input!A35)</f>
      </c>
      <c r="B42" s="939"/>
      <c r="C42" s="894">
        <f>IF(Input!E9="","",Input!E9)</f>
      </c>
      <c r="D42" s="895"/>
      <c r="E42" s="896"/>
      <c r="F42" s="901">
        <f>IF(Input!H9="","",Input!H9)</f>
      </c>
      <c r="G42" s="902"/>
      <c r="H42" s="894">
        <f>IF(Input!J9="","",Input!J9)</f>
      </c>
      <c r="I42" s="895"/>
      <c r="J42" s="896"/>
      <c r="K42" s="897">
        <f>IF(Input!M9="","",Input!M9)</f>
      </c>
      <c r="L42" s="898"/>
      <c r="M42" s="968">
        <f>IF(Input!O9="","",Input!O9)</f>
      </c>
      <c r="N42" s="969"/>
      <c r="O42" s="969"/>
      <c r="P42" s="970">
        <f>IF(Input!R9="","",Input!R9)</f>
      </c>
      <c r="Q42" s="939"/>
      <c r="R42" s="416"/>
      <c r="S42" s="9">
        <f>IF(Input!X9="","",Input!X9)</f>
      </c>
      <c r="T42" s="7">
        <f>IF(Input!Y9="","",Input!Y9)</f>
      </c>
      <c r="U42" s="36">
        <f>IF(Input!Z9="","",Input!Z9)</f>
      </c>
      <c r="V42" s="9">
        <f>IF(Input!AA9="","",Input!AA9)</f>
      </c>
      <c r="W42" s="7">
        <f>IF(Input!AB9="","",Input!AB9)</f>
      </c>
      <c r="X42" s="36">
        <f>IF(Input!AC9="","",Input!AC9)</f>
      </c>
      <c r="Y42" s="9">
        <f>IF(Input!AD9="","",Input!AD9)</f>
      </c>
      <c r="Z42" s="7">
        <f>IF(Input!AE9="","",Input!AE9)</f>
      </c>
      <c r="AA42" s="36">
        <f>IF(Input!AF9="","",Input!AF9)</f>
      </c>
      <c r="AC42" s="6">
        <f>IF(Input!D35="","",Input!D35)</f>
      </c>
      <c r="AD42" s="9">
        <f>IF(Input!E35="","",Input!E35)</f>
      </c>
      <c r="AE42" s="37">
        <f>IF(Input!F35="","",Input!F35)</f>
      </c>
      <c r="AF42" s="6">
        <f>IF(Input!G35="","",Input!G35)</f>
      </c>
      <c r="AG42" s="7">
        <f>IF(Input!H35="","",Input!H35)</f>
      </c>
      <c r="AH42" s="36">
        <f>IF(Input!I35="","",Input!I35)</f>
      </c>
      <c r="AY42" s="43"/>
      <c r="AZ42" s="43"/>
      <c r="BA42" s="43"/>
      <c r="BB42" s="43"/>
      <c r="BC42" s="43"/>
      <c r="BD42" s="43"/>
      <c r="BQ42" s="43"/>
      <c r="BR42" s="43"/>
      <c r="BS42" s="43"/>
      <c r="BT42" s="43"/>
      <c r="BU42" s="43"/>
      <c r="BV42" s="43"/>
      <c r="BX42" s="20"/>
      <c r="CB42" s="17"/>
    </row>
    <row r="43" spans="1:80" s="16" customFormat="1" ht="12.75">
      <c r="A43" s="921">
        <f>IF(Input!A36="","",Input!A36)</f>
      </c>
      <c r="B43" s="939"/>
      <c r="C43" s="894">
        <f>IF(Input!E10="","",Input!E10)</f>
      </c>
      <c r="D43" s="895"/>
      <c r="E43" s="896"/>
      <c r="F43" s="901">
        <f>IF(Input!H10="","",Input!H10)</f>
      </c>
      <c r="G43" s="902"/>
      <c r="H43" s="894">
        <f>IF(Input!J10="","",Input!J10)</f>
      </c>
      <c r="I43" s="895"/>
      <c r="J43" s="896"/>
      <c r="K43" s="897">
        <f>IF(Input!M10="","",Input!M10)</f>
      </c>
      <c r="L43" s="898"/>
      <c r="M43" s="968">
        <f>IF(Input!O10="","",Input!O10)</f>
      </c>
      <c r="N43" s="969"/>
      <c r="O43" s="969"/>
      <c r="P43" s="970">
        <f>IF(Input!R10="","",Input!R10)</f>
      </c>
      <c r="Q43" s="939"/>
      <c r="R43" s="416"/>
      <c r="S43" s="9">
        <f>IF(Input!X10="","",Input!X10)</f>
      </c>
      <c r="T43" s="7">
        <f>IF(Input!Y10="","",Input!Y10)</f>
      </c>
      <c r="U43" s="36">
        <f>IF(Input!Z10="","",Input!Z10)</f>
      </c>
      <c r="V43" s="9">
        <f>IF(Input!AA10="","",Input!AA10)</f>
      </c>
      <c r="W43" s="7">
        <f>IF(Input!AB10="","",Input!AB10)</f>
      </c>
      <c r="X43" s="36">
        <f>IF(Input!AC10="","",Input!AC10)</f>
      </c>
      <c r="Y43" s="9">
        <f>IF(Input!AD10="","",Input!AD10)</f>
      </c>
      <c r="Z43" s="7">
        <f>IF(Input!AE10="","",Input!AE10)</f>
      </c>
      <c r="AA43" s="36">
        <f>IF(Input!AF10="","",Input!AF10)</f>
      </c>
      <c r="AC43" s="6">
        <f>IF(Input!D36="","",Input!D36)</f>
      </c>
      <c r="AD43" s="9">
        <f>IF(Input!E36="","",Input!E36)</f>
      </c>
      <c r="AE43" s="37">
        <f>IF(Input!F36="","",Input!F36)</f>
      </c>
      <c r="AF43" s="6">
        <f>IF(Input!G36="","",Input!G36)</f>
      </c>
      <c r="AG43" s="7">
        <f>IF(Input!H36="","",Input!H36)</f>
      </c>
      <c r="AH43" s="36">
        <f>IF(Input!I36="","",Input!I36)</f>
      </c>
      <c r="AY43" s="43"/>
      <c r="AZ43" s="43"/>
      <c r="BA43" s="43"/>
      <c r="BB43" s="43"/>
      <c r="BC43" s="43"/>
      <c r="BD43" s="43"/>
      <c r="BQ43" s="43"/>
      <c r="BR43" s="43"/>
      <c r="BS43" s="43"/>
      <c r="BT43" s="43"/>
      <c r="BU43" s="43"/>
      <c r="BV43" s="43"/>
      <c r="BX43" s="20"/>
      <c r="CB43" s="17"/>
    </row>
    <row r="44" spans="1:80" s="16" customFormat="1" ht="12.75">
      <c r="A44" s="921">
        <f>IF(Input!A37="","",Input!A37)</f>
      </c>
      <c r="B44" s="939"/>
      <c r="C44" s="894">
        <f>IF(Input!E11="","",Input!E11)</f>
      </c>
      <c r="D44" s="895"/>
      <c r="E44" s="896"/>
      <c r="F44" s="901">
        <f>IF(Input!H11="","",Input!H11)</f>
      </c>
      <c r="G44" s="902"/>
      <c r="H44" s="894">
        <f>IF(Input!J11="","",Input!J11)</f>
      </c>
      <c r="I44" s="895"/>
      <c r="J44" s="896"/>
      <c r="K44" s="897">
        <f>IF(Input!M11="","",Input!M11)</f>
      </c>
      <c r="L44" s="898"/>
      <c r="M44" s="968">
        <f>IF(Input!O11="","",Input!O11)</f>
      </c>
      <c r="N44" s="969"/>
      <c r="O44" s="969"/>
      <c r="P44" s="970">
        <f>IF(Input!R11="","",Input!R11)</f>
      </c>
      <c r="Q44" s="939"/>
      <c r="R44" s="416"/>
      <c r="S44" s="9">
        <f>IF(Input!X11="","",Input!X11)</f>
      </c>
      <c r="T44" s="7">
        <f>IF(Input!Y11="","",Input!Y11)</f>
      </c>
      <c r="U44" s="36">
        <f>IF(Input!Z11="","",Input!Z11)</f>
      </c>
      <c r="V44" s="9">
        <f>IF(Input!AA11="","",Input!AA11)</f>
      </c>
      <c r="W44" s="7">
        <f>IF(Input!AB11="","",Input!AB11)</f>
      </c>
      <c r="X44" s="36">
        <f>IF(Input!AC11="","",Input!AC11)</f>
      </c>
      <c r="Y44" s="9">
        <f>IF(Input!AD11="","",Input!AD11)</f>
      </c>
      <c r="Z44" s="7">
        <f>IF(Input!AE11="","",Input!AE11)</f>
      </c>
      <c r="AA44" s="36">
        <f>IF(Input!AF11="","",Input!AF11)</f>
      </c>
      <c r="AC44" s="6">
        <f>IF(Input!D37="","",Input!D37)</f>
      </c>
      <c r="AD44" s="9">
        <f>IF(Input!E37="","",Input!E37)</f>
      </c>
      <c r="AE44" s="37">
        <f>IF(Input!F37="","",Input!F37)</f>
      </c>
      <c r="AF44" s="6">
        <f>IF(Input!G37="","",Input!G37)</f>
      </c>
      <c r="AG44" s="7">
        <f>IF(Input!H37="","",Input!H37)</f>
      </c>
      <c r="AH44" s="36">
        <f>IF(Input!I37="","",Input!I37)</f>
      </c>
      <c r="AY44" s="43"/>
      <c r="AZ44" s="43"/>
      <c r="BA44" s="43"/>
      <c r="BB44" s="43"/>
      <c r="BC44" s="43"/>
      <c r="BD44" s="43"/>
      <c r="BQ44" s="43"/>
      <c r="BR44" s="43"/>
      <c r="BS44" s="43"/>
      <c r="BT44" s="43"/>
      <c r="BU44" s="43"/>
      <c r="BV44" s="43"/>
      <c r="BX44" s="20"/>
      <c r="CB44" s="17"/>
    </row>
    <row r="45" spans="1:80" s="16" customFormat="1" ht="12.75">
      <c r="A45" s="921">
        <f>IF(Input!A38="","",Input!A38)</f>
      </c>
      <c r="B45" s="939"/>
      <c r="C45" s="894">
        <f>IF(Input!E12="","",Input!E12)</f>
      </c>
      <c r="D45" s="895"/>
      <c r="E45" s="896"/>
      <c r="F45" s="901">
        <f>IF(Input!H12="","",Input!H12)</f>
      </c>
      <c r="G45" s="902"/>
      <c r="H45" s="894">
        <f>IF(Input!J12="","",Input!J12)</f>
      </c>
      <c r="I45" s="895"/>
      <c r="J45" s="896"/>
      <c r="K45" s="897">
        <f>IF(Input!M12="","",Input!M12)</f>
      </c>
      <c r="L45" s="898"/>
      <c r="M45" s="968">
        <f>IF(Input!O12="","",Input!O12)</f>
      </c>
      <c r="N45" s="969"/>
      <c r="O45" s="969"/>
      <c r="P45" s="970">
        <f>IF(Input!R12="","",Input!R12)</f>
      </c>
      <c r="Q45" s="939"/>
      <c r="R45" s="416"/>
      <c r="S45" s="9">
        <f>IF(Input!X12="","",Input!X12)</f>
      </c>
      <c r="T45" s="7">
        <f>IF(Input!Y12="","",Input!Y12)</f>
      </c>
      <c r="U45" s="36">
        <f>IF(Input!Z12="","",Input!Z12)</f>
      </c>
      <c r="V45" s="9">
        <f>IF(Input!AA12="","",Input!AA12)</f>
      </c>
      <c r="W45" s="7">
        <f>IF(Input!AB12="","",Input!AB12)</f>
      </c>
      <c r="X45" s="36">
        <f>IF(Input!AC12="","",Input!AC12)</f>
      </c>
      <c r="Y45" s="9">
        <f>IF(Input!AD12="","",Input!AD12)</f>
      </c>
      <c r="Z45" s="7">
        <f>IF(Input!AE12="","",Input!AE12)</f>
      </c>
      <c r="AA45" s="36">
        <f>IF(Input!AF12="","",Input!AF12)</f>
      </c>
      <c r="AC45" s="6">
        <f>IF(Input!D38="","",Input!D38)</f>
      </c>
      <c r="AD45" s="9">
        <f>IF(Input!E38="","",Input!E38)</f>
      </c>
      <c r="AE45" s="37">
        <f>IF(Input!F38="","",Input!F38)</f>
      </c>
      <c r="AF45" s="6">
        <f>IF(Input!G38="","",Input!G38)</f>
      </c>
      <c r="AG45" s="7">
        <f>IF(Input!H38="","",Input!H38)</f>
      </c>
      <c r="AH45" s="36">
        <f>IF(Input!I38="","",Input!I38)</f>
      </c>
      <c r="AY45" s="43"/>
      <c r="AZ45" s="43"/>
      <c r="BA45" s="43"/>
      <c r="BB45" s="43"/>
      <c r="BC45" s="43"/>
      <c r="BD45" s="43"/>
      <c r="BQ45" s="43"/>
      <c r="BR45" s="43"/>
      <c r="BS45" s="43"/>
      <c r="BT45" s="43"/>
      <c r="BU45" s="43"/>
      <c r="BV45" s="43"/>
      <c r="BX45" s="20"/>
      <c r="CB45" s="17"/>
    </row>
    <row r="46" spans="1:80" s="16" customFormat="1" ht="12.75">
      <c r="A46" s="921">
        <f>IF(Input!A39="","",Input!A39)</f>
      </c>
      <c r="B46" s="939"/>
      <c r="C46" s="894">
        <f>IF(Input!E13="","",Input!E13)</f>
      </c>
      <c r="D46" s="895"/>
      <c r="E46" s="896"/>
      <c r="F46" s="901">
        <f>IF(Input!H13="","",Input!H13)</f>
      </c>
      <c r="G46" s="902"/>
      <c r="H46" s="894">
        <f>IF(Input!J13="","",Input!J13)</f>
      </c>
      <c r="I46" s="895"/>
      <c r="J46" s="896"/>
      <c r="K46" s="897">
        <f>IF(Input!M13="","",Input!M13)</f>
      </c>
      <c r="L46" s="898"/>
      <c r="M46" s="968">
        <f>IF(Input!O13="","",Input!O13)</f>
      </c>
      <c r="N46" s="969"/>
      <c r="O46" s="969"/>
      <c r="P46" s="970">
        <f>IF(Input!R13="","",Input!R13)</f>
      </c>
      <c r="Q46" s="939"/>
      <c r="R46" s="416"/>
      <c r="S46" s="9">
        <f>IF(Input!X13="","",Input!X13)</f>
      </c>
      <c r="T46" s="7">
        <f>IF(Input!Y13="","",Input!Y13)</f>
      </c>
      <c r="U46" s="36">
        <f>IF(Input!Z13="","",Input!Z13)</f>
      </c>
      <c r="V46" s="9">
        <f>IF(Input!AA13="","",Input!AA13)</f>
      </c>
      <c r="W46" s="7">
        <f>IF(Input!AB13="","",Input!AB13)</f>
      </c>
      <c r="X46" s="36">
        <f>IF(Input!AC13="","",Input!AC13)</f>
      </c>
      <c r="Y46" s="9">
        <f>IF(Input!AD13="","",Input!AD13)</f>
      </c>
      <c r="Z46" s="7">
        <f>IF(Input!AE13="","",Input!AE13)</f>
      </c>
      <c r="AA46" s="36">
        <f>IF(Input!AF13="","",Input!AF13)</f>
      </c>
      <c r="AC46" s="6">
        <f>IF(Input!D39="","",Input!D39)</f>
      </c>
      <c r="AD46" s="9">
        <f>IF(Input!E39="","",Input!E39)</f>
      </c>
      <c r="AE46" s="37">
        <f>IF(Input!F39="","",Input!F39)</f>
      </c>
      <c r="AF46" s="6">
        <f>IF(Input!G39="","",Input!G39)</f>
      </c>
      <c r="AG46" s="7">
        <f>IF(Input!H39="","",Input!H39)</f>
      </c>
      <c r="AH46" s="36">
        <f>IF(Input!I39="","",Input!I39)</f>
      </c>
      <c r="AY46" s="43"/>
      <c r="AZ46" s="43"/>
      <c r="BA46" s="43"/>
      <c r="BB46" s="43"/>
      <c r="BC46" s="43"/>
      <c r="BD46" s="43"/>
      <c r="BQ46" s="43"/>
      <c r="BR46" s="43"/>
      <c r="BS46" s="43"/>
      <c r="BT46" s="43"/>
      <c r="BU46" s="43"/>
      <c r="BV46" s="43"/>
      <c r="BX46" s="20"/>
      <c r="CB46" s="17"/>
    </row>
    <row r="47" spans="1:80" s="16" customFormat="1" ht="12.75">
      <c r="A47" s="921">
        <f>IF(Input!A40="","",Input!A40)</f>
      </c>
      <c r="B47" s="939"/>
      <c r="C47" s="894">
        <f>IF(Input!E14="","",Input!E14)</f>
      </c>
      <c r="D47" s="895"/>
      <c r="E47" s="896"/>
      <c r="F47" s="901">
        <f>IF(Input!H14="","",Input!H14)</f>
      </c>
      <c r="G47" s="902"/>
      <c r="H47" s="894">
        <f>IF(Input!J14="","",Input!J14)</f>
      </c>
      <c r="I47" s="895"/>
      <c r="J47" s="896"/>
      <c r="K47" s="897">
        <f>IF(Input!M14="","",Input!M14)</f>
      </c>
      <c r="L47" s="898"/>
      <c r="M47" s="968">
        <f>IF(Input!O14="","",Input!O14)</f>
      </c>
      <c r="N47" s="969"/>
      <c r="O47" s="969"/>
      <c r="P47" s="970">
        <f>IF(Input!R14="","",Input!R14)</f>
      </c>
      <c r="Q47" s="939"/>
      <c r="R47" s="416"/>
      <c r="S47" s="9">
        <f>IF(Input!X14="","",Input!X14)</f>
      </c>
      <c r="T47" s="7">
        <f>IF(Input!Y14="","",Input!Y14)</f>
      </c>
      <c r="U47" s="36">
        <f>IF(Input!Z14="","",Input!Z14)</f>
      </c>
      <c r="V47" s="9">
        <f>IF(Input!AA14="","",Input!AA14)</f>
      </c>
      <c r="W47" s="7">
        <f>IF(Input!AB14="","",Input!AB14)</f>
      </c>
      <c r="X47" s="36">
        <f>IF(Input!AC14="","",Input!AC14)</f>
      </c>
      <c r="Y47" s="9">
        <f>IF(Input!AD14="","",Input!AD14)</f>
      </c>
      <c r="Z47" s="7">
        <f>IF(Input!AE14="","",Input!AE14)</f>
      </c>
      <c r="AA47" s="36">
        <f>IF(Input!AF14="","",Input!AF14)</f>
      </c>
      <c r="AC47" s="6">
        <f>IF(Input!D40="","",Input!D40)</f>
      </c>
      <c r="AD47" s="9">
        <f>IF(Input!E40="","",Input!E40)</f>
      </c>
      <c r="AE47" s="37">
        <f>IF(Input!F40="","",Input!F40)</f>
      </c>
      <c r="AF47" s="6">
        <f>IF(Input!G40="","",Input!G40)</f>
      </c>
      <c r="AG47" s="7">
        <f>IF(Input!H40="","",Input!H40)</f>
      </c>
      <c r="AH47" s="36">
        <f>IF(Input!I40="","",Input!I40)</f>
      </c>
      <c r="AY47" s="43"/>
      <c r="AZ47" s="43"/>
      <c r="BA47" s="43"/>
      <c r="BB47" s="43"/>
      <c r="BC47" s="43"/>
      <c r="BD47" s="43"/>
      <c r="BQ47" s="43"/>
      <c r="BR47" s="43"/>
      <c r="BS47" s="43"/>
      <c r="BT47" s="43"/>
      <c r="BU47" s="43"/>
      <c r="BV47" s="43"/>
      <c r="BX47" s="20"/>
      <c r="CB47" s="17"/>
    </row>
    <row r="48" spans="1:80" s="16" customFormat="1" ht="12.75">
      <c r="A48" s="921">
        <f>IF(Input!A41="","",Input!A41)</f>
      </c>
      <c r="B48" s="939"/>
      <c r="C48" s="894">
        <f>IF(Input!E15="","",Input!E15)</f>
      </c>
      <c r="D48" s="895"/>
      <c r="E48" s="896"/>
      <c r="F48" s="901">
        <f>IF(Input!H15="","",Input!H15)</f>
      </c>
      <c r="G48" s="902"/>
      <c r="H48" s="894">
        <f>IF(Input!J15="","",Input!J15)</f>
      </c>
      <c r="I48" s="895"/>
      <c r="J48" s="896"/>
      <c r="K48" s="897">
        <f>IF(Input!M15="","",Input!M15)</f>
      </c>
      <c r="L48" s="898"/>
      <c r="M48" s="968">
        <f>IF(Input!O15="","",Input!O15)</f>
      </c>
      <c r="N48" s="969"/>
      <c r="O48" s="969"/>
      <c r="P48" s="970">
        <f>IF(Input!R15="","",Input!R15)</f>
      </c>
      <c r="Q48" s="939"/>
      <c r="R48" s="416"/>
      <c r="S48" s="9">
        <f>IF(Input!X15="","",Input!X15)</f>
      </c>
      <c r="T48" s="7">
        <f>IF(Input!Y15="","",Input!Y15)</f>
      </c>
      <c r="U48" s="36">
        <f>IF(Input!Z15="","",Input!Z15)</f>
      </c>
      <c r="V48" s="9">
        <f>IF(Input!AA15="","",Input!AA15)</f>
      </c>
      <c r="W48" s="7">
        <f>IF(Input!AB15="","",Input!AB15)</f>
      </c>
      <c r="X48" s="36">
        <f>IF(Input!AC15="","",Input!AC15)</f>
      </c>
      <c r="Y48" s="9">
        <f>IF(Input!AD15="","",Input!AD15)</f>
      </c>
      <c r="Z48" s="7">
        <f>IF(Input!AE15="","",Input!AE15)</f>
      </c>
      <c r="AA48" s="36">
        <f>IF(Input!AF15="","",Input!AF15)</f>
      </c>
      <c r="AC48" s="6">
        <f>IF(Input!D41="","",Input!D41)</f>
      </c>
      <c r="AD48" s="9">
        <f>IF(Input!E41="","",Input!E41)</f>
      </c>
      <c r="AE48" s="37">
        <f>IF(Input!F41="","",Input!F41)</f>
      </c>
      <c r="AF48" s="6">
        <f>IF(Input!G41="","",Input!G41)</f>
      </c>
      <c r="AG48" s="7">
        <f>IF(Input!H41="","",Input!H41)</f>
      </c>
      <c r="AH48" s="36">
        <f>IF(Input!I41="","",Input!I41)</f>
      </c>
      <c r="AY48" s="43"/>
      <c r="AZ48" s="43"/>
      <c r="BA48" s="43"/>
      <c r="BB48" s="43"/>
      <c r="BC48" s="43"/>
      <c r="BD48" s="43"/>
      <c r="BQ48" s="43"/>
      <c r="BR48" s="43"/>
      <c r="BS48" s="43"/>
      <c r="BT48" s="43"/>
      <c r="BU48" s="43"/>
      <c r="BV48" s="43"/>
      <c r="BX48" s="20"/>
      <c r="CB48" s="17"/>
    </row>
    <row r="49" spans="1:80" s="16" customFormat="1" ht="13.5" thickBot="1">
      <c r="A49" s="921">
        <f>IF(Input!A42="","",Input!A42)</f>
      </c>
      <c r="B49" s="939"/>
      <c r="C49" s="976">
        <f>IF(Input!E16="","",Input!E16)</f>
      </c>
      <c r="D49" s="977"/>
      <c r="E49" s="978"/>
      <c r="F49" s="981">
        <f>IF(Input!H16="","",Input!H16)</f>
      </c>
      <c r="G49" s="982"/>
      <c r="H49" s="976">
        <f>IF(Input!J16="","",Input!J16)</f>
      </c>
      <c r="I49" s="977"/>
      <c r="J49" s="978"/>
      <c r="K49" s="944">
        <f>IF(Input!M16="","",Input!M16)</f>
      </c>
      <c r="L49" s="945"/>
      <c r="M49" s="979">
        <f>IF(Input!O16="","",Input!O16)</f>
      </c>
      <c r="N49" s="980"/>
      <c r="O49" s="980"/>
      <c r="P49" s="975">
        <f>IF(Input!R16="","",Input!R16)</f>
      </c>
      <c r="Q49" s="963"/>
      <c r="R49" s="416"/>
      <c r="S49" s="14">
        <f>IF(Input!X16="","",Input!X16)</f>
      </c>
      <c r="T49" s="12">
        <f>IF(Input!Y16="","",Input!Y16)</f>
      </c>
      <c r="U49" s="46">
        <f>IF(Input!Z16="","",Input!Z16)</f>
      </c>
      <c r="V49" s="14">
        <f>IF(Input!AA16="","",Input!AA16)</f>
      </c>
      <c r="W49" s="12">
        <f>IF(Input!AB16="","",Input!AB16)</f>
      </c>
      <c r="X49" s="46">
        <f>IF(Input!AC16="","",Input!AC16)</f>
      </c>
      <c r="Y49" s="14">
        <f>IF(Input!AD16="","",Input!AD16)</f>
      </c>
      <c r="Z49" s="12">
        <f>IF(Input!AE16="","",Input!AE16)</f>
      </c>
      <c r="AA49" s="46">
        <f>IF(Input!AF16="","",Input!AF16)</f>
      </c>
      <c r="AC49" s="11">
        <f>IF(Input!D42="","",Input!D42)</f>
      </c>
      <c r="AD49" s="14">
        <f>IF(Input!E42="","",Input!E42)</f>
      </c>
      <c r="AE49" s="47">
        <f>IF(Input!F42="","",Input!F42)</f>
      </c>
      <c r="AF49" s="11">
        <f>IF(Input!G42="","",Input!G42)</f>
      </c>
      <c r="AG49" s="12">
        <f>IF(Input!H42="","",Input!H42)</f>
      </c>
      <c r="AH49" s="46">
        <f>IF(Input!I42="","",Input!I42)</f>
      </c>
      <c r="AY49" s="43"/>
      <c r="AZ49" s="43"/>
      <c r="BA49" s="43"/>
      <c r="BB49" s="43"/>
      <c r="BC49" s="43"/>
      <c r="BD49" s="43"/>
      <c r="BQ49" s="43"/>
      <c r="BR49" s="43"/>
      <c r="BS49" s="43"/>
      <c r="BT49" s="43"/>
      <c r="BU49" s="43"/>
      <c r="BV49" s="43"/>
      <c r="BX49" s="20"/>
      <c r="CB49" s="17"/>
    </row>
    <row r="50" spans="1:80" s="16" customFormat="1" ht="12.75">
      <c r="A50" s="936"/>
      <c r="B50" s="928"/>
      <c r="C50" s="79"/>
      <c r="K50" s="43"/>
      <c r="L50" s="43"/>
      <c r="M50" s="43"/>
      <c r="N50" s="43"/>
      <c r="O50" s="43"/>
      <c r="AY50" s="43"/>
      <c r="AZ50" s="43"/>
      <c r="BA50" s="43"/>
      <c r="BB50" s="43"/>
      <c r="BC50" s="43"/>
      <c r="BD50" s="43"/>
      <c r="BQ50" s="43"/>
      <c r="BR50" s="43"/>
      <c r="BS50" s="43"/>
      <c r="BT50" s="43"/>
      <c r="BU50" s="43"/>
      <c r="BV50" s="43"/>
      <c r="BX50" s="20"/>
      <c r="CB50" s="17"/>
    </row>
    <row r="51" spans="18:80" s="16" customFormat="1" ht="12.75">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24"/>
      <c r="AR51" s="24"/>
      <c r="AS51" s="80"/>
      <c r="AT51" s="80"/>
      <c r="AU51" s="80"/>
      <c r="BX51" s="20"/>
      <c r="CB51" s="17"/>
    </row>
    <row r="52" spans="18:78" s="16" customFormat="1" ht="12.75">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80"/>
      <c r="AR52" s="80"/>
      <c r="AS52" s="80"/>
      <c r="BV52" s="20"/>
      <c r="BZ52" s="17"/>
    </row>
    <row r="53" spans="18:78" s="16" customFormat="1" ht="12.75">
      <c r="R53" s="23"/>
      <c r="S53" s="23"/>
      <c r="T53" s="24"/>
      <c r="U53" s="24"/>
      <c r="V53" s="24"/>
      <c r="W53" s="24"/>
      <c r="X53" s="24"/>
      <c r="Y53" s="23"/>
      <c r="AB53" s="23"/>
      <c r="AE53" s="23"/>
      <c r="AH53" s="23"/>
      <c r="AK53" s="23"/>
      <c r="AN53" s="23"/>
      <c r="AQ53" s="23"/>
      <c r="AR53" s="23"/>
      <c r="AS53" s="23"/>
      <c r="BV53" s="20"/>
      <c r="BZ53" s="17"/>
    </row>
    <row r="54" spans="20:78" s="16" customFormat="1" ht="12.75">
      <c r="T54" s="24"/>
      <c r="V54" s="24"/>
      <c r="X54" s="24"/>
      <c r="BV54" s="20"/>
      <c r="BZ54" s="17"/>
    </row>
    <row r="55" spans="20:78" s="16" customFormat="1" ht="12.75">
      <c r="T55" s="24"/>
      <c r="V55" s="24"/>
      <c r="X55" s="24"/>
      <c r="Y55" s="79"/>
      <c r="Z55" s="79"/>
      <c r="AA55" s="79"/>
      <c r="AB55" s="43"/>
      <c r="AC55" s="43"/>
      <c r="AD55" s="43"/>
      <c r="AE55" s="79"/>
      <c r="AF55" s="79"/>
      <c r="AG55" s="79"/>
      <c r="AH55" s="77"/>
      <c r="AI55" s="77"/>
      <c r="AJ55" s="77"/>
      <c r="BV55" s="20"/>
      <c r="BZ55" s="17"/>
    </row>
    <row r="56" spans="20:78" s="16" customFormat="1" ht="12.75">
      <c r="T56" s="24"/>
      <c r="V56" s="24"/>
      <c r="X56" s="24"/>
      <c r="Y56" s="79"/>
      <c r="Z56" s="79"/>
      <c r="AA56" s="79"/>
      <c r="AB56" s="43"/>
      <c r="AC56" s="43"/>
      <c r="AD56" s="43"/>
      <c r="AE56" s="79"/>
      <c r="AF56" s="79"/>
      <c r="AG56" s="79"/>
      <c r="AH56" s="77"/>
      <c r="AI56" s="77"/>
      <c r="AJ56" s="77"/>
      <c r="BV56" s="20"/>
      <c r="BZ56" s="17"/>
    </row>
    <row r="57" spans="20:78" s="16" customFormat="1" ht="12.75">
      <c r="T57" s="24"/>
      <c r="V57" s="24"/>
      <c r="X57" s="24"/>
      <c r="Y57" s="79"/>
      <c r="Z57" s="79"/>
      <c r="AA57" s="79"/>
      <c r="AB57" s="43"/>
      <c r="AC57" s="43"/>
      <c r="AD57" s="43"/>
      <c r="AE57" s="79"/>
      <c r="AF57" s="79"/>
      <c r="AG57" s="79"/>
      <c r="AH57" s="77"/>
      <c r="AI57" s="77"/>
      <c r="AJ57" s="77"/>
      <c r="BV57" s="20"/>
      <c r="BZ57" s="17"/>
    </row>
    <row r="58" spans="20:78" s="16" customFormat="1" ht="12.75">
      <c r="T58" s="24"/>
      <c r="V58" s="24"/>
      <c r="X58" s="24"/>
      <c r="Y58" s="79"/>
      <c r="Z58" s="79"/>
      <c r="AA58" s="79"/>
      <c r="AB58" s="43"/>
      <c r="AC58" s="43"/>
      <c r="AD58" s="43"/>
      <c r="AE58" s="79"/>
      <c r="AF58" s="79"/>
      <c r="AG58" s="79"/>
      <c r="AH58" s="77"/>
      <c r="AI58" s="77"/>
      <c r="AJ58" s="77"/>
      <c r="BV58" s="20"/>
      <c r="BZ58" s="17"/>
    </row>
    <row r="59" spans="20:78" s="16" customFormat="1" ht="12.75">
      <c r="T59" s="24"/>
      <c r="V59" s="24"/>
      <c r="X59" s="24"/>
      <c r="Y59" s="79"/>
      <c r="Z59" s="79"/>
      <c r="AA59" s="79"/>
      <c r="AB59" s="43"/>
      <c r="AC59" s="43"/>
      <c r="AD59" s="43"/>
      <c r="AE59" s="79"/>
      <c r="AF59" s="79"/>
      <c r="AG59" s="79"/>
      <c r="AH59" s="77"/>
      <c r="AI59" s="77"/>
      <c r="AJ59" s="77"/>
      <c r="BV59" s="20"/>
      <c r="BZ59" s="17"/>
    </row>
    <row r="60" spans="20:78" s="16" customFormat="1" ht="12.75">
      <c r="T60" s="24"/>
      <c r="V60" s="24"/>
      <c r="X60" s="24"/>
      <c r="Y60" s="79"/>
      <c r="Z60" s="79"/>
      <c r="AA60" s="79"/>
      <c r="AB60" s="43"/>
      <c r="AC60" s="43"/>
      <c r="AD60" s="43"/>
      <c r="AE60" s="79"/>
      <c r="AF60" s="79"/>
      <c r="AG60" s="79"/>
      <c r="AH60" s="77"/>
      <c r="AI60" s="77"/>
      <c r="AJ60" s="77"/>
      <c r="BV60" s="20"/>
      <c r="BZ60" s="17"/>
    </row>
    <row r="61" spans="20:78" s="16" customFormat="1" ht="12.75">
      <c r="T61" s="24"/>
      <c r="V61" s="24"/>
      <c r="X61" s="24"/>
      <c r="AE61" s="79"/>
      <c r="AF61" s="79"/>
      <c r="AG61" s="79"/>
      <c r="AH61" s="77"/>
      <c r="AI61" s="77"/>
      <c r="AJ61" s="77"/>
      <c r="BV61" s="20"/>
      <c r="BZ61" s="17"/>
    </row>
    <row r="62" spans="20:78" s="16" customFormat="1" ht="12.75">
      <c r="T62" s="24"/>
      <c r="V62" s="24"/>
      <c r="X62" s="24"/>
      <c r="AE62" s="79"/>
      <c r="AF62" s="79"/>
      <c r="AG62" s="79"/>
      <c r="AH62" s="77"/>
      <c r="AI62" s="77"/>
      <c r="AJ62" s="77"/>
      <c r="BV62" s="20"/>
      <c r="BZ62" s="17"/>
    </row>
    <row r="63" spans="1:80" s="16" customFormat="1" ht="12.75">
      <c r="A63" s="23"/>
      <c r="B63" s="23"/>
      <c r="L63" s="43"/>
      <c r="M63" s="43"/>
      <c r="N63" s="43"/>
      <c r="O63" s="43"/>
      <c r="P63" s="43"/>
      <c r="Q63" s="43"/>
      <c r="V63" s="24"/>
      <c r="X63" s="24"/>
      <c r="Z63" s="24"/>
      <c r="AG63" s="79"/>
      <c r="AH63" s="79"/>
      <c r="AI63" s="79"/>
      <c r="AJ63" s="77"/>
      <c r="AK63" s="77"/>
      <c r="AL63" s="77"/>
      <c r="BX63" s="20"/>
      <c r="CB63" s="17"/>
    </row>
    <row r="64" spans="2:80" s="81" customFormat="1" ht="12.75">
      <c r="B64" s="82"/>
      <c r="L64" s="83"/>
      <c r="M64" s="83"/>
      <c r="N64" s="83"/>
      <c r="O64" s="83"/>
      <c r="P64" s="83"/>
      <c r="Q64" s="83"/>
      <c r="V64" s="82"/>
      <c r="X64" s="82"/>
      <c r="Z64" s="82"/>
      <c r="AJ64" s="84"/>
      <c r="AK64" s="84"/>
      <c r="AL64" s="84"/>
      <c r="BX64" s="85"/>
      <c r="CB64" s="86"/>
    </row>
    <row r="65" spans="2:80" s="81" customFormat="1" ht="12.75">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7"/>
      <c r="AT65" s="87"/>
      <c r="AU65" s="87"/>
      <c r="AV65" s="87"/>
      <c r="AW65" s="87"/>
      <c r="AX65" s="87"/>
      <c r="BI65" s="87"/>
      <c r="BL65" s="87"/>
      <c r="BX65" s="85"/>
      <c r="CB65" s="86"/>
    </row>
    <row r="66" spans="3:80" s="81" customFormat="1" ht="12.75">
      <c r="C66" s="87"/>
      <c r="D66" s="87"/>
      <c r="E66" s="87"/>
      <c r="F66" s="82"/>
      <c r="G66" s="82"/>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Y66" s="87"/>
      <c r="AZ66" s="82"/>
      <c r="BA66" s="87"/>
      <c r="BB66" s="82"/>
      <c r="BC66" s="87"/>
      <c r="BD66" s="88"/>
      <c r="BX66" s="85"/>
      <c r="CB66" s="86"/>
    </row>
    <row r="67" spans="1:80" s="81" customFormat="1" ht="12.75">
      <c r="A67" s="89"/>
      <c r="B67" s="90"/>
      <c r="AY67" s="87"/>
      <c r="AZ67" s="87"/>
      <c r="BA67" s="87"/>
      <c r="BB67" s="87"/>
      <c r="BC67" s="87"/>
      <c r="BD67" s="87"/>
      <c r="BQ67" s="83"/>
      <c r="BR67" s="83"/>
      <c r="BS67" s="83"/>
      <c r="BT67" s="83"/>
      <c r="BU67" s="83"/>
      <c r="BV67" s="83"/>
      <c r="BX67" s="85"/>
      <c r="CB67" s="86"/>
    </row>
    <row r="68" spans="2:80" s="81" customFormat="1" ht="12.75">
      <c r="B68" s="82"/>
      <c r="C68" s="91"/>
      <c r="D68" s="91"/>
      <c r="E68" s="91"/>
      <c r="F68" s="91"/>
      <c r="G68" s="91"/>
      <c r="H68" s="83"/>
      <c r="I68" s="83"/>
      <c r="J68" s="83"/>
      <c r="K68" s="83"/>
      <c r="L68" s="83"/>
      <c r="M68" s="83"/>
      <c r="N68" s="83"/>
      <c r="O68" s="83"/>
      <c r="AG68" s="84"/>
      <c r="AH68" s="84"/>
      <c r="AI68" s="84"/>
      <c r="AY68" s="83"/>
      <c r="AZ68" s="83"/>
      <c r="BA68" s="83"/>
      <c r="BB68" s="83"/>
      <c r="BC68" s="83"/>
      <c r="BD68" s="83"/>
      <c r="BQ68" s="83"/>
      <c r="BR68" s="83"/>
      <c r="BS68" s="83"/>
      <c r="BT68" s="83"/>
      <c r="BU68" s="83"/>
      <c r="BV68" s="83"/>
      <c r="BX68" s="85"/>
      <c r="CB68" s="86"/>
    </row>
    <row r="69" spans="2:80" s="81" customFormat="1" ht="12.75">
      <c r="B69" s="82"/>
      <c r="C69" s="91"/>
      <c r="D69" s="91"/>
      <c r="E69" s="91"/>
      <c r="F69" s="91"/>
      <c r="G69" s="91"/>
      <c r="H69" s="83"/>
      <c r="I69" s="83"/>
      <c r="J69" s="83"/>
      <c r="K69" s="83"/>
      <c r="L69" s="83"/>
      <c r="M69" s="83"/>
      <c r="N69" s="83"/>
      <c r="O69" s="83"/>
      <c r="AG69" s="84"/>
      <c r="AH69" s="84"/>
      <c r="AI69" s="84"/>
      <c r="AY69" s="83"/>
      <c r="AZ69" s="83"/>
      <c r="BA69" s="83"/>
      <c r="BB69" s="83"/>
      <c r="BC69" s="83"/>
      <c r="BD69" s="83"/>
      <c r="BQ69" s="83"/>
      <c r="BR69" s="83"/>
      <c r="BS69" s="83"/>
      <c r="BT69" s="83"/>
      <c r="BU69" s="83"/>
      <c r="BV69" s="83"/>
      <c r="BX69" s="85"/>
      <c r="CB69" s="86"/>
    </row>
    <row r="70" spans="2:80" s="81" customFormat="1" ht="12.75">
      <c r="B70" s="82"/>
      <c r="C70" s="91"/>
      <c r="D70" s="91"/>
      <c r="E70" s="91"/>
      <c r="F70" s="91"/>
      <c r="G70" s="91"/>
      <c r="H70" s="83"/>
      <c r="I70" s="83"/>
      <c r="J70" s="83"/>
      <c r="K70" s="83"/>
      <c r="L70" s="83"/>
      <c r="M70" s="83"/>
      <c r="N70" s="83"/>
      <c r="O70" s="83"/>
      <c r="AG70" s="84"/>
      <c r="AH70" s="84"/>
      <c r="AI70" s="84"/>
      <c r="AY70" s="83"/>
      <c r="AZ70" s="83"/>
      <c r="BA70" s="83"/>
      <c r="BB70" s="83"/>
      <c r="BC70" s="83"/>
      <c r="BD70" s="83"/>
      <c r="BQ70" s="83"/>
      <c r="BR70" s="83"/>
      <c r="BS70" s="83"/>
      <c r="BT70" s="83"/>
      <c r="BU70" s="83"/>
      <c r="BV70" s="83"/>
      <c r="BX70" s="85"/>
      <c r="CB70" s="86"/>
    </row>
    <row r="71" spans="2:80" s="81" customFormat="1" ht="12.75">
      <c r="B71" s="82"/>
      <c r="C71" s="91"/>
      <c r="D71" s="91"/>
      <c r="E71" s="91"/>
      <c r="F71" s="91"/>
      <c r="G71" s="91"/>
      <c r="H71" s="83"/>
      <c r="I71" s="83"/>
      <c r="J71" s="83"/>
      <c r="K71" s="83"/>
      <c r="L71" s="83"/>
      <c r="M71" s="83"/>
      <c r="N71" s="83"/>
      <c r="O71" s="83"/>
      <c r="AG71" s="84"/>
      <c r="AH71" s="84"/>
      <c r="AI71" s="84"/>
      <c r="AY71" s="83"/>
      <c r="AZ71" s="83"/>
      <c r="BA71" s="83"/>
      <c r="BB71" s="83"/>
      <c r="BC71" s="83"/>
      <c r="BD71" s="83"/>
      <c r="BQ71" s="83"/>
      <c r="BR71" s="83"/>
      <c r="BS71" s="83"/>
      <c r="BT71" s="83"/>
      <c r="BU71" s="83"/>
      <c r="BV71" s="83"/>
      <c r="BX71" s="85"/>
      <c r="CB71" s="86"/>
    </row>
    <row r="72" spans="2:80" s="81" customFormat="1" ht="12.75">
      <c r="B72" s="82"/>
      <c r="C72" s="91"/>
      <c r="D72" s="91"/>
      <c r="E72" s="91"/>
      <c r="F72" s="91"/>
      <c r="G72" s="91"/>
      <c r="H72" s="83"/>
      <c r="I72" s="83"/>
      <c r="J72" s="83"/>
      <c r="K72" s="83"/>
      <c r="L72" s="83"/>
      <c r="M72" s="83"/>
      <c r="N72" s="83"/>
      <c r="O72" s="83"/>
      <c r="AH72" s="84"/>
      <c r="AI72" s="84"/>
      <c r="AY72" s="83"/>
      <c r="AZ72" s="83"/>
      <c r="BA72" s="83"/>
      <c r="BB72" s="83"/>
      <c r="BC72" s="83"/>
      <c r="BD72" s="83"/>
      <c r="BQ72" s="83"/>
      <c r="BR72" s="83"/>
      <c r="BS72" s="83"/>
      <c r="BT72" s="83"/>
      <c r="BU72" s="83"/>
      <c r="BV72" s="83"/>
      <c r="BX72" s="85"/>
      <c r="CB72" s="86"/>
    </row>
    <row r="73" spans="2:80" s="81" customFormat="1" ht="12.75">
      <c r="B73" s="82"/>
      <c r="C73" s="91"/>
      <c r="E73" s="91"/>
      <c r="F73" s="91"/>
      <c r="G73" s="91"/>
      <c r="H73" s="83"/>
      <c r="I73" s="83"/>
      <c r="J73" s="83"/>
      <c r="K73" s="83"/>
      <c r="L73" s="83"/>
      <c r="M73" s="83"/>
      <c r="N73" s="83"/>
      <c r="O73" s="83"/>
      <c r="AH73" s="84"/>
      <c r="AY73" s="83"/>
      <c r="AZ73" s="83"/>
      <c r="BA73" s="83"/>
      <c r="BB73" s="83"/>
      <c r="BC73" s="83"/>
      <c r="BD73" s="83"/>
      <c r="BQ73" s="83"/>
      <c r="BR73" s="83"/>
      <c r="BS73" s="83"/>
      <c r="BT73" s="83"/>
      <c r="BU73" s="83"/>
      <c r="BV73" s="83"/>
      <c r="BX73" s="85"/>
      <c r="CB73" s="86"/>
    </row>
    <row r="74" spans="2:80" s="81" customFormat="1" ht="12.75">
      <c r="B74" s="82"/>
      <c r="C74" s="91"/>
      <c r="H74" s="83"/>
      <c r="I74" s="83"/>
      <c r="J74" s="83"/>
      <c r="K74" s="83"/>
      <c r="L74" s="83"/>
      <c r="M74" s="83"/>
      <c r="N74" s="83"/>
      <c r="O74" s="83"/>
      <c r="AY74" s="83"/>
      <c r="AZ74" s="83"/>
      <c r="BA74" s="83"/>
      <c r="BB74" s="83"/>
      <c r="BC74" s="83"/>
      <c r="BD74" s="83"/>
      <c r="BQ74" s="83"/>
      <c r="BR74" s="83"/>
      <c r="BS74" s="83"/>
      <c r="BT74" s="83"/>
      <c r="BU74" s="83"/>
      <c r="BV74" s="83"/>
      <c r="BX74" s="85"/>
      <c r="CB74" s="86"/>
    </row>
    <row r="75" spans="2:80" s="81" customFormat="1" ht="12.75">
      <c r="B75" s="82"/>
      <c r="C75" s="91"/>
      <c r="H75" s="83"/>
      <c r="I75" s="83"/>
      <c r="J75" s="83"/>
      <c r="K75" s="83"/>
      <c r="L75" s="83"/>
      <c r="M75" s="83"/>
      <c r="N75" s="83"/>
      <c r="O75" s="83"/>
      <c r="AY75" s="83"/>
      <c r="AZ75" s="83"/>
      <c r="BA75" s="83"/>
      <c r="BB75" s="83"/>
      <c r="BC75" s="83"/>
      <c r="BD75" s="83"/>
      <c r="BQ75" s="83"/>
      <c r="BR75" s="83"/>
      <c r="BS75" s="83"/>
      <c r="BT75" s="83"/>
      <c r="BU75" s="83"/>
      <c r="BV75" s="83"/>
      <c r="BX75" s="85"/>
      <c r="CB75" s="86"/>
    </row>
    <row r="76" spans="2:80" s="81" customFormat="1" ht="12.75">
      <c r="B76" s="82"/>
      <c r="C76" s="91"/>
      <c r="H76" s="83"/>
      <c r="I76" s="83"/>
      <c r="J76" s="83"/>
      <c r="K76" s="83"/>
      <c r="L76" s="83"/>
      <c r="M76" s="83"/>
      <c r="N76" s="83"/>
      <c r="O76" s="83"/>
      <c r="AY76" s="83"/>
      <c r="AZ76" s="83"/>
      <c r="BA76" s="83"/>
      <c r="BB76" s="83"/>
      <c r="BC76" s="83"/>
      <c r="BD76" s="83"/>
      <c r="BQ76" s="83"/>
      <c r="BR76" s="83"/>
      <c r="BS76" s="83"/>
      <c r="BT76" s="83"/>
      <c r="BU76" s="83"/>
      <c r="BV76" s="83"/>
      <c r="BX76" s="85"/>
      <c r="CB76" s="86"/>
    </row>
    <row r="77" spans="2:80" s="81" customFormat="1" ht="12.75">
      <c r="B77" s="82"/>
      <c r="C77" s="91"/>
      <c r="H77" s="83"/>
      <c r="I77" s="83"/>
      <c r="J77" s="83"/>
      <c r="K77" s="83"/>
      <c r="L77" s="83"/>
      <c r="M77" s="83"/>
      <c r="N77" s="83"/>
      <c r="O77" s="83"/>
      <c r="AY77" s="83"/>
      <c r="AZ77" s="83"/>
      <c r="BA77" s="83"/>
      <c r="BB77" s="83"/>
      <c r="BC77" s="83"/>
      <c r="BD77" s="83"/>
      <c r="BQ77" s="83"/>
      <c r="BR77" s="83"/>
      <c r="BS77" s="83"/>
      <c r="BT77" s="83"/>
      <c r="BU77" s="83"/>
      <c r="BV77" s="83"/>
      <c r="BX77" s="85"/>
      <c r="CB77" s="86"/>
    </row>
    <row r="78" spans="19:80" s="81" customFormat="1" ht="12.75">
      <c r="S78" s="92"/>
      <c r="AL78" s="82"/>
      <c r="AM78" s="82"/>
      <c r="AN78" s="82"/>
      <c r="AO78" s="82"/>
      <c r="AP78" s="82"/>
      <c r="AQ78" s="82"/>
      <c r="AR78" s="82"/>
      <c r="AS78" s="82"/>
      <c r="BX78" s="85"/>
      <c r="CB78" s="86"/>
    </row>
    <row r="79" spans="1:80" s="81" customFormat="1" ht="15">
      <c r="A79" s="93"/>
      <c r="B79" s="94"/>
      <c r="C79" s="94"/>
      <c r="D79" s="94"/>
      <c r="E79" s="94"/>
      <c r="F79" s="95"/>
      <c r="G79" s="95"/>
      <c r="H79" s="89"/>
      <c r="I79" s="82"/>
      <c r="J79" s="82"/>
      <c r="K79" s="82"/>
      <c r="L79" s="82"/>
      <c r="M79" s="82"/>
      <c r="N79" s="82"/>
      <c r="O79" s="82"/>
      <c r="V79" s="95"/>
      <c r="W79" s="87"/>
      <c r="X79" s="87"/>
      <c r="Y79" s="87"/>
      <c r="Z79" s="82"/>
      <c r="AA79" s="82"/>
      <c r="AB79" s="87"/>
      <c r="AC79" s="88"/>
      <c r="AL79" s="82"/>
      <c r="AM79" s="82"/>
      <c r="AN79" s="82"/>
      <c r="AO79" s="82"/>
      <c r="AP79" s="82"/>
      <c r="AQ79" s="82"/>
      <c r="AR79" s="82"/>
      <c r="AS79" s="82"/>
      <c r="BX79" s="85"/>
      <c r="CB79" s="86"/>
    </row>
    <row r="80" spans="1:80" s="81" customFormat="1" ht="12.75">
      <c r="A80" s="86"/>
      <c r="H80" s="89"/>
      <c r="I80" s="82"/>
      <c r="J80" s="82"/>
      <c r="K80" s="82"/>
      <c r="L80" s="82"/>
      <c r="M80" s="82"/>
      <c r="N80" s="82"/>
      <c r="O80" s="82"/>
      <c r="W80" s="87"/>
      <c r="X80" s="87"/>
      <c r="Y80" s="87"/>
      <c r="Z80" s="82"/>
      <c r="AA80" s="82"/>
      <c r="AB80" s="87"/>
      <c r="AC80" s="88"/>
      <c r="BX80" s="85"/>
      <c r="CB80" s="86"/>
    </row>
    <row r="81" spans="1:80" s="81" customFormat="1" ht="12.75">
      <c r="A81" s="89"/>
      <c r="B81" s="82"/>
      <c r="C81" s="82"/>
      <c r="D81" s="82"/>
      <c r="E81" s="82"/>
      <c r="F81" s="82"/>
      <c r="G81" s="82"/>
      <c r="H81" s="89"/>
      <c r="I81" s="82"/>
      <c r="J81" s="82"/>
      <c r="K81" s="82"/>
      <c r="M81" s="82"/>
      <c r="N81" s="82"/>
      <c r="O81" s="82"/>
      <c r="V81" s="82"/>
      <c r="W81" s="87"/>
      <c r="X81" s="82"/>
      <c r="Y81" s="82"/>
      <c r="Z81" s="82"/>
      <c r="AA81" s="82"/>
      <c r="AB81" s="96"/>
      <c r="AC81" s="82"/>
      <c r="BX81" s="85"/>
      <c r="CB81" s="86"/>
    </row>
    <row r="82" spans="1:80" s="81" customFormat="1" ht="12.75">
      <c r="A82" s="89"/>
      <c r="B82" s="82"/>
      <c r="C82" s="82"/>
      <c r="D82" s="82"/>
      <c r="E82" s="82"/>
      <c r="F82" s="82"/>
      <c r="G82" s="82"/>
      <c r="H82" s="89"/>
      <c r="I82" s="82"/>
      <c r="J82" s="82"/>
      <c r="K82" s="82"/>
      <c r="L82" s="82"/>
      <c r="M82" s="82"/>
      <c r="N82" s="82"/>
      <c r="O82" s="82"/>
      <c r="V82" s="82"/>
      <c r="W82" s="87"/>
      <c r="X82" s="87"/>
      <c r="Y82" s="87"/>
      <c r="Z82" s="82"/>
      <c r="AA82" s="82"/>
      <c r="AB82" s="96"/>
      <c r="AC82" s="82"/>
      <c r="BX82" s="85"/>
      <c r="CB82" s="86"/>
    </row>
    <row r="83" spans="1:80" s="81" customFormat="1" ht="12.75">
      <c r="A83" s="89"/>
      <c r="B83" s="82"/>
      <c r="C83" s="82"/>
      <c r="D83" s="82"/>
      <c r="E83" s="82"/>
      <c r="F83" s="82"/>
      <c r="G83" s="82"/>
      <c r="H83" s="86"/>
      <c r="I83" s="88"/>
      <c r="J83" s="88"/>
      <c r="K83" s="88"/>
      <c r="L83" s="88"/>
      <c r="M83" s="88"/>
      <c r="N83" s="88"/>
      <c r="O83" s="88"/>
      <c r="V83" s="82"/>
      <c r="W83" s="87"/>
      <c r="X83" s="87"/>
      <c r="Y83" s="87"/>
      <c r="Z83" s="82"/>
      <c r="AA83" s="82"/>
      <c r="AB83" s="96"/>
      <c r="AC83" s="96"/>
      <c r="BX83" s="85"/>
      <c r="CB83" s="86"/>
    </row>
    <row r="84" spans="1:80" s="81" customFormat="1" ht="12.75">
      <c r="A84" s="89"/>
      <c r="B84" s="82"/>
      <c r="C84" s="82"/>
      <c r="D84" s="82"/>
      <c r="E84" s="82"/>
      <c r="F84" s="82"/>
      <c r="G84" s="82"/>
      <c r="V84" s="82"/>
      <c r="W84" s="87"/>
      <c r="X84" s="87"/>
      <c r="Y84" s="87"/>
      <c r="Z84" s="82"/>
      <c r="AA84" s="82"/>
      <c r="AB84" s="96"/>
      <c r="AC84" s="96"/>
      <c r="BX84" s="85"/>
      <c r="CB84" s="86"/>
    </row>
    <row r="85" spans="1:80" s="81" customFormat="1" ht="12.75">
      <c r="A85" s="89"/>
      <c r="B85" s="82"/>
      <c r="C85" s="82"/>
      <c r="D85" s="82"/>
      <c r="E85" s="82"/>
      <c r="F85" s="82"/>
      <c r="G85" s="82"/>
      <c r="V85" s="82"/>
      <c r="W85" s="87"/>
      <c r="X85" s="87"/>
      <c r="Y85" s="87"/>
      <c r="Z85" s="82"/>
      <c r="AA85" s="82"/>
      <c r="AB85" s="96"/>
      <c r="AC85" s="96"/>
      <c r="BX85" s="85"/>
      <c r="CB85" s="86"/>
    </row>
    <row r="86" spans="76:80" s="81" customFormat="1" ht="12.75">
      <c r="BX86" s="85"/>
      <c r="CB86" s="86"/>
    </row>
    <row r="87" spans="9:11" ht="12.75">
      <c r="I87" s="98"/>
      <c r="J87" s="98"/>
      <c r="K87" s="98"/>
    </row>
    <row r="88" spans="9:11" ht="12.75">
      <c r="I88" s="98"/>
      <c r="J88" s="98"/>
      <c r="K88" s="98"/>
    </row>
    <row r="89" spans="10:11" ht="12.75">
      <c r="J89" s="98"/>
      <c r="K89" s="98"/>
    </row>
    <row r="90" spans="9:11" ht="12.75">
      <c r="I90" s="98"/>
      <c r="J90" s="98"/>
      <c r="K90" s="98"/>
    </row>
  </sheetData>
  <sheetProtection/>
  <mergeCells count="192">
    <mergeCell ref="AH3:AJ3"/>
    <mergeCell ref="AK3:AM3"/>
    <mergeCell ref="AE15:AG15"/>
    <mergeCell ref="AC12:AD12"/>
    <mergeCell ref="AC13:AD13"/>
    <mergeCell ref="AC6:AD6"/>
    <mergeCell ref="AC7:AD7"/>
    <mergeCell ref="AC8:AD8"/>
    <mergeCell ref="AC9:AD9"/>
    <mergeCell ref="AC10:AD10"/>
    <mergeCell ref="AC11:AD11"/>
    <mergeCell ref="AD2:AG2"/>
    <mergeCell ref="AC4:AD4"/>
    <mergeCell ref="AC5:AD5"/>
    <mergeCell ref="AE3:AG3"/>
    <mergeCell ref="AO27:AQ27"/>
    <mergeCell ref="M46:O46"/>
    <mergeCell ref="X6:AA6"/>
    <mergeCell ref="X7:AA7"/>
    <mergeCell ref="U27:W27"/>
    <mergeCell ref="X8:AA8"/>
    <mergeCell ref="X13:AA13"/>
    <mergeCell ref="X9:AA9"/>
    <mergeCell ref="X10:AA10"/>
    <mergeCell ref="X11:AA11"/>
    <mergeCell ref="A50:B50"/>
    <mergeCell ref="C49:E49"/>
    <mergeCell ref="K49:L49"/>
    <mergeCell ref="M49:O49"/>
    <mergeCell ref="F49:G49"/>
    <mergeCell ref="H49:J49"/>
    <mergeCell ref="P47:Q47"/>
    <mergeCell ref="M48:O48"/>
    <mergeCell ref="P48:Q48"/>
    <mergeCell ref="P49:Q49"/>
    <mergeCell ref="M47:O47"/>
    <mergeCell ref="A42:B42"/>
    <mergeCell ref="A34:B34"/>
    <mergeCell ref="A45:B45"/>
    <mergeCell ref="A37:B37"/>
    <mergeCell ref="A43:B43"/>
    <mergeCell ref="A44:B44"/>
    <mergeCell ref="A40:B40"/>
    <mergeCell ref="A39:B39"/>
    <mergeCell ref="A35:B35"/>
    <mergeCell ref="A41:B41"/>
    <mergeCell ref="M45:O45"/>
    <mergeCell ref="P46:Q46"/>
    <mergeCell ref="P45:Q45"/>
    <mergeCell ref="C15:D15"/>
    <mergeCell ref="F27:H27"/>
    <mergeCell ref="C27:E27"/>
    <mergeCell ref="M43:O43"/>
    <mergeCell ref="P43:Q43"/>
    <mergeCell ref="P42:Q42"/>
    <mergeCell ref="P41:Q41"/>
    <mergeCell ref="C44:E44"/>
    <mergeCell ref="F44:G44"/>
    <mergeCell ref="AB15:AD15"/>
    <mergeCell ref="K44:L44"/>
    <mergeCell ref="M44:O44"/>
    <mergeCell ref="K43:L43"/>
    <mergeCell ref="K42:L42"/>
    <mergeCell ref="M42:O42"/>
    <mergeCell ref="C43:E43"/>
    <mergeCell ref="P44:Q44"/>
    <mergeCell ref="C42:E42"/>
    <mergeCell ref="S15:U15"/>
    <mergeCell ref="P38:Q38"/>
    <mergeCell ref="C41:E41"/>
    <mergeCell ref="C38:H38"/>
    <mergeCell ref="O27:Q27"/>
    <mergeCell ref="F42:G42"/>
    <mergeCell ref="F41:G41"/>
    <mergeCell ref="P40:Q40"/>
    <mergeCell ref="S38:Y38"/>
    <mergeCell ref="M41:O41"/>
    <mergeCell ref="K40:L40"/>
    <mergeCell ref="H40:J40"/>
    <mergeCell ref="M40:O40"/>
    <mergeCell ref="E15:F15"/>
    <mergeCell ref="X5:AA5"/>
    <mergeCell ref="F40:G40"/>
    <mergeCell ref="C40:E40"/>
    <mergeCell ref="R27:T27"/>
    <mergeCell ref="P15:R15"/>
    <mergeCell ref="V15:X15"/>
    <mergeCell ref="Y15:AA15"/>
    <mergeCell ref="Z27:AB27"/>
    <mergeCell ref="X12:AA12"/>
    <mergeCell ref="A36:B36"/>
    <mergeCell ref="A2:B2"/>
    <mergeCell ref="S2:U2"/>
    <mergeCell ref="A3:B3"/>
    <mergeCell ref="S3:U3"/>
    <mergeCell ref="C2:P2"/>
    <mergeCell ref="C3:P3"/>
    <mergeCell ref="S4:U4"/>
    <mergeCell ref="D5:E5"/>
    <mergeCell ref="J7:L7"/>
    <mergeCell ref="AI27:AK27"/>
    <mergeCell ref="AL27:AN27"/>
    <mergeCell ref="A49:B49"/>
    <mergeCell ref="A18:B18"/>
    <mergeCell ref="A19:B19"/>
    <mergeCell ref="A20:B20"/>
    <mergeCell ref="A21:B21"/>
    <mergeCell ref="A46:B46"/>
    <mergeCell ref="A47:B47"/>
    <mergeCell ref="A48:B48"/>
    <mergeCell ref="A29:B29"/>
    <mergeCell ref="A15:B15"/>
    <mergeCell ref="A22:B22"/>
    <mergeCell ref="A23:B23"/>
    <mergeCell ref="A24:B24"/>
    <mergeCell ref="A17:B17"/>
    <mergeCell ref="A16:B16"/>
    <mergeCell ref="A27:B27"/>
    <mergeCell ref="A25:B25"/>
    <mergeCell ref="A8:C8"/>
    <mergeCell ref="A9:C9"/>
    <mergeCell ref="A10:C10"/>
    <mergeCell ref="A11:C11"/>
    <mergeCell ref="BC39:BD39"/>
    <mergeCell ref="AY39:AZ39"/>
    <mergeCell ref="BA39:BB39"/>
    <mergeCell ref="M39:O39"/>
    <mergeCell ref="P39:Q39"/>
    <mergeCell ref="S39:U39"/>
    <mergeCell ref="V39:X39"/>
    <mergeCell ref="Y39:AA39"/>
    <mergeCell ref="AC39:AE39"/>
    <mergeCell ref="AF39:AH39"/>
    <mergeCell ref="AR27:AT27"/>
    <mergeCell ref="A28:B28"/>
    <mergeCell ref="A33:B33"/>
    <mergeCell ref="A30:B30"/>
    <mergeCell ref="A31:B31"/>
    <mergeCell ref="A32:B32"/>
    <mergeCell ref="I27:K27"/>
    <mergeCell ref="L27:N27"/>
    <mergeCell ref="AC27:AE27"/>
    <mergeCell ref="AF27:AH27"/>
    <mergeCell ref="C4:P4"/>
    <mergeCell ref="A13:C13"/>
    <mergeCell ref="A6:C6"/>
    <mergeCell ref="J8:L8"/>
    <mergeCell ref="J9:L9"/>
    <mergeCell ref="J10:L10"/>
    <mergeCell ref="A4:B4"/>
    <mergeCell ref="M8:P8"/>
    <mergeCell ref="M7:P7"/>
    <mergeCell ref="A7:C7"/>
    <mergeCell ref="H43:J43"/>
    <mergeCell ref="N11:P11"/>
    <mergeCell ref="D7:H7"/>
    <mergeCell ref="D8:H8"/>
    <mergeCell ref="D9:H9"/>
    <mergeCell ref="D10:H10"/>
    <mergeCell ref="D11:H11"/>
    <mergeCell ref="M9:P9"/>
    <mergeCell ref="M10:P10"/>
    <mergeCell ref="M15:O15"/>
    <mergeCell ref="K11:L11"/>
    <mergeCell ref="G15:I15"/>
    <mergeCell ref="J15:L15"/>
    <mergeCell ref="H41:J41"/>
    <mergeCell ref="K41:L41"/>
    <mergeCell ref="K47:L47"/>
    <mergeCell ref="K45:L45"/>
    <mergeCell ref="H45:J45"/>
    <mergeCell ref="H47:J47"/>
    <mergeCell ref="F47:G47"/>
    <mergeCell ref="C47:E47"/>
    <mergeCell ref="F45:G45"/>
    <mergeCell ref="C45:E45"/>
    <mergeCell ref="F46:G46"/>
    <mergeCell ref="C46:E46"/>
    <mergeCell ref="K48:L48"/>
    <mergeCell ref="H48:J48"/>
    <mergeCell ref="F48:G48"/>
    <mergeCell ref="C48:E48"/>
    <mergeCell ref="M38:O38"/>
    <mergeCell ref="C39:E39"/>
    <mergeCell ref="H46:J46"/>
    <mergeCell ref="K46:L46"/>
    <mergeCell ref="H44:J44"/>
    <mergeCell ref="H42:J42"/>
    <mergeCell ref="K39:L39"/>
    <mergeCell ref="F39:G39"/>
    <mergeCell ref="F43:G43"/>
    <mergeCell ref="H39:J39"/>
  </mergeCells>
  <dataValidations count="2">
    <dataValidation type="list" allowBlank="1" showInputMessage="1" showErrorMessage="1" sqref="K68:O76">
      <formula1>$BS$28:$BS$31</formula1>
    </dataValidation>
    <dataValidation type="list" allowBlank="1" showInputMessage="1" showErrorMessage="1" sqref="P68:T76">
      <formula1>$BW$28:$BW$32</formula1>
    </dataValidation>
  </dataValidations>
  <printOptions/>
  <pageMargins left="0.5" right="0.25" top="0.5" bottom="0.75" header="0.5" footer="0.5"/>
  <pageSetup fitToHeight="1" fitToWidth="1" horizontalDpi="600" verticalDpi="600" orientation="landscape" paperSize="5" scale="71" r:id="rId4"/>
  <drawing r:id="rId3"/>
  <legacyDrawing r:id="rId2"/>
</worksheet>
</file>

<file path=xl/worksheets/sheet4.xml><?xml version="1.0" encoding="utf-8"?>
<worksheet xmlns="http://schemas.openxmlformats.org/spreadsheetml/2006/main" xmlns:r="http://schemas.openxmlformats.org/officeDocument/2006/relationships">
  <sheetPr codeName="Sheet12"/>
  <dimension ref="A1:CC58"/>
  <sheetViews>
    <sheetView zoomScale="75" zoomScaleNormal="75" workbookViewId="0" topLeftCell="A1">
      <pane xSplit="2" topLeftCell="C1" activePane="topRight" state="frozen"/>
      <selection pane="topLeft" activeCell="A51" sqref="A51:B51"/>
      <selection pane="topRight" activeCell="Y2" sqref="Y2"/>
    </sheetView>
  </sheetViews>
  <sheetFormatPr defaultColWidth="9.140625" defaultRowHeight="12.75"/>
  <cols>
    <col min="1" max="1" width="9.140625" style="16" customWidth="1"/>
    <col min="2" max="2" width="8.7109375" style="16" customWidth="1"/>
    <col min="3" max="3" width="5.7109375" style="16" customWidth="1"/>
    <col min="4" max="4" width="7.140625" style="16" customWidth="1"/>
    <col min="5" max="5" width="5.8515625" style="16" customWidth="1"/>
    <col min="6" max="6" width="6.57421875" style="16" customWidth="1"/>
    <col min="7" max="7" width="5.28125" style="16" customWidth="1"/>
    <col min="8" max="8" width="5.00390625" style="16" customWidth="1"/>
    <col min="9" max="9" width="4.8515625" style="16" customWidth="1"/>
    <col min="10" max="10" width="4.421875" style="16" customWidth="1"/>
    <col min="11" max="11" width="5.140625" style="16" customWidth="1"/>
    <col min="12" max="12" width="5.00390625" style="16" customWidth="1"/>
    <col min="13" max="13" width="4.7109375" style="16" customWidth="1"/>
    <col min="14" max="14" width="6.140625" style="16" customWidth="1"/>
    <col min="15" max="15" width="6.7109375" style="16" customWidth="1"/>
    <col min="16" max="16" width="6.28125" style="16" customWidth="1"/>
    <col min="17" max="17" width="5.421875" style="16" customWidth="1"/>
    <col min="18" max="18" width="6.421875" style="16" customWidth="1"/>
    <col min="19" max="19" width="4.57421875" style="16" customWidth="1"/>
    <col min="20" max="20" width="4.8515625" style="16" customWidth="1"/>
    <col min="21" max="21" width="5.28125" style="16" customWidth="1"/>
    <col min="22" max="22" width="4.7109375" style="16" customWidth="1"/>
    <col min="23" max="23" width="6.421875" style="16" customWidth="1"/>
    <col min="24" max="24" width="5.8515625" style="16" customWidth="1"/>
    <col min="25" max="25" width="8.421875" style="16" customWidth="1"/>
    <col min="26" max="26" width="5.00390625" style="16" customWidth="1"/>
    <col min="27" max="27" width="4.57421875" style="16" customWidth="1"/>
    <col min="28" max="28" width="5.140625" style="16" customWidth="1"/>
    <col min="29" max="29" width="5.00390625" style="16" customWidth="1"/>
    <col min="30" max="30" width="4.7109375" style="16" customWidth="1"/>
    <col min="31" max="32" width="4.421875" style="16" customWidth="1"/>
    <col min="33" max="33" width="5.140625" style="16" customWidth="1"/>
    <col min="34" max="34" width="4.8515625" style="16" customWidth="1"/>
    <col min="35" max="35" width="5.57421875" style="16" customWidth="1"/>
    <col min="36" max="36" width="4.00390625" style="16" customWidth="1"/>
    <col min="37" max="37" width="5.421875" style="16" customWidth="1"/>
    <col min="38" max="38" width="4.00390625" style="16" customWidth="1"/>
    <col min="39" max="39" width="5.57421875" style="16" customWidth="1"/>
    <col min="40" max="40" width="5.421875" style="16" customWidth="1"/>
    <col min="41" max="41" width="6.140625" style="16" customWidth="1"/>
    <col min="42" max="42" width="3.57421875" style="16" customWidth="1"/>
    <col min="43" max="43" width="6.140625" style="16" customWidth="1"/>
    <col min="44" max="44" width="4.00390625" style="16" customWidth="1"/>
    <col min="45" max="45" width="6.421875" style="16" customWidth="1"/>
    <col min="46" max="46" width="5.7109375" style="16" customWidth="1"/>
    <col min="47" max="47" width="8.8515625" style="16" bestFit="1" customWidth="1"/>
    <col min="48" max="48" width="4.57421875" style="16" customWidth="1"/>
    <col min="49" max="49" width="4.7109375" style="16" customWidth="1"/>
    <col min="50" max="50" width="4.28125" style="16" customWidth="1"/>
    <col min="51" max="51" width="5.421875" style="16" customWidth="1"/>
    <col min="52" max="52" width="6.00390625" style="16" customWidth="1"/>
    <col min="53" max="75" width="4.8515625" style="16" customWidth="1"/>
    <col min="76" max="76" width="4.8515625" style="20" customWidth="1"/>
    <col min="77" max="79" width="4.8515625" style="16" customWidth="1"/>
    <col min="80" max="80" width="4.8515625" style="17" customWidth="1"/>
    <col min="81" max="16384" width="4.8515625" style="16" customWidth="1"/>
  </cols>
  <sheetData>
    <row r="1" spans="27:80" ht="12.75">
      <c r="AA1" s="426" t="s">
        <v>40</v>
      </c>
      <c r="BB1" s="17"/>
      <c r="BD1" s="17"/>
      <c r="BX1" s="16"/>
      <c r="CB1" s="16"/>
    </row>
    <row r="2" spans="1:80" ht="12.75">
      <c r="A2" s="903" t="s">
        <v>530</v>
      </c>
      <c r="B2" s="903"/>
      <c r="C2" s="916">
        <f>IF(Input!C2="","",Input!C2)</f>
      </c>
      <c r="D2" s="916"/>
      <c r="E2" s="916"/>
      <c r="F2" s="916"/>
      <c r="G2" s="916"/>
      <c r="H2" s="916"/>
      <c r="I2" s="916"/>
      <c r="J2" s="916"/>
      <c r="K2" s="916"/>
      <c r="L2" s="916"/>
      <c r="M2" s="916"/>
      <c r="N2" s="916"/>
      <c r="O2" s="916"/>
      <c r="P2" s="916"/>
      <c r="R2" s="18" t="s">
        <v>531</v>
      </c>
      <c r="S2" s="940">
        <f>IF(Input!S2="","",Input!S2)</f>
      </c>
      <c r="T2" s="940"/>
      <c r="U2" s="940"/>
      <c r="AU2" s="17"/>
      <c r="AY2" s="20"/>
      <c r="BB2" s="17"/>
      <c r="BX2" s="16"/>
      <c r="CB2" s="16"/>
    </row>
    <row r="3" spans="1:80" ht="12.75">
      <c r="A3" s="903" t="s">
        <v>537</v>
      </c>
      <c r="B3" s="903"/>
      <c r="C3" s="916">
        <f>IF(Input!C3="","",Input!C3)</f>
      </c>
      <c r="D3" s="916"/>
      <c r="E3" s="916"/>
      <c r="F3" s="916"/>
      <c r="G3" s="916"/>
      <c r="H3" s="916"/>
      <c r="I3" s="916"/>
      <c r="J3" s="916"/>
      <c r="K3" s="916"/>
      <c r="L3" s="916"/>
      <c r="M3" s="916"/>
      <c r="N3" s="916"/>
      <c r="O3" s="916"/>
      <c r="P3" s="916"/>
      <c r="Q3" s="19"/>
      <c r="R3" s="18" t="s">
        <v>538</v>
      </c>
      <c r="S3" s="940">
        <f>IF(Input!S3="","",Input!S3)</f>
      </c>
      <c r="T3" s="940"/>
      <c r="U3" s="940"/>
      <c r="V3" s="19"/>
      <c r="W3" s="19"/>
      <c r="X3" s="19"/>
      <c r="AA3" s="17"/>
      <c r="AB3" s="17"/>
      <c r="AU3" s="17"/>
      <c r="AY3" s="20"/>
      <c r="BB3" s="17"/>
      <c r="BX3" s="16"/>
      <c r="CB3" s="16"/>
    </row>
    <row r="4" spans="1:80" ht="12.75">
      <c r="A4" s="903" t="s">
        <v>542</v>
      </c>
      <c r="B4" s="903"/>
      <c r="C4" s="916">
        <f>IF(Input!C4="","",Input!C4)</f>
      </c>
      <c r="D4" s="916"/>
      <c r="E4" s="916"/>
      <c r="F4" s="916"/>
      <c r="G4" s="916"/>
      <c r="H4" s="916"/>
      <c r="I4" s="916"/>
      <c r="J4" s="916"/>
      <c r="K4" s="916"/>
      <c r="L4" s="916"/>
      <c r="M4" s="916"/>
      <c r="N4" s="916"/>
      <c r="O4" s="916"/>
      <c r="P4" s="916"/>
      <c r="Q4" s="19"/>
      <c r="R4" s="18" t="s">
        <v>543</v>
      </c>
      <c r="S4" s="940">
        <f>IF(Input!S4="","",Input!S4)</f>
      </c>
      <c r="T4" s="940"/>
      <c r="U4" s="940"/>
      <c r="V4" s="19"/>
      <c r="W4" s="19"/>
      <c r="X4" s="19"/>
      <c r="Y4" s="19"/>
      <c r="Z4" s="19"/>
      <c r="AA4" s="17"/>
      <c r="AB4" s="17"/>
      <c r="AU4" s="21"/>
      <c r="AY4" s="20"/>
      <c r="BB4" s="21"/>
      <c r="BD4" s="22"/>
      <c r="BX4" s="16"/>
      <c r="CB4" s="16"/>
    </row>
    <row r="5" spans="2:80" ht="13.5" thickBot="1">
      <c r="B5" s="23"/>
      <c r="C5" s="24"/>
      <c r="D5" s="920"/>
      <c r="E5" s="920"/>
      <c r="F5" s="24"/>
      <c r="G5" s="23"/>
      <c r="H5" s="23"/>
      <c r="I5" s="24"/>
      <c r="J5" s="24"/>
      <c r="K5" s="24"/>
      <c r="L5" s="24"/>
      <c r="M5" s="24"/>
      <c r="N5" s="24"/>
      <c r="O5" s="24"/>
      <c r="P5" s="24"/>
      <c r="Q5" s="24"/>
      <c r="R5" s="24"/>
      <c r="S5" s="24"/>
      <c r="T5" s="24"/>
      <c r="U5" s="24"/>
      <c r="V5" s="24"/>
      <c r="W5" s="24"/>
      <c r="X5" s="18"/>
      <c r="Y5" s="18"/>
      <c r="AU5" s="21"/>
      <c r="AY5" s="25"/>
      <c r="BB5" s="21"/>
      <c r="BD5" s="22"/>
      <c r="BX5" s="16"/>
      <c r="CB5" s="16"/>
    </row>
    <row r="6" spans="1:80" ht="26.25" customHeight="1" thickBot="1">
      <c r="A6" s="936"/>
      <c r="B6" s="936"/>
      <c r="C6" s="892" t="s">
        <v>554</v>
      </c>
      <c r="D6" s="961"/>
      <c r="E6" s="905" t="s">
        <v>681</v>
      </c>
      <c r="F6" s="899"/>
      <c r="G6" s="905" t="s">
        <v>555</v>
      </c>
      <c r="H6" s="906"/>
      <c r="I6" s="906"/>
      <c r="J6" s="906" t="s">
        <v>556</v>
      </c>
      <c r="K6" s="899"/>
      <c r="L6" s="905" t="s">
        <v>557</v>
      </c>
      <c r="M6" s="999"/>
      <c r="N6" s="999"/>
      <c r="O6" s="906" t="s">
        <v>556</v>
      </c>
      <c r="P6" s="899"/>
      <c r="Q6" s="905" t="s">
        <v>558</v>
      </c>
      <c r="R6" s="906"/>
      <c r="S6" s="906"/>
      <c r="T6" s="906" t="s">
        <v>556</v>
      </c>
      <c r="U6" s="907"/>
      <c r="V6" s="893" t="s">
        <v>559</v>
      </c>
      <c r="W6" s="906"/>
      <c r="X6" s="907"/>
      <c r="Y6" s="994" t="s">
        <v>560</v>
      </c>
      <c r="Z6" s="805" t="s">
        <v>561</v>
      </c>
      <c r="AA6" s="805"/>
      <c r="AB6" s="900"/>
      <c r="AC6" s="991" t="s">
        <v>696</v>
      </c>
      <c r="AD6" s="992"/>
      <c r="AE6" s="993"/>
      <c r="AF6" s="905" t="s">
        <v>562</v>
      </c>
      <c r="AG6" s="906"/>
      <c r="AH6" s="899"/>
      <c r="AI6" s="991" t="s">
        <v>697</v>
      </c>
      <c r="AJ6" s="992"/>
      <c r="AK6" s="993"/>
      <c r="AL6" s="892" t="s">
        <v>563</v>
      </c>
      <c r="AM6" s="805"/>
      <c r="AN6" s="900"/>
      <c r="AO6" s="988" t="s">
        <v>115</v>
      </c>
      <c r="AP6" s="989"/>
      <c r="AQ6" s="990"/>
      <c r="AR6" s="905" t="s">
        <v>684</v>
      </c>
      <c r="AS6" s="906"/>
      <c r="AT6" s="899"/>
      <c r="AU6" s="905" t="s">
        <v>685</v>
      </c>
      <c r="AV6" s="906"/>
      <c r="AW6" s="907"/>
      <c r="AX6" s="892" t="s">
        <v>686</v>
      </c>
      <c r="AY6" s="805"/>
      <c r="AZ6" s="900"/>
      <c r="BA6" s="892" t="s">
        <v>663</v>
      </c>
      <c r="BB6" s="805"/>
      <c r="BC6" s="900"/>
      <c r="BD6" s="892" t="s">
        <v>564</v>
      </c>
      <c r="BE6" s="805"/>
      <c r="BF6" s="893"/>
      <c r="BG6" s="920"/>
      <c r="BH6" s="920"/>
      <c r="BI6" s="920"/>
      <c r="BK6" s="20"/>
      <c r="BO6" s="17"/>
      <c r="BX6" s="16"/>
      <c r="CB6" s="16"/>
    </row>
    <row r="7" spans="1:80" ht="12.75">
      <c r="A7" s="892" t="s">
        <v>574</v>
      </c>
      <c r="B7" s="900"/>
      <c r="C7" s="28" t="s">
        <v>575</v>
      </c>
      <c r="D7" s="5" t="s">
        <v>576</v>
      </c>
      <c r="E7" s="28" t="s">
        <v>575</v>
      </c>
      <c r="F7" s="5" t="s">
        <v>576</v>
      </c>
      <c r="G7" s="1022" t="s">
        <v>577</v>
      </c>
      <c r="H7" s="969"/>
      <c r="I7" s="969"/>
      <c r="J7" s="997" t="s">
        <v>577</v>
      </c>
      <c r="K7" s="901"/>
      <c r="L7" s="1022" t="s">
        <v>577</v>
      </c>
      <c r="M7" s="970"/>
      <c r="N7" s="970"/>
      <c r="O7" s="997" t="s">
        <v>577</v>
      </c>
      <c r="P7" s="901"/>
      <c r="Q7" s="1022" t="s">
        <v>577</v>
      </c>
      <c r="R7" s="1023"/>
      <c r="S7" s="1023"/>
      <c r="T7" s="997" t="s">
        <v>577</v>
      </c>
      <c r="U7" s="939"/>
      <c r="V7" s="3" t="s">
        <v>578</v>
      </c>
      <c r="W7" s="4" t="s">
        <v>579</v>
      </c>
      <c r="X7" s="29" t="s">
        <v>580</v>
      </c>
      <c r="Y7" s="995"/>
      <c r="Z7" s="3" t="s">
        <v>578</v>
      </c>
      <c r="AA7" s="4" t="s">
        <v>579</v>
      </c>
      <c r="AB7" s="29" t="s">
        <v>580</v>
      </c>
      <c r="AC7" s="28" t="s">
        <v>578</v>
      </c>
      <c r="AD7" s="4" t="s">
        <v>579</v>
      </c>
      <c r="AE7" s="29" t="s">
        <v>580</v>
      </c>
      <c r="AF7" s="28" t="s">
        <v>578</v>
      </c>
      <c r="AG7" s="4" t="s">
        <v>579</v>
      </c>
      <c r="AH7" s="101" t="s">
        <v>580</v>
      </c>
      <c r="AI7" s="28" t="s">
        <v>578</v>
      </c>
      <c r="AJ7" s="4" t="s">
        <v>579</v>
      </c>
      <c r="AK7" s="29" t="s">
        <v>580</v>
      </c>
      <c r="AL7" s="28" t="s">
        <v>578</v>
      </c>
      <c r="AM7" s="4" t="s">
        <v>579</v>
      </c>
      <c r="AN7" s="29" t="s">
        <v>580</v>
      </c>
      <c r="AO7" s="54" t="s">
        <v>578</v>
      </c>
      <c r="AP7" s="55" t="s">
        <v>579</v>
      </c>
      <c r="AQ7" s="360" t="s">
        <v>580</v>
      </c>
      <c r="AR7" s="28" t="s">
        <v>578</v>
      </c>
      <c r="AS7" s="4" t="s">
        <v>579</v>
      </c>
      <c r="AT7" s="5" t="s">
        <v>580</v>
      </c>
      <c r="AU7" s="28" t="s">
        <v>578</v>
      </c>
      <c r="AV7" s="4" t="s">
        <v>579</v>
      </c>
      <c r="AW7" s="29" t="s">
        <v>580</v>
      </c>
      <c r="AX7" s="28" t="s">
        <v>578</v>
      </c>
      <c r="AY7" s="4" t="s">
        <v>579</v>
      </c>
      <c r="AZ7" s="29" t="s">
        <v>580</v>
      </c>
      <c r="BA7" s="28" t="s">
        <v>578</v>
      </c>
      <c r="BB7" s="4" t="s">
        <v>579</v>
      </c>
      <c r="BC7" s="29" t="s">
        <v>580</v>
      </c>
      <c r="BD7" s="28" t="s">
        <v>578</v>
      </c>
      <c r="BE7" s="4" t="s">
        <v>579</v>
      </c>
      <c r="BF7" s="4" t="s">
        <v>580</v>
      </c>
      <c r="BG7" s="23"/>
      <c r="BH7" s="23"/>
      <c r="BI7" s="23"/>
      <c r="BK7" s="20"/>
      <c r="BO7" s="17"/>
      <c r="BX7" s="16"/>
      <c r="CB7" s="16"/>
    </row>
    <row r="8" spans="1:80" ht="12.75">
      <c r="A8" s="1004">
        <f>IF(Input!A8="","",Input!A8)</f>
      </c>
      <c r="B8" s="1005"/>
      <c r="C8" s="6">
        <f>IF(Input!C8="","",Input!C8)</f>
      </c>
      <c r="D8" s="36">
        <f>IF(Input!D8="","",Input!D8)</f>
      </c>
      <c r="E8" s="6">
        <f aca="true" t="shared" si="0" ref="E8:E16">IF(C8="","",C8*2.54)</f>
      </c>
      <c r="F8" s="8">
        <f aca="true" t="shared" si="1" ref="F8:F16">IF(D8="","",D8*2.54)</f>
      </c>
      <c r="G8" s="968">
        <f>IF(Input!E8="","",Input!E8)</f>
      </c>
      <c r="H8" s="970"/>
      <c r="I8" s="970"/>
      <c r="J8" s="970">
        <f>IF(Input!H8="","",Input!H8)</f>
      </c>
      <c r="K8" s="901"/>
      <c r="L8" s="968">
        <f>IF(Input!J8="","",Input!J8)</f>
      </c>
      <c r="M8" s="969"/>
      <c r="N8" s="969"/>
      <c r="O8" s="997">
        <f>IF(Input!M8="","",Input!M8)</f>
      </c>
      <c r="P8" s="901"/>
      <c r="Q8" s="968">
        <f>IF(Input!O8="","",Input!O8)</f>
      </c>
      <c r="R8" s="969"/>
      <c r="S8" s="969"/>
      <c r="T8" s="970">
        <f>IF(Input!R8="","",Input!R8)</f>
      </c>
      <c r="U8" s="939"/>
      <c r="V8" s="244">
        <f>IF(Input!T8="","",Input!T8)</f>
      </c>
      <c r="W8" s="102">
        <f>IF(Input!U8="","",Input!U8)</f>
      </c>
      <c r="X8" s="103">
        <f>IF(Input!V8="","",Input!V8)</f>
      </c>
      <c r="Y8" s="280">
        <f>IF(Input!W8="","",Input!W8)</f>
      </c>
      <c r="Z8" s="9">
        <f>IF(Input!X8="","",Input!X8)</f>
      </c>
      <c r="AA8" s="7">
        <f>IF(Input!Y8="","",Input!Y8)</f>
      </c>
      <c r="AB8" s="36">
        <f>IF(Input!Z8="","",Input!Z8)</f>
      </c>
      <c r="AC8" s="63">
        <f>IF(Input!$W8="","",'FRAG conversion'!E65)</f>
      </c>
      <c r="AD8" s="63">
        <f>IF(Input!$W8="","",'FRAG conversion'!F65)</f>
      </c>
      <c r="AE8" s="63">
        <f>IF(Input!$W8="","",'FRAG conversion'!G65)</f>
      </c>
      <c r="AF8" s="6">
        <f>IF(Input!AA8="","",Input!AA8)</f>
      </c>
      <c r="AG8" s="9">
        <f>IF(Input!AB8="","",Input!AB8)</f>
      </c>
      <c r="AH8" s="10">
        <f>IF(Input!AC8="","",Input!AC8)</f>
      </c>
      <c r="AI8" s="63">
        <f>IF(Input!W8="","",'FRAG conversion'!E53)</f>
      </c>
      <c r="AJ8" s="63">
        <f>IF(Input!W8="","",'FRAG conversion'!F53)</f>
      </c>
      <c r="AK8" s="63">
        <f>IF(Input!W8="","",'FRAG conversion'!G53)</f>
      </c>
      <c r="AL8" s="6">
        <f>IF(Input!AD8="","",Input!AD8)</f>
      </c>
      <c r="AM8" s="104">
        <f>IF(Input!AE8="","",Input!AE8)</f>
      </c>
      <c r="AN8" s="37">
        <f>IF(Input!AF8="","",Input!AF8)</f>
      </c>
      <c r="AO8" s="361">
        <f>IF(Input!W8="","",'FRAG conversion'!H3)</f>
      </c>
      <c r="AP8" s="361">
        <f>IF(Input!W8="","",'FRAG conversion'!I3)</f>
      </c>
      <c r="AQ8" s="361">
        <f>IF(Input!W8="","",'FRAG conversion'!J3)</f>
      </c>
      <c r="AR8" s="63">
        <f>IF(Input!W8="","",IF(AU8=100,100,AU8+5))</f>
      </c>
      <c r="AS8" s="64">
        <f>IF(Input!W8="","",IF(AV8=100,100,AV8+5))</f>
      </c>
      <c r="AT8" s="105">
        <f>IF(Input!W8="","",IF(AW8=100,100,AW8+5))</f>
      </c>
      <c r="AU8" s="63">
        <f>IF(Input!$W8="","",'FRAG conversion'!K3)</f>
      </c>
      <c r="AV8" s="63">
        <f>IF(Input!$W8="","",'FRAG conversion'!L3)</f>
      </c>
      <c r="AW8" s="63">
        <f>IF(Input!$W8="","",'FRAG conversion'!M3)</f>
      </c>
      <c r="AX8" s="284">
        <f>IF(Input!AJ8="","",Input!AJ8)</f>
      </c>
      <c r="AY8" s="76">
        <f>IF(Input!AK8="","",Input!AK8)</f>
      </c>
      <c r="AZ8" s="285">
        <f>IF(Input!AL8="","",Input!AL8)</f>
      </c>
      <c r="BA8" s="284">
        <f>IF(Input!AV8="","",Input!AV8)</f>
      </c>
      <c r="BB8" s="76">
        <f>IF(Input!AW8="","",Input!AW8)</f>
      </c>
      <c r="BC8" s="285">
        <f>IF(Input!AX8="","",Input!AX8)</f>
      </c>
      <c r="BD8" s="63">
        <f>IF(Input!AG8="","",Input!AG8)</f>
      </c>
      <c r="BE8" s="282">
        <f>IF(Input!AH8="","",Input!AH8)</f>
      </c>
      <c r="BF8" s="64">
        <f>IF(Input!AI8="","",Input!AI8)</f>
      </c>
      <c r="BG8" s="43"/>
      <c r="BH8" s="43"/>
      <c r="BI8" s="43"/>
      <c r="BK8" s="20"/>
      <c r="BM8" s="17"/>
      <c r="BO8" s="17"/>
      <c r="BX8" s="16"/>
      <c r="CB8" s="16"/>
    </row>
    <row r="9" spans="1:80" ht="12.75">
      <c r="A9" s="1004">
        <f>IF(Input!A9="","",Input!A9)</f>
      </c>
      <c r="B9" s="1005"/>
      <c r="C9" s="6">
        <f>IF(Input!C9="","",Input!C9)</f>
      </c>
      <c r="D9" s="36">
        <f>IF(Input!D9="","",Input!D9)</f>
      </c>
      <c r="E9" s="6">
        <f t="shared" si="0"/>
      </c>
      <c r="F9" s="8">
        <f t="shared" si="1"/>
      </c>
      <c r="G9" s="968">
        <f>IF(Input!E9="","",Input!E9)</f>
      </c>
      <c r="H9" s="970"/>
      <c r="I9" s="970"/>
      <c r="J9" s="970">
        <f>IF(Input!H9="","",Input!H9)</f>
      </c>
      <c r="K9" s="901"/>
      <c r="L9" s="968">
        <f>IF(Input!J9="","",Input!J9)</f>
      </c>
      <c r="M9" s="969"/>
      <c r="N9" s="969"/>
      <c r="O9" s="997">
        <f>IF(Input!M9="","",Input!M9)</f>
      </c>
      <c r="P9" s="901"/>
      <c r="Q9" s="968">
        <f>IF(Input!O9="","",Input!O9)</f>
      </c>
      <c r="R9" s="969"/>
      <c r="S9" s="969"/>
      <c r="T9" s="970">
        <f>IF(Input!R9="","",Input!R9)</f>
      </c>
      <c r="U9" s="939"/>
      <c r="V9" s="244">
        <f>IF(Input!T9="","",Input!T9)</f>
      </c>
      <c r="W9" s="102">
        <f>IF(Input!U9="","",Input!U9)</f>
      </c>
      <c r="X9" s="103">
        <f>IF(Input!V9="","",Input!V9)</f>
      </c>
      <c r="Y9" s="280">
        <f>IF(Input!W9="","",Input!W9)</f>
      </c>
      <c r="Z9" s="9">
        <f>IF(Input!X9="","",Input!X9)</f>
      </c>
      <c r="AA9" s="7">
        <f>IF(Input!Y9="","",Input!Y9)</f>
      </c>
      <c r="AB9" s="36">
        <f>IF(Input!Z9="","",Input!Z9)</f>
      </c>
      <c r="AC9" s="63">
        <f>IF(Input!$W9="","",'FRAG conversion'!E66)</f>
      </c>
      <c r="AD9" s="63">
        <f>IF(Input!$W9="","",'FRAG conversion'!F66)</f>
      </c>
      <c r="AE9" s="63">
        <f>IF(Input!$W9="","",'FRAG conversion'!G66)</f>
      </c>
      <c r="AF9" s="6">
        <f>IF(Input!AA9="","",Input!AA9)</f>
      </c>
      <c r="AG9" s="9">
        <f>IF(Input!AB9="","",Input!AB9)</f>
      </c>
      <c r="AH9" s="10">
        <f>IF(Input!AC9="","",Input!AC9)</f>
      </c>
      <c r="AI9" s="63">
        <f>IF(Input!W9="","",'FRAG conversion'!E54)</f>
      </c>
      <c r="AJ9" s="63">
        <f>IF(Input!W9="","",'FRAG conversion'!F54)</f>
      </c>
      <c r="AK9" s="63">
        <f>IF(Input!W9="","",'FRAG conversion'!G54)</f>
      </c>
      <c r="AL9" s="6">
        <f>IF(Input!AD9="","",Input!AD9)</f>
      </c>
      <c r="AM9" s="9">
        <f>IF(Input!AE9="","",Input!AE9)</f>
      </c>
      <c r="AN9" s="37">
        <f>IF(Input!AF9="","",Input!AF9)</f>
      </c>
      <c r="AO9" s="361">
        <f>IF(Input!W9="","",'FRAG conversion'!H4)</f>
      </c>
      <c r="AP9" s="361">
        <f>IF(Input!W9="","",'FRAG conversion'!I4)</f>
      </c>
      <c r="AQ9" s="361">
        <f>IF(Input!W9="","",'FRAG conversion'!J4)</f>
      </c>
      <c r="AR9" s="63">
        <f>IF(Input!W9="","",IF(AU9=100,100,AU9+5))</f>
      </c>
      <c r="AS9" s="64">
        <f>IF(Input!W9="","",IF(AV9=100,100,AV9+5))</f>
      </c>
      <c r="AT9" s="105">
        <f>IF(Input!W9="","",IF(AW9=100,100,AW9+5))</f>
      </c>
      <c r="AU9" s="63">
        <f>IF(Input!$W9="","",'FRAG conversion'!K4)</f>
      </c>
      <c r="AV9" s="63">
        <f>IF(Input!$W9="","",'FRAG conversion'!L4)</f>
      </c>
      <c r="AW9" s="63">
        <f>IF(Input!$W9="","",'FRAG conversion'!M4)</f>
      </c>
      <c r="AX9" s="284">
        <f>IF(Input!AJ9="","",Input!AJ9)</f>
      </c>
      <c r="AY9" s="76">
        <f>IF(Input!AK9="","",Input!AK9)</f>
      </c>
      <c r="AZ9" s="285">
        <f>IF(Input!AL9="","",Input!AL9)</f>
      </c>
      <c r="BA9" s="284">
        <f>IF(Input!AV9="","",Input!AV9)</f>
      </c>
      <c r="BB9" s="76">
        <f>IF(Input!AW9="","",Input!AW9)</f>
      </c>
      <c r="BC9" s="285">
        <f>IF(Input!AX9="","",Input!AX9)</f>
      </c>
      <c r="BD9" s="63">
        <f>IF(Input!AG9="","",Input!AG9)</f>
      </c>
      <c r="BE9" s="282">
        <f>IF(Input!AH9="","",Input!AH9)</f>
      </c>
      <c r="BF9" s="64">
        <f>IF(Input!AI9="","",Input!AI9)</f>
      </c>
      <c r="BG9" s="43"/>
      <c r="BH9" s="43"/>
      <c r="BI9" s="43"/>
      <c r="BO9" s="17"/>
      <c r="BX9" s="16"/>
      <c r="CB9" s="16"/>
    </row>
    <row r="10" spans="1:80" ht="12.75">
      <c r="A10" s="1004">
        <f>IF(Input!A10="","",Input!A10)</f>
      </c>
      <c r="B10" s="1005"/>
      <c r="C10" s="6">
        <f>IF(Input!C10="","",Input!C10)</f>
      </c>
      <c r="D10" s="36">
        <f>IF(Input!D10="","",Input!D10)</f>
      </c>
      <c r="E10" s="6">
        <f t="shared" si="0"/>
      </c>
      <c r="F10" s="8">
        <f t="shared" si="1"/>
      </c>
      <c r="G10" s="968">
        <f>IF(Input!E10="","",Input!E10)</f>
      </c>
      <c r="H10" s="970"/>
      <c r="I10" s="970"/>
      <c r="J10" s="970">
        <f>IF(Input!H10="","",Input!H10)</f>
      </c>
      <c r="K10" s="901"/>
      <c r="L10" s="968">
        <f>IF(Input!J10="","",Input!J10)</f>
      </c>
      <c r="M10" s="969"/>
      <c r="N10" s="969"/>
      <c r="O10" s="997">
        <f>IF(Input!M10="","",Input!M10)</f>
      </c>
      <c r="P10" s="901"/>
      <c r="Q10" s="968">
        <f>IF(Input!O10="","",Input!O10)</f>
      </c>
      <c r="R10" s="969"/>
      <c r="S10" s="969"/>
      <c r="T10" s="970">
        <f>IF(Input!R10="","",Input!R10)</f>
      </c>
      <c r="U10" s="939"/>
      <c r="V10" s="244">
        <f>IF(Input!T10="","",Input!T10)</f>
      </c>
      <c r="W10" s="102">
        <f>IF(Input!U10="","",Input!U10)</f>
      </c>
      <c r="X10" s="103">
        <f>IF(Input!V10="","",Input!V10)</f>
      </c>
      <c r="Y10" s="280">
        <f>IF(Input!W10="","",Input!W10)</f>
      </c>
      <c r="Z10" s="9">
        <f>IF(Input!X10="","",Input!X10)</f>
      </c>
      <c r="AA10" s="7">
        <f>IF(Input!Y10="","",Input!Y10)</f>
      </c>
      <c r="AB10" s="36">
        <f>IF(Input!Z10="","",Input!Z10)</f>
      </c>
      <c r="AC10" s="63">
        <f>IF(Input!$W10="","",'FRAG conversion'!E67)</f>
      </c>
      <c r="AD10" s="63">
        <f>IF(Input!$W10="","",'FRAG conversion'!F67)</f>
      </c>
      <c r="AE10" s="63">
        <f>IF(Input!$W10="","",'FRAG conversion'!G67)</f>
      </c>
      <c r="AF10" s="6">
        <f>IF(Input!AA10="","",Input!AA10)</f>
      </c>
      <c r="AG10" s="9">
        <f>IF(Input!AB10="","",Input!AB10)</f>
      </c>
      <c r="AH10" s="10">
        <f>IF(Input!AC10="","",Input!AC10)</f>
      </c>
      <c r="AI10" s="63">
        <f>IF(Input!W10="","",'FRAG conversion'!E55)</f>
      </c>
      <c r="AJ10" s="63">
        <f>IF(Input!W10="","",'FRAG conversion'!F55)</f>
      </c>
      <c r="AK10" s="63">
        <f>IF(Input!W10="","",'FRAG conversion'!G55)</f>
      </c>
      <c r="AL10" s="6">
        <f>IF(Input!AD10="","",Input!AD10)</f>
      </c>
      <c r="AM10" s="9">
        <f>IF(Input!AE10="","",Input!AE10)</f>
      </c>
      <c r="AN10" s="37">
        <f>IF(Input!AF10="","",Input!AF10)</f>
      </c>
      <c r="AO10" s="361">
        <f>IF(Input!W10="","",'FRAG conversion'!H5)</f>
      </c>
      <c r="AP10" s="361">
        <f>IF(Input!W10="","",'FRAG conversion'!I5)</f>
      </c>
      <c r="AQ10" s="361">
        <f>IF(Input!W10="","",'FRAG conversion'!J5)</f>
      </c>
      <c r="AR10" s="63">
        <f>IF(Input!W10="","",IF(AU10=100,100,AU10+5))</f>
      </c>
      <c r="AS10" s="64">
        <f>IF(Input!W10="","",IF(AV10=100,100,AV10+5))</f>
      </c>
      <c r="AT10" s="105">
        <f>IF(Input!W10="","",IF(AW10=100,100,AW10+5))</f>
      </c>
      <c r="AU10" s="63">
        <f>IF(Input!$W10="","",'FRAG conversion'!K5)</f>
      </c>
      <c r="AV10" s="63">
        <f>IF(Input!$W10="","",'FRAG conversion'!L5)</f>
      </c>
      <c r="AW10" s="63">
        <f>IF(Input!$W10="","",'FRAG conversion'!M5)</f>
      </c>
      <c r="AX10" s="284">
        <f>IF(Input!AJ10="","",Input!AJ10)</f>
      </c>
      <c r="AY10" s="76">
        <f>IF(Input!AK10="","",Input!AK10)</f>
      </c>
      <c r="AZ10" s="285">
        <f>IF(Input!AL10="","",Input!AL10)</f>
      </c>
      <c r="BA10" s="284">
        <f>IF(Input!AV10="","",Input!AV10)</f>
      </c>
      <c r="BB10" s="76">
        <f>IF(Input!AW10="","",Input!AW10)</f>
      </c>
      <c r="BC10" s="285">
        <f>IF(Input!AX10="","",Input!AX10)</f>
      </c>
      <c r="BD10" s="63">
        <f>IF(Input!AG10="","",Input!AG10)</f>
      </c>
      <c r="BE10" s="282">
        <f>IF(Input!AH10="","",Input!AH10)</f>
      </c>
      <c r="BF10" s="64">
        <f>IF(Input!AI10="","",Input!AI10)</f>
      </c>
      <c r="BG10" s="43"/>
      <c r="BH10" s="43"/>
      <c r="BI10" s="43"/>
      <c r="BO10" s="17"/>
      <c r="BX10" s="16"/>
      <c r="CB10" s="16"/>
    </row>
    <row r="11" spans="1:80" ht="12.75">
      <c r="A11" s="1004">
        <f>IF(Input!A11="","",Input!A11)</f>
      </c>
      <c r="B11" s="1005"/>
      <c r="C11" s="6">
        <f>IF(Input!C11="","",Input!C11)</f>
      </c>
      <c r="D11" s="36">
        <f>IF(Input!D11="","",Input!D11)</f>
      </c>
      <c r="E11" s="6">
        <f t="shared" si="0"/>
      </c>
      <c r="F11" s="8">
        <f t="shared" si="1"/>
      </c>
      <c r="G11" s="968">
        <f>IF(Input!E11="","",Input!E11)</f>
      </c>
      <c r="H11" s="970"/>
      <c r="I11" s="970"/>
      <c r="J11" s="970">
        <f>IF(Input!H11="","",Input!H11)</f>
      </c>
      <c r="K11" s="901"/>
      <c r="L11" s="968">
        <f>IF(Input!J11="","",Input!J11)</f>
      </c>
      <c r="M11" s="969"/>
      <c r="N11" s="969"/>
      <c r="O11" s="997">
        <f>IF(Input!M11="","",Input!M11)</f>
      </c>
      <c r="P11" s="901"/>
      <c r="Q11" s="968">
        <f>IF(Input!O11="","",Input!O11)</f>
      </c>
      <c r="R11" s="969"/>
      <c r="S11" s="969"/>
      <c r="T11" s="970">
        <f>IF(Input!R11="","",Input!R11)</f>
      </c>
      <c r="U11" s="939"/>
      <c r="V11" s="244">
        <f>IF(Input!T11="","",Input!T11)</f>
      </c>
      <c r="W11" s="102">
        <f>IF(Input!U11="","",Input!U11)</f>
      </c>
      <c r="X11" s="103">
        <f>IF(Input!V11="","",Input!V11)</f>
      </c>
      <c r="Y11" s="280">
        <f>IF(Input!W11="","",Input!W11)</f>
      </c>
      <c r="Z11" s="9">
        <f>IF(Input!X11="","",Input!X11)</f>
      </c>
      <c r="AA11" s="7">
        <f>IF(Input!Y11="","",Input!Y11)</f>
      </c>
      <c r="AB11" s="36">
        <f>IF(Input!Z11="","",Input!Z11)</f>
      </c>
      <c r="AC11" s="63">
        <f>IF(Input!$W11="","",'FRAG conversion'!E68)</f>
      </c>
      <c r="AD11" s="63">
        <f>IF(Input!$W11="","",'FRAG conversion'!F68)</f>
      </c>
      <c r="AE11" s="63">
        <f>IF(Input!$W11="","",'FRAG conversion'!G68)</f>
      </c>
      <c r="AF11" s="6">
        <f>IF(Input!AA11="","",Input!AA11)</f>
      </c>
      <c r="AG11" s="9">
        <f>IF(Input!AB11="","",Input!AB11)</f>
      </c>
      <c r="AH11" s="10">
        <f>IF(Input!AC11="","",Input!AC11)</f>
      </c>
      <c r="AI11" s="63">
        <f>IF(Input!W11="","",'FRAG conversion'!E56)</f>
      </c>
      <c r="AJ11" s="63">
        <f>IF(Input!W11="","",'FRAG conversion'!F56)</f>
      </c>
      <c r="AK11" s="63">
        <f>IF(Input!W11="","",'FRAG conversion'!G56)</f>
      </c>
      <c r="AL11" s="6">
        <f>IF(Input!AD11="","",Input!AD11)</f>
      </c>
      <c r="AM11" s="9">
        <f>IF(Input!AE11="","",Input!AE11)</f>
      </c>
      <c r="AN11" s="37">
        <f>IF(Input!AF11="","",Input!AF11)</f>
      </c>
      <c r="AO11" s="361">
        <f>IF(Input!W11="","",'FRAG conversion'!H6)</f>
      </c>
      <c r="AP11" s="361">
        <f>IF(Input!W11="","",'FRAG conversion'!I6)</f>
      </c>
      <c r="AQ11" s="361">
        <f>IF(Input!W11="","",'FRAG conversion'!J6)</f>
      </c>
      <c r="AR11" s="63">
        <f>IF(Input!W11="","",IF(AU11=100,100,AU11+5))</f>
      </c>
      <c r="AS11" s="64">
        <f>IF(Input!W11="","",IF(AV11=100,100,AV11+5))</f>
      </c>
      <c r="AT11" s="105">
        <f>IF(Input!W11="","",IF(AW11=100,100,AW11+5))</f>
      </c>
      <c r="AU11" s="63">
        <f>IF(Input!$W11="","",'FRAG conversion'!K6)</f>
      </c>
      <c r="AV11" s="63">
        <f>IF(Input!$W11="","",'FRAG conversion'!L6)</f>
      </c>
      <c r="AW11" s="63">
        <f>IF(Input!$W11="","",'FRAG conversion'!M6)</f>
      </c>
      <c r="AX11" s="284">
        <f>IF(Input!AJ11="","",Input!AJ11)</f>
      </c>
      <c r="AY11" s="76">
        <f>IF(Input!AK11="","",Input!AK11)</f>
      </c>
      <c r="AZ11" s="285">
        <f>IF(Input!AL11="","",Input!AL11)</f>
      </c>
      <c r="BA11" s="284">
        <f>IF(Input!AV11="","",Input!AV11)</f>
      </c>
      <c r="BB11" s="76">
        <f>IF(Input!AW11="","",Input!AW11)</f>
      </c>
      <c r="BC11" s="285">
        <f>IF(Input!AX11="","",Input!AX11)</f>
      </c>
      <c r="BD11" s="63">
        <f>IF(Input!AG11="","",Input!AG11)</f>
      </c>
      <c r="BE11" s="282">
        <f>IF(Input!AH11="","",Input!AH11)</f>
      </c>
      <c r="BF11" s="64">
        <f>IF(Input!AI11="","",Input!AI11)</f>
      </c>
      <c r="BG11" s="43"/>
      <c r="BH11" s="43"/>
      <c r="BI11" s="43"/>
      <c r="BO11" s="17"/>
      <c r="BX11" s="16"/>
      <c r="CB11" s="16"/>
    </row>
    <row r="12" spans="1:80" ht="12.75">
      <c r="A12" s="1004">
        <f>IF(Input!A12="","",Input!A12)</f>
      </c>
      <c r="B12" s="1005"/>
      <c r="C12" s="6">
        <f>IF(Input!C12="","",Input!C12)</f>
      </c>
      <c r="D12" s="36">
        <f>IF(Input!D12="","",Input!D12)</f>
      </c>
      <c r="E12" s="6">
        <f t="shared" si="0"/>
      </c>
      <c r="F12" s="8">
        <f t="shared" si="1"/>
      </c>
      <c r="G12" s="968">
        <f>IF(Input!E12="","",Input!E12)</f>
      </c>
      <c r="H12" s="970"/>
      <c r="I12" s="970"/>
      <c r="J12" s="970">
        <f>IF(Input!H12="","",Input!H12)</f>
      </c>
      <c r="K12" s="901"/>
      <c r="L12" s="968">
        <f>IF(Input!J12="","",Input!J12)</f>
      </c>
      <c r="M12" s="969"/>
      <c r="N12" s="969"/>
      <c r="O12" s="997">
        <f>IF(Input!M12="","",Input!M12)</f>
      </c>
      <c r="P12" s="901"/>
      <c r="Q12" s="968">
        <f>IF(Input!O12="","",Input!O12)</f>
      </c>
      <c r="R12" s="969"/>
      <c r="S12" s="969"/>
      <c r="T12" s="970">
        <f>IF(Input!R12="","",Input!R12)</f>
      </c>
      <c r="U12" s="939"/>
      <c r="V12" s="244">
        <f>IF(Input!T12="","",Input!T12)</f>
      </c>
      <c r="W12" s="102">
        <f>IF(Input!U12="","",Input!U12)</f>
      </c>
      <c r="X12" s="103">
        <f>IF(Input!V12="","",Input!V12)</f>
      </c>
      <c r="Y12" s="280">
        <f>IF(Input!W12="","",Input!W12)</f>
      </c>
      <c r="Z12" s="9">
        <f>IF(Input!X12="","",Input!X12)</f>
      </c>
      <c r="AA12" s="7">
        <f>IF(Input!Y12="","",Input!Y12)</f>
      </c>
      <c r="AB12" s="36">
        <f>IF(Input!Z12="","",Input!Z12)</f>
      </c>
      <c r="AC12" s="63">
        <f>IF(Input!$W12="","",'FRAG conversion'!E69)</f>
      </c>
      <c r="AD12" s="63">
        <f>IF(Input!$W12="","",'FRAG conversion'!F69)</f>
      </c>
      <c r="AE12" s="63">
        <f>IF(Input!$W12="","",'FRAG conversion'!G69)</f>
      </c>
      <c r="AF12" s="6">
        <f>IF(Input!AA12="","",Input!AA12)</f>
      </c>
      <c r="AG12" s="9">
        <f>IF(Input!AB12="","",Input!AB12)</f>
      </c>
      <c r="AH12" s="10">
        <f>IF(Input!AC12="","",Input!AC12)</f>
      </c>
      <c r="AI12" s="63">
        <f>IF(Input!W12="","",'FRAG conversion'!E57)</f>
      </c>
      <c r="AJ12" s="63">
        <f>IF(Input!W12="","",'FRAG conversion'!F57)</f>
      </c>
      <c r="AK12" s="63">
        <f>IF(Input!W12="","",'FRAG conversion'!G57)</f>
      </c>
      <c r="AL12" s="6">
        <f>IF(Input!AD12="","",Input!AD12)</f>
      </c>
      <c r="AM12" s="9">
        <f>IF(Input!AE12="","",Input!AE12)</f>
      </c>
      <c r="AN12" s="37">
        <f>IF(Input!AF12="","",Input!AF12)</f>
      </c>
      <c r="AO12" s="361">
        <f>IF(Input!W12="","",'FRAG conversion'!H7)</f>
      </c>
      <c r="AP12" s="361">
        <f>IF(Input!W12="","",'FRAG conversion'!I7)</f>
      </c>
      <c r="AQ12" s="361">
        <f>IF(Input!W12="","",'FRAG conversion'!J7)</f>
      </c>
      <c r="AR12" s="63">
        <f>IF(Input!W12="","",IF(AU12=100,100,AU12+5))</f>
      </c>
      <c r="AS12" s="64">
        <f>IF(Input!W12="","",IF(AV12=100,100,AV12+5))</f>
      </c>
      <c r="AT12" s="105">
        <f>IF(Input!W12="","",IF(AW12=100,100,AW12+5))</f>
      </c>
      <c r="AU12" s="63">
        <f>IF(Input!$W12="","",'FRAG conversion'!K7)</f>
      </c>
      <c r="AV12" s="63">
        <f>IF(Input!$W12="","",'FRAG conversion'!L7)</f>
      </c>
      <c r="AW12" s="63">
        <f>IF(Input!$W12="","",'FRAG conversion'!M7)</f>
      </c>
      <c r="AX12" s="284">
        <f>IF(Input!AJ12="","",Input!AJ12)</f>
      </c>
      <c r="AY12" s="76">
        <f>IF(Input!AK12="","",Input!AK12)</f>
      </c>
      <c r="AZ12" s="285">
        <f>IF(Input!AL12="","",Input!AL12)</f>
      </c>
      <c r="BA12" s="284">
        <f>IF(Input!AV12="","",Input!AV12)</f>
      </c>
      <c r="BB12" s="76">
        <f>IF(Input!AW12="","",Input!AW12)</f>
      </c>
      <c r="BC12" s="285">
        <f>IF(Input!AX12="","",Input!AX12)</f>
      </c>
      <c r="BD12" s="63">
        <f>IF(Input!AG12="","",Input!AG12)</f>
      </c>
      <c r="BE12" s="282">
        <f>IF(Input!AH12="","",Input!AH12)</f>
      </c>
      <c r="BF12" s="64">
        <f>IF(Input!AI12="","",Input!AI12)</f>
      </c>
      <c r="BG12" s="43"/>
      <c r="BH12" s="43"/>
      <c r="BI12" s="43"/>
      <c r="BO12" s="17"/>
      <c r="BX12" s="16"/>
      <c r="CB12" s="16"/>
    </row>
    <row r="13" spans="1:80" ht="12.75">
      <c r="A13" s="1004">
        <f>IF(Input!A13="","",Input!A13)</f>
      </c>
      <c r="B13" s="1005"/>
      <c r="C13" s="6">
        <f>IF(Input!C13="","",Input!C13)</f>
      </c>
      <c r="D13" s="36">
        <f>IF(Input!D13="","",Input!D13)</f>
      </c>
      <c r="E13" s="6">
        <f t="shared" si="0"/>
      </c>
      <c r="F13" s="8">
        <f t="shared" si="1"/>
      </c>
      <c r="G13" s="968">
        <f>IF(Input!E13="","",Input!E13)</f>
      </c>
      <c r="H13" s="970"/>
      <c r="I13" s="970"/>
      <c r="J13" s="970">
        <f>IF(Input!H13="","",Input!H13)</f>
      </c>
      <c r="K13" s="901"/>
      <c r="L13" s="968">
        <f>IF(Input!J13="","",Input!J13)</f>
      </c>
      <c r="M13" s="969"/>
      <c r="N13" s="969"/>
      <c r="O13" s="997">
        <f>IF(Input!M13="","",Input!M13)</f>
      </c>
      <c r="P13" s="901"/>
      <c r="Q13" s="968">
        <f>IF(Input!O13="","",Input!O13)</f>
      </c>
      <c r="R13" s="969"/>
      <c r="S13" s="969"/>
      <c r="T13" s="970">
        <f>IF(Input!R13="","",Input!R13)</f>
      </c>
      <c r="U13" s="939"/>
      <c r="V13" s="244">
        <f>IF(Input!T13="","",Input!T13)</f>
      </c>
      <c r="W13" s="102">
        <f>IF(Input!U13="","",Input!U13)</f>
      </c>
      <c r="X13" s="103">
        <f>IF(Input!V13="","",Input!V13)</f>
      </c>
      <c r="Y13" s="280">
        <f>IF(Input!W13="","",Input!W13)</f>
      </c>
      <c r="Z13" s="9">
        <f>IF(Input!X13="","",Input!X13)</f>
      </c>
      <c r="AA13" s="7">
        <f>IF(Input!Y13="","",Input!Y13)</f>
      </c>
      <c r="AB13" s="36">
        <f>IF(Input!Z13="","",Input!Z13)</f>
      </c>
      <c r="AC13" s="63">
        <f>IF(Input!$W13="","",'FRAG conversion'!E70)</f>
      </c>
      <c r="AD13" s="63">
        <f>IF(Input!$W13="","",'FRAG conversion'!F70)</f>
      </c>
      <c r="AE13" s="63">
        <f>IF(Input!$W13="","",'FRAG conversion'!G70)</f>
      </c>
      <c r="AF13" s="6">
        <f>IF(Input!AA13="","",Input!AA13)</f>
      </c>
      <c r="AG13" s="9">
        <f>IF(Input!AB13="","",Input!AB13)</f>
      </c>
      <c r="AH13" s="10">
        <f>IF(Input!AC13="","",Input!AC13)</f>
      </c>
      <c r="AI13" s="63">
        <f>IF(Input!W13="","",'FRAG conversion'!E58)</f>
      </c>
      <c r="AJ13" s="63">
        <f>IF(Input!W13="","",'FRAG conversion'!F58)</f>
      </c>
      <c r="AK13" s="63">
        <f>IF(Input!W13="","",'FRAG conversion'!G58)</f>
      </c>
      <c r="AL13" s="6">
        <f>IF(Input!AD13="","",Input!AD13)</f>
      </c>
      <c r="AM13" s="9">
        <f>IF(Input!AE13="","",Input!AE13)</f>
      </c>
      <c r="AN13" s="37">
        <f>IF(Input!AF13="","",Input!AF13)</f>
      </c>
      <c r="AO13" s="361">
        <f>IF(Input!W13="","",'FRAG conversion'!H8)</f>
      </c>
      <c r="AP13" s="361">
        <f>IF(Input!W13="","",'FRAG conversion'!I8)</f>
      </c>
      <c r="AQ13" s="361">
        <f>IF(Input!W13="","",'FRAG conversion'!J8)</f>
      </c>
      <c r="AR13" s="63">
        <f>IF(Input!W13="","",IF(AU13=100,100,AU13+5))</f>
      </c>
      <c r="AS13" s="64">
        <f>IF(Input!W13="","",IF(AV13=100,100,AV13+5))</f>
      </c>
      <c r="AT13" s="105">
        <f>IF(Input!W13="","",IF(AW13=100,100,AW13+5))</f>
      </c>
      <c r="AU13" s="63">
        <f>IF(Input!$W13="","",'FRAG conversion'!K8)</f>
      </c>
      <c r="AV13" s="63">
        <f>IF(Input!$W13="","",'FRAG conversion'!L8)</f>
      </c>
      <c r="AW13" s="63">
        <f>IF(Input!$W13="","",'FRAG conversion'!M8)</f>
      </c>
      <c r="AX13" s="284">
        <f>IF(Input!AJ13="","",Input!AJ13)</f>
      </c>
      <c r="AY13" s="76">
        <f>IF(Input!AK13="","",Input!AK13)</f>
      </c>
      <c r="AZ13" s="285">
        <f>IF(Input!AL13="","",Input!AL13)</f>
      </c>
      <c r="BA13" s="284">
        <f>IF(Input!AV13="","",Input!AV13)</f>
      </c>
      <c r="BB13" s="76">
        <f>IF(Input!AW13="","",Input!AW13)</f>
      </c>
      <c r="BC13" s="285">
        <f>IF(Input!AX13="","",Input!AX13)</f>
      </c>
      <c r="BD13" s="63">
        <f>IF(Input!AG13="","",Input!AG13)</f>
      </c>
      <c r="BE13" s="282">
        <f>IF(Input!AH13="","",Input!AH13)</f>
      </c>
      <c r="BF13" s="64">
        <f>IF(Input!AI13="","",Input!AI13)</f>
      </c>
      <c r="BG13" s="43"/>
      <c r="BH13" s="43"/>
      <c r="BI13" s="43"/>
      <c r="BO13" s="17"/>
      <c r="BX13" s="16"/>
      <c r="CB13" s="16"/>
    </row>
    <row r="14" spans="1:80" ht="12.75">
      <c r="A14" s="1004">
        <f>IF(Input!A14="","",Input!A14)</f>
      </c>
      <c r="B14" s="1005"/>
      <c r="C14" s="6">
        <f>IF(Input!C14="","",Input!C14)</f>
      </c>
      <c r="D14" s="36">
        <f>IF(Input!D14="","",Input!D14)</f>
      </c>
      <c r="E14" s="6">
        <f t="shared" si="0"/>
      </c>
      <c r="F14" s="8">
        <f t="shared" si="1"/>
      </c>
      <c r="G14" s="968">
        <f>IF(Input!E14="","",Input!E14)</f>
      </c>
      <c r="H14" s="970"/>
      <c r="I14" s="970"/>
      <c r="J14" s="970">
        <f>IF(Input!H14="","",Input!H14)</f>
      </c>
      <c r="K14" s="901"/>
      <c r="L14" s="968">
        <f>IF(Input!J14="","",Input!J14)</f>
      </c>
      <c r="M14" s="969"/>
      <c r="N14" s="969"/>
      <c r="O14" s="997">
        <f>IF(Input!M14="","",Input!M14)</f>
      </c>
      <c r="P14" s="901"/>
      <c r="Q14" s="968">
        <f>IF(Input!O14="","",Input!O14)</f>
      </c>
      <c r="R14" s="969"/>
      <c r="S14" s="969"/>
      <c r="T14" s="970">
        <f>IF(Input!R14="","",Input!R14)</f>
      </c>
      <c r="U14" s="939"/>
      <c r="V14" s="244">
        <f>IF(Input!T14="","",Input!T14)</f>
      </c>
      <c r="W14" s="102">
        <f>IF(Input!U14="","",Input!U14)</f>
      </c>
      <c r="X14" s="103">
        <f>IF(Input!V14="","",Input!V14)</f>
      </c>
      <c r="Y14" s="280">
        <f>IF(Input!W14="","",Input!W14)</f>
      </c>
      <c r="Z14" s="9">
        <f>IF(Input!X14="","",Input!X14)</f>
      </c>
      <c r="AA14" s="7">
        <f>IF(Input!Y14="","",Input!Y14)</f>
      </c>
      <c r="AB14" s="36">
        <f>IF(Input!Z14="","",Input!Z14)</f>
      </c>
      <c r="AC14" s="63">
        <f>IF(Input!$W14="","",'FRAG conversion'!E71)</f>
      </c>
      <c r="AD14" s="63">
        <f>IF(Input!$W14="","",'FRAG conversion'!F71)</f>
      </c>
      <c r="AE14" s="63">
        <f>IF(Input!$W14="","",'FRAG conversion'!G71)</f>
      </c>
      <c r="AF14" s="6">
        <f>IF(Input!AA14="","",Input!AA14)</f>
      </c>
      <c r="AG14" s="9">
        <f>IF(Input!AB14="","",Input!AB14)</f>
      </c>
      <c r="AH14" s="10">
        <f>IF(Input!AC14="","",Input!AC14)</f>
      </c>
      <c r="AI14" s="63">
        <f>IF(Input!W14="","",'FRAG conversion'!E59)</f>
      </c>
      <c r="AJ14" s="63">
        <f>IF(Input!W14="","",'FRAG conversion'!F59)</f>
      </c>
      <c r="AK14" s="63">
        <f>IF(Input!W14="","",'FRAG conversion'!G59)</f>
      </c>
      <c r="AL14" s="6">
        <f>IF(Input!AD14="","",Input!AD14)</f>
      </c>
      <c r="AM14" s="9">
        <f>IF(Input!AE14="","",Input!AE14)</f>
      </c>
      <c r="AN14" s="37">
        <f>IF(Input!AF14="","",Input!AF14)</f>
      </c>
      <c r="AO14" s="361">
        <f>IF(Input!W14="","",'FRAG conversion'!H9)</f>
      </c>
      <c r="AP14" s="361">
        <f>IF(Input!W14="","",'FRAG conversion'!I9)</f>
      </c>
      <c r="AQ14" s="361">
        <f>IF(Input!W14="","",'FRAG conversion'!J9)</f>
      </c>
      <c r="AR14" s="63">
        <f>IF(Input!W14="","",IF(AU14=100,100,AU14+5))</f>
      </c>
      <c r="AS14" s="64">
        <f>IF(Input!W14="","",IF(AV14=100,100,AV14+5))</f>
      </c>
      <c r="AT14" s="105">
        <f>IF(Input!W14="","",IF(AW14=100,100,AW14+5))</f>
      </c>
      <c r="AU14" s="63">
        <f>IF(Input!$W14="","",'FRAG conversion'!K9)</f>
      </c>
      <c r="AV14" s="63">
        <f>IF(Input!$W14="","",'FRAG conversion'!L9)</f>
      </c>
      <c r="AW14" s="63">
        <f>IF(Input!$W14="","",'FRAG conversion'!M9)</f>
      </c>
      <c r="AX14" s="284">
        <f>IF(Input!AJ14="","",Input!AJ14)</f>
      </c>
      <c r="AY14" s="76">
        <f>IF(Input!AK14="","",Input!AK14)</f>
      </c>
      <c r="AZ14" s="285">
        <f>IF(Input!AL14="","",Input!AL14)</f>
      </c>
      <c r="BA14" s="284">
        <f>IF(Input!AV14="","",Input!AV14)</f>
      </c>
      <c r="BB14" s="76">
        <f>IF(Input!AW14="","",Input!AW14)</f>
      </c>
      <c r="BC14" s="285">
        <f>IF(Input!AX14="","",Input!AX14)</f>
      </c>
      <c r="BD14" s="63">
        <f>IF(Input!AG14="","",Input!AG14)</f>
      </c>
      <c r="BE14" s="282">
        <f>IF(Input!AH14="","",Input!AH14)</f>
      </c>
      <c r="BF14" s="64">
        <f>IF(Input!AI14="","",Input!AI14)</f>
      </c>
      <c r="BG14" s="43"/>
      <c r="BH14" s="43"/>
      <c r="BI14" s="43"/>
      <c r="BO14" s="17"/>
      <c r="BX14" s="16"/>
      <c r="CB14" s="16"/>
    </row>
    <row r="15" spans="1:80" ht="12.75">
      <c r="A15" s="1004">
        <f>IF(Input!A15="","",Input!A15)</f>
      </c>
      <c r="B15" s="1005"/>
      <c r="C15" s="6">
        <f>IF(Input!C15="","",Input!C15)</f>
      </c>
      <c r="D15" s="36">
        <f>IF(Input!D15="","",Input!D15)</f>
      </c>
      <c r="E15" s="6">
        <f t="shared" si="0"/>
      </c>
      <c r="F15" s="8">
        <f t="shared" si="1"/>
      </c>
      <c r="G15" s="968">
        <f>IF(Input!E15="","",Input!E15)</f>
      </c>
      <c r="H15" s="970"/>
      <c r="I15" s="970"/>
      <c r="J15" s="970">
        <f>IF(Input!H15="","",Input!H15)</f>
      </c>
      <c r="K15" s="901"/>
      <c r="L15" s="968">
        <f>IF(Input!J15="","",Input!J15)</f>
      </c>
      <c r="M15" s="969"/>
      <c r="N15" s="969"/>
      <c r="O15" s="997">
        <f>IF(Input!M15="","",Input!M15)</f>
      </c>
      <c r="P15" s="901"/>
      <c r="Q15" s="968">
        <f>IF(Input!O15="","",Input!O15)</f>
      </c>
      <c r="R15" s="969"/>
      <c r="S15" s="969"/>
      <c r="T15" s="970">
        <f>IF(Input!R15="","",Input!R15)</f>
      </c>
      <c r="U15" s="939"/>
      <c r="V15" s="244">
        <f>IF(Input!T15="","",Input!T15)</f>
      </c>
      <c r="W15" s="102">
        <f>IF(Input!U15="","",Input!U15)</f>
      </c>
      <c r="X15" s="103">
        <f>IF(Input!V15="","",Input!V15)</f>
      </c>
      <c r="Y15" s="280">
        <f>IF(Input!W15="","",Input!W15)</f>
      </c>
      <c r="Z15" s="9">
        <f>IF(Input!X15="","",Input!X15)</f>
      </c>
      <c r="AA15" s="7">
        <f>IF(Input!Y15="","",Input!Y15)</f>
      </c>
      <c r="AB15" s="36">
        <f>IF(Input!Z15="","",Input!Z15)</f>
      </c>
      <c r="AC15" s="63">
        <f>IF(Input!$W15="","",'FRAG conversion'!E72)</f>
      </c>
      <c r="AD15" s="63">
        <f>IF(Input!$W15="","",'FRAG conversion'!F72)</f>
      </c>
      <c r="AE15" s="63">
        <f>IF(Input!$W15="","",'FRAG conversion'!G72)</f>
      </c>
      <c r="AF15" s="6">
        <f>IF(Input!AA15="","",Input!AA15)</f>
      </c>
      <c r="AG15" s="9">
        <f>IF(Input!AB15="","",Input!AB15)</f>
      </c>
      <c r="AH15" s="10">
        <f>IF(Input!AC15="","",Input!AC15)</f>
      </c>
      <c r="AI15" s="63">
        <f>IF(Input!W15="","",'FRAG conversion'!E60)</f>
      </c>
      <c r="AJ15" s="63">
        <f>IF(Input!W15="","",'FRAG conversion'!F60)</f>
      </c>
      <c r="AK15" s="63">
        <f>IF(Input!W15="","",'FRAG conversion'!G60)</f>
      </c>
      <c r="AL15" s="6">
        <f>IF(Input!AD15="","",Input!AD15)</f>
      </c>
      <c r="AM15" s="9">
        <f>IF(Input!AE15="","",Input!AE15)</f>
      </c>
      <c r="AN15" s="37">
        <f>IF(Input!AF15="","",Input!AF15)</f>
      </c>
      <c r="AO15" s="361">
        <f>IF(Input!W15="","",'FRAG conversion'!H10)</f>
      </c>
      <c r="AP15" s="361">
        <f>IF(Input!W15="","",'FRAG conversion'!I10)</f>
      </c>
      <c r="AQ15" s="361">
        <f>IF(Input!W15="","",'FRAG conversion'!J10)</f>
      </c>
      <c r="AR15" s="63">
        <f>IF(Input!W15="","",IF(AU15=100,100,AU15+5))</f>
      </c>
      <c r="AS15" s="64">
        <f>IF(Input!W15="","",IF(AV15=100,100,AV15+5))</f>
      </c>
      <c r="AT15" s="105">
        <f>IF(Input!W15="","",IF(AW15=100,100,AW15+5))</f>
      </c>
      <c r="AU15" s="63">
        <f>IF(Input!$W15="","",'FRAG conversion'!K10)</f>
      </c>
      <c r="AV15" s="63">
        <f>IF(Input!$W15="","",'FRAG conversion'!L10)</f>
      </c>
      <c r="AW15" s="63">
        <f>IF(Input!$W15="","",'FRAG conversion'!M10)</f>
      </c>
      <c r="AX15" s="284">
        <f>IF(Input!AJ15="","",Input!AJ15)</f>
      </c>
      <c r="AY15" s="76">
        <f>IF(Input!AK15="","",Input!AK15)</f>
      </c>
      <c r="AZ15" s="285">
        <f>IF(Input!AL15="","",Input!AL15)</f>
      </c>
      <c r="BA15" s="284">
        <f>IF(Input!AV15="","",Input!AV15)</f>
      </c>
      <c r="BB15" s="76">
        <f>IF(Input!AW15="","",Input!AW15)</f>
      </c>
      <c r="BC15" s="285">
        <f>IF(Input!AX15="","",Input!AX15)</f>
      </c>
      <c r="BD15" s="63">
        <f>IF(Input!AG15="","",Input!AG15)</f>
      </c>
      <c r="BE15" s="282">
        <f>IF(Input!AH15="","",Input!AH15)</f>
      </c>
      <c r="BF15" s="64">
        <f>IF(Input!AI15="","",Input!AI15)</f>
      </c>
      <c r="BG15" s="43"/>
      <c r="BH15" s="43"/>
      <c r="BI15" s="43"/>
      <c r="BO15" s="17"/>
      <c r="BX15" s="16"/>
      <c r="CB15" s="16"/>
    </row>
    <row r="16" spans="1:80" ht="13.5" thickBot="1">
      <c r="A16" s="1007">
        <f>IF(Input!A16="","",Input!A16)</f>
      </c>
      <c r="B16" s="1008"/>
      <c r="C16" s="11">
        <f>IF(Input!C16="","",Input!C16)</f>
      </c>
      <c r="D16" s="46">
        <f>IF(Input!D16="","",Input!D16)</f>
      </c>
      <c r="E16" s="11">
        <f t="shared" si="0"/>
      </c>
      <c r="F16" s="13">
        <f t="shared" si="1"/>
      </c>
      <c r="G16" s="979">
        <f>IF(Input!E16="","",Input!E16)</f>
      </c>
      <c r="H16" s="975"/>
      <c r="I16" s="975"/>
      <c r="J16" s="975">
        <f>IF(Input!H16="","",Input!H16)</f>
      </c>
      <c r="K16" s="981"/>
      <c r="L16" s="979">
        <f>IF(Input!J16="","",Input!J16)</f>
      </c>
      <c r="M16" s="980"/>
      <c r="N16" s="980"/>
      <c r="O16" s="962">
        <f>IF(Input!M16="","",Input!M16)</f>
      </c>
      <c r="P16" s="981"/>
      <c r="Q16" s="979">
        <f>IF(Input!O16="","",Input!O16)</f>
      </c>
      <c r="R16" s="980"/>
      <c r="S16" s="980"/>
      <c r="T16" s="975">
        <f>IF(Input!R16="","",Input!R16)</f>
      </c>
      <c r="U16" s="963"/>
      <c r="V16" s="245">
        <f>IF(Input!T16="","",Input!T16)</f>
      </c>
      <c r="W16" s="106">
        <f>IF(Input!U16="","",Input!U16)</f>
      </c>
      <c r="X16" s="107">
        <f>IF(Input!V16="","",Input!V16)</f>
      </c>
      <c r="Y16" s="281">
        <f>IF(Input!W16="","",Input!W16)</f>
      </c>
      <c r="Z16" s="14">
        <f>IF(Input!X16="","",Input!X16)</f>
      </c>
      <c r="AA16" s="12">
        <f>IF(Input!Y16="","",Input!Y16)</f>
      </c>
      <c r="AB16" s="46">
        <f>IF(Input!Z16="","",Input!Z16)</f>
      </c>
      <c r="AC16" s="63">
        <f>IF(Input!$W16="","",'FRAG conversion'!E73)</f>
      </c>
      <c r="AD16" s="63">
        <f>IF(Input!$W16="","",'FRAG conversion'!F73)</f>
      </c>
      <c r="AE16" s="63">
        <f>IF(Input!$W16="","",'FRAG conversion'!G73)</f>
      </c>
      <c r="AF16" s="11">
        <f>IF(Input!AA16="","",Input!AA16)</f>
      </c>
      <c r="AG16" s="14">
        <f>IF(Input!AB16="","",Input!AB16)</f>
      </c>
      <c r="AH16" s="15">
        <f>IF(Input!AC16="","",Input!AC16)</f>
      </c>
      <c r="AI16" s="63">
        <f>IF(Input!W16="","",'FRAG conversion'!E61)</f>
      </c>
      <c r="AJ16" s="63">
        <f>IF(Input!W16="","",'FRAG conversion'!F61)</f>
      </c>
      <c r="AK16" s="63">
        <f>IF(Input!W16="","",'FRAG conversion'!G61)</f>
      </c>
      <c r="AL16" s="11">
        <f>IF(Input!AD16="","",Input!AD16)</f>
      </c>
      <c r="AM16" s="14">
        <f>IF(Input!AE16="","",Input!AE16)</f>
      </c>
      <c r="AN16" s="47">
        <f>IF(Input!AF16="","",Input!AF16)</f>
      </c>
      <c r="AO16" s="361">
        <f>IF(Input!W16="","",'FRAG conversion'!H11)</f>
      </c>
      <c r="AP16" s="361">
        <f>IF(Input!W16="","",'FRAG conversion'!I11)</f>
      </c>
      <c r="AQ16" s="361">
        <f>IF(Input!W16="","",'FRAG conversion'!J11)</f>
      </c>
      <c r="AR16" s="63">
        <f>IF(Input!W16="","",IF(AU16=100,100,AU16+5))</f>
      </c>
      <c r="AS16" s="64">
        <f>IF(Input!W16="","",IF(AV16=100,100,AV16+5))</f>
      </c>
      <c r="AT16" s="105">
        <f>IF(Input!W16="","",IF(AW16=100,100,AW16+5))</f>
      </c>
      <c r="AU16" s="63">
        <f>IF(Input!$W16="","",'FRAG conversion'!K11)</f>
      </c>
      <c r="AV16" s="63">
        <f>IF(Input!$W16="","",'FRAG conversion'!L11)</f>
      </c>
      <c r="AW16" s="63">
        <f>IF(Input!$W16="","",'FRAG conversion'!M11)</f>
      </c>
      <c r="AX16" s="286">
        <f>IF(Input!AJ16="","",Input!AJ16)</f>
      </c>
      <c r="AY16" s="78">
        <f>IF(Input!AK16="","",Input!AK16)</f>
      </c>
      <c r="AZ16" s="287">
        <f>IF(Input!AL16="","",Input!AL16)</f>
      </c>
      <c r="BA16" s="286">
        <f>IF(Input!AV16="","",Input!AV16)</f>
      </c>
      <c r="BB16" s="78">
        <f>IF(Input!AW16="","",Input!AW16)</f>
      </c>
      <c r="BC16" s="287">
        <f>IF(Input!AX16="","",Input!AX16)</f>
      </c>
      <c r="BD16" s="71">
        <f>IF(Input!AG16="","",Input!AG16)</f>
      </c>
      <c r="BE16" s="283">
        <f>IF(Input!AH16="","",Input!AH16)</f>
      </c>
      <c r="BF16" s="72">
        <f>IF(Input!AI16="","",Input!AI16)</f>
      </c>
      <c r="BG16" s="43"/>
      <c r="BH16" s="43"/>
      <c r="BI16" s="43"/>
      <c r="BO16" s="17"/>
      <c r="BX16" s="16"/>
      <c r="CB16" s="16"/>
    </row>
    <row r="17" spans="15:81" ht="12.75">
      <c r="O17" s="24"/>
      <c r="P17" s="24"/>
      <c r="Q17" s="24"/>
      <c r="R17" s="24"/>
      <c r="T17" s="24"/>
      <c r="U17" s="24"/>
      <c r="V17" s="998"/>
      <c r="W17" s="928"/>
      <c r="X17" s="936"/>
      <c r="Y17" s="928"/>
      <c r="Z17" s="928"/>
      <c r="AA17" s="928"/>
      <c r="AB17" s="24"/>
      <c r="AC17" s="24"/>
      <c r="AD17" s="24"/>
      <c r="AH17" s="43"/>
      <c r="AI17" s="43"/>
      <c r="AJ17" s="43"/>
      <c r="AN17" s="43"/>
      <c r="AO17" s="43"/>
      <c r="AP17" s="43"/>
      <c r="AT17" s="43"/>
      <c r="AU17" s="43"/>
      <c r="AV17" s="43"/>
      <c r="AW17" s="43"/>
      <c r="BA17" s="43"/>
      <c r="BB17" s="17"/>
      <c r="BC17" s="43"/>
      <c r="BE17" s="43"/>
      <c r="BF17" s="26"/>
      <c r="BG17" s="26"/>
      <c r="BH17" s="26"/>
      <c r="BX17" s="16"/>
      <c r="CB17" s="16"/>
      <c r="CC17" s="17"/>
    </row>
    <row r="18" spans="2:54" ht="13.5" thickBot="1">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80"/>
      <c r="AT18" s="80"/>
      <c r="AU18" s="80"/>
      <c r="BB18" s="17"/>
    </row>
    <row r="19" spans="1:54" ht="16.5" thickBot="1">
      <c r="A19" s="936"/>
      <c r="B19" s="936"/>
      <c r="C19" s="905" t="s">
        <v>613</v>
      </c>
      <c r="D19" s="906"/>
      <c r="E19" s="907"/>
      <c r="F19" s="905" t="s">
        <v>614</v>
      </c>
      <c r="G19" s="906"/>
      <c r="H19" s="907"/>
      <c r="I19" s="905" t="s">
        <v>615</v>
      </c>
      <c r="J19" s="906"/>
      <c r="K19" s="907"/>
      <c r="L19" s="905" t="s">
        <v>698</v>
      </c>
      <c r="M19" s="1021"/>
      <c r="N19" s="1006"/>
      <c r="O19" s="905" t="s">
        <v>617</v>
      </c>
      <c r="P19" s="906"/>
      <c r="Q19" s="906"/>
      <c r="R19" s="907"/>
      <c r="S19" s="905" t="s">
        <v>618</v>
      </c>
      <c r="T19" s="906"/>
      <c r="U19" s="907"/>
      <c r="V19" s="905" t="s">
        <v>281</v>
      </c>
      <c r="W19" s="906"/>
      <c r="X19" s="907"/>
      <c r="Y19" s="905" t="s">
        <v>619</v>
      </c>
      <c r="Z19" s="906"/>
      <c r="AA19" s="907"/>
      <c r="AB19" s="905" t="s">
        <v>620</v>
      </c>
      <c r="AC19" s="906"/>
      <c r="AD19" s="907"/>
      <c r="AE19" s="905" t="s">
        <v>621</v>
      </c>
      <c r="AF19" s="906"/>
      <c r="AG19" s="907"/>
      <c r="AH19" s="905" t="s">
        <v>622</v>
      </c>
      <c r="AI19" s="906"/>
      <c r="AJ19" s="899"/>
      <c r="AK19" s="905" t="s">
        <v>695</v>
      </c>
      <c r="AL19" s="906"/>
      <c r="AM19" s="907"/>
      <c r="AP19" s="23"/>
      <c r="AS19" s="23"/>
      <c r="AT19" s="23"/>
      <c r="AU19" s="23"/>
      <c r="BB19" s="17"/>
    </row>
    <row r="20" spans="1:39" ht="12.75">
      <c r="A20" s="905" t="s">
        <v>574</v>
      </c>
      <c r="B20" s="960"/>
      <c r="C20" s="28" t="s">
        <v>578</v>
      </c>
      <c r="D20" s="4" t="s">
        <v>579</v>
      </c>
      <c r="E20" s="29" t="s">
        <v>580</v>
      </c>
      <c r="F20" s="28" t="s">
        <v>578</v>
      </c>
      <c r="G20" s="4" t="s">
        <v>579</v>
      </c>
      <c r="H20" s="29" t="s">
        <v>580</v>
      </c>
      <c r="I20" s="28" t="s">
        <v>578</v>
      </c>
      <c r="J20" s="4" t="s">
        <v>579</v>
      </c>
      <c r="K20" s="29" t="s">
        <v>580</v>
      </c>
      <c r="L20" s="28" t="s">
        <v>578</v>
      </c>
      <c r="M20" s="4" t="s">
        <v>579</v>
      </c>
      <c r="N20" s="29" t="s">
        <v>580</v>
      </c>
      <c r="O20" s="1022" t="s">
        <v>625</v>
      </c>
      <c r="P20" s="969"/>
      <c r="Q20" s="969"/>
      <c r="R20" s="996"/>
      <c r="S20" s="1022" t="s">
        <v>626</v>
      </c>
      <c r="T20" s="969"/>
      <c r="U20" s="996"/>
      <c r="V20" s="28" t="s">
        <v>578</v>
      </c>
      <c r="W20" s="4" t="s">
        <v>579</v>
      </c>
      <c r="X20" s="29" t="s">
        <v>580</v>
      </c>
      <c r="Y20" s="28" t="s">
        <v>578</v>
      </c>
      <c r="Z20" s="4" t="s">
        <v>579</v>
      </c>
      <c r="AA20" s="29" t="s">
        <v>580</v>
      </c>
      <c r="AB20" s="28" t="s">
        <v>578</v>
      </c>
      <c r="AC20" s="4" t="s">
        <v>579</v>
      </c>
      <c r="AD20" s="29" t="s">
        <v>580</v>
      </c>
      <c r="AE20" s="28" t="s">
        <v>578</v>
      </c>
      <c r="AF20" s="4" t="s">
        <v>579</v>
      </c>
      <c r="AG20" s="29" t="s">
        <v>580</v>
      </c>
      <c r="AH20" s="28" t="s">
        <v>578</v>
      </c>
      <c r="AI20" s="4" t="s">
        <v>579</v>
      </c>
      <c r="AJ20" s="5" t="s">
        <v>580</v>
      </c>
      <c r="AK20" s="28" t="s">
        <v>578</v>
      </c>
      <c r="AL20" s="4" t="s">
        <v>579</v>
      </c>
      <c r="AM20" s="29" t="s">
        <v>580</v>
      </c>
    </row>
    <row r="21" spans="1:39" ht="12.75">
      <c r="A21" s="1004">
        <f>IF(Input!A21="","",Input!A21)</f>
      </c>
      <c r="B21" s="937"/>
      <c r="C21" s="6">
        <f>IF(Input!C21="","",Input!C21)</f>
      </c>
      <c r="D21" s="7">
        <f>IF(Input!D21="","",Input!D21)</f>
      </c>
      <c r="E21" s="36">
        <f>IF(Input!E21="","",Input!E21)</f>
      </c>
      <c r="F21" s="6">
        <f>IF(Input!F21="","",Input!F21)</f>
      </c>
      <c r="G21" s="7">
        <f>IF(Input!G21="","",Input!G21)</f>
      </c>
      <c r="H21" s="36">
        <f>IF(Input!H21="","",Input!H21)</f>
      </c>
      <c r="I21" s="6">
        <f>IF(Input!I21="","",Input!I21)</f>
      </c>
      <c r="J21" s="7">
        <f>IF(Input!J21="","",Input!J21)</f>
      </c>
      <c r="K21" s="36">
        <f>IF(Input!K21="","",Input!K21)</f>
      </c>
      <c r="L21" s="58">
        <f>IF(Input!L21="","",Input!L21)</f>
      </c>
      <c r="M21" s="59">
        <f>IF(Input!M21="","",Input!M21)</f>
      </c>
      <c r="N21" s="60">
        <f>IF(Input!N21="","",Input!N21)</f>
      </c>
      <c r="O21" s="1018">
        <f>IF(Input!O21="","",Input!O21)</f>
      </c>
      <c r="P21" s="1019"/>
      <c r="Q21" s="1019"/>
      <c r="R21" s="1020"/>
      <c r="S21" s="968">
        <f>IF(Input!S21="","",Input!S21)</f>
      </c>
      <c r="T21" s="969"/>
      <c r="U21" s="996"/>
      <c r="V21" s="6">
        <f>IF(Input!V21="","",Input!V21)</f>
      </c>
      <c r="W21" s="7">
        <f>IF(Input!W21="","",Input!W21)</f>
      </c>
      <c r="X21" s="36">
        <f>IF(Input!X21="","",Input!X21)</f>
      </c>
      <c r="Y21" s="6">
        <f>IF(Input!Y21="","",Input!Y21)</f>
      </c>
      <c r="Z21" s="7">
        <f>IF(Input!Z21="","",Input!Z21)</f>
      </c>
      <c r="AA21" s="36">
        <f>IF(Input!AA21="","",Input!AA21)</f>
      </c>
      <c r="AB21" s="6">
        <f>IF(Input!AB21="","",Input!AB21)</f>
      </c>
      <c r="AC21" s="7">
        <f>IF(Input!AC21="","",Input!AC21)</f>
      </c>
      <c r="AD21" s="36">
        <f>IF(Input!AD21="","",Input!AD21)</f>
      </c>
      <c r="AE21" s="6">
        <f>IF(Input!AE21="","",Input!AE21)</f>
      </c>
      <c r="AF21" s="7">
        <f>IF(Input!AF21="","",Input!AF21)</f>
      </c>
      <c r="AG21" s="36">
        <f>IF(Input!AG21="","",Input!AG21)</f>
      </c>
      <c r="AH21" s="111">
        <f>IF(Input!AH21="","",Input!AH21)</f>
      </c>
      <c r="AI21" s="112">
        <f>IF(Input!AI21="","",Input!AI21)</f>
      </c>
      <c r="AJ21" s="288">
        <f>IF(Input!AJ21="","",Input!AJ21)</f>
      </c>
      <c r="AK21" s="63">
        <f>IF(OR(C21="",L21=""),"",IF($O21="Andic properties","see",IF(Input!L21&gt;10,((Input!C21*'CEC Tables'!$BC3)+(Input!L21*2)),IF($O21="Subactive, 3",VLOOKUP(C21,Subactive,(L21+2),TRUE),IF($O21="Semiactive, 5",VLOOKUP(C21,Semiactive,(L21+2),TRUE),IF($O21="Active, 7",VLOOKUP(C21,Active,(L21+2),TRUE),IF($O21="Superactive, 9",VLOOKUP(C21,Superactive,(L21+2),TRUE),"")))))))</f>
      </c>
      <c r="AL21" s="64">
        <f>IF(OR(D21="",M21=""),"",IF($O21="Andic properties","MO-1",IF(Input!M21&gt;10,((Input!D21*'CEC Tables'!$BC3)+(Input!M21*2)),IF($O21="Subactive, 3",VLOOKUP(D21,Subactive,(M21+2),TRUE),IF($O21="Semiactive, 5",VLOOKUP(D21,Semiactive,(M21+2),TRUE),IF($O21="Active, 7",VLOOKUP(D21,Active,(M21+2),TRUE),IF($O21="Superactive, 9",VLOOKUP(D21,Superactive,(M21+2),TRUE),"")))))))</f>
      </c>
      <c r="AM21" s="65">
        <f>IF(OR(E21="",N21=""),"",IF($O21="Andic properties","NASIS Guide 17",IF(Input!N21&gt;10,((Input!E21*'CEC Tables'!$BC3)+(Input!N21*2)),IF($O21="Subactive, 3",VLOOKUP(E21,Subactive,(N21+2),TRUE),IF($O21="Semiactive, 5",VLOOKUP(E21,Semiactive,(N21+2),TRUE),IF($O21="Active, 7",VLOOKUP(E21,Active,(N21+2),TRUE),IF($O21="Superactive, 9",VLOOKUP(E21,Superactive,(N21+2),TRUE),"")))))))</f>
      </c>
    </row>
    <row r="22" spans="1:39" ht="12.75">
      <c r="A22" s="1004">
        <f>IF(Input!A22="","",Input!A22)</f>
      </c>
      <c r="B22" s="937"/>
      <c r="C22" s="6">
        <f>IF(Input!C22="","",Input!C22)</f>
      </c>
      <c r="D22" s="7">
        <f>IF(Input!D22="","",Input!D22)</f>
      </c>
      <c r="E22" s="36">
        <f>IF(Input!E22="","",Input!E22)</f>
      </c>
      <c r="F22" s="6">
        <f>IF(Input!F22="","",Input!F22)</f>
      </c>
      <c r="G22" s="7">
        <f>IF(Input!G22="","",Input!G22)</f>
      </c>
      <c r="H22" s="36">
        <f>IF(Input!H22="","",Input!H22)</f>
      </c>
      <c r="I22" s="6">
        <f>IF(Input!I22="","",Input!I22)</f>
      </c>
      <c r="J22" s="7">
        <f>IF(Input!J22="","",Input!J22)</f>
      </c>
      <c r="K22" s="36">
        <f>IF(Input!K22="","",Input!K22)</f>
      </c>
      <c r="L22" s="58">
        <f>IF(Input!L22="","",Input!L22)</f>
      </c>
      <c r="M22" s="59">
        <f>IF(Input!M22="","",Input!M22)</f>
      </c>
      <c r="N22" s="60">
        <f>IF(Input!N22="","",Input!N22)</f>
      </c>
      <c r="O22" s="1018">
        <f>IF(Input!O22="","",Input!O22)</f>
      </c>
      <c r="P22" s="1019"/>
      <c r="Q22" s="1019"/>
      <c r="R22" s="1020"/>
      <c r="S22" s="968">
        <f>IF(Input!S22="","",Input!S22)</f>
      </c>
      <c r="T22" s="969"/>
      <c r="U22" s="996"/>
      <c r="V22" s="6">
        <f>IF(Input!V22="","",Input!V22)</f>
      </c>
      <c r="W22" s="7">
        <f>IF(Input!W22="","",Input!W22)</f>
      </c>
      <c r="X22" s="36">
        <f>IF(Input!X22="","",Input!X22)</f>
      </c>
      <c r="Y22" s="6">
        <f>IF(Input!Y22="","",Input!Y22)</f>
      </c>
      <c r="Z22" s="7">
        <f>IF(Input!Z22="","",Input!Z22)</f>
      </c>
      <c r="AA22" s="36">
        <f>IF(Input!AA22="","",Input!AA22)</f>
      </c>
      <c r="AB22" s="6">
        <f>IF(Input!AB22="","",Input!AB22)</f>
      </c>
      <c r="AC22" s="7">
        <f>IF(Input!AC22="","",Input!AC22)</f>
      </c>
      <c r="AD22" s="36">
        <f>IF(Input!AD22="","",Input!AD22)</f>
      </c>
      <c r="AE22" s="6">
        <f>IF(Input!AE22="","",Input!AE22)</f>
      </c>
      <c r="AF22" s="7">
        <f>IF(Input!AF22="","",Input!AF22)</f>
      </c>
      <c r="AG22" s="36">
        <f>IF(Input!AG22="","",Input!AG22)</f>
      </c>
      <c r="AH22" s="111">
        <f>IF(Input!AH22="","",Input!AH22)</f>
      </c>
      <c r="AI22" s="112">
        <f>IF(Input!AI22="","",Input!AI22)</f>
      </c>
      <c r="AJ22" s="288">
        <f>IF(Input!AJ22="","",Input!AJ22)</f>
      </c>
      <c r="AK22" s="63">
        <f>IF(OR(C22="",L22=""),"",IF($O22="Andic properties","see",IF(Input!L22&gt;10,((Input!C22*'CEC Tables'!$BC4)+(Input!L22*2)),IF($O22="Subactive, 3",VLOOKUP(C22,Subactive,(L22+2),TRUE),IF($O22="Semiactive, 5",VLOOKUP(C22,Semiactive,(L22+2),TRUE),IF($O22="Active, 7",VLOOKUP(C22,Active,(L22+2),TRUE),IF($O22="Superactive, 9",VLOOKUP(C22,Superactive,(L22+2),TRUE),"")))))))</f>
      </c>
      <c r="AL22" s="64">
        <f>IF(OR(D22="",M22=""),"",IF($O22="Andic properties","MO-1",IF(Input!M22&gt;10,((Input!D22*'CEC Tables'!$BC4)+(Input!M22*2)),IF($O22="Subactive, 3",VLOOKUP(D22,Subactive,(M22+2),TRUE),IF($O22="Semiactive, 5",VLOOKUP(D22,Semiactive,(M22+2),TRUE),IF($O22="Active, 7",VLOOKUP(D22,Active,(M22+2),TRUE),IF($O22="Superactive, 9",VLOOKUP(D22,Superactive,(M22+2),TRUE),"")))))))</f>
      </c>
      <c r="AM22" s="65">
        <f>IF(OR(E22="",N22=""),"",IF($O22="Andic properties","NASIS Guide 17",IF(Input!N22&gt;10,((Input!E22*'CEC Tables'!$BC4)+(Input!N22*2)),IF($O22="Subactive, 3",VLOOKUP(E22,Subactive,(N22+2),TRUE),IF($O22="Semiactive, 5",VLOOKUP(E22,Semiactive,(N22+2),TRUE),IF($O22="Active, 7",VLOOKUP(E22,Active,(N22+2),TRUE),IF($O22="Superactive, 9",VLOOKUP(E22,Superactive,(N22+2),TRUE),"")))))))</f>
      </c>
    </row>
    <row r="23" spans="1:39" ht="12.75">
      <c r="A23" s="1004">
        <f>IF(Input!A23="","",Input!A23)</f>
      </c>
      <c r="B23" s="937"/>
      <c r="C23" s="6">
        <f>IF(Input!C23="","",Input!C23)</f>
      </c>
      <c r="D23" s="7">
        <f>IF(Input!D23="","",Input!D23)</f>
      </c>
      <c r="E23" s="36">
        <f>IF(Input!E23="","",Input!E23)</f>
      </c>
      <c r="F23" s="6">
        <f>IF(Input!F23="","",Input!F23)</f>
      </c>
      <c r="G23" s="7">
        <f>IF(Input!G23="","",Input!G23)</f>
      </c>
      <c r="H23" s="36">
        <f>IF(Input!H23="","",Input!H23)</f>
      </c>
      <c r="I23" s="6">
        <f>IF(Input!I23="","",Input!I23)</f>
      </c>
      <c r="J23" s="7">
        <f>IF(Input!J23="","",Input!J23)</f>
      </c>
      <c r="K23" s="36">
        <f>IF(Input!K23="","",Input!K23)</f>
      </c>
      <c r="L23" s="58">
        <f>IF(Input!L23="","",Input!L23)</f>
      </c>
      <c r="M23" s="59">
        <f>IF(Input!M23="","",Input!M23)</f>
      </c>
      <c r="N23" s="60">
        <f>IF(Input!N23="","",Input!N23)</f>
      </c>
      <c r="O23" s="1018">
        <f>IF(Input!O23="","",Input!O23)</f>
      </c>
      <c r="P23" s="1019"/>
      <c r="Q23" s="1019"/>
      <c r="R23" s="1020"/>
      <c r="S23" s="968">
        <f>IF(Input!S23="","",Input!S23)</f>
      </c>
      <c r="T23" s="969"/>
      <c r="U23" s="996"/>
      <c r="V23" s="6">
        <f>IF(Input!V23="","",Input!V23)</f>
      </c>
      <c r="W23" s="7">
        <f>IF(Input!W23="","",Input!W23)</f>
      </c>
      <c r="X23" s="36">
        <f>IF(Input!X23="","",Input!X23)</f>
      </c>
      <c r="Y23" s="6">
        <f>IF(Input!Y23="","",Input!Y23)</f>
      </c>
      <c r="Z23" s="7">
        <f>IF(Input!Z23="","",Input!Z23)</f>
      </c>
      <c r="AA23" s="36">
        <f>IF(Input!AA23="","",Input!AA23)</f>
      </c>
      <c r="AB23" s="6">
        <f>IF(Input!AB23="","",Input!AB23)</f>
      </c>
      <c r="AC23" s="7">
        <f>IF(Input!AC23="","",Input!AC23)</f>
      </c>
      <c r="AD23" s="36">
        <f>IF(Input!AD23="","",Input!AD23)</f>
      </c>
      <c r="AE23" s="6">
        <f>IF(Input!AE23="","",Input!AE23)</f>
      </c>
      <c r="AF23" s="7">
        <f>IF(Input!AF23="","",Input!AF23)</f>
      </c>
      <c r="AG23" s="36">
        <f>IF(Input!AG23="","",Input!AG23)</f>
      </c>
      <c r="AH23" s="111">
        <f>IF(Input!AH23="","",Input!AH23)</f>
      </c>
      <c r="AI23" s="112">
        <f>IF(Input!AI23="","",Input!AI23)</f>
      </c>
      <c r="AJ23" s="288">
        <f>IF(Input!AJ23="","",Input!AJ23)</f>
      </c>
      <c r="AK23" s="63">
        <f>IF(OR(C23="",L23=""),"",IF($O23="Andic properties","see",IF(Input!L23&gt;10,((Input!C23*'CEC Tables'!$BC5)+(Input!L23*2)),IF($O23="Subactive, 3",VLOOKUP(C23,Subactive,(L23+2),TRUE),IF($O23="Semiactive, 5",VLOOKUP(C23,Semiactive,(L23+2),TRUE),IF($O23="Active, 7",VLOOKUP(C23,Active,(L23+2),TRUE),IF($O23="Superactive, 9",VLOOKUP(C23,Superactive,(L23+2),TRUE),"")))))))</f>
      </c>
      <c r="AL23" s="64">
        <f>IF(OR(D23="",M23=""),"",IF($O23="Andic properties","MO-1",IF(Input!M23&gt;10,((Input!D23*'CEC Tables'!$BC5)+(Input!M23*2)),IF($O23="Subactive, 3",VLOOKUP(D23,Subactive,(M23+2),TRUE),IF($O23="Semiactive, 5",VLOOKUP(D23,Semiactive,(M23+2),TRUE),IF($O23="Active, 7",VLOOKUP(D23,Active,(M23+2),TRUE),IF($O23="Superactive, 9",VLOOKUP(D23,Superactive,(M23+2),TRUE),"")))))))</f>
      </c>
      <c r="AM23" s="65">
        <f>IF(OR(E23="",N23=""),"",IF($O23="Andic properties","NASIS Guide 17",IF(Input!N23&gt;10,((Input!E23*'CEC Tables'!$BC5)+(Input!N23*2)),IF($O23="Subactive, 3",VLOOKUP(E23,Subactive,(N23+2),TRUE),IF($O23="Semiactive, 5",VLOOKUP(E23,Semiactive,(N23+2),TRUE),IF($O23="Active, 7",VLOOKUP(E23,Active,(N23+2),TRUE),IF($O23="Superactive, 9",VLOOKUP(E23,Superactive,(N23+2),TRUE),"")))))))</f>
      </c>
    </row>
    <row r="24" spans="1:39" ht="12.75">
      <c r="A24" s="1004">
        <f>IF(Input!A24="","",Input!A24)</f>
      </c>
      <c r="B24" s="937"/>
      <c r="C24" s="6">
        <f>IF(Input!C24="","",Input!C24)</f>
      </c>
      <c r="D24" s="7">
        <f>IF(Input!D24="","",Input!D24)</f>
      </c>
      <c r="E24" s="36">
        <f>IF(Input!E24="","",Input!E24)</f>
      </c>
      <c r="F24" s="6">
        <f>IF(Input!F24="","",Input!F24)</f>
      </c>
      <c r="G24" s="7">
        <f>IF(Input!G24="","",Input!G24)</f>
      </c>
      <c r="H24" s="36">
        <f>IF(Input!H24="","",Input!H24)</f>
      </c>
      <c r="I24" s="6">
        <f>IF(Input!I24="","",Input!I24)</f>
      </c>
      <c r="J24" s="7">
        <f>IF(Input!J24="","",Input!J24)</f>
      </c>
      <c r="K24" s="36">
        <f>IF(Input!K24="","",Input!K24)</f>
      </c>
      <c r="L24" s="58">
        <f>IF(Input!L24="","",Input!L24)</f>
      </c>
      <c r="M24" s="59">
        <f>IF(Input!M24="","",Input!M24)</f>
      </c>
      <c r="N24" s="60">
        <f>IF(Input!N24="","",Input!N24)</f>
      </c>
      <c r="O24" s="1018">
        <f>IF(Input!O24="","",Input!O24)</f>
      </c>
      <c r="P24" s="1019"/>
      <c r="Q24" s="1019"/>
      <c r="R24" s="1020"/>
      <c r="S24" s="968">
        <f>IF(Input!S24="","",Input!S24)</f>
      </c>
      <c r="T24" s="969"/>
      <c r="U24" s="996"/>
      <c r="V24" s="6">
        <f>IF(Input!V24="","",Input!V24)</f>
      </c>
      <c r="W24" s="7">
        <f>IF(Input!W24="","",Input!W24)</f>
      </c>
      <c r="X24" s="36">
        <f>IF(Input!X24="","",Input!X24)</f>
      </c>
      <c r="Y24" s="6">
        <f>IF(Input!Y24="","",Input!Y24)</f>
      </c>
      <c r="Z24" s="7">
        <f>IF(Input!Z24="","",Input!Z24)</f>
      </c>
      <c r="AA24" s="36">
        <f>IF(Input!AA24="","",Input!AA24)</f>
      </c>
      <c r="AB24" s="6">
        <f>IF(Input!AB24="","",Input!AB24)</f>
      </c>
      <c r="AC24" s="7">
        <f>IF(Input!AC24="","",Input!AC24)</f>
      </c>
      <c r="AD24" s="36">
        <f>IF(Input!AD24="","",Input!AD24)</f>
      </c>
      <c r="AE24" s="6">
        <f>IF(Input!AE24="","",Input!AE24)</f>
      </c>
      <c r="AF24" s="7">
        <f>IF(Input!AF24="","",Input!AF24)</f>
      </c>
      <c r="AG24" s="36">
        <f>IF(Input!AG24="","",Input!AG24)</f>
      </c>
      <c r="AH24" s="111">
        <f>IF(Input!AH24="","",Input!AH24)</f>
      </c>
      <c r="AI24" s="112">
        <f>IF(Input!AI24="","",Input!AI24)</f>
      </c>
      <c r="AJ24" s="288">
        <f>IF(Input!AJ24="","",Input!AJ24)</f>
      </c>
      <c r="AK24" s="63">
        <f>IF(OR(C24="",L24=""),"",IF($O24="Andic properties","see",IF(Input!L24&gt;10,((Input!C24*'CEC Tables'!$BC6)+(Input!L24*2)),IF($O24="Subactive, 3",VLOOKUP(C24,Subactive,(L24+2),TRUE),IF($O24="Semiactive, 5",VLOOKUP(C24,Semiactive,(L24+2),TRUE),IF($O24="Active, 7",VLOOKUP(C24,Active,(L24+2),TRUE),IF($O24="Superactive, 9",VLOOKUP(C24,Superactive,(L24+2),TRUE),"")))))))</f>
      </c>
      <c r="AL24" s="64">
        <f>IF(OR(D24="",M24=""),"",IF($O24="Andic properties","MO-1",IF(Input!M24&gt;10,((Input!D24*'CEC Tables'!$BC6)+(Input!M24*2)),IF($O24="Subactive, 3",VLOOKUP(D24,Subactive,(M24+2),TRUE),IF($O24="Semiactive, 5",VLOOKUP(D24,Semiactive,(M24+2),TRUE),IF($O24="Active, 7",VLOOKUP(D24,Active,(M24+2),TRUE),IF($O24="Superactive, 9",VLOOKUP(D24,Superactive,(M24+2),TRUE),"")))))))</f>
      </c>
      <c r="AM24" s="65">
        <f>IF(OR(E24="",N24=""),"",IF($O24="Andic properties","NASIS Guide 17",IF(Input!N24&gt;10,((Input!E24*'CEC Tables'!$BC6)+(Input!N24*2)),IF($O24="Subactive, 3",VLOOKUP(E24,Subactive,(N24+2),TRUE),IF($O24="Semiactive, 5",VLOOKUP(E24,Semiactive,(N24+2),TRUE),IF($O24="Active, 7",VLOOKUP(E24,Active,(N24+2),TRUE),IF($O24="Superactive, 9",VLOOKUP(E24,Superactive,(N24+2),TRUE),"")))))))</f>
      </c>
    </row>
    <row r="25" spans="1:39" ht="12.75">
      <c r="A25" s="1004">
        <f>IF(Input!A25="","",Input!A25)</f>
      </c>
      <c r="B25" s="937"/>
      <c r="C25" s="6">
        <f>IF(Input!C25="","",Input!C25)</f>
      </c>
      <c r="D25" s="7">
        <f>IF(Input!D25="","",Input!D25)</f>
      </c>
      <c r="E25" s="36">
        <f>IF(Input!E25="","",Input!E25)</f>
      </c>
      <c r="F25" s="6">
        <f>IF(Input!F25="","",Input!F25)</f>
      </c>
      <c r="G25" s="7">
        <f>IF(Input!G25="","",Input!G25)</f>
      </c>
      <c r="H25" s="36">
        <f>IF(Input!H25="","",Input!H25)</f>
      </c>
      <c r="I25" s="6">
        <f>IF(Input!I25="","",Input!I25)</f>
      </c>
      <c r="J25" s="7">
        <f>IF(Input!J25="","",Input!J25)</f>
      </c>
      <c r="K25" s="36">
        <f>IF(Input!K25="","",Input!K25)</f>
      </c>
      <c r="L25" s="58">
        <f>IF(Input!L25="","",Input!L25)</f>
      </c>
      <c r="M25" s="59">
        <f>IF(Input!M25="","",Input!M25)</f>
      </c>
      <c r="N25" s="60">
        <f>IF(Input!N25="","",Input!N25)</f>
      </c>
      <c r="O25" s="1018">
        <f>IF(Input!O25="","",Input!O25)</f>
      </c>
      <c r="P25" s="1019"/>
      <c r="Q25" s="1019"/>
      <c r="R25" s="1020"/>
      <c r="S25" s="968">
        <f>IF(Input!S25="","",Input!S25)</f>
      </c>
      <c r="T25" s="969"/>
      <c r="U25" s="996"/>
      <c r="V25" s="6">
        <f>IF(Input!V25="","",Input!V25)</f>
      </c>
      <c r="W25" s="7">
        <f>IF(Input!W25="","",Input!W25)</f>
      </c>
      <c r="X25" s="36">
        <f>IF(Input!X25="","",Input!X25)</f>
      </c>
      <c r="Y25" s="6">
        <f>IF(Input!Y25="","",Input!Y25)</f>
      </c>
      <c r="Z25" s="7">
        <f>IF(Input!Z25="","",Input!Z25)</f>
      </c>
      <c r="AA25" s="36">
        <f>IF(Input!AA25="","",Input!AA25)</f>
      </c>
      <c r="AB25" s="6">
        <f>IF(Input!AB25="","",Input!AB25)</f>
      </c>
      <c r="AC25" s="7">
        <f>IF(Input!AC25="","",Input!AC25)</f>
      </c>
      <c r="AD25" s="36">
        <f>IF(Input!AD25="","",Input!AD25)</f>
      </c>
      <c r="AE25" s="6">
        <f>IF(Input!AE25="","",Input!AE25)</f>
      </c>
      <c r="AF25" s="7">
        <f>IF(Input!AF25="","",Input!AF25)</f>
      </c>
      <c r="AG25" s="36">
        <f>IF(Input!AG25="","",Input!AG25)</f>
      </c>
      <c r="AH25" s="111">
        <f>IF(Input!AH25="","",Input!AH25)</f>
      </c>
      <c r="AI25" s="112">
        <f>IF(Input!AI25="","",Input!AI25)</f>
      </c>
      <c r="AJ25" s="288">
        <f>IF(Input!AJ25="","",Input!AJ25)</f>
      </c>
      <c r="AK25" s="63">
        <f>IF(OR(C25="",L25=""),"",IF($O25="Andic properties","see",IF(Input!L25&gt;10,((Input!C25*'CEC Tables'!$BC7)+(Input!L25*2)),IF($O25="Subactive, 3",VLOOKUP(C25,Subactive,(L25+2),TRUE),IF($O25="Semiactive, 5",VLOOKUP(C25,Semiactive,(L25+2),TRUE),IF($O25="Active, 7",VLOOKUP(C25,Active,(L25+2),TRUE),IF($O25="Superactive, 9",VLOOKUP(C25,Superactive,(L25+2),TRUE),"")))))))</f>
      </c>
      <c r="AL25" s="64">
        <f>IF(OR(D25="",M25=""),"",IF($O25="Andic properties","MO-1",IF(Input!M25&gt;10,((Input!D25*'CEC Tables'!$BC7)+(Input!M25*2)),IF($O25="Subactive, 3",VLOOKUP(D25,Subactive,(M25+2),TRUE),IF($O25="Semiactive, 5",VLOOKUP(D25,Semiactive,(M25+2),TRUE),IF($O25="Active, 7",VLOOKUP(D25,Active,(M25+2),TRUE),IF($O25="Superactive, 9",VLOOKUP(D25,Superactive,(M25+2),TRUE),"")))))))</f>
      </c>
      <c r="AM25" s="65">
        <f>IF(OR(E25="",N25=""),"",IF($O25="Andic properties","NASIS Guide 17",IF(Input!N25&gt;10,((Input!E25*'CEC Tables'!$BC7)+(Input!N25*2)),IF($O25="Subactive, 3",VLOOKUP(E25,Subactive,(N25+2),TRUE),IF($O25="Semiactive, 5",VLOOKUP(E25,Semiactive,(N25+2),TRUE),IF($O25="Active, 7",VLOOKUP(E25,Active,(N25+2),TRUE),IF($O25="Superactive, 9",VLOOKUP(E25,Superactive,(N25+2),TRUE),"")))))))</f>
      </c>
    </row>
    <row r="26" spans="1:39" ht="12.75">
      <c r="A26" s="1004">
        <f>IF(Input!A26="","",Input!A26)</f>
      </c>
      <c r="B26" s="937"/>
      <c r="C26" s="6">
        <f>IF(Input!C26="","",Input!C26)</f>
      </c>
      <c r="D26" s="7">
        <f>IF(Input!D26="","",Input!D26)</f>
      </c>
      <c r="E26" s="36">
        <f>IF(Input!E26="","",Input!E26)</f>
      </c>
      <c r="F26" s="6">
        <f>IF(Input!F26="","",Input!F26)</f>
      </c>
      <c r="G26" s="7">
        <f>IF(Input!G26="","",Input!G26)</f>
      </c>
      <c r="H26" s="36">
        <f>IF(Input!H26="","",Input!H26)</f>
      </c>
      <c r="I26" s="6">
        <f>IF(Input!I26="","",Input!I26)</f>
      </c>
      <c r="J26" s="7">
        <f>IF(Input!J26="","",Input!J26)</f>
      </c>
      <c r="K26" s="36">
        <f>IF(Input!K26="","",Input!K26)</f>
      </c>
      <c r="L26" s="58">
        <f>IF(Input!L26="","",Input!L26)</f>
      </c>
      <c r="M26" s="59">
        <f>IF(Input!M26="","",Input!M26)</f>
      </c>
      <c r="N26" s="60">
        <f>IF(Input!N26="","",Input!N26)</f>
      </c>
      <c r="O26" s="1018">
        <f>IF(Input!O26="","",Input!O26)</f>
      </c>
      <c r="P26" s="1019"/>
      <c r="Q26" s="1019"/>
      <c r="R26" s="1020"/>
      <c r="S26" s="968">
        <f>IF(Input!S26="","",Input!S26)</f>
      </c>
      <c r="T26" s="969"/>
      <c r="U26" s="996"/>
      <c r="V26" s="6">
        <f>IF(Input!V26="","",Input!V26)</f>
      </c>
      <c r="W26" s="7">
        <f>IF(Input!W26="","",Input!W26)</f>
      </c>
      <c r="X26" s="36">
        <f>IF(Input!X26="","",Input!X26)</f>
      </c>
      <c r="Y26" s="6">
        <f>IF(Input!Y26="","",Input!Y26)</f>
      </c>
      <c r="Z26" s="7">
        <f>IF(Input!Z26="","",Input!Z26)</f>
      </c>
      <c r="AA26" s="36">
        <f>IF(Input!AA26="","",Input!AA26)</f>
      </c>
      <c r="AB26" s="6">
        <f>IF(Input!AB26="","",Input!AB26)</f>
      </c>
      <c r="AC26" s="7">
        <f>IF(Input!AC26="","",Input!AC26)</f>
      </c>
      <c r="AD26" s="36">
        <f>IF(Input!AD26="","",Input!AD26)</f>
      </c>
      <c r="AE26" s="6">
        <f>IF(Input!AE26="","",Input!AE26)</f>
      </c>
      <c r="AF26" s="7">
        <f>IF(Input!AF26="","",Input!AF26)</f>
      </c>
      <c r="AG26" s="36">
        <f>IF(Input!AG26="","",Input!AG26)</f>
      </c>
      <c r="AH26" s="111">
        <f>IF(Input!AH26="","",Input!AH26)</f>
      </c>
      <c r="AI26" s="112">
        <f>IF(Input!AI26="","",Input!AI26)</f>
      </c>
      <c r="AJ26" s="288">
        <f>IF(Input!AJ26="","",Input!AJ26)</f>
      </c>
      <c r="AK26" s="63">
        <f>IF(OR(C26="",L26=""),"",IF($O26="Andic properties","see",IF(Input!L26&gt;10,((Input!C26*'CEC Tables'!$BC8)+(Input!L26*2)),IF($O26="Subactive, 3",VLOOKUP(C26,Subactive,(L26+2),TRUE),IF($O26="Semiactive, 5",VLOOKUP(C26,Semiactive,(L26+2),TRUE),IF($O26="Active, 7",VLOOKUP(C26,Active,(L26+2),TRUE),IF($O26="Superactive, 9",VLOOKUP(C26,Superactive,(L26+2),TRUE),"")))))))</f>
      </c>
      <c r="AL26" s="64">
        <f>IF(OR(D26="",M26=""),"",IF($O26="Andic properties","MO-1",IF(Input!M26&gt;10,((Input!D26*'CEC Tables'!$BC8)+(Input!M26*2)),IF($O26="Subactive, 3",VLOOKUP(D26,Subactive,(M26+2),TRUE),IF($O26="Semiactive, 5",VLOOKUP(D26,Semiactive,(M26+2),TRUE),IF($O26="Active, 7",VLOOKUP(D26,Active,(M26+2),TRUE),IF($O26="Superactive, 9",VLOOKUP(D26,Superactive,(M26+2),TRUE),"")))))))</f>
      </c>
      <c r="AM26" s="65">
        <f>IF(OR(E26="",N26=""),"",IF($O26="Andic properties","NASIS Guide 17",IF(Input!N26&gt;10,((Input!E26*'CEC Tables'!$BC8)+(Input!N26*2)),IF($O26="Subactive, 3",VLOOKUP(E26,Subactive,(N26+2),TRUE),IF($O26="Semiactive, 5",VLOOKUP(E26,Semiactive,(N26+2),TRUE),IF($O26="Active, 7",VLOOKUP(E26,Active,(N26+2),TRUE),IF($O26="Superactive, 9",VLOOKUP(E26,Superactive,(N26+2),TRUE),"")))))))</f>
      </c>
    </row>
    <row r="27" spans="1:39" ht="12.75">
      <c r="A27" s="1004">
        <f>IF(Input!A27="","",Input!A27)</f>
      </c>
      <c r="B27" s="937"/>
      <c r="C27" s="6">
        <f>IF(Input!C27="","",Input!C27)</f>
      </c>
      <c r="D27" s="7">
        <f>IF(Input!D27="","",Input!D27)</f>
      </c>
      <c r="E27" s="36">
        <f>IF(Input!E27="","",Input!E27)</f>
      </c>
      <c r="F27" s="6">
        <f>IF(Input!F27="","",Input!F27)</f>
      </c>
      <c r="G27" s="7">
        <f>IF(Input!G27="","",Input!G27)</f>
      </c>
      <c r="H27" s="36">
        <f>IF(Input!H27="","",Input!H27)</f>
      </c>
      <c r="I27" s="6">
        <f>IF(Input!I27="","",Input!I27)</f>
      </c>
      <c r="J27" s="7">
        <f>IF(Input!J27="","",Input!J27)</f>
      </c>
      <c r="K27" s="36">
        <f>IF(Input!K27="","",Input!K27)</f>
      </c>
      <c r="L27" s="58">
        <f>IF(Input!L27="","",Input!L27)</f>
      </c>
      <c r="M27" s="59">
        <f>IF(Input!M27="","",Input!M27)</f>
      </c>
      <c r="N27" s="60">
        <f>IF(Input!N27="","",Input!N27)</f>
      </c>
      <c r="O27" s="1018">
        <f>IF(Input!O27="","",Input!O27)</f>
      </c>
      <c r="P27" s="1019"/>
      <c r="Q27" s="1019"/>
      <c r="R27" s="1020"/>
      <c r="S27" s="968">
        <f>IF(Input!S27="","",Input!S27)</f>
      </c>
      <c r="T27" s="969"/>
      <c r="U27" s="996"/>
      <c r="V27" s="6">
        <f>IF(Input!V27="","",Input!V27)</f>
      </c>
      <c r="W27" s="7">
        <f>IF(Input!W27="","",Input!W27)</f>
      </c>
      <c r="X27" s="36">
        <f>IF(Input!X27="","",Input!X27)</f>
      </c>
      <c r="Y27" s="6">
        <f>IF(Input!Y27="","",Input!Y27)</f>
      </c>
      <c r="Z27" s="7">
        <f>IF(Input!Z27="","",Input!Z27)</f>
      </c>
      <c r="AA27" s="36">
        <f>IF(Input!AA27="","",Input!AA27)</f>
      </c>
      <c r="AB27" s="6">
        <f>IF(Input!AB27="","",Input!AB27)</f>
      </c>
      <c r="AC27" s="7">
        <f>IF(Input!AC27="","",Input!AC27)</f>
      </c>
      <c r="AD27" s="36">
        <f>IF(Input!AD27="","",Input!AD27)</f>
      </c>
      <c r="AE27" s="6">
        <f>IF(Input!AE27="","",Input!AE27)</f>
      </c>
      <c r="AF27" s="7">
        <f>IF(Input!AF27="","",Input!AF27)</f>
      </c>
      <c r="AG27" s="36">
        <f>IF(Input!AG27="","",Input!AG27)</f>
      </c>
      <c r="AH27" s="111">
        <f>IF(Input!AH27="","",Input!AH27)</f>
      </c>
      <c r="AI27" s="112">
        <f>IF(Input!AI27="","",Input!AI27)</f>
      </c>
      <c r="AJ27" s="288">
        <f>IF(Input!AJ27="","",Input!AJ27)</f>
      </c>
      <c r="AK27" s="63">
        <f>IF(OR(C27="",L27=""),"",IF($O27="Andic properties","see",IF(Input!L27&gt;10,((Input!C27*'CEC Tables'!$BC9)+(Input!L27*2)),IF($O27="Subactive, 3",VLOOKUP(C27,Subactive,(L27+2),TRUE),IF($O27="Semiactive, 5",VLOOKUP(C27,Semiactive,(L27+2),TRUE),IF($O27="Active, 7",VLOOKUP(C27,Active,(L27+2),TRUE),IF($O27="Superactive, 9",VLOOKUP(C27,Superactive,(L27+2),TRUE),"")))))))</f>
      </c>
      <c r="AL27" s="64">
        <f>IF(OR(D27="",M27=""),"",IF($O27="Andic properties","MO-1",IF(Input!M27&gt;10,((Input!D27*'CEC Tables'!$BC9)+(Input!M27*2)),IF($O27="Subactive, 3",VLOOKUP(D27,Subactive,(M27+2),TRUE),IF($O27="Semiactive, 5",VLOOKUP(D27,Semiactive,(M27+2),TRUE),IF($O27="Active, 7",VLOOKUP(D27,Active,(M27+2),TRUE),IF($O27="Superactive, 9",VLOOKUP(D27,Superactive,(M27+2),TRUE),"")))))))</f>
      </c>
      <c r="AM27" s="65">
        <f>IF(OR(E27="",N27=""),"",IF($O27="Andic properties","NASIS Guide 17",IF(Input!N27&gt;10,((Input!E27*'CEC Tables'!$BC9)+(Input!N27*2)),IF($O27="Subactive, 3",VLOOKUP(E27,Subactive,(N27+2),TRUE),IF($O27="Semiactive, 5",VLOOKUP(E27,Semiactive,(N27+2),TRUE),IF($O27="Active, 7",VLOOKUP(E27,Active,(N27+2),TRUE),IF($O27="Superactive, 9",VLOOKUP(E27,Superactive,(N27+2),TRUE),"")))))))</f>
      </c>
    </row>
    <row r="28" spans="1:39" ht="12.75">
      <c r="A28" s="1004">
        <f>IF(Input!A28="","",Input!A28)</f>
      </c>
      <c r="B28" s="937"/>
      <c r="C28" s="6">
        <f>IF(Input!C28="","",Input!C28)</f>
      </c>
      <c r="D28" s="7">
        <f>IF(Input!D28="","",Input!D28)</f>
      </c>
      <c r="E28" s="36">
        <f>IF(Input!E28="","",Input!E28)</f>
      </c>
      <c r="F28" s="6">
        <f>IF(Input!F28="","",Input!F28)</f>
      </c>
      <c r="G28" s="7">
        <f>IF(Input!G28="","",Input!G28)</f>
      </c>
      <c r="H28" s="36">
        <f>IF(Input!H28="","",Input!H28)</f>
      </c>
      <c r="I28" s="6">
        <f>IF(Input!I28="","",Input!I28)</f>
      </c>
      <c r="J28" s="7">
        <f>IF(Input!J28="","",Input!J28)</f>
      </c>
      <c r="K28" s="36">
        <f>IF(Input!K28="","",Input!K28)</f>
      </c>
      <c r="L28" s="58">
        <f>IF(Input!L28="","",Input!L28)</f>
      </c>
      <c r="M28" s="59">
        <f>IF(Input!M28="","",Input!M28)</f>
      </c>
      <c r="N28" s="60">
        <f>IF(Input!N28="","",Input!N28)</f>
      </c>
      <c r="O28" s="1018">
        <f>IF(Input!O28="","",Input!O28)</f>
      </c>
      <c r="P28" s="1019"/>
      <c r="Q28" s="1019"/>
      <c r="R28" s="1020"/>
      <c r="S28" s="968">
        <f>IF(Input!S28="","",Input!S28)</f>
      </c>
      <c r="T28" s="969"/>
      <c r="U28" s="996"/>
      <c r="V28" s="6">
        <f>IF(Input!V28="","",Input!V28)</f>
      </c>
      <c r="W28" s="7">
        <f>IF(Input!W28="","",Input!W28)</f>
      </c>
      <c r="X28" s="36">
        <f>IF(Input!X28="","",Input!X28)</f>
      </c>
      <c r="Y28" s="6">
        <f>IF(Input!Y28="","",Input!Y28)</f>
      </c>
      <c r="Z28" s="7">
        <f>IF(Input!Z28="","",Input!Z28)</f>
      </c>
      <c r="AA28" s="36">
        <f>IF(Input!AA28="","",Input!AA28)</f>
      </c>
      <c r="AB28" s="6">
        <f>IF(Input!AB28="","",Input!AB28)</f>
      </c>
      <c r="AC28" s="7">
        <f>IF(Input!AC28="","",Input!AC28)</f>
      </c>
      <c r="AD28" s="36">
        <f>IF(Input!AD28="","",Input!AD28)</f>
      </c>
      <c r="AE28" s="6">
        <f>IF(Input!AE28="","",Input!AE28)</f>
      </c>
      <c r="AF28" s="7">
        <f>IF(Input!AF28="","",Input!AF28)</f>
      </c>
      <c r="AG28" s="36">
        <f>IF(Input!AG28="","",Input!AG28)</f>
      </c>
      <c r="AH28" s="111">
        <f>IF(Input!AH28="","",Input!AH28)</f>
      </c>
      <c r="AI28" s="112">
        <f>IF(Input!AI28="","",Input!AI28)</f>
      </c>
      <c r="AJ28" s="288">
        <f>IF(Input!AJ28="","",Input!AJ28)</f>
      </c>
      <c r="AK28" s="63">
        <f>IF(OR(C28="",L28=""),"",IF($O28="Andic properties","see",IF(Input!L28&gt;10,((Input!C28*'CEC Tables'!$BC10)+(Input!L28*2)),IF($O28="Subactive, 3",VLOOKUP(C28,Subactive,(L28+2),TRUE),IF($O28="Semiactive, 5",VLOOKUP(C28,Semiactive,(L28+2),TRUE),IF($O28="Active, 7",VLOOKUP(C28,Active,(L28+2),TRUE),IF($O28="Superactive, 9",VLOOKUP(C28,Superactive,(L28+2),TRUE),"")))))))</f>
      </c>
      <c r="AL28" s="64">
        <f>IF(OR(D28="",M28=""),"",IF($O28="Andic properties","MO-1",IF(Input!M28&gt;10,((Input!D28*'CEC Tables'!$BC10)+(Input!M28*2)),IF($O28="Subactive, 3",VLOOKUP(D28,Subactive,(M28+2),TRUE),IF($O28="Semiactive, 5",VLOOKUP(D28,Semiactive,(M28+2),TRUE),IF($O28="Active, 7",VLOOKUP(D28,Active,(M28+2),TRUE),IF($O28="Superactive, 9",VLOOKUP(D28,Superactive,(M28+2),TRUE),"")))))))</f>
      </c>
      <c r="AM28" s="65">
        <f>IF(OR(E28="",N28=""),"",IF($O28="Andic properties","NASIS Guide 17",IF(Input!N28&gt;10,((Input!E28*'CEC Tables'!$BC10)+(Input!N28*2)),IF($O28="Subactive, 3",VLOOKUP(E28,Subactive,(N28+2),TRUE),IF($O28="Semiactive, 5",VLOOKUP(E28,Semiactive,(N28+2),TRUE),IF($O28="Active, 7",VLOOKUP(E28,Active,(N28+2),TRUE),IF($O28="Superactive, 9",VLOOKUP(E28,Superactive,(N28+2),TRUE),"")))))))</f>
      </c>
    </row>
    <row r="29" spans="1:39" ht="13.5" thickBot="1">
      <c r="A29" s="1007">
        <f>IF(Input!A29="","",Input!A29)</f>
      </c>
      <c r="B29" s="1013"/>
      <c r="C29" s="11">
        <f>IF(Input!C29="","",Input!C29)</f>
      </c>
      <c r="D29" s="12">
        <f>IF(Input!D29="","",Input!D29)</f>
      </c>
      <c r="E29" s="46">
        <f>IF(Input!E29="","",Input!E29)</f>
      </c>
      <c r="F29" s="11">
        <f>IF(Input!F29="","",Input!F29)</f>
      </c>
      <c r="G29" s="12">
        <f>IF(Input!G29="","",Input!G29)</f>
      </c>
      <c r="H29" s="46">
        <f>IF(Input!H29="","",Input!H29)</f>
      </c>
      <c r="I29" s="11">
        <f>IF(Input!I29="","",Input!I29)</f>
      </c>
      <c r="J29" s="12">
        <f>IF(Input!J29="","",Input!J29)</f>
      </c>
      <c r="K29" s="46">
        <f>IF(Input!K29="","",Input!K29)</f>
      </c>
      <c r="L29" s="66">
        <f>IF(Input!L29="","",Input!L29)</f>
      </c>
      <c r="M29" s="67">
        <f>IF(Input!M29="","",Input!M29)</f>
      </c>
      <c r="N29" s="68">
        <f>IF(Input!N29="","",Input!N29)</f>
      </c>
      <c r="O29" s="1014">
        <f>IF(Input!O29="","",Input!O29)</f>
      </c>
      <c r="P29" s="1015"/>
      <c r="Q29" s="1015"/>
      <c r="R29" s="1016"/>
      <c r="S29" s="979">
        <f>IF(Input!S29="","",Input!S29)</f>
      </c>
      <c r="T29" s="980"/>
      <c r="U29" s="1017"/>
      <c r="V29" s="11">
        <f>IF(Input!V29="","",Input!V29)</f>
      </c>
      <c r="W29" s="12">
        <f>IF(Input!W29="","",Input!W29)</f>
      </c>
      <c r="X29" s="46">
        <f>IF(Input!X29="","",Input!X29)</f>
      </c>
      <c r="Y29" s="11">
        <f>IF(Input!Y29="","",Input!Y29)</f>
      </c>
      <c r="Z29" s="12">
        <f>IF(Input!Z29="","",Input!Z29)</f>
      </c>
      <c r="AA29" s="46">
        <f>IF(Input!AA29="","",Input!AA29)</f>
      </c>
      <c r="AB29" s="11">
        <f>IF(Input!AB29="","",Input!AB29)</f>
      </c>
      <c r="AC29" s="12">
        <f>IF(Input!AC29="","",Input!AC29)</f>
      </c>
      <c r="AD29" s="46">
        <f>IF(Input!AD29="","",Input!AD29)</f>
      </c>
      <c r="AE29" s="11">
        <f>IF(Input!AE29="","",Input!AE29)</f>
      </c>
      <c r="AF29" s="12">
        <f>IF(Input!AF29="","",Input!AF29)</f>
      </c>
      <c r="AG29" s="46">
        <f>IF(Input!AG29="","",Input!AG29)</f>
      </c>
      <c r="AH29" s="115">
        <f>IF(Input!AH29="","",Input!AH29)</f>
      </c>
      <c r="AI29" s="116">
        <f>IF(Input!AI29="","",Input!AI29)</f>
      </c>
      <c r="AJ29" s="289">
        <f>IF(Input!AJ29="","",Input!AJ29)</f>
      </c>
      <c r="AK29" s="71">
        <f>IF(OR(C29="",L29=""),"",IF($O29="Andic properties","see",IF(Input!L29&gt;10,((Input!C29*'CEC Tables'!$BC11)+(Input!L29*2)),IF($O29="Subactive, 3",VLOOKUP(C29,Subactive,(L29+2),TRUE),IF($O29="Semiactive, 5",VLOOKUP(C29,Semiactive,(L29+2),TRUE),IF($O29="Active, 7",VLOOKUP(C29,Active,(L29+2),TRUE),IF($O29="Superactive, 9",VLOOKUP(C29,Superactive,(L29+2),TRUE),"")))))))</f>
      </c>
      <c r="AL29" s="72">
        <f>IF(OR(D29="",M29=""),"",IF($O29="Andic properties","MO-1",IF(Input!M29&gt;10,((Input!D29*'CEC Tables'!$BC11)+(Input!M29*2)),IF($O29="Subactive, 3",VLOOKUP(D29,Subactive,(M29+2),TRUE),IF($O29="Semiactive, 5",VLOOKUP(D29,Semiactive,(M29+2),TRUE),IF($O29="Active, 7",VLOOKUP(D29,Active,(M29+2),TRUE),IF($O29="Superactive, 9",VLOOKUP(D29,Superactive,(M29+2),TRUE),"")))))))</f>
      </c>
      <c r="AM29" s="73">
        <f>IF(OR(E29="",N29=""),"",IF($O29="Andic properties","NASIS Guide 17",IF(Input!N29&gt;10,((Input!E29*'CEC Tables'!$BC11)+(Input!N29*2)),IF($O29="Subactive, 3",VLOOKUP(E29,Subactive,(N29+2),TRUE),IF($O29="Semiactive, 5",VLOOKUP(E29,Semiactive,(N29+2),TRUE),IF($O29="Active, 7",VLOOKUP(E29,Active,(N29+2),TRUE),IF($O29="Superactive, 9",VLOOKUP(E29,Superactive,(N29+2),TRUE),"")))))))</f>
      </c>
    </row>
    <row r="30" spans="1:38" ht="12.75">
      <c r="A30" s="936"/>
      <c r="B30" s="928"/>
      <c r="L30" s="43"/>
      <c r="M30" s="43"/>
      <c r="N30" s="43"/>
      <c r="O30" s="43"/>
      <c r="P30" s="43"/>
      <c r="Q30" s="43"/>
      <c r="V30" s="24"/>
      <c r="X30" s="24"/>
      <c r="Z30" s="24"/>
      <c r="AJ30" s="77"/>
      <c r="AK30" s="77"/>
      <c r="AL30" s="77"/>
    </row>
    <row r="31" spans="2:64" ht="13.5" thickBot="1">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3"/>
      <c r="AT31" s="23"/>
      <c r="AU31" s="23"/>
      <c r="AV31" s="23"/>
      <c r="AW31" s="23"/>
      <c r="AX31" s="23"/>
      <c r="BI31" s="23"/>
      <c r="BL31" s="23"/>
    </row>
    <row r="32" spans="1:56" ht="19.5" thickBot="1">
      <c r="A32" s="936"/>
      <c r="B32" s="936"/>
      <c r="C32" s="397" t="s">
        <v>432</v>
      </c>
      <c r="D32" s="397" t="s">
        <v>433</v>
      </c>
      <c r="E32" s="905" t="s">
        <v>658</v>
      </c>
      <c r="F32" s="906"/>
      <c r="G32" s="907"/>
      <c r="H32" s="905" t="s">
        <v>659</v>
      </c>
      <c r="I32" s="906"/>
      <c r="J32" s="907"/>
      <c r="K32" s="905" t="s">
        <v>660</v>
      </c>
      <c r="L32" s="999"/>
      <c r="M32" s="1000"/>
      <c r="N32" s="905" t="s">
        <v>283</v>
      </c>
      <c r="O32" s="999"/>
      <c r="P32" s="1001"/>
      <c r="Q32" s="905" t="s">
        <v>661</v>
      </c>
      <c r="R32" s="999"/>
      <c r="S32" s="1000"/>
      <c r="T32" s="905" t="s">
        <v>662</v>
      </c>
      <c r="U32" s="999"/>
      <c r="V32" s="1001"/>
      <c r="W32" s="905" t="s">
        <v>689</v>
      </c>
      <c r="X32" s="1021"/>
      <c r="Y32" s="1006"/>
      <c r="Z32" s="23"/>
      <c r="AA32" s="23"/>
      <c r="AB32" s="23"/>
      <c r="AC32" s="23"/>
      <c r="AD32" s="23"/>
      <c r="AE32" s="23"/>
      <c r="AF32" s="23"/>
      <c r="AG32" s="23"/>
      <c r="AH32" s="23"/>
      <c r="AI32" s="23"/>
      <c r="AY32" s="920"/>
      <c r="AZ32" s="928"/>
      <c r="BA32" s="920"/>
      <c r="BB32" s="928"/>
      <c r="BC32" s="920"/>
      <c r="BD32" s="927"/>
    </row>
    <row r="33" spans="1:74" ht="12.75">
      <c r="A33" s="905" t="s">
        <v>574</v>
      </c>
      <c r="B33" s="1006"/>
      <c r="C33" s="109" t="s">
        <v>579</v>
      </c>
      <c r="D33" s="109" t="s">
        <v>579</v>
      </c>
      <c r="E33" s="28" t="s">
        <v>579</v>
      </c>
      <c r="F33" s="4">
        <v>2</v>
      </c>
      <c r="G33" s="29">
        <v>3</v>
      </c>
      <c r="H33" s="28" t="s">
        <v>579</v>
      </c>
      <c r="I33" s="4">
        <v>2</v>
      </c>
      <c r="J33" s="29">
        <v>3</v>
      </c>
      <c r="K33" s="28" t="s">
        <v>578</v>
      </c>
      <c r="L33" s="4" t="s">
        <v>579</v>
      </c>
      <c r="M33" s="29" t="s">
        <v>580</v>
      </c>
      <c r="N33" s="28" t="s">
        <v>578</v>
      </c>
      <c r="O33" s="4" t="s">
        <v>579</v>
      </c>
      <c r="P33" s="5" t="s">
        <v>580</v>
      </c>
      <c r="Q33" s="28" t="s">
        <v>578</v>
      </c>
      <c r="R33" s="4" t="s">
        <v>579</v>
      </c>
      <c r="S33" s="29" t="s">
        <v>580</v>
      </c>
      <c r="T33" s="28" t="s">
        <v>578</v>
      </c>
      <c r="U33" s="4" t="s">
        <v>579</v>
      </c>
      <c r="V33" s="5" t="s">
        <v>580</v>
      </c>
      <c r="W33" s="28" t="s">
        <v>578</v>
      </c>
      <c r="X33" s="4" t="s">
        <v>579</v>
      </c>
      <c r="Y33" s="29" t="s">
        <v>580</v>
      </c>
      <c r="AY33" s="23"/>
      <c r="AZ33" s="23"/>
      <c r="BA33" s="23"/>
      <c r="BB33" s="23"/>
      <c r="BC33" s="23"/>
      <c r="BD33" s="23"/>
      <c r="BQ33" s="43"/>
      <c r="BR33" s="43"/>
      <c r="BS33" s="43"/>
      <c r="BT33" s="43"/>
      <c r="BU33" s="43"/>
      <c r="BV33" s="43"/>
    </row>
    <row r="34" spans="1:74" ht="12.75">
      <c r="A34" s="1004">
        <f>IF(Input!A34="","",Input!A34)</f>
      </c>
      <c r="B34" s="1005"/>
      <c r="C34" s="110">
        <f>IF(Input!C34="","",IF(D34="no data","no data",IF('AWC+K'!AR3&lt;0.01,0.02,VLOOKUP('AWC+K'!AR3,Kw,2,TRUE))))</f>
      </c>
      <c r="D34" s="110">
        <f>IF(Input!C34="","",Input!C34)</f>
      </c>
      <c r="E34" s="6">
        <f>IF(Input!D34="","",Input!D34)</f>
      </c>
      <c r="F34" s="7">
        <f>IF(Input!E34="","",Input!E34)</f>
      </c>
      <c r="G34" s="36">
        <f>IF(Input!F34="","",Input!F34)</f>
      </c>
      <c r="H34" s="6">
        <f>IF(Input!G34="","",Input!G34)</f>
      </c>
      <c r="I34" s="7">
        <f>IF(Input!H34="","",Input!H34)</f>
      </c>
      <c r="J34" s="36">
        <f>IF(Input!I34="","",Input!I34)</f>
      </c>
      <c r="K34" s="111">
        <f>IF(Input!J34="","",Input!J34)</f>
      </c>
      <c r="L34" s="112">
        <f>IF(Input!K34="","",Input!K34)</f>
      </c>
      <c r="M34" s="113">
        <f>IF(Input!L34="","",Input!L34)</f>
      </c>
      <c r="N34" s="58">
        <f>IF(Input!M34="","",Input!M34)</f>
      </c>
      <c r="O34" s="59">
        <f>IF(Input!N34="","",Input!N34)</f>
      </c>
      <c r="P34" s="378">
        <f>IF(Input!O34="","",Input!O34)</f>
      </c>
      <c r="Q34" s="365">
        <f>IF('LL &amp; PI'!Y3="","",'LL &amp; PI'!Y3)</f>
      </c>
      <c r="R34" s="366">
        <f>IF('LL &amp; PI'!Z3="","",'LL &amp; PI'!Z3)</f>
      </c>
      <c r="S34" s="367">
        <f>IF('LL &amp; PI'!AA3="","",'LL &amp; PI'!AA3)</f>
      </c>
      <c r="T34" s="63">
        <f>IF(OR(Input!AR21="vitrandic subgroups (no andic properties)",Input!AR21="andisols or andic subgroups"),'LL &amp; PI'!E33,IF(OR(C21="",$S21=""),"",IF(C21&lt;10,0,IF($S21="Montmorillonitic",VLOOKUP(C21,Montmorillonitic,3,TRUE),IF($S21="Mixed; 2:1",VLOOKUP(C21,Twotoone,3,TRUE),IF($S21="Mixed; 1:1",VLOOKUP(C21,Onetoone,3,TRUE),IF($S21="Kaolinitic",VLOOKUP(C21,Kaolinitic,3,TRUE),"error")))))))</f>
      </c>
      <c r="U34" s="104">
        <f>IF(OR(Input!AR21="vitrandic subgroups (no andic properties)",Input!AR21="andisols or andic subgroups"),'LL &amp; PI'!F33,IF(OR(D21="",$S21=""),"",IF(D21&lt;10,0,IF($S21="Montmorillonitic",VLOOKUP(D21,Montmorillonitic,3,TRUE),IF($S21="Mixed; 2:1",VLOOKUP(D21,Twotoone,3,TRUE),IF($S21="Mixed; 1:1",VLOOKUP(D21,Onetoone,3,TRUE),IF($S21="Kaolinitic",VLOOKUP(D21,Kaolinitic,3,TRUE),"error")))))))</f>
      </c>
      <c r="V34" s="105">
        <f>IF(OR(Input!AR21="vitrandic subgroups (no andic properties)",Input!AR21="andisols or andic subgroups"),'LL &amp; PI'!G33,IF(OR(E21="",$S21=""),"",IF(E21&lt;10,0,IF($S21="Montmorillonitic",VLOOKUP(E21,Montmorillonitic,3,TRUE),IF($S21="Mixed; 2:1",VLOOKUP(E21,Twotoone,3,TRUE),IF($S21="Mixed; 1:1",VLOOKUP(E21,Onetoone,3,TRUE),IF($S21="Kaolinitic",VLOOKUP(E21,Kaolinitic,3,TRUE),"error")))))))</f>
      </c>
      <c r="W34" s="58">
        <f>IF(Input!AT35="","",IF(Input!AR21="nonash; salt influenced",((Input!AT35)*(1-(Input!AI8/100))),Input!AT35))</f>
      </c>
      <c r="X34" s="59">
        <f>IF(Input!AU35="","",IF(Input!AR21="nonash; salt influenced",((Input!AU35)*(1-(Input!AH8/100))),Input!AU35))</f>
      </c>
      <c r="Y34" s="623">
        <f>IF(Input!AV35="","",IF(Input!AR21="nonash; salt influenced",((Input!AV35)*(1-(Input!AG8/100))),Input!AV35))</f>
      </c>
      <c r="AG34" s="77"/>
      <c r="AH34" s="77"/>
      <c r="AI34" s="77"/>
      <c r="AY34" s="43"/>
      <c r="AZ34" s="43"/>
      <c r="BA34" s="43"/>
      <c r="BB34" s="43"/>
      <c r="BC34" s="43"/>
      <c r="BD34" s="43"/>
      <c r="BQ34" s="43"/>
      <c r="BR34" s="43"/>
      <c r="BS34" s="43"/>
      <c r="BT34" s="43"/>
      <c r="BU34" s="43"/>
      <c r="BV34" s="43"/>
    </row>
    <row r="35" spans="1:74" ht="12.75">
      <c r="A35" s="1004">
        <f>IF(Input!A35="","",Input!A35)</f>
      </c>
      <c r="B35" s="1005"/>
      <c r="C35" s="110">
        <f>IF(Input!C35="","",IF(D35="no data","no data",IF('AWC+K'!AR4&lt;0.01,0.02,VLOOKUP('AWC+K'!AR4,Kw,2,TRUE))))</f>
      </c>
      <c r="D35" s="110">
        <f>IF(Input!C35="","",Input!C35)</f>
      </c>
      <c r="E35" s="6">
        <f>IF(Input!D35="","",Input!D35)</f>
      </c>
      <c r="F35" s="7">
        <f>IF(Input!E35="","",Input!E35)</f>
      </c>
      <c r="G35" s="36">
        <f>IF(Input!F35="","",Input!F35)</f>
      </c>
      <c r="H35" s="6">
        <f>IF(Input!G35="","",Input!G35)</f>
      </c>
      <c r="I35" s="7">
        <f>IF(Input!H35="","",Input!H35)</f>
      </c>
      <c r="J35" s="36">
        <f>IF(Input!I35="","",Input!I35)</f>
      </c>
      <c r="K35" s="111">
        <f>IF(Input!J35="","",Input!J35)</f>
      </c>
      <c r="L35" s="112">
        <f>IF(Input!K35="","",Input!K35)</f>
      </c>
      <c r="M35" s="113">
        <f>IF(Input!L35="","",Input!L35)</f>
      </c>
      <c r="N35" s="58">
        <f>IF(Input!M35="","",Input!M35)</f>
      </c>
      <c r="O35" s="59">
        <f>IF(Input!N35="","",Input!N35)</f>
      </c>
      <c r="P35" s="378">
        <f>IF(Input!O35="","",Input!O35)</f>
      </c>
      <c r="Q35" s="365">
        <f>IF('LL &amp; PI'!Y4="","",'LL &amp; PI'!Y4)</f>
      </c>
      <c r="R35" s="366">
        <f>IF('LL &amp; PI'!Z4="","",'LL &amp; PI'!Z4)</f>
      </c>
      <c r="S35" s="367">
        <f>IF('LL &amp; PI'!AA4="","",'LL &amp; PI'!AA4)</f>
      </c>
      <c r="T35" s="63">
        <f>IF(OR(Input!AR22="vitrandic subgroups (no andic properties)",Input!AR22="andisols or andic subgroups"),'LL &amp; PI'!E34,IF(OR(C22="",$S22=""),"",IF(C22&lt;10,0,IF($S22="Montmorillonitic",VLOOKUP(C22,Montmorillonitic,3,TRUE),IF($S22="Mixed; 2:1",VLOOKUP(C22,Twotoone,3,TRUE),IF($S22="Mixed; 1:1",VLOOKUP(C22,Onetoone,3,TRUE),IF($S22="Kaolinitic",VLOOKUP(C22,Kaolinitic,3,TRUE),"error")))))))</f>
      </c>
      <c r="U35" s="104">
        <f>IF(OR(Input!AR22="vitrandic subgroups (no andic properties)",Input!AR22="andisols or andic subgroups"),'LL &amp; PI'!F34,IF(OR(D22="",$S22=""),"",IF(D22&lt;10,0,IF($S22="Montmorillonitic",VLOOKUP(D22,Montmorillonitic,3,TRUE),IF($S22="Mixed; 2:1",VLOOKUP(D22,Twotoone,3,TRUE),IF($S22="Mixed; 1:1",VLOOKUP(D22,Onetoone,3,TRUE),IF($S22="Kaolinitic",VLOOKUP(D22,Kaolinitic,3,TRUE),"error")))))))</f>
      </c>
      <c r="V35" s="105">
        <f>IF(OR(Input!AR22="vitrandic subgroups (no andic properties)",Input!AR22="andisols or andic subgroups"),'LL &amp; PI'!G34,IF(OR(E22="",$S22=""),"",IF(E22&lt;10,0,IF($S22="Montmorillonitic",VLOOKUP(E22,Montmorillonitic,3,TRUE),IF($S22="Mixed; 2:1",VLOOKUP(E22,Twotoone,3,TRUE),IF($S22="Mixed; 1:1",VLOOKUP(E22,Onetoone,3,TRUE),IF($S22="Kaolinitic",VLOOKUP(E22,Kaolinitic,3,TRUE),"error")))))))</f>
      </c>
      <c r="W35" s="58">
        <f>IF(Input!AT36="","",IF(Input!AR22="nonash; salt influenced",((Input!AT36)*(1-(Input!AI9/100))),Input!AT36))</f>
      </c>
      <c r="X35" s="59">
        <f>IF(Input!AU36="","",IF(Input!AR22="nonash; salt influenced",((Input!AU36)*(1-(Input!AH9/100))),Input!AU36))</f>
      </c>
      <c r="Y35" s="623">
        <f>IF(Input!AV36="","",IF(Input!AR22="nonash; salt influenced",((Input!AV36)*(1-(Input!AG9/100))),Input!AV36))</f>
      </c>
      <c r="AG35" s="77"/>
      <c r="AH35" s="77"/>
      <c r="AI35" s="77"/>
      <c r="AY35" s="43"/>
      <c r="AZ35" s="43"/>
      <c r="BA35" s="43"/>
      <c r="BB35" s="43"/>
      <c r="BC35" s="43"/>
      <c r="BD35" s="43"/>
      <c r="BQ35" s="43"/>
      <c r="BR35" s="43"/>
      <c r="BS35" s="43"/>
      <c r="BT35" s="43"/>
      <c r="BU35" s="43"/>
      <c r="BV35" s="43"/>
    </row>
    <row r="36" spans="1:74" ht="12.75">
      <c r="A36" s="1004">
        <f>IF(Input!A36="","",Input!A36)</f>
      </c>
      <c r="B36" s="1005"/>
      <c r="C36" s="110">
        <f>IF(Input!C36="","",IF(D36="no data","no data",IF('AWC+K'!AR5&lt;0.01,0.02,VLOOKUP('AWC+K'!AR5,Kw,2,TRUE))))</f>
      </c>
      <c r="D36" s="110">
        <f>IF(Input!C36="","",Input!C36)</f>
      </c>
      <c r="E36" s="6">
        <f>IF(Input!D36="","",Input!D36)</f>
      </c>
      <c r="F36" s="7">
        <f>IF(Input!E36="","",Input!E36)</f>
      </c>
      <c r="G36" s="36">
        <f>IF(Input!F36="","",Input!F36)</f>
      </c>
      <c r="H36" s="6">
        <f>IF(Input!G36="","",Input!G36)</f>
      </c>
      <c r="I36" s="7">
        <f>IF(Input!H36="","",Input!H36)</f>
      </c>
      <c r="J36" s="36">
        <f>IF(Input!I36="","",Input!I36)</f>
      </c>
      <c r="K36" s="111">
        <f>IF(Input!J36="","",Input!J36)</f>
      </c>
      <c r="L36" s="112">
        <f>IF(Input!K36="","",Input!K36)</f>
      </c>
      <c r="M36" s="113">
        <f>IF(Input!L36="","",Input!L36)</f>
      </c>
      <c r="N36" s="58">
        <f>IF(Input!M36="","",Input!M36)</f>
      </c>
      <c r="O36" s="59">
        <f>IF(Input!N36="","",Input!N36)</f>
      </c>
      <c r="P36" s="378">
        <f>IF(Input!O36="","",Input!O36)</f>
      </c>
      <c r="Q36" s="365">
        <f>IF('LL &amp; PI'!Y5="","",'LL &amp; PI'!Y5)</f>
      </c>
      <c r="R36" s="366">
        <f>IF('LL &amp; PI'!Z5="","",'LL &amp; PI'!Z5)</f>
      </c>
      <c r="S36" s="367">
        <f>IF('LL &amp; PI'!AA5="","",'LL &amp; PI'!AA5)</f>
      </c>
      <c r="T36" s="63">
        <f>IF(OR(Input!AR23="vitrandic subgroups (no andic properties)",Input!AR23="andisols or andic subgroups"),'LL &amp; PI'!E35,IF(OR(C23="",$S23=""),"",IF(C23&lt;10,0,IF($S23="Montmorillonitic",VLOOKUP(C23,Montmorillonitic,3,TRUE),IF($S23="Mixed; 2:1",VLOOKUP(C23,Twotoone,3,TRUE),IF($S23="Mixed; 1:1",VLOOKUP(C23,Onetoone,3,TRUE),IF($S23="Kaolinitic",VLOOKUP(C23,Kaolinitic,3,TRUE),"error")))))))</f>
      </c>
      <c r="U36" s="104">
        <f>IF(OR(Input!AR23="vitrandic subgroups (no andic properties)",Input!AR23="andisols or andic subgroups"),'LL &amp; PI'!F35,IF(OR(D23="",$S23=""),"",IF(D23&lt;10,0,IF($S23="Montmorillonitic",VLOOKUP(D23,Montmorillonitic,3,TRUE),IF($S23="Mixed; 2:1",VLOOKUP(D23,Twotoone,3,TRUE),IF($S23="Mixed; 1:1",VLOOKUP(D23,Onetoone,3,TRUE),IF($S23="Kaolinitic",VLOOKUP(D23,Kaolinitic,3,TRUE),"error")))))))</f>
      </c>
      <c r="V36" s="105">
        <f>IF(OR(Input!AR23="vitrandic subgroups (no andic properties)",Input!AR23="andisols or andic subgroups"),'LL &amp; PI'!G35,IF(OR(E23="",$S23=""),"",IF(E23&lt;10,0,IF($S23="Montmorillonitic",VLOOKUP(E23,Montmorillonitic,3,TRUE),IF($S23="Mixed; 2:1",VLOOKUP(E23,Twotoone,3,TRUE),IF($S23="Mixed; 1:1",VLOOKUP(E23,Onetoone,3,TRUE),IF($S23="Kaolinitic",VLOOKUP(E23,Kaolinitic,3,TRUE),"error")))))))</f>
      </c>
      <c r="W36" s="58">
        <f>IF(Input!AT37="","",IF(Input!AR23="nonash; salt influenced",((Input!AT37)*(1-(Input!AI10/100))),Input!AT37))</f>
      </c>
      <c r="X36" s="59">
        <f>IF(Input!AU37="","",IF(Input!AR23="nonash; salt influenced",((Input!AU37)*(1-(Input!AH10/100))),Input!AU37))</f>
      </c>
      <c r="Y36" s="623">
        <f>IF(Input!AV37="","",IF(Input!AR23="nonash; salt influenced",((Input!AV37)*(1-(Input!AG10/100))),Input!AV37))</f>
      </c>
      <c r="AG36" s="77"/>
      <c r="AH36" s="77"/>
      <c r="AI36" s="77"/>
      <c r="AY36" s="43"/>
      <c r="AZ36" s="43"/>
      <c r="BA36" s="43"/>
      <c r="BB36" s="43"/>
      <c r="BC36" s="43"/>
      <c r="BD36" s="43"/>
      <c r="BQ36" s="43"/>
      <c r="BR36" s="43"/>
      <c r="BS36" s="43"/>
      <c r="BT36" s="43"/>
      <c r="BU36" s="43"/>
      <c r="BV36" s="43"/>
    </row>
    <row r="37" spans="1:74" ht="12.75">
      <c r="A37" s="1004">
        <f>IF(Input!A37="","",Input!A37)</f>
      </c>
      <c r="B37" s="1005"/>
      <c r="C37" s="110">
        <f>IF(Input!C37="","",IF(D37="no data","no data",IF('AWC+K'!AR6&lt;0.01,0.02,VLOOKUP('AWC+K'!AR6,Kw,2,TRUE))))</f>
      </c>
      <c r="D37" s="110">
        <f>IF(Input!C37="","",Input!C37)</f>
      </c>
      <c r="E37" s="6">
        <f>IF(Input!D37="","",Input!D37)</f>
      </c>
      <c r="F37" s="7">
        <f>IF(Input!E37="","",Input!E37)</f>
      </c>
      <c r="G37" s="36">
        <f>IF(Input!F37="","",Input!F37)</f>
      </c>
      <c r="H37" s="6">
        <f>IF(Input!G37="","",Input!G37)</f>
      </c>
      <c r="I37" s="7">
        <f>IF(Input!H37="","",Input!H37)</f>
      </c>
      <c r="J37" s="36">
        <f>IF(Input!I37="","",Input!I37)</f>
      </c>
      <c r="K37" s="111">
        <f>IF(Input!J37="","",Input!J37)</f>
      </c>
      <c r="L37" s="112">
        <f>IF(Input!K37="","",Input!K37)</f>
      </c>
      <c r="M37" s="113">
        <f>IF(Input!L37="","",Input!L37)</f>
      </c>
      <c r="N37" s="58">
        <f>IF(Input!M37="","",Input!M37)</f>
      </c>
      <c r="O37" s="59">
        <f>IF(Input!N37="","",Input!N37)</f>
      </c>
      <c r="P37" s="378">
        <f>IF(Input!O37="","",Input!O37)</f>
      </c>
      <c r="Q37" s="365">
        <f>IF('LL &amp; PI'!Y6="","",'LL &amp; PI'!Y6)</f>
      </c>
      <c r="R37" s="366">
        <f>IF('LL &amp; PI'!Z6="","",'LL &amp; PI'!Z6)</f>
      </c>
      <c r="S37" s="367">
        <f>IF('LL &amp; PI'!AA6="","",'LL &amp; PI'!AA6)</f>
      </c>
      <c r="T37" s="63">
        <f>IF(OR(Input!AR24="vitrandic subgroups (no andic properties)",Input!AR24="andisols or andic subgroups"),'LL &amp; PI'!E36,IF(OR(C24="",$S24=""),"",IF(C24&lt;10,0,IF($S24="Montmorillonitic",VLOOKUP(C24,Montmorillonitic,3,TRUE),IF($S24="Mixed; 2:1",VLOOKUP(C24,Twotoone,3,TRUE),IF($S24="Mixed; 1:1",VLOOKUP(C24,Onetoone,3,TRUE),IF($S24="Kaolinitic",VLOOKUP(C24,Kaolinitic,3,TRUE),"error")))))))</f>
      </c>
      <c r="U37" s="104">
        <f>IF(OR(Input!AR24="vitrandic subgroups (no andic properties)",Input!AR24="andisols or andic subgroups"),'LL &amp; PI'!F36,IF(OR(D24="",$S24=""),"",IF(D24&lt;10,0,IF($S24="Montmorillonitic",VLOOKUP(D24,Montmorillonitic,3,TRUE),IF($S24="Mixed; 2:1",VLOOKUP(D24,Twotoone,3,TRUE),IF($S24="Mixed; 1:1",VLOOKUP(D24,Onetoone,3,TRUE),IF($S24="Kaolinitic",VLOOKUP(D24,Kaolinitic,3,TRUE),"error")))))))</f>
      </c>
      <c r="V37" s="105">
        <f>IF(OR(Input!AR24="vitrandic subgroups (no andic properties)",Input!AR24="andisols or andic subgroups"),'LL &amp; PI'!G36,IF(OR(E24="",$S24=""),"",IF(E24&lt;10,0,IF($S24="Montmorillonitic",VLOOKUP(E24,Montmorillonitic,3,TRUE),IF($S24="Mixed; 2:1",VLOOKUP(E24,Twotoone,3,TRUE),IF($S24="Mixed; 1:1",VLOOKUP(E24,Onetoone,3,TRUE),IF($S24="Kaolinitic",VLOOKUP(E24,Kaolinitic,3,TRUE),"error")))))))</f>
      </c>
      <c r="W37" s="58">
        <f>IF(Input!AT38="","",IF(Input!AR24="nonash; salt influenced",((Input!AT38)*(1-(Input!AI11/100))),Input!AT38))</f>
      </c>
      <c r="X37" s="59">
        <f>IF(Input!AU38="","",IF(Input!AR24="nonash; salt influenced",((Input!AU38)*(1-(Input!AH11/100))),Input!AU38))</f>
      </c>
      <c r="Y37" s="623">
        <f>IF(Input!AV38="","",IF(Input!AR24="nonash; salt influenced",((Input!AV38)*(1-(Input!AG11/100))),Input!AV38))</f>
      </c>
      <c r="AG37" s="77"/>
      <c r="AH37" s="77"/>
      <c r="AI37" s="77"/>
      <c r="AY37" s="43"/>
      <c r="AZ37" s="43"/>
      <c r="BA37" s="43"/>
      <c r="BB37" s="43"/>
      <c r="BC37" s="43"/>
      <c r="BD37" s="43"/>
      <c r="BQ37" s="43"/>
      <c r="BR37" s="43"/>
      <c r="BS37" s="43"/>
      <c r="BT37" s="43"/>
      <c r="BU37" s="43"/>
      <c r="BV37" s="43"/>
    </row>
    <row r="38" spans="1:74" ht="12.75">
      <c r="A38" s="1004">
        <f>IF(Input!A38="","",Input!A38)</f>
      </c>
      <c r="B38" s="1005"/>
      <c r="C38" s="110">
        <f>IF(Input!C38="","",IF(D38="no data","no data",IF('AWC+K'!AR7&lt;0.01,0.02,VLOOKUP('AWC+K'!AR7,Kw,2,TRUE))))</f>
      </c>
      <c r="D38" s="110">
        <f>IF(Input!C38="","",Input!C38)</f>
      </c>
      <c r="E38" s="6">
        <f>IF(Input!D38="","",Input!D38)</f>
      </c>
      <c r="F38" s="7">
        <f>IF(Input!E38="","",Input!E38)</f>
      </c>
      <c r="G38" s="36">
        <f>IF(Input!F38="","",Input!F38)</f>
      </c>
      <c r="H38" s="6">
        <f>IF(Input!G38="","",Input!G38)</f>
      </c>
      <c r="I38" s="7">
        <f>IF(Input!H38="","",Input!H38)</f>
      </c>
      <c r="J38" s="36">
        <f>IF(Input!I38="","",Input!I38)</f>
      </c>
      <c r="K38" s="111">
        <f>IF(Input!J38="","",Input!J38)</f>
      </c>
      <c r="L38" s="112">
        <f>IF(Input!K38="","",Input!K38)</f>
      </c>
      <c r="M38" s="113">
        <f>IF(Input!L38="","",Input!L38)</f>
      </c>
      <c r="N38" s="58">
        <f>IF(Input!M38="","",Input!M38)</f>
      </c>
      <c r="O38" s="59">
        <f>IF(Input!N38="","",Input!N38)</f>
      </c>
      <c r="P38" s="378">
        <f>IF(Input!O38="","",Input!O38)</f>
      </c>
      <c r="Q38" s="365">
        <f>IF('LL &amp; PI'!Y7="","",'LL &amp; PI'!Y7)</f>
      </c>
      <c r="R38" s="366">
        <f>IF('LL &amp; PI'!Z7="","",'LL &amp; PI'!Z7)</f>
      </c>
      <c r="S38" s="367">
        <f>IF('LL &amp; PI'!AA7="","",'LL &amp; PI'!AA7)</f>
      </c>
      <c r="T38" s="63">
        <f>IF(OR(Input!AR25="vitrandic subgroups (no andic properties)",Input!AR25="andisols or andic subgroups"),'LL &amp; PI'!E37,IF(OR(C25="",$S25=""),"",IF(C25&lt;10,0,IF($S25="Montmorillonitic",VLOOKUP(C25,Montmorillonitic,3,TRUE),IF($S25="Mixed; 2:1",VLOOKUP(C25,Twotoone,3,TRUE),IF($S25="Mixed; 1:1",VLOOKUP(C25,Onetoone,3,TRUE),IF($S25="Kaolinitic",VLOOKUP(C25,Kaolinitic,3,TRUE),"error")))))))</f>
      </c>
      <c r="U38" s="104">
        <f>IF(OR(Input!AR25="vitrandic subgroups (no andic properties)",Input!AR25="andisols or andic subgroups"),'LL &amp; PI'!F37,IF(OR(D25="",$S25=""),"",IF(D25&lt;10,0,IF($S25="Montmorillonitic",VLOOKUP(D25,Montmorillonitic,3,TRUE),IF($S25="Mixed; 2:1",VLOOKUP(D25,Twotoone,3,TRUE),IF($S25="Mixed; 1:1",VLOOKUP(D25,Onetoone,3,TRUE),IF($S25="Kaolinitic",VLOOKUP(D25,Kaolinitic,3,TRUE),"error")))))))</f>
      </c>
      <c r="V38" s="105">
        <f>IF(OR(Input!AR25="vitrandic subgroups (no andic properties)",Input!AR25="andisols or andic subgroups"),'LL &amp; PI'!G37,IF(OR(E25="",$S25=""),"",IF(E25&lt;10,0,IF($S25="Montmorillonitic",VLOOKUP(E25,Montmorillonitic,3,TRUE),IF($S25="Mixed; 2:1",VLOOKUP(E25,Twotoone,3,TRUE),IF($S25="Mixed; 1:1",VLOOKUP(E25,Onetoone,3,TRUE),IF($S25="Kaolinitic",VLOOKUP(E25,Kaolinitic,3,TRUE),"error")))))))</f>
      </c>
      <c r="W38" s="58">
        <f>IF(Input!AT39="","",IF(Input!AR25="nonash; salt influenced",((Input!AT39)*(1-(Input!AI12/100))),Input!AT39))</f>
      </c>
      <c r="X38" s="59">
        <f>IF(Input!AU39="","",IF(Input!AR25="nonash; salt influenced",((Input!AU39)*(1-(Input!AH12/100))),Input!AU39))</f>
      </c>
      <c r="Y38" s="623">
        <f>IF(Input!AV39="","",IF(Input!AR25="nonash; salt influenced",((Input!AV39)*(1-(Input!AG12/100))),Input!AV39))</f>
      </c>
      <c r="AH38" s="77"/>
      <c r="AI38" s="77"/>
      <c r="AY38" s="43"/>
      <c r="AZ38" s="43"/>
      <c r="BA38" s="43"/>
      <c r="BB38" s="43"/>
      <c r="BC38" s="43"/>
      <c r="BD38" s="43"/>
      <c r="BQ38" s="43"/>
      <c r="BR38" s="43"/>
      <c r="BS38" s="43"/>
      <c r="BT38" s="43"/>
      <c r="BU38" s="43"/>
      <c r="BV38" s="43"/>
    </row>
    <row r="39" spans="1:74" ht="12.75">
      <c r="A39" s="1004">
        <f>IF(Input!A39="","",Input!A39)</f>
      </c>
      <c r="B39" s="1005"/>
      <c r="C39" s="110">
        <f>IF(Input!C39="","",IF(D39="no data","no data",IF('AWC+K'!AR8&lt;0.01,0.02,VLOOKUP('AWC+K'!AR8,Kw,2,TRUE))))</f>
      </c>
      <c r="D39" s="110">
        <f>IF(Input!C39="","",Input!C39)</f>
      </c>
      <c r="E39" s="6">
        <f>IF(Input!D39="","",Input!D39)</f>
      </c>
      <c r="F39" s="7">
        <f>IF(Input!E39="","",Input!E39)</f>
      </c>
      <c r="G39" s="36">
        <f>IF(Input!F39="","",Input!F39)</f>
      </c>
      <c r="H39" s="6">
        <f>IF(Input!G39="","",Input!G39)</f>
      </c>
      <c r="I39" s="7">
        <f>IF(Input!H39="","",Input!H39)</f>
      </c>
      <c r="J39" s="36">
        <f>IF(Input!I39="","",Input!I39)</f>
      </c>
      <c r="K39" s="111">
        <f>IF(Input!J39="","",Input!J39)</f>
      </c>
      <c r="L39" s="112">
        <f>IF(Input!K39="","",Input!K39)</f>
      </c>
      <c r="M39" s="113">
        <f>IF(Input!L39="","",Input!L39)</f>
      </c>
      <c r="N39" s="58">
        <f>IF(Input!M39="","",Input!M39)</f>
      </c>
      <c r="O39" s="59">
        <f>IF(Input!N39="","",Input!N39)</f>
      </c>
      <c r="P39" s="378">
        <f>IF(Input!O39="","",Input!O39)</f>
      </c>
      <c r="Q39" s="365">
        <f>IF('LL &amp; PI'!Y8="","",'LL &amp; PI'!Y8)</f>
      </c>
      <c r="R39" s="366">
        <f>IF('LL &amp; PI'!Z8="","",'LL &amp; PI'!Z8)</f>
      </c>
      <c r="S39" s="367">
        <f>IF('LL &amp; PI'!AA8="","",'LL &amp; PI'!AA8)</f>
      </c>
      <c r="T39" s="63">
        <f>IF(OR(Input!AR26="vitrandic subgroups (no andic properties)",Input!AR26="andisols or andic subgroups"),'LL &amp; PI'!E38,IF(OR(C26="",$S26=""),"",IF(C26&lt;10,0,IF($S26="Montmorillonitic",VLOOKUP(C26,Montmorillonitic,3,TRUE),IF($S26="Mixed; 2:1",VLOOKUP(C26,Twotoone,3,TRUE),IF($S26="Mixed; 1:1",VLOOKUP(C26,Onetoone,3,TRUE),IF($S26="Kaolinitic",VLOOKUP(C26,Kaolinitic,3,TRUE),"error")))))))</f>
      </c>
      <c r="U39" s="104">
        <f>IF(OR(Input!AR26="vitrandic subgroups (no andic properties)",Input!AR26="andisols or andic subgroups"),'LL &amp; PI'!F38,IF(OR(D26="",$S26=""),"",IF(D26&lt;10,0,IF($S26="Montmorillonitic",VLOOKUP(D26,Montmorillonitic,3,TRUE),IF($S26="Mixed; 2:1",VLOOKUP(D26,Twotoone,3,TRUE),IF($S26="Mixed; 1:1",VLOOKUP(D26,Onetoone,3,TRUE),IF($S26="Kaolinitic",VLOOKUP(D26,Kaolinitic,3,TRUE),"error")))))))</f>
      </c>
      <c r="V39" s="105">
        <f>IF(OR(Input!AR26="vitrandic subgroups (no andic properties)",Input!AR26="andisols or andic subgroups"),'LL &amp; PI'!G38,IF(OR(E26="",$S26=""),"",IF(E26&lt;10,0,IF($S26="Montmorillonitic",VLOOKUP(E26,Montmorillonitic,3,TRUE),IF($S26="Mixed; 2:1",VLOOKUP(E26,Twotoone,3,TRUE),IF($S26="Mixed; 1:1",VLOOKUP(E26,Onetoone,3,TRUE),IF($S26="Kaolinitic",VLOOKUP(E26,Kaolinitic,3,TRUE),"error")))))))</f>
      </c>
      <c r="W39" s="58">
        <f>IF(Input!AT40="","",IF(Input!AR26="nonash; salt influenced",((Input!AT40)*(1-(Input!AI13/100))),Input!AT40))</f>
      </c>
      <c r="X39" s="59">
        <f>IF(Input!AU40="","",IF(Input!AR26="nonash; salt influenced",((Input!AU40)*(1-(Input!AH13/100))),Input!AU40))</f>
      </c>
      <c r="Y39" s="623">
        <f>IF(Input!AV40="","",IF(Input!AR26="nonash; salt influenced",((Input!AV40)*(1-(Input!AG13/100))),Input!AV40))</f>
      </c>
      <c r="AH39" s="77"/>
      <c r="AY39" s="43"/>
      <c r="AZ39" s="43"/>
      <c r="BA39" s="43"/>
      <c r="BB39" s="43"/>
      <c r="BC39" s="43"/>
      <c r="BD39" s="43"/>
      <c r="BQ39" s="43"/>
      <c r="BR39" s="43"/>
      <c r="BS39" s="43"/>
      <c r="BT39" s="43"/>
      <c r="BU39" s="43"/>
      <c r="BV39" s="43"/>
    </row>
    <row r="40" spans="1:74" ht="12.75">
      <c r="A40" s="1004">
        <f>IF(Input!A40="","",Input!A40)</f>
      </c>
      <c r="B40" s="1005"/>
      <c r="C40" s="110">
        <f>IF(Input!C40="","",IF(D40="no data","no data",IF('AWC+K'!AR9&lt;0.01,0.02,VLOOKUP('AWC+K'!AR9,Kw,2,TRUE))))</f>
      </c>
      <c r="D40" s="110">
        <f>IF(Input!C40="","",Input!C40)</f>
      </c>
      <c r="E40" s="6">
        <f>IF(Input!D40="","",Input!D40)</f>
      </c>
      <c r="F40" s="7">
        <f>IF(Input!E40="","",Input!E40)</f>
      </c>
      <c r="G40" s="36">
        <f>IF(Input!F40="","",Input!F40)</f>
      </c>
      <c r="H40" s="6">
        <f>IF(Input!G40="","",Input!G40)</f>
      </c>
      <c r="I40" s="7">
        <f>IF(Input!H40="","",Input!H40)</f>
      </c>
      <c r="J40" s="36">
        <f>IF(Input!I40="","",Input!I40)</f>
      </c>
      <c r="K40" s="111">
        <f>IF(Input!J40="","",Input!J40)</f>
      </c>
      <c r="L40" s="112">
        <f>IF(Input!K40="","",Input!K40)</f>
      </c>
      <c r="M40" s="113">
        <f>IF(Input!L40="","",Input!L40)</f>
      </c>
      <c r="N40" s="58">
        <f>IF(Input!M40="","",Input!M40)</f>
      </c>
      <c r="O40" s="59">
        <f>IF(Input!N40="","",Input!N40)</f>
      </c>
      <c r="P40" s="378">
        <f>IF(Input!O40="","",Input!O40)</f>
      </c>
      <c r="Q40" s="365">
        <f>IF('LL &amp; PI'!Y9="","",'LL &amp; PI'!Y9)</f>
      </c>
      <c r="R40" s="366">
        <f>IF('LL &amp; PI'!Z9="","",'LL &amp; PI'!Z9)</f>
      </c>
      <c r="S40" s="367">
        <f>IF('LL &amp; PI'!AA9="","",'LL &amp; PI'!AA9)</f>
      </c>
      <c r="T40" s="63">
        <f>IF(OR(Input!AR27="vitrandic subgroups (no andic properties)",Input!AR27="andisols or andic subgroups"),'LL &amp; PI'!E39,IF(OR(C27="",$S27=""),"",IF(C27&lt;10,0,IF($S27="Montmorillonitic",VLOOKUP(C27,Montmorillonitic,3,TRUE),IF($S27="Mixed; 2:1",VLOOKUP(C27,Twotoone,3,TRUE),IF($S27="Mixed; 1:1",VLOOKUP(C27,Onetoone,3,TRUE),IF($S27="Kaolinitic",VLOOKUP(C27,Kaolinitic,3,TRUE),"error")))))))</f>
      </c>
      <c r="U40" s="104">
        <f>IF(OR(Input!AR27="vitrandic subgroups (no andic properties)",Input!AR27="andisols or andic subgroups"),'LL &amp; PI'!F39,IF(OR(D27="",$S27=""),"",IF(D27&lt;10,0,IF($S27="Montmorillonitic",VLOOKUP(D27,Montmorillonitic,3,TRUE),IF($S27="Mixed; 2:1",VLOOKUP(D27,Twotoone,3,TRUE),IF($S27="Mixed; 1:1",VLOOKUP(D27,Onetoone,3,TRUE),IF($S27="Kaolinitic",VLOOKUP(D27,Kaolinitic,3,TRUE),"error")))))))</f>
      </c>
      <c r="V40" s="105">
        <f>IF(OR(Input!AR27="vitrandic subgroups (no andic properties)",Input!AR27="andisols or andic subgroups"),'LL &amp; PI'!G39,IF(OR(E27="",$S27=""),"",IF(E27&lt;10,0,IF($S27="Montmorillonitic",VLOOKUP(E27,Montmorillonitic,3,TRUE),IF($S27="Mixed; 2:1",VLOOKUP(E27,Twotoone,3,TRUE),IF($S27="Mixed; 1:1",VLOOKUP(E27,Onetoone,3,TRUE),IF($S27="Kaolinitic",VLOOKUP(E27,Kaolinitic,3,TRUE),"error")))))))</f>
      </c>
      <c r="W40" s="58">
        <f>IF(Input!AT41="","",IF(Input!AR27="nonash; salt influenced",((Input!AT41)*(1-(Input!AI14/100))),Input!AT41))</f>
      </c>
      <c r="X40" s="59">
        <f>IF(Input!AU41="","",IF(Input!AR27="nonash; salt influenced",((Input!AU41)*(1-(Input!AH14/100))),Input!AU41))</f>
      </c>
      <c r="Y40" s="623">
        <f>IF(Input!AV41="","",IF(Input!AR27="nonash; salt influenced",((Input!AV41)*(1-(Input!AG14/100))),Input!AV41))</f>
      </c>
      <c r="AY40" s="43"/>
      <c r="AZ40" s="43"/>
      <c r="BA40" s="43"/>
      <c r="BB40" s="43"/>
      <c r="BC40" s="43"/>
      <c r="BD40" s="43"/>
      <c r="BQ40" s="43"/>
      <c r="BR40" s="43"/>
      <c r="BS40" s="43"/>
      <c r="BT40" s="43"/>
      <c r="BU40" s="43"/>
      <c r="BV40" s="43"/>
    </row>
    <row r="41" spans="1:74" ht="12.75">
      <c r="A41" s="1004">
        <f>IF(Input!A41="","",Input!A41)</f>
      </c>
      <c r="B41" s="1005"/>
      <c r="C41" s="110">
        <f>IF(Input!C41="","",IF(D41="no data","no data",IF('AWC+K'!AR10&lt;0.01,0.02,VLOOKUP('AWC+K'!AR10,Kw,2,TRUE))))</f>
      </c>
      <c r="D41" s="110">
        <f>IF(Input!C41="","",Input!C41)</f>
      </c>
      <c r="E41" s="6">
        <f>IF(Input!D41="","",Input!D41)</f>
      </c>
      <c r="F41" s="7">
        <f>IF(Input!E41="","",Input!E41)</f>
      </c>
      <c r="G41" s="36">
        <f>IF(Input!F41="","",Input!F41)</f>
      </c>
      <c r="H41" s="6">
        <f>IF(Input!G41="","",Input!G41)</f>
      </c>
      <c r="I41" s="7">
        <f>IF(Input!H41="","",Input!H41)</f>
      </c>
      <c r="J41" s="36">
        <f>IF(Input!I41="","",Input!I41)</f>
      </c>
      <c r="K41" s="111">
        <f>IF(Input!J41="","",Input!J41)</f>
      </c>
      <c r="L41" s="112">
        <f>IF(Input!K41="","",Input!K41)</f>
      </c>
      <c r="M41" s="113">
        <f>IF(Input!L41="","",Input!L41)</f>
      </c>
      <c r="N41" s="58">
        <f>IF(Input!M41="","",Input!M41)</f>
      </c>
      <c r="O41" s="59">
        <f>IF(Input!N41="","",Input!N41)</f>
      </c>
      <c r="P41" s="378">
        <f>IF(Input!O41="","",Input!O41)</f>
      </c>
      <c r="Q41" s="365">
        <f>IF('LL &amp; PI'!Y10="","",'LL &amp; PI'!Y10)</f>
      </c>
      <c r="R41" s="366">
        <f>IF('LL &amp; PI'!Z10="","",'LL &amp; PI'!Z10)</f>
      </c>
      <c r="S41" s="367">
        <f>IF('LL &amp; PI'!AA10="","",'LL &amp; PI'!AA10)</f>
      </c>
      <c r="T41" s="63">
        <f>IF(OR(Input!AR28="vitrandic subgroups (no andic properties)",Input!AR28="andisols or andic subgroups"),'LL &amp; PI'!E40,IF(OR(C28="",$S28=""),"",IF(C28&lt;10,0,IF($S28="Montmorillonitic",VLOOKUP(C28,Montmorillonitic,3,TRUE),IF($S28="Mixed; 2:1",VLOOKUP(C28,Twotoone,3,TRUE),IF($S28="Mixed; 1:1",VLOOKUP(C28,Onetoone,3,TRUE),IF($S28="Kaolinitic",VLOOKUP(C28,Kaolinitic,3,TRUE),"error")))))))</f>
      </c>
      <c r="U41" s="104">
        <f>IF(OR(Input!AR28="vitrandic subgroups (no andic properties)",Input!AR28="andisols or andic subgroups"),'LL &amp; PI'!F40,IF(OR(D28="",$S28=""),"",IF(D28&lt;10,0,IF($S28="Montmorillonitic",VLOOKUP(D28,Montmorillonitic,3,TRUE),IF($S28="Mixed; 2:1",VLOOKUP(D28,Twotoone,3,TRUE),IF($S28="Mixed; 1:1",VLOOKUP(D28,Onetoone,3,TRUE),IF($S28="Kaolinitic",VLOOKUP(D28,Kaolinitic,3,TRUE),"error")))))))</f>
      </c>
      <c r="V41" s="105">
        <f>IF(OR(Input!AR28="vitrandic subgroups (no andic properties)",Input!AR28="andisols or andic subgroups"),'LL &amp; PI'!G40,IF(OR(E28="",$S28=""),"",IF(E28&lt;10,0,IF($S28="Montmorillonitic",VLOOKUP(E28,Montmorillonitic,3,TRUE),IF($S28="Mixed; 2:1",VLOOKUP(E28,Twotoone,3,TRUE),IF($S28="Mixed; 1:1",VLOOKUP(E28,Onetoone,3,TRUE),IF($S28="Kaolinitic",VLOOKUP(E28,Kaolinitic,3,TRUE),"error")))))))</f>
      </c>
      <c r="W41" s="58">
        <f>IF(Input!AT42="","",IF(Input!AR28="nonash; salt influenced",((Input!AT42)*(1-(Input!AI15/100))),Input!AT42))</f>
      </c>
      <c r="X41" s="59">
        <f>IF(Input!AU42="","",IF(Input!AR28="nonash; salt influenced",((Input!AU42)*(1-(Input!AH15/100))),Input!AU42))</f>
      </c>
      <c r="Y41" s="623">
        <f>IF(Input!AV42="","",IF(Input!AR28="nonash; salt influenced",((Input!AV42)*(1-(Input!AG15/100))),Input!AV42))</f>
      </c>
      <c r="AY41" s="43"/>
      <c r="AZ41" s="43"/>
      <c r="BA41" s="43"/>
      <c r="BB41" s="43"/>
      <c r="BC41" s="43"/>
      <c r="BD41" s="43"/>
      <c r="BQ41" s="43"/>
      <c r="BR41" s="43"/>
      <c r="BS41" s="43"/>
      <c r="BT41" s="43"/>
      <c r="BU41" s="43"/>
      <c r="BV41" s="43"/>
    </row>
    <row r="42" spans="1:74" ht="13.5" thickBot="1">
      <c r="A42" s="1007">
        <f>IF(Input!A42="","",Input!A42)</f>
      </c>
      <c r="B42" s="1008"/>
      <c r="C42" s="114">
        <f>IF(Input!C42="","",IF(D42="no data","no data",IF('AWC+K'!AR11&lt;0.01,0.02,VLOOKUP('AWC+K'!AR11,Kw,2,TRUE))))</f>
      </c>
      <c r="D42" s="114">
        <f>IF(Input!C42="","",Input!C42)</f>
      </c>
      <c r="E42" s="11">
        <f>IF(Input!D42="","",Input!D42)</f>
      </c>
      <c r="F42" s="12">
        <f>IF(Input!E42="","",Input!E42)</f>
      </c>
      <c r="G42" s="46">
        <f>IF(Input!F42="","",Input!F42)</f>
      </c>
      <c r="H42" s="11">
        <f>IF(Input!G42="","",Input!G42)</f>
      </c>
      <c r="I42" s="12">
        <f>IF(Input!H42="","",Input!H42)</f>
      </c>
      <c r="J42" s="46">
        <f>IF(Input!I42="","",Input!I42)</f>
      </c>
      <c r="K42" s="115">
        <f>IF(Input!J42="","",Input!J42)</f>
      </c>
      <c r="L42" s="116">
        <f>IF(Input!K42="","",Input!K42)</f>
      </c>
      <c r="M42" s="117">
        <f>IF(Input!L42="","",Input!L42)</f>
      </c>
      <c r="N42" s="66">
        <f>IF(Input!M42="","",Input!M42)</f>
      </c>
      <c r="O42" s="67">
        <f>IF(Input!N42="","",Input!N42)</f>
      </c>
      <c r="P42" s="379">
        <f>IF(Input!O42="","",Input!O42)</f>
      </c>
      <c r="Q42" s="368">
        <f>IF('LL &amp; PI'!Y11="","",'LL &amp; PI'!Y11)</f>
      </c>
      <c r="R42" s="369">
        <f>IF('LL &amp; PI'!Z11="","",'LL &amp; PI'!Z11)</f>
      </c>
      <c r="S42" s="370">
        <f>IF('LL &amp; PI'!AA11="","",'LL &amp; PI'!AA11)</f>
      </c>
      <c r="T42" s="71">
        <f>IF(OR(Input!AR29="vitrandic subgroups (no andic properties)",Input!AR29="andisols or andic subgroups"),'LL &amp; PI'!E41,IF(OR(C29="",$S29=""),"",IF(C29&lt;10,0,IF($S29="Montmorillonitic",VLOOKUP(C29,Montmorillonitic,3,TRUE),IF($S29="Mixed; 2:1",VLOOKUP(C29,Twotoone,3,TRUE),IF($S29="Mixed; 1:1",VLOOKUP(C29,Onetoone,3,TRUE),IF($S29="Kaolinitic",VLOOKUP(C29,Kaolinitic,3,TRUE),"error")))))))</f>
      </c>
      <c r="U42" s="622">
        <f>IF(OR(Input!AR29="vitrandic subgroups (no andic properties)",Input!AR29="andisols or andic subgroups"),'LL &amp; PI'!F41,IF(OR(D29="",$S29=""),"",IF(D29&lt;10,0,IF($S29="Montmorillonitic",VLOOKUP(D29,Montmorillonitic,3,TRUE),IF($S29="Mixed; 2:1",VLOOKUP(D29,Twotoone,3,TRUE),IF($S29="Mixed; 1:1",VLOOKUP(D29,Onetoone,3,TRUE),IF($S29="Kaolinitic",VLOOKUP(D29,Kaolinitic,3,TRUE),"error")))))))</f>
      </c>
      <c r="V42" s="73">
        <f>IF(OR(Input!AR29="vitrandic subgroups (no andic properties)",Input!AR29="andisols or andic subgroups"),'LL &amp; PI'!G41,IF(OR(E29="",$S29=""),"",IF(E29&lt;10,0,IF($S29="Montmorillonitic",VLOOKUP(E29,Montmorillonitic,3,TRUE),IF($S29="Mixed; 2:1",VLOOKUP(E29,Twotoone,3,TRUE),IF($S29="Mixed; 1:1",VLOOKUP(E29,Onetoone,3,TRUE),IF($S29="Kaolinitic",VLOOKUP(E29,Kaolinitic,3,TRUE),"error")))))))</f>
      </c>
      <c r="W42" s="66">
        <f>IF(Input!AT43="","",IF(Input!AR29="nonash; salt influenced",((Input!AT43)*(1-(Input!AI16/100))),Input!AT43))</f>
      </c>
      <c r="X42" s="67">
        <f>IF(Input!AU43="","",IF(Input!AR29="nonash; salt influenced",((Input!AU43)*(1-(Input!AH16/100))),Input!AU43))</f>
      </c>
      <c r="Y42" s="624">
        <f>IF(Input!AV43="","",IF(Input!AR29="nonash; salt influenced",((Input!AV43)*(1-(Input!AG16/100))),Input!AV43))</f>
      </c>
      <c r="AY42" s="43"/>
      <c r="AZ42" s="43"/>
      <c r="BA42" s="43"/>
      <c r="BB42" s="43"/>
      <c r="BC42" s="43"/>
      <c r="BD42" s="43"/>
      <c r="BQ42" s="43"/>
      <c r="BR42" s="43"/>
      <c r="BS42" s="43"/>
      <c r="BT42" s="43"/>
      <c r="BU42" s="43"/>
      <c r="BV42" s="43"/>
    </row>
    <row r="43" spans="1:74" ht="12.75">
      <c r="A43" s="936">
        <f>IF(A30="","",A30)</f>
      </c>
      <c r="B43" s="928"/>
      <c r="C43" s="79"/>
      <c r="H43" s="43"/>
      <c r="I43" s="43"/>
      <c r="J43" s="43"/>
      <c r="K43" s="43"/>
      <c r="L43" s="43"/>
      <c r="M43" s="43"/>
      <c r="N43" s="43"/>
      <c r="O43" s="43"/>
      <c r="AY43" s="43"/>
      <c r="AZ43" s="43"/>
      <c r="BA43" s="43"/>
      <c r="BB43" s="43"/>
      <c r="BC43" s="43"/>
      <c r="BD43" s="43"/>
      <c r="BQ43" s="43"/>
      <c r="BR43" s="43"/>
      <c r="BS43" s="43"/>
      <c r="BT43" s="43"/>
      <c r="BU43" s="43"/>
      <c r="BV43" s="43"/>
    </row>
    <row r="44" spans="19:45" ht="12.75">
      <c r="S44" s="118"/>
      <c r="AL44" s="24"/>
      <c r="AM44" s="24"/>
      <c r="AN44" s="24"/>
      <c r="AO44" s="24"/>
      <c r="AP44" s="24"/>
      <c r="AQ44" s="24"/>
      <c r="AR44" s="24"/>
      <c r="AS44" s="24"/>
    </row>
    <row r="45" spans="1:45" ht="15.75" thickBot="1">
      <c r="A45" s="986" t="s">
        <v>665</v>
      </c>
      <c r="B45" s="986"/>
      <c r="C45" s="119"/>
      <c r="D45" s="119"/>
      <c r="E45" s="119"/>
      <c r="F45" s="120"/>
      <c r="G45" s="120"/>
      <c r="I45" s="24"/>
      <c r="J45" s="24"/>
      <c r="K45" s="24"/>
      <c r="L45" s="24"/>
      <c r="M45" s="24"/>
      <c r="N45" s="24"/>
      <c r="O45" s="24"/>
      <c r="V45" s="120"/>
      <c r="X45" s="23"/>
      <c r="Y45" s="23"/>
      <c r="Z45" s="24"/>
      <c r="AA45" s="24"/>
      <c r="AB45" s="23"/>
      <c r="AC45" s="121"/>
      <c r="AL45" s="24"/>
      <c r="AM45" s="24"/>
      <c r="AN45" s="24"/>
      <c r="AO45" s="24"/>
      <c r="AP45" s="24"/>
      <c r="AQ45" s="24"/>
      <c r="AR45" s="24"/>
      <c r="AS45" s="24"/>
    </row>
    <row r="46" spans="1:29" ht="15">
      <c r="A46" s="1009" t="s">
        <v>666</v>
      </c>
      <c r="B46" s="1010"/>
      <c r="C46" s="1030">
        <f>IF(Input!C47="","",Input!C47)</f>
      </c>
      <c r="D46" s="1031"/>
      <c r="E46" s="1031"/>
      <c r="F46" s="1032"/>
      <c r="N46" s="24"/>
      <c r="O46" s="24"/>
      <c r="W46" s="23"/>
      <c r="X46" s="23"/>
      <c r="Y46" s="23"/>
      <c r="Z46" s="24"/>
      <c r="AA46" s="24"/>
      <c r="AB46" s="23"/>
      <c r="AC46" s="121"/>
    </row>
    <row r="47" spans="1:29" ht="15">
      <c r="A47" s="1002" t="s">
        <v>699</v>
      </c>
      <c r="B47" s="1003"/>
      <c r="C47" s="1024">
        <f>IF(Input!C48="","",Input!C48)</f>
      </c>
      <c r="D47" s="1025"/>
      <c r="E47" s="1025"/>
      <c r="F47" s="1026"/>
      <c r="G47" s="24"/>
      <c r="N47" s="24"/>
      <c r="O47" s="24"/>
      <c r="V47" s="24"/>
      <c r="W47" s="23"/>
      <c r="X47" s="24"/>
      <c r="Y47" s="24"/>
      <c r="Z47" s="24"/>
      <c r="AA47" s="24"/>
      <c r="AB47" s="122"/>
      <c r="AC47" s="24"/>
    </row>
    <row r="48" spans="1:29" ht="15">
      <c r="A48" s="1002" t="s">
        <v>669</v>
      </c>
      <c r="B48" s="1003"/>
      <c r="C48" s="1024">
        <f>IF(Input!C49="","",Input!C49)</f>
      </c>
      <c r="D48" s="1025"/>
      <c r="E48" s="1025"/>
      <c r="F48" s="1026"/>
      <c r="G48" s="24"/>
      <c r="N48" s="24"/>
      <c r="O48" s="24"/>
      <c r="V48" s="24"/>
      <c r="W48" s="23"/>
      <c r="X48" s="23"/>
      <c r="Y48" s="23"/>
      <c r="Z48" s="24"/>
      <c r="AA48" s="24"/>
      <c r="AB48" s="122"/>
      <c r="AC48" s="24"/>
    </row>
    <row r="49" spans="1:29" ht="15">
      <c r="A49" s="1002" t="s">
        <v>670</v>
      </c>
      <c r="B49" s="1003"/>
      <c r="C49" s="1024">
        <f>IF(Input!C50="","",Input!C50)</f>
      </c>
      <c r="D49" s="1025"/>
      <c r="E49" s="1025"/>
      <c r="F49" s="1026"/>
      <c r="G49" s="24"/>
      <c r="N49" s="121"/>
      <c r="O49" s="121"/>
      <c r="V49" s="24"/>
      <c r="W49" s="23"/>
      <c r="X49" s="23"/>
      <c r="Y49" s="23"/>
      <c r="Z49" s="24"/>
      <c r="AA49" s="24"/>
      <c r="AB49" s="122"/>
      <c r="AC49" s="122"/>
    </row>
    <row r="50" spans="1:29" ht="15">
      <c r="A50" s="1002" t="s">
        <v>672</v>
      </c>
      <c r="B50" s="1003"/>
      <c r="C50" s="1024">
        <f>IF(Input!C55="","",Input!C55)</f>
      </c>
      <c r="D50" s="1025"/>
      <c r="E50" s="1025"/>
      <c r="F50" s="1026"/>
      <c r="G50" s="24"/>
      <c r="V50" s="24"/>
      <c r="W50" s="23"/>
      <c r="X50" s="23"/>
      <c r="Y50" s="23"/>
      <c r="Z50" s="24"/>
      <c r="AA50" s="24"/>
      <c r="AB50" s="122"/>
      <c r="AC50" s="122"/>
    </row>
    <row r="51" spans="1:29" ht="15">
      <c r="A51" s="1002" t="s">
        <v>673</v>
      </c>
      <c r="B51" s="1003"/>
      <c r="C51" s="1024">
        <f>IF(Input!C56="","",Input!C56)</f>
      </c>
      <c r="D51" s="1025"/>
      <c r="E51" s="1025"/>
      <c r="F51" s="1026"/>
      <c r="G51" s="24"/>
      <c r="V51" s="24"/>
      <c r="AC51" s="122"/>
    </row>
    <row r="52" spans="1:6" ht="15">
      <c r="A52" s="1002" t="s">
        <v>675</v>
      </c>
      <c r="B52" s="1003"/>
      <c r="C52" s="1024">
        <f>IF(Input!C57="","",Input!C57)</f>
      </c>
      <c r="D52" s="1025"/>
      <c r="E52" s="1025"/>
      <c r="F52" s="1026"/>
    </row>
    <row r="53" spans="1:6" ht="15">
      <c r="A53" s="1002" t="s">
        <v>700</v>
      </c>
      <c r="B53" s="1003"/>
      <c r="C53" s="1024">
        <f>IF(Input!C58="","",Input!C58)</f>
      </c>
      <c r="D53" s="1025"/>
      <c r="E53" s="1025"/>
      <c r="F53" s="1026"/>
    </row>
    <row r="54" spans="1:6" ht="15.75" thickBot="1">
      <c r="A54" s="1011" t="s">
        <v>677</v>
      </c>
      <c r="B54" s="1012"/>
      <c r="C54" s="1027">
        <f>IF(Input!C59="","",Input!C59)</f>
      </c>
      <c r="D54" s="1028"/>
      <c r="E54" s="1028"/>
      <c r="F54" s="1029"/>
    </row>
    <row r="55" spans="2:5" ht="12.75">
      <c r="B55" s="18"/>
      <c r="C55" s="18"/>
      <c r="D55" s="24"/>
      <c r="E55" s="24"/>
    </row>
    <row r="56" spans="1:3" ht="12.75">
      <c r="A56" s="18"/>
      <c r="B56" s="18"/>
      <c r="C56" s="18"/>
    </row>
    <row r="57" spans="2:3" ht="12.75">
      <c r="B57" s="18"/>
      <c r="C57" s="18"/>
    </row>
    <row r="58" spans="1:6" ht="12.75">
      <c r="A58" s="18"/>
      <c r="B58" s="18"/>
      <c r="C58" s="18"/>
      <c r="F58" s="122"/>
    </row>
  </sheetData>
  <sheetProtection/>
  <mergeCells count="191">
    <mergeCell ref="BD6:BF6"/>
    <mergeCell ref="C53:F53"/>
    <mergeCell ref="C54:F54"/>
    <mergeCell ref="C47:F47"/>
    <mergeCell ref="C48:F48"/>
    <mergeCell ref="C49:F49"/>
    <mergeCell ref="C50:F50"/>
    <mergeCell ref="C51:F51"/>
    <mergeCell ref="C52:F52"/>
    <mergeCell ref="C46:F46"/>
    <mergeCell ref="AK19:AM19"/>
    <mergeCell ref="W32:Y32"/>
    <mergeCell ref="AX6:AZ6"/>
    <mergeCell ref="Q6:S6"/>
    <mergeCell ref="T6:U6"/>
    <mergeCell ref="V6:X6"/>
    <mergeCell ref="AF6:AH6"/>
    <mergeCell ref="T10:U10"/>
    <mergeCell ref="T9:U9"/>
    <mergeCell ref="T7:U7"/>
    <mergeCell ref="A4:B4"/>
    <mergeCell ref="L6:N6"/>
    <mergeCell ref="O6:P6"/>
    <mergeCell ref="D5:E5"/>
    <mergeCell ref="A2:B2"/>
    <mergeCell ref="S2:U2"/>
    <mergeCell ref="A3:B3"/>
    <mergeCell ref="S3:U3"/>
    <mergeCell ref="A7:B7"/>
    <mergeCell ref="G7:I7"/>
    <mergeCell ref="J6:K6"/>
    <mergeCell ref="E6:F6"/>
    <mergeCell ref="A6:B6"/>
    <mergeCell ref="C6:D6"/>
    <mergeCell ref="G6:I6"/>
    <mergeCell ref="A8:B8"/>
    <mergeCell ref="G8:I8"/>
    <mergeCell ref="J8:K8"/>
    <mergeCell ref="A9:B9"/>
    <mergeCell ref="G9:I9"/>
    <mergeCell ref="L8:N8"/>
    <mergeCell ref="O8:P8"/>
    <mergeCell ref="Q8:S8"/>
    <mergeCell ref="T8:U8"/>
    <mergeCell ref="O7:P7"/>
    <mergeCell ref="Q7:S7"/>
    <mergeCell ref="J7:K7"/>
    <mergeCell ref="L7:N7"/>
    <mergeCell ref="O10:P10"/>
    <mergeCell ref="Q10:S10"/>
    <mergeCell ref="J9:K9"/>
    <mergeCell ref="L9:N9"/>
    <mergeCell ref="O9:P9"/>
    <mergeCell ref="Q9:S9"/>
    <mergeCell ref="A10:B10"/>
    <mergeCell ref="G10:I10"/>
    <mergeCell ref="J10:K10"/>
    <mergeCell ref="L10:N10"/>
    <mergeCell ref="A11:B11"/>
    <mergeCell ref="G11:I11"/>
    <mergeCell ref="J11:K11"/>
    <mergeCell ref="L11:N11"/>
    <mergeCell ref="O11:P11"/>
    <mergeCell ref="Q11:S11"/>
    <mergeCell ref="T11:U11"/>
    <mergeCell ref="A12:B12"/>
    <mergeCell ref="G12:I12"/>
    <mergeCell ref="J12:K12"/>
    <mergeCell ref="L12:N12"/>
    <mergeCell ref="O12:P12"/>
    <mergeCell ref="Q12:S12"/>
    <mergeCell ref="T12:U12"/>
    <mergeCell ref="A13:B13"/>
    <mergeCell ref="G13:I13"/>
    <mergeCell ref="J13:K13"/>
    <mergeCell ref="L13:N13"/>
    <mergeCell ref="O13:P13"/>
    <mergeCell ref="Q13:S13"/>
    <mergeCell ref="T13:U13"/>
    <mergeCell ref="A14:B14"/>
    <mergeCell ref="G14:I14"/>
    <mergeCell ref="J14:K14"/>
    <mergeCell ref="L14:N14"/>
    <mergeCell ref="O14:P14"/>
    <mergeCell ref="Q14:S14"/>
    <mergeCell ref="T14:U14"/>
    <mergeCell ref="A15:B15"/>
    <mergeCell ref="G15:I15"/>
    <mergeCell ref="J15:K15"/>
    <mergeCell ref="L15:N15"/>
    <mergeCell ref="A16:B16"/>
    <mergeCell ref="G16:I16"/>
    <mergeCell ref="J16:K16"/>
    <mergeCell ref="L16:N16"/>
    <mergeCell ref="A20:B20"/>
    <mergeCell ref="O20:R20"/>
    <mergeCell ref="S20:U20"/>
    <mergeCell ref="Y19:AA19"/>
    <mergeCell ref="A19:B19"/>
    <mergeCell ref="C19:E19"/>
    <mergeCell ref="F19:H19"/>
    <mergeCell ref="I19:K19"/>
    <mergeCell ref="AB19:AD19"/>
    <mergeCell ref="AE19:AG19"/>
    <mergeCell ref="AH19:AJ19"/>
    <mergeCell ref="L19:N19"/>
    <mergeCell ref="O19:R19"/>
    <mergeCell ref="S19:U19"/>
    <mergeCell ref="V19:X19"/>
    <mergeCell ref="A21:B21"/>
    <mergeCell ref="O21:R21"/>
    <mergeCell ref="S21:U21"/>
    <mergeCell ref="A22:B22"/>
    <mergeCell ref="O22:R22"/>
    <mergeCell ref="A23:B23"/>
    <mergeCell ref="O23:R23"/>
    <mergeCell ref="A24:B24"/>
    <mergeCell ref="O24:R24"/>
    <mergeCell ref="A25:B25"/>
    <mergeCell ref="O25:R25"/>
    <mergeCell ref="A26:B26"/>
    <mergeCell ref="O26:R26"/>
    <mergeCell ref="A27:B27"/>
    <mergeCell ref="O27:R27"/>
    <mergeCell ref="A28:B28"/>
    <mergeCell ref="O28:R28"/>
    <mergeCell ref="A29:B29"/>
    <mergeCell ref="O29:R29"/>
    <mergeCell ref="S29:U29"/>
    <mergeCell ref="A30:B30"/>
    <mergeCell ref="AY32:AZ32"/>
    <mergeCell ref="BA32:BB32"/>
    <mergeCell ref="BC32:BD32"/>
    <mergeCell ref="A32:B32"/>
    <mergeCell ref="E32:G32"/>
    <mergeCell ref="H32:J32"/>
    <mergeCell ref="K32:M32"/>
    <mergeCell ref="A35:B35"/>
    <mergeCell ref="A36:B36"/>
    <mergeCell ref="A37:B37"/>
    <mergeCell ref="N32:P32"/>
    <mergeCell ref="A54:B54"/>
    <mergeCell ref="A47:B47"/>
    <mergeCell ref="A48:B48"/>
    <mergeCell ref="A49:B49"/>
    <mergeCell ref="A50:B50"/>
    <mergeCell ref="A53:B53"/>
    <mergeCell ref="A42:B42"/>
    <mergeCell ref="A43:B43"/>
    <mergeCell ref="A45:B45"/>
    <mergeCell ref="A46:B46"/>
    <mergeCell ref="Z17:AA17"/>
    <mergeCell ref="AR6:AT6"/>
    <mergeCell ref="A51:B51"/>
    <mergeCell ref="A52:B52"/>
    <mergeCell ref="A38:B38"/>
    <mergeCell ref="A39:B39"/>
    <mergeCell ref="A33:B33"/>
    <mergeCell ref="A40:B40"/>
    <mergeCell ref="A41:B41"/>
    <mergeCell ref="A34:B34"/>
    <mergeCell ref="V17:W17"/>
    <mergeCell ref="X17:Y17"/>
    <mergeCell ref="Q32:S32"/>
    <mergeCell ref="T32:V32"/>
    <mergeCell ref="S22:U22"/>
    <mergeCell ref="S23:U23"/>
    <mergeCell ref="S24:U24"/>
    <mergeCell ref="S25:U25"/>
    <mergeCell ref="S26:U26"/>
    <mergeCell ref="S27:U27"/>
    <mergeCell ref="S28:U28"/>
    <mergeCell ref="C3:P3"/>
    <mergeCell ref="C2:P2"/>
    <mergeCell ref="C4:P4"/>
    <mergeCell ref="O15:P15"/>
    <mergeCell ref="Q15:S15"/>
    <mergeCell ref="T15:U15"/>
    <mergeCell ref="O16:P16"/>
    <mergeCell ref="Q16:S16"/>
    <mergeCell ref="T16:U16"/>
    <mergeCell ref="AO6:AQ6"/>
    <mergeCell ref="S4:U4"/>
    <mergeCell ref="BG6:BI6"/>
    <mergeCell ref="AU6:AW6"/>
    <mergeCell ref="AL6:AN6"/>
    <mergeCell ref="Z6:AB6"/>
    <mergeCell ref="AC6:AE6"/>
    <mergeCell ref="BA6:BC6"/>
    <mergeCell ref="AI6:AK6"/>
    <mergeCell ref="Y6:Y7"/>
  </mergeCells>
  <printOptions/>
  <pageMargins left="0.75" right="0.75" top="1" bottom="1" header="0.5" footer="0.5"/>
  <pageSetup horizontalDpi="300" verticalDpi="300" orientation="landscape" paperSize="3" r:id="rId3"/>
  <legacyDrawing r:id="rId2"/>
</worksheet>
</file>

<file path=xl/worksheets/sheet5.xml><?xml version="1.0" encoding="utf-8"?>
<worksheet xmlns="http://schemas.openxmlformats.org/spreadsheetml/2006/main" xmlns:r="http://schemas.openxmlformats.org/officeDocument/2006/relationships">
  <sheetPr>
    <tabColor indexed="8"/>
  </sheetPr>
  <dimension ref="A1:O85"/>
  <sheetViews>
    <sheetView workbookViewId="0" topLeftCell="A1">
      <selection activeCell="K4" sqref="K4"/>
    </sheetView>
  </sheetViews>
  <sheetFormatPr defaultColWidth="9.140625" defaultRowHeight="12.75"/>
  <cols>
    <col min="1" max="1" width="9.8515625" style="627" customWidth="1"/>
    <col min="2" max="2" width="9.140625" style="627" customWidth="1"/>
    <col min="3" max="3" width="7.57421875" style="627" customWidth="1"/>
    <col min="4" max="4" width="5.00390625" style="627" customWidth="1"/>
    <col min="5" max="6" width="11.7109375" style="627" customWidth="1"/>
    <col min="7" max="7" width="11.421875" style="627" customWidth="1"/>
    <col min="8" max="8" width="7.8515625" style="627" customWidth="1"/>
    <col min="9" max="9" width="9.8515625" style="627" customWidth="1"/>
    <col min="10" max="10" width="7.8515625" style="627" customWidth="1"/>
    <col min="11" max="16384" width="9.140625" style="627" customWidth="1"/>
  </cols>
  <sheetData>
    <row r="1" spans="5:13" ht="12" thickBot="1">
      <c r="E1" s="1037" t="s">
        <v>260</v>
      </c>
      <c r="F1" s="1038"/>
      <c r="G1" s="1039"/>
      <c r="H1" s="1037" t="s">
        <v>261</v>
      </c>
      <c r="I1" s="1038"/>
      <c r="J1" s="1039"/>
      <c r="K1" s="1037" t="s">
        <v>262</v>
      </c>
      <c r="L1" s="1038"/>
      <c r="M1" s="1039"/>
    </row>
    <row r="2" spans="1:13" ht="11.25">
      <c r="A2" s="626" t="s">
        <v>259</v>
      </c>
      <c r="E2" s="628" t="s">
        <v>578</v>
      </c>
      <c r="F2" s="629" t="s">
        <v>579</v>
      </c>
      <c r="G2" s="630" t="s">
        <v>580</v>
      </c>
      <c r="H2" s="628" t="s">
        <v>578</v>
      </c>
      <c r="I2" s="629" t="s">
        <v>579</v>
      </c>
      <c r="J2" s="630" t="s">
        <v>580</v>
      </c>
      <c r="K2" s="628" t="s">
        <v>578</v>
      </c>
      <c r="L2" s="629" t="s">
        <v>579</v>
      </c>
      <c r="M2" s="630" t="s">
        <v>580</v>
      </c>
    </row>
    <row r="3" spans="1:13" ht="11.25">
      <c r="A3" s="680">
        <f>Input!W8</f>
        <v>0</v>
      </c>
      <c r="E3" s="673">
        <f aca="true" t="shared" si="0" ref="E3:E11">(100-A41)*B16</f>
        <v>0</v>
      </c>
      <c r="F3" s="668">
        <f aca="true" t="shared" si="1" ref="F3:F11">(100-B41)*B16</f>
        <v>0</v>
      </c>
      <c r="G3" s="668">
        <f aca="true" t="shared" si="2" ref="G3:G11">(100-C41)*B16</f>
        <v>0</v>
      </c>
      <c r="H3" s="668" t="e">
        <f aca="true" t="shared" si="3" ref="H3:H11">(I41/(I41+E3))*100</f>
        <v>#DIV/0!</v>
      </c>
      <c r="I3" s="668" t="e">
        <f aca="true" t="shared" si="4" ref="I3:I11">(J41/(J41+F3))*100</f>
        <v>#DIV/0!</v>
      </c>
      <c r="J3" s="668" t="e">
        <f aca="true" t="shared" si="5" ref="J3:J11">(K41/(K41+G3))*100</f>
        <v>#DIV/0!</v>
      </c>
      <c r="K3" s="669" t="e">
        <f>100-J3</f>
        <v>#DIV/0!</v>
      </c>
      <c r="L3" s="669" t="e">
        <f>100-I3</f>
        <v>#DIV/0!</v>
      </c>
      <c r="M3" s="675" t="e">
        <f>100-H3</f>
        <v>#DIV/0!</v>
      </c>
    </row>
    <row r="4" spans="1:13" ht="11.25">
      <c r="A4" s="680">
        <f>Input!W9</f>
        <v>0</v>
      </c>
      <c r="E4" s="673">
        <f t="shared" si="0"/>
        <v>0</v>
      </c>
      <c r="F4" s="668">
        <f t="shared" si="1"/>
        <v>0</v>
      </c>
      <c r="G4" s="668">
        <f t="shared" si="2"/>
        <v>0</v>
      </c>
      <c r="H4" s="668" t="e">
        <f t="shared" si="3"/>
        <v>#DIV/0!</v>
      </c>
      <c r="I4" s="668" t="e">
        <f t="shared" si="4"/>
        <v>#DIV/0!</v>
      </c>
      <c r="J4" s="668" t="e">
        <f t="shared" si="5"/>
        <v>#DIV/0!</v>
      </c>
      <c r="K4" s="669" t="e">
        <f aca="true" t="shared" si="6" ref="K4:K11">100-J4</f>
        <v>#DIV/0!</v>
      </c>
      <c r="L4" s="669" t="e">
        <f aca="true" t="shared" si="7" ref="L4:L11">100-I4</f>
        <v>#DIV/0!</v>
      </c>
      <c r="M4" s="675" t="e">
        <f aca="true" t="shared" si="8" ref="M4:M11">100-H4</f>
        <v>#DIV/0!</v>
      </c>
    </row>
    <row r="5" spans="1:13" ht="11.25">
      <c r="A5" s="680">
        <f>Input!W10</f>
        <v>0</v>
      </c>
      <c r="E5" s="673">
        <f t="shared" si="0"/>
        <v>0</v>
      </c>
      <c r="F5" s="668">
        <f t="shared" si="1"/>
        <v>0</v>
      </c>
      <c r="G5" s="668">
        <f t="shared" si="2"/>
        <v>0</v>
      </c>
      <c r="H5" s="668" t="e">
        <f t="shared" si="3"/>
        <v>#DIV/0!</v>
      </c>
      <c r="I5" s="668" t="e">
        <f t="shared" si="4"/>
        <v>#DIV/0!</v>
      </c>
      <c r="J5" s="668" t="e">
        <f t="shared" si="5"/>
        <v>#DIV/0!</v>
      </c>
      <c r="K5" s="669" t="e">
        <f t="shared" si="6"/>
        <v>#DIV/0!</v>
      </c>
      <c r="L5" s="669" t="e">
        <f t="shared" si="7"/>
        <v>#DIV/0!</v>
      </c>
      <c r="M5" s="675" t="e">
        <f t="shared" si="8"/>
        <v>#DIV/0!</v>
      </c>
    </row>
    <row r="6" spans="1:13" ht="11.25">
      <c r="A6" s="680">
        <f>Input!W11</f>
        <v>0</v>
      </c>
      <c r="E6" s="673">
        <f t="shared" si="0"/>
        <v>0</v>
      </c>
      <c r="F6" s="668">
        <f t="shared" si="1"/>
        <v>0</v>
      </c>
      <c r="G6" s="668">
        <f t="shared" si="2"/>
        <v>0</v>
      </c>
      <c r="H6" s="668" t="e">
        <f t="shared" si="3"/>
        <v>#DIV/0!</v>
      </c>
      <c r="I6" s="668" t="e">
        <f t="shared" si="4"/>
        <v>#DIV/0!</v>
      </c>
      <c r="J6" s="668" t="e">
        <f t="shared" si="5"/>
        <v>#DIV/0!</v>
      </c>
      <c r="K6" s="669" t="e">
        <f t="shared" si="6"/>
        <v>#DIV/0!</v>
      </c>
      <c r="L6" s="669" t="e">
        <f t="shared" si="7"/>
        <v>#DIV/0!</v>
      </c>
      <c r="M6" s="675" t="e">
        <f t="shared" si="8"/>
        <v>#DIV/0!</v>
      </c>
    </row>
    <row r="7" spans="1:13" ht="11.25">
      <c r="A7" s="680">
        <f>Input!W12</f>
        <v>0</v>
      </c>
      <c r="E7" s="673">
        <f t="shared" si="0"/>
        <v>0</v>
      </c>
      <c r="F7" s="668">
        <f t="shared" si="1"/>
        <v>0</v>
      </c>
      <c r="G7" s="668">
        <f t="shared" si="2"/>
        <v>0</v>
      </c>
      <c r="H7" s="668" t="e">
        <f t="shared" si="3"/>
        <v>#DIV/0!</v>
      </c>
      <c r="I7" s="668" t="e">
        <f t="shared" si="4"/>
        <v>#DIV/0!</v>
      </c>
      <c r="J7" s="668" t="e">
        <f t="shared" si="5"/>
        <v>#DIV/0!</v>
      </c>
      <c r="K7" s="669" t="e">
        <f t="shared" si="6"/>
        <v>#DIV/0!</v>
      </c>
      <c r="L7" s="669" t="e">
        <f t="shared" si="7"/>
        <v>#DIV/0!</v>
      </c>
      <c r="M7" s="675" t="e">
        <f t="shared" si="8"/>
        <v>#DIV/0!</v>
      </c>
    </row>
    <row r="8" spans="1:13" ht="11.25">
      <c r="A8" s="680">
        <f>Input!W13</f>
        <v>0</v>
      </c>
      <c r="E8" s="673">
        <f t="shared" si="0"/>
        <v>0</v>
      </c>
      <c r="F8" s="668">
        <f t="shared" si="1"/>
        <v>0</v>
      </c>
      <c r="G8" s="668">
        <f t="shared" si="2"/>
        <v>0</v>
      </c>
      <c r="H8" s="668" t="e">
        <f t="shared" si="3"/>
        <v>#DIV/0!</v>
      </c>
      <c r="I8" s="668" t="e">
        <f t="shared" si="4"/>
        <v>#DIV/0!</v>
      </c>
      <c r="J8" s="668" t="e">
        <f t="shared" si="5"/>
        <v>#DIV/0!</v>
      </c>
      <c r="K8" s="669" t="e">
        <f t="shared" si="6"/>
        <v>#DIV/0!</v>
      </c>
      <c r="L8" s="669" t="e">
        <f t="shared" si="7"/>
        <v>#DIV/0!</v>
      </c>
      <c r="M8" s="675" t="e">
        <f t="shared" si="8"/>
        <v>#DIV/0!</v>
      </c>
    </row>
    <row r="9" spans="1:13" ht="11.25">
      <c r="A9" s="680">
        <f>Input!W14</f>
        <v>0</v>
      </c>
      <c r="E9" s="673">
        <f t="shared" si="0"/>
        <v>0</v>
      </c>
      <c r="F9" s="668">
        <f t="shared" si="1"/>
        <v>0</v>
      </c>
      <c r="G9" s="668">
        <f t="shared" si="2"/>
        <v>0</v>
      </c>
      <c r="H9" s="668" t="e">
        <f t="shared" si="3"/>
        <v>#DIV/0!</v>
      </c>
      <c r="I9" s="668" t="e">
        <f t="shared" si="4"/>
        <v>#DIV/0!</v>
      </c>
      <c r="J9" s="668" t="e">
        <f t="shared" si="5"/>
        <v>#DIV/0!</v>
      </c>
      <c r="K9" s="669" t="e">
        <f t="shared" si="6"/>
        <v>#DIV/0!</v>
      </c>
      <c r="L9" s="669" t="e">
        <f t="shared" si="7"/>
        <v>#DIV/0!</v>
      </c>
      <c r="M9" s="675" t="e">
        <f t="shared" si="8"/>
        <v>#DIV/0!</v>
      </c>
    </row>
    <row r="10" spans="1:13" ht="11.25">
      <c r="A10" s="680">
        <f>Input!W15</f>
        <v>0</v>
      </c>
      <c r="E10" s="673">
        <f t="shared" si="0"/>
        <v>0</v>
      </c>
      <c r="F10" s="668">
        <f t="shared" si="1"/>
        <v>0</v>
      </c>
      <c r="G10" s="668">
        <f t="shared" si="2"/>
        <v>0</v>
      </c>
      <c r="H10" s="668" t="e">
        <f t="shared" si="3"/>
        <v>#DIV/0!</v>
      </c>
      <c r="I10" s="668" t="e">
        <f t="shared" si="4"/>
        <v>#DIV/0!</v>
      </c>
      <c r="J10" s="668" t="e">
        <f t="shared" si="5"/>
        <v>#DIV/0!</v>
      </c>
      <c r="K10" s="669" t="e">
        <f t="shared" si="6"/>
        <v>#DIV/0!</v>
      </c>
      <c r="L10" s="669" t="e">
        <f t="shared" si="7"/>
        <v>#DIV/0!</v>
      </c>
      <c r="M10" s="675" t="e">
        <f t="shared" si="8"/>
        <v>#DIV/0!</v>
      </c>
    </row>
    <row r="11" spans="1:13" ht="12" thickBot="1">
      <c r="A11" s="672">
        <f>Input!W16</f>
        <v>0</v>
      </c>
      <c r="E11" s="631">
        <f t="shared" si="0"/>
        <v>0</v>
      </c>
      <c r="F11" s="632">
        <f t="shared" si="1"/>
        <v>0</v>
      </c>
      <c r="G11" s="632">
        <f t="shared" si="2"/>
        <v>0</v>
      </c>
      <c r="H11" s="632" t="e">
        <f t="shared" si="3"/>
        <v>#DIV/0!</v>
      </c>
      <c r="I11" s="632" t="e">
        <f t="shared" si="4"/>
        <v>#DIV/0!</v>
      </c>
      <c r="J11" s="632" t="e">
        <f t="shared" si="5"/>
        <v>#DIV/0!</v>
      </c>
      <c r="K11" s="634" t="e">
        <f t="shared" si="6"/>
        <v>#DIV/0!</v>
      </c>
      <c r="L11" s="634" t="e">
        <f t="shared" si="7"/>
        <v>#DIV/0!</v>
      </c>
      <c r="M11" s="635" t="e">
        <f t="shared" si="8"/>
        <v>#DIV/0!</v>
      </c>
    </row>
    <row r="12" spans="5:13" ht="11.25">
      <c r="E12" s="636"/>
      <c r="F12" s="636"/>
      <c r="G12" s="636"/>
      <c r="H12" s="636"/>
      <c r="I12" s="636"/>
      <c r="J12" s="636"/>
      <c r="K12" s="637"/>
      <c r="L12" s="637"/>
      <c r="M12" s="637"/>
    </row>
    <row r="13" spans="5:13" ht="12" thickBot="1">
      <c r="E13" s="636"/>
      <c r="F13" s="636"/>
      <c r="G13" s="636"/>
      <c r="H13" s="636"/>
      <c r="I13" s="636"/>
      <c r="J13" s="636"/>
      <c r="K13" s="637"/>
      <c r="L13" s="637"/>
      <c r="M13" s="637"/>
    </row>
    <row r="14" spans="1:11" ht="11.25">
      <c r="A14" s="1033" t="s">
        <v>277</v>
      </c>
      <c r="B14" s="1034"/>
      <c r="C14" s="1035"/>
      <c r="E14" s="638" t="s">
        <v>263</v>
      </c>
      <c r="I14" s="639"/>
      <c r="J14" s="640"/>
      <c r="K14" s="640"/>
    </row>
    <row r="15" spans="1:5" ht="11.25">
      <c r="A15" s="641" t="s">
        <v>578</v>
      </c>
      <c r="B15" s="642" t="s">
        <v>579</v>
      </c>
      <c r="C15" s="643" t="s">
        <v>580</v>
      </c>
      <c r="E15" s="644" t="s">
        <v>579</v>
      </c>
    </row>
    <row r="16" spans="1:5" ht="11.25">
      <c r="A16" s="691">
        <f>Input!T8</f>
        <v>0</v>
      </c>
      <c r="B16" s="692">
        <f>Input!U8</f>
        <v>0</v>
      </c>
      <c r="C16" s="693">
        <f>Input!V8</f>
        <v>0</v>
      </c>
      <c r="E16" s="690" t="e">
        <f>(100-B29)*B16</f>
        <v>#VALUE!</v>
      </c>
    </row>
    <row r="17" spans="1:5" ht="11.25">
      <c r="A17" s="691">
        <f>Input!T9</f>
        <v>0</v>
      </c>
      <c r="B17" s="692">
        <f>Input!U9</f>
        <v>0</v>
      </c>
      <c r="C17" s="693">
        <f>Input!V9</f>
        <v>0</v>
      </c>
      <c r="E17" s="690" t="e">
        <f aca="true" t="shared" si="9" ref="E17:E24">(100-B30)*B17</f>
        <v>#VALUE!</v>
      </c>
    </row>
    <row r="18" spans="1:5" ht="11.25">
      <c r="A18" s="691">
        <f>Input!T10</f>
        <v>0</v>
      </c>
      <c r="B18" s="692">
        <f>Input!U10</f>
        <v>0</v>
      </c>
      <c r="C18" s="693">
        <f>Input!V10</f>
        <v>0</v>
      </c>
      <c r="E18" s="690" t="e">
        <f t="shared" si="9"/>
        <v>#VALUE!</v>
      </c>
    </row>
    <row r="19" spans="1:5" ht="11.25">
      <c r="A19" s="691">
        <f>Input!T11</f>
        <v>0</v>
      </c>
      <c r="B19" s="692">
        <f>Input!U11</f>
        <v>0</v>
      </c>
      <c r="C19" s="693">
        <f>Input!V11</f>
        <v>0</v>
      </c>
      <c r="E19" s="690" t="e">
        <f t="shared" si="9"/>
        <v>#VALUE!</v>
      </c>
    </row>
    <row r="20" spans="1:5" ht="11.25">
      <c r="A20" s="691">
        <f>Input!T12</f>
        <v>0</v>
      </c>
      <c r="B20" s="692">
        <f>Input!U12</f>
        <v>0</v>
      </c>
      <c r="C20" s="693">
        <f>Input!V12</f>
        <v>0</v>
      </c>
      <c r="E20" s="690" t="e">
        <f t="shared" si="9"/>
        <v>#VALUE!</v>
      </c>
    </row>
    <row r="21" spans="1:5" ht="11.25">
      <c r="A21" s="691">
        <f>Input!T13</f>
        <v>0</v>
      </c>
      <c r="B21" s="692">
        <f>Input!U13</f>
        <v>0</v>
      </c>
      <c r="C21" s="693">
        <f>Input!V13</f>
        <v>0</v>
      </c>
      <c r="E21" s="690" t="e">
        <f t="shared" si="9"/>
        <v>#VALUE!</v>
      </c>
    </row>
    <row r="22" spans="1:5" ht="11.25">
      <c r="A22" s="691">
        <f>Input!T14</f>
        <v>0</v>
      </c>
      <c r="B22" s="692">
        <f>Input!U14</f>
        <v>0</v>
      </c>
      <c r="C22" s="693">
        <f>Input!V14</f>
        <v>0</v>
      </c>
      <c r="E22" s="690" t="e">
        <f t="shared" si="9"/>
        <v>#VALUE!</v>
      </c>
    </row>
    <row r="23" spans="1:5" ht="11.25">
      <c r="A23" s="691">
        <f>Input!T15</f>
        <v>0</v>
      </c>
      <c r="B23" s="692">
        <f>Input!U15</f>
        <v>0</v>
      </c>
      <c r="C23" s="693">
        <f>Input!V15</f>
        <v>0</v>
      </c>
      <c r="E23" s="690" t="e">
        <f t="shared" si="9"/>
        <v>#VALUE!</v>
      </c>
    </row>
    <row r="24" spans="1:5" ht="12" thickBot="1">
      <c r="A24" s="694">
        <f>Input!T16</f>
        <v>0</v>
      </c>
      <c r="B24" s="695">
        <f>Input!U16</f>
        <v>0</v>
      </c>
      <c r="C24" s="696">
        <f>Input!V16</f>
        <v>0</v>
      </c>
      <c r="E24" s="648" t="e">
        <f t="shared" si="9"/>
        <v>#VALUE!</v>
      </c>
    </row>
    <row r="25" spans="1:5" ht="12" thickBot="1">
      <c r="A25" s="657"/>
      <c r="B25" s="657"/>
      <c r="C25" s="657"/>
      <c r="D25" s="657"/>
      <c r="E25" s="658"/>
    </row>
    <row r="26" spans="6:7" ht="12" thickBot="1">
      <c r="F26" s="654"/>
      <c r="G26" s="655"/>
    </row>
    <row r="27" spans="1:7" ht="11.25">
      <c r="A27" s="1033" t="s">
        <v>264</v>
      </c>
      <c r="B27" s="1034"/>
      <c r="C27" s="1035"/>
      <c r="E27" s="649"/>
      <c r="F27" s="650" t="s">
        <v>265</v>
      </c>
      <c r="G27" s="630" t="s">
        <v>266</v>
      </c>
    </row>
    <row r="28" spans="1:13" ht="11.25">
      <c r="A28" s="641" t="s">
        <v>578</v>
      </c>
      <c r="B28" s="642" t="s">
        <v>579</v>
      </c>
      <c r="C28" s="643" t="s">
        <v>580</v>
      </c>
      <c r="E28" s="649"/>
      <c r="F28" s="678" t="s">
        <v>579</v>
      </c>
      <c r="G28" s="643" t="s">
        <v>579</v>
      </c>
      <c r="K28" s="649"/>
      <c r="M28" s="651"/>
    </row>
    <row r="29" spans="1:13" ht="11.25">
      <c r="A29" s="697">
        <f>Input!AG8</f>
        <v>0</v>
      </c>
      <c r="B29" s="698">
        <f>Input!AH8</f>
      </c>
      <c r="C29" s="699">
        <f>Input!AI8</f>
        <v>0</v>
      </c>
      <c r="E29" s="652"/>
      <c r="F29" s="686" t="e">
        <f>B29*A3</f>
        <v>#VALUE!</v>
      </c>
      <c r="G29" s="687" t="e">
        <f>F29/(F29+E16)</f>
        <v>#VALUE!</v>
      </c>
      <c r="H29" s="653"/>
      <c r="J29" s="653"/>
      <c r="K29" s="653"/>
      <c r="L29" s="653"/>
      <c r="M29" s="653"/>
    </row>
    <row r="30" spans="1:13" ht="11.25">
      <c r="A30" s="697">
        <f>Input!AG9</f>
        <v>0</v>
      </c>
      <c r="B30" s="698">
        <f>Input!AH9</f>
      </c>
      <c r="C30" s="699">
        <f>Input!AI9</f>
        <v>0</v>
      </c>
      <c r="E30" s="652"/>
      <c r="F30" s="686" t="e">
        <f aca="true" t="shared" si="10" ref="F30:F37">B30*A4</f>
        <v>#VALUE!</v>
      </c>
      <c r="G30" s="687" t="e">
        <f aca="true" t="shared" si="11" ref="G30:G37">F30/(F30+E17)</f>
        <v>#VALUE!</v>
      </c>
      <c r="H30" s="653"/>
      <c r="J30" s="653"/>
      <c r="K30" s="653"/>
      <c r="L30" s="653"/>
      <c r="M30" s="653"/>
    </row>
    <row r="31" spans="1:13" ht="11.25">
      <c r="A31" s="697">
        <f>Input!AG10</f>
        <v>0</v>
      </c>
      <c r="B31" s="698">
        <f>Input!AH10</f>
      </c>
      <c r="C31" s="699">
        <f>Input!AI10</f>
        <v>0</v>
      </c>
      <c r="E31" s="652"/>
      <c r="F31" s="686" t="e">
        <f t="shared" si="10"/>
        <v>#VALUE!</v>
      </c>
      <c r="G31" s="687" t="e">
        <f t="shared" si="11"/>
        <v>#VALUE!</v>
      </c>
      <c r="H31" s="653"/>
      <c r="J31" s="653"/>
      <c r="K31" s="653"/>
      <c r="L31" s="653"/>
      <c r="M31" s="653"/>
    </row>
    <row r="32" spans="1:13" ht="11.25">
      <c r="A32" s="697">
        <f>Input!AG11</f>
        <v>0</v>
      </c>
      <c r="B32" s="698">
        <f>Input!AH11</f>
      </c>
      <c r="C32" s="699">
        <f>Input!AI11</f>
        <v>0</v>
      </c>
      <c r="E32" s="652"/>
      <c r="F32" s="686" t="e">
        <f t="shared" si="10"/>
        <v>#VALUE!</v>
      </c>
      <c r="G32" s="687" t="e">
        <f t="shared" si="11"/>
        <v>#VALUE!</v>
      </c>
      <c r="H32" s="653"/>
      <c r="J32" s="653"/>
      <c r="K32" s="653"/>
      <c r="L32" s="653"/>
      <c r="M32" s="653"/>
    </row>
    <row r="33" spans="1:13" ht="11.25">
      <c r="A33" s="697">
        <f>Input!AG12</f>
        <v>0</v>
      </c>
      <c r="B33" s="698">
        <f>Input!AH12</f>
      </c>
      <c r="C33" s="699">
        <f>Input!AI12</f>
        <v>0</v>
      </c>
      <c r="E33" s="652"/>
      <c r="F33" s="686" t="e">
        <f t="shared" si="10"/>
        <v>#VALUE!</v>
      </c>
      <c r="G33" s="687" t="e">
        <f t="shared" si="11"/>
        <v>#VALUE!</v>
      </c>
      <c r="H33" s="653"/>
      <c r="J33" s="653"/>
      <c r="K33" s="653"/>
      <c r="L33" s="653"/>
      <c r="M33" s="653"/>
    </row>
    <row r="34" spans="1:13" ht="11.25">
      <c r="A34" s="697">
        <f>Input!AG13</f>
        <v>0</v>
      </c>
      <c r="B34" s="698">
        <f>Input!AH13</f>
      </c>
      <c r="C34" s="699">
        <f>Input!AI13</f>
        <v>0</v>
      </c>
      <c r="E34" s="652"/>
      <c r="F34" s="686" t="e">
        <f t="shared" si="10"/>
        <v>#VALUE!</v>
      </c>
      <c r="G34" s="687" t="e">
        <f t="shared" si="11"/>
        <v>#VALUE!</v>
      </c>
      <c r="H34" s="653"/>
      <c r="J34" s="653"/>
      <c r="K34" s="653"/>
      <c r="L34" s="653"/>
      <c r="M34" s="653"/>
    </row>
    <row r="35" spans="1:13" ht="11.25">
      <c r="A35" s="697">
        <f>Input!AG14</f>
        <v>0</v>
      </c>
      <c r="B35" s="698">
        <f>Input!AH14</f>
      </c>
      <c r="C35" s="699">
        <f>Input!AI14</f>
        <v>0</v>
      </c>
      <c r="E35" s="652"/>
      <c r="F35" s="686" t="e">
        <f t="shared" si="10"/>
        <v>#VALUE!</v>
      </c>
      <c r="G35" s="687" t="e">
        <f t="shared" si="11"/>
        <v>#VALUE!</v>
      </c>
      <c r="H35" s="653"/>
      <c r="J35" s="653"/>
      <c r="K35" s="653"/>
      <c r="L35" s="653"/>
      <c r="M35" s="653"/>
    </row>
    <row r="36" spans="1:13" ht="11.25">
      <c r="A36" s="697">
        <f>Input!AG15</f>
        <v>0</v>
      </c>
      <c r="B36" s="698">
        <f>Input!AH15</f>
      </c>
      <c r="C36" s="699">
        <f>Input!AI15</f>
        <v>0</v>
      </c>
      <c r="E36" s="652"/>
      <c r="F36" s="686" t="e">
        <f t="shared" si="10"/>
        <v>#VALUE!</v>
      </c>
      <c r="G36" s="687" t="e">
        <f t="shared" si="11"/>
        <v>#VALUE!</v>
      </c>
      <c r="H36" s="653"/>
      <c r="J36" s="653"/>
      <c r="K36" s="653"/>
      <c r="L36" s="653"/>
      <c r="M36" s="653"/>
    </row>
    <row r="37" spans="1:13" ht="12" thickBot="1">
      <c r="A37" s="700">
        <f>Input!AG16</f>
        <v>0</v>
      </c>
      <c r="B37" s="701">
        <f>Input!AH16</f>
      </c>
      <c r="C37" s="702">
        <f>Input!AI16</f>
        <v>0</v>
      </c>
      <c r="E37" s="652"/>
      <c r="F37" s="688" t="e">
        <f t="shared" si="10"/>
        <v>#VALUE!</v>
      </c>
      <c r="G37" s="689" t="e">
        <f t="shared" si="11"/>
        <v>#VALUE!</v>
      </c>
      <c r="H37" s="653"/>
      <c r="J37" s="653"/>
      <c r="K37" s="653"/>
      <c r="L37" s="653"/>
      <c r="M37" s="653"/>
    </row>
    <row r="38" ht="12" thickBot="1">
      <c r="H38" s="640"/>
    </row>
    <row r="39" spans="1:15" ht="11.25">
      <c r="A39" s="1033" t="s">
        <v>267</v>
      </c>
      <c r="B39" s="1034"/>
      <c r="C39" s="1035"/>
      <c r="E39" s="1040" t="s">
        <v>268</v>
      </c>
      <c r="F39" s="1041"/>
      <c r="G39" s="1042"/>
      <c r="H39" s="656"/>
      <c r="I39" s="1040" t="s">
        <v>269</v>
      </c>
      <c r="J39" s="1041"/>
      <c r="K39" s="1042"/>
      <c r="M39" s="657"/>
      <c r="N39" s="657"/>
      <c r="O39" s="657"/>
    </row>
    <row r="40" spans="1:15" ht="11.25">
      <c r="A40" s="641" t="s">
        <v>578</v>
      </c>
      <c r="B40" s="642" t="s">
        <v>579</v>
      </c>
      <c r="C40" s="643" t="s">
        <v>580</v>
      </c>
      <c r="E40" s="641" t="s">
        <v>578</v>
      </c>
      <c r="F40" s="642" t="s">
        <v>579</v>
      </c>
      <c r="G40" s="643" t="s">
        <v>580</v>
      </c>
      <c r="H40" s="656"/>
      <c r="I40" s="641" t="s">
        <v>578</v>
      </c>
      <c r="J40" s="642" t="s">
        <v>579</v>
      </c>
      <c r="K40" s="643" t="s">
        <v>580</v>
      </c>
      <c r="M40" s="658"/>
      <c r="N40" s="658"/>
      <c r="O40" s="658"/>
    </row>
    <row r="41" spans="1:15" ht="11.25">
      <c r="A41" s="676">
        <f>Input!AD8</f>
        <v>0</v>
      </c>
      <c r="B41" s="670">
        <f>Input!AE8</f>
        <v>0</v>
      </c>
      <c r="C41" s="677">
        <f>Input!AF8</f>
        <v>0</v>
      </c>
      <c r="E41" s="684">
        <f>A41/(100-(B53+B65))</f>
        <v>0</v>
      </c>
      <c r="F41" s="671">
        <f>B41/(100-(B53+B65))</f>
        <v>0</v>
      </c>
      <c r="G41" s="685">
        <f>C41/(100-(B53+B65))</f>
        <v>0</v>
      </c>
      <c r="H41" s="662"/>
      <c r="I41" s="673">
        <f>E41*100*2.7</f>
        <v>0</v>
      </c>
      <c r="J41" s="668">
        <f>F41*100*2.7</f>
        <v>0</v>
      </c>
      <c r="K41" s="674">
        <f>G41*100*2.7</f>
        <v>0</v>
      </c>
      <c r="M41" s="636"/>
      <c r="N41" s="636"/>
      <c r="O41" s="636"/>
    </row>
    <row r="42" spans="1:15" ht="11.25">
      <c r="A42" s="676">
        <f>Input!AD9</f>
        <v>0</v>
      </c>
      <c r="B42" s="670">
        <f>Input!AE9</f>
        <v>0</v>
      </c>
      <c r="C42" s="677">
        <f>Input!AF9</f>
        <v>0</v>
      </c>
      <c r="E42" s="684">
        <f aca="true" t="shared" si="12" ref="E42:E49">A42/(100-(B54+B66))</f>
        <v>0</v>
      </c>
      <c r="F42" s="671">
        <f aca="true" t="shared" si="13" ref="F42:F49">B42/(100-(B54+B66))</f>
        <v>0</v>
      </c>
      <c r="G42" s="685">
        <f aca="true" t="shared" si="14" ref="G42:G49">C42/(100-(B54+B66))</f>
        <v>0</v>
      </c>
      <c r="H42" s="662"/>
      <c r="I42" s="673">
        <f aca="true" t="shared" si="15" ref="I42:I49">E42*100*2.7</f>
        <v>0</v>
      </c>
      <c r="J42" s="668">
        <f aca="true" t="shared" si="16" ref="J42:J49">F42*100*2.7</f>
        <v>0</v>
      </c>
      <c r="K42" s="674">
        <f aca="true" t="shared" si="17" ref="K42:K49">G42*100*2.7</f>
        <v>0</v>
      </c>
      <c r="M42" s="636"/>
      <c r="N42" s="636"/>
      <c r="O42" s="636"/>
    </row>
    <row r="43" spans="1:15" ht="11.25">
      <c r="A43" s="676">
        <f>Input!AD10</f>
        <v>0</v>
      </c>
      <c r="B43" s="670">
        <f>Input!AE10</f>
        <v>0</v>
      </c>
      <c r="C43" s="677">
        <f>Input!AF10</f>
        <v>0</v>
      </c>
      <c r="E43" s="684">
        <f t="shared" si="12"/>
        <v>0</v>
      </c>
      <c r="F43" s="671">
        <f t="shared" si="13"/>
        <v>0</v>
      </c>
      <c r="G43" s="685">
        <f t="shared" si="14"/>
        <v>0</v>
      </c>
      <c r="H43" s="662"/>
      <c r="I43" s="673">
        <f t="shared" si="15"/>
        <v>0</v>
      </c>
      <c r="J43" s="668">
        <f t="shared" si="16"/>
        <v>0</v>
      </c>
      <c r="K43" s="674">
        <f t="shared" si="17"/>
        <v>0</v>
      </c>
      <c r="M43" s="636"/>
      <c r="N43" s="636"/>
      <c r="O43" s="636"/>
    </row>
    <row r="44" spans="1:15" ht="11.25">
      <c r="A44" s="676">
        <f>Input!AD11</f>
        <v>0</v>
      </c>
      <c r="B44" s="670">
        <f>Input!AE11</f>
        <v>0</v>
      </c>
      <c r="C44" s="677">
        <f>Input!AF11</f>
        <v>0</v>
      </c>
      <c r="E44" s="684">
        <f t="shared" si="12"/>
        <v>0</v>
      </c>
      <c r="F44" s="671">
        <f t="shared" si="13"/>
        <v>0</v>
      </c>
      <c r="G44" s="685">
        <f t="shared" si="14"/>
        <v>0</v>
      </c>
      <c r="H44" s="662"/>
      <c r="I44" s="673">
        <f t="shared" si="15"/>
        <v>0</v>
      </c>
      <c r="J44" s="668">
        <f t="shared" si="16"/>
        <v>0</v>
      </c>
      <c r="K44" s="674">
        <f t="shared" si="17"/>
        <v>0</v>
      </c>
      <c r="M44" s="636"/>
      <c r="N44" s="636"/>
      <c r="O44" s="636"/>
    </row>
    <row r="45" spans="1:15" ht="11.25">
      <c r="A45" s="676">
        <f>Input!AD12</f>
        <v>0</v>
      </c>
      <c r="B45" s="670">
        <f>Input!AE12</f>
        <v>0</v>
      </c>
      <c r="C45" s="677">
        <f>Input!AF12</f>
        <v>0</v>
      </c>
      <c r="E45" s="684">
        <f t="shared" si="12"/>
        <v>0</v>
      </c>
      <c r="F45" s="671">
        <f t="shared" si="13"/>
        <v>0</v>
      </c>
      <c r="G45" s="685">
        <f t="shared" si="14"/>
        <v>0</v>
      </c>
      <c r="H45" s="662"/>
      <c r="I45" s="673">
        <f t="shared" si="15"/>
        <v>0</v>
      </c>
      <c r="J45" s="668">
        <f t="shared" si="16"/>
        <v>0</v>
      </c>
      <c r="K45" s="674">
        <f t="shared" si="17"/>
        <v>0</v>
      </c>
      <c r="M45" s="636"/>
      <c r="N45" s="636"/>
      <c r="O45" s="636"/>
    </row>
    <row r="46" spans="1:15" ht="11.25">
      <c r="A46" s="676">
        <f>Input!AD13</f>
        <v>0</v>
      </c>
      <c r="B46" s="670">
        <f>Input!AE13</f>
        <v>0</v>
      </c>
      <c r="C46" s="677">
        <f>Input!AF13</f>
        <v>0</v>
      </c>
      <c r="E46" s="684">
        <f t="shared" si="12"/>
        <v>0</v>
      </c>
      <c r="F46" s="671">
        <f t="shared" si="13"/>
        <v>0</v>
      </c>
      <c r="G46" s="685">
        <f t="shared" si="14"/>
        <v>0</v>
      </c>
      <c r="H46" s="662"/>
      <c r="I46" s="673">
        <f t="shared" si="15"/>
        <v>0</v>
      </c>
      <c r="J46" s="668">
        <f t="shared" si="16"/>
        <v>0</v>
      </c>
      <c r="K46" s="674">
        <f t="shared" si="17"/>
        <v>0</v>
      </c>
      <c r="M46" s="636"/>
      <c r="N46" s="636"/>
      <c r="O46" s="636"/>
    </row>
    <row r="47" spans="1:15" ht="11.25">
      <c r="A47" s="676">
        <f>Input!AD14</f>
        <v>0</v>
      </c>
      <c r="B47" s="670">
        <f>Input!AE14</f>
        <v>0</v>
      </c>
      <c r="C47" s="677">
        <f>Input!AF14</f>
        <v>0</v>
      </c>
      <c r="E47" s="684">
        <f t="shared" si="12"/>
        <v>0</v>
      </c>
      <c r="F47" s="671">
        <f t="shared" si="13"/>
        <v>0</v>
      </c>
      <c r="G47" s="685">
        <f t="shared" si="14"/>
        <v>0</v>
      </c>
      <c r="H47" s="662"/>
      <c r="I47" s="673">
        <f t="shared" si="15"/>
        <v>0</v>
      </c>
      <c r="J47" s="668">
        <f t="shared" si="16"/>
        <v>0</v>
      </c>
      <c r="K47" s="674">
        <f t="shared" si="17"/>
        <v>0</v>
      </c>
      <c r="M47" s="636"/>
      <c r="N47" s="636"/>
      <c r="O47" s="636"/>
    </row>
    <row r="48" spans="1:15" ht="11.25">
      <c r="A48" s="676">
        <f>Input!AD15</f>
        <v>0</v>
      </c>
      <c r="B48" s="670">
        <f>Input!AE15</f>
        <v>0</v>
      </c>
      <c r="C48" s="677">
        <f>Input!AF15</f>
        <v>0</v>
      </c>
      <c r="E48" s="684">
        <f t="shared" si="12"/>
        <v>0</v>
      </c>
      <c r="F48" s="671">
        <f t="shared" si="13"/>
        <v>0</v>
      </c>
      <c r="G48" s="685">
        <f t="shared" si="14"/>
        <v>0</v>
      </c>
      <c r="H48" s="662"/>
      <c r="I48" s="673">
        <f t="shared" si="15"/>
        <v>0</v>
      </c>
      <c r="J48" s="668">
        <f t="shared" si="16"/>
        <v>0</v>
      </c>
      <c r="K48" s="674">
        <f t="shared" si="17"/>
        <v>0</v>
      </c>
      <c r="M48" s="636"/>
      <c r="N48" s="636"/>
      <c r="O48" s="636"/>
    </row>
    <row r="49" spans="1:15" ht="12" thickBot="1">
      <c r="A49" s="645">
        <f>Input!AD16</f>
        <v>0</v>
      </c>
      <c r="B49" s="646">
        <f>Input!AE16</f>
        <v>0</v>
      </c>
      <c r="C49" s="647">
        <f>Input!AF16</f>
        <v>0</v>
      </c>
      <c r="E49" s="659">
        <f t="shared" si="12"/>
        <v>0</v>
      </c>
      <c r="F49" s="660">
        <f t="shared" si="13"/>
        <v>0</v>
      </c>
      <c r="G49" s="661">
        <f t="shared" si="14"/>
        <v>0</v>
      </c>
      <c r="H49" s="662"/>
      <c r="I49" s="631">
        <f t="shared" si="15"/>
        <v>0</v>
      </c>
      <c r="J49" s="632">
        <f t="shared" si="16"/>
        <v>0</v>
      </c>
      <c r="K49" s="633">
        <f t="shared" si="17"/>
        <v>0</v>
      </c>
      <c r="M49" s="636"/>
      <c r="N49" s="636"/>
      <c r="O49" s="636"/>
    </row>
    <row r="50" spans="8:12" ht="12" thickBot="1">
      <c r="H50" s="640"/>
      <c r="J50" s="649"/>
      <c r="K50" s="649"/>
      <c r="L50" s="649"/>
    </row>
    <row r="51" spans="1:11" ht="11.25">
      <c r="A51" s="1033" t="s">
        <v>270</v>
      </c>
      <c r="B51" s="1034"/>
      <c r="C51" s="1035"/>
      <c r="E51" s="1040" t="s">
        <v>271</v>
      </c>
      <c r="F51" s="1041"/>
      <c r="G51" s="1042"/>
      <c r="H51" s="656"/>
      <c r="I51" s="1036"/>
      <c r="J51" s="1036"/>
      <c r="K51" s="1036"/>
    </row>
    <row r="52" spans="1:11" ht="11.25">
      <c r="A52" s="641" t="s">
        <v>578</v>
      </c>
      <c r="B52" s="642" t="s">
        <v>579</v>
      </c>
      <c r="C52" s="643" t="s">
        <v>580</v>
      </c>
      <c r="E52" s="641" t="s">
        <v>578</v>
      </c>
      <c r="F52" s="642" t="s">
        <v>579</v>
      </c>
      <c r="G52" s="643" t="s">
        <v>580</v>
      </c>
      <c r="H52" s="656"/>
      <c r="I52" s="658"/>
      <c r="J52" s="658"/>
      <c r="K52" s="658"/>
    </row>
    <row r="53" spans="1:11" ht="11.25">
      <c r="A53" s="676">
        <f>Input!AA8</f>
        <v>0</v>
      </c>
      <c r="B53" s="670">
        <f>Input!AB8</f>
        <v>0</v>
      </c>
      <c r="C53" s="677">
        <f>Input!AC8</f>
        <v>0</v>
      </c>
      <c r="D53" s="679"/>
      <c r="E53" s="673" t="e">
        <f>100*((A53*$A3)/(((100-$B41-A53-$B65)*$B16)+(($B41+A53+$B65)*$A3)))</f>
        <v>#DIV/0!</v>
      </c>
      <c r="F53" s="668" t="e">
        <f>100*((B53*$A3)/(((100-$B41-B53-$B65)*$B16)+(($B41+B53+$B65)*$A3)))</f>
        <v>#DIV/0!</v>
      </c>
      <c r="G53" s="674" t="e">
        <f>100*((C53*$A3)/(((100-$B41-C53-$B65)*$B16)+(($B41+C53+$B65)*$A3)))</f>
        <v>#DIV/0!</v>
      </c>
      <c r="H53" s="662"/>
      <c r="I53" s="663"/>
      <c r="J53" s="636"/>
      <c r="K53" s="636"/>
    </row>
    <row r="54" spans="1:11" ht="11.25">
      <c r="A54" s="676">
        <f>Input!AA9</f>
        <v>0</v>
      </c>
      <c r="B54" s="670">
        <f>Input!AB9</f>
        <v>0</v>
      </c>
      <c r="C54" s="677">
        <f>Input!AC9</f>
        <v>0</v>
      </c>
      <c r="E54" s="673" t="e">
        <f aca="true" t="shared" si="18" ref="E54:E61">100*((A54*$A4)/(((100-$B42-A54-$B66)*$B17)+(($B42+A54+$B66)*$A4)))</f>
        <v>#DIV/0!</v>
      </c>
      <c r="F54" s="668" t="e">
        <f aca="true" t="shared" si="19" ref="F54:F61">100*((B54*$A4)/(((100-$B42-B54-$B66)*$B17)+(($B42+B54+$B66)*$A4)))</f>
        <v>#DIV/0!</v>
      </c>
      <c r="G54" s="674" t="e">
        <f aca="true" t="shared" si="20" ref="G54:G61">100*((C54*$A4)/(((100-$B42-C54-$B66)*$B17)+(($B42+C54+$B66)*$A4)))</f>
        <v>#DIV/0!</v>
      </c>
      <c r="H54" s="662"/>
      <c r="I54" s="663"/>
      <c r="J54" s="636"/>
      <c r="K54" s="636"/>
    </row>
    <row r="55" spans="1:11" ht="11.25">
      <c r="A55" s="676">
        <f>Input!AA10</f>
        <v>0</v>
      </c>
      <c r="B55" s="670">
        <f>Input!AB10</f>
        <v>0</v>
      </c>
      <c r="C55" s="677">
        <f>Input!AC10</f>
        <v>0</v>
      </c>
      <c r="E55" s="673" t="e">
        <f t="shared" si="18"/>
        <v>#DIV/0!</v>
      </c>
      <c r="F55" s="668" t="e">
        <f t="shared" si="19"/>
        <v>#DIV/0!</v>
      </c>
      <c r="G55" s="674" t="e">
        <f t="shared" si="20"/>
        <v>#DIV/0!</v>
      </c>
      <c r="H55" s="662"/>
      <c r="I55" s="663"/>
      <c r="J55" s="636"/>
      <c r="K55" s="636"/>
    </row>
    <row r="56" spans="1:11" ht="11.25">
      <c r="A56" s="676">
        <f>Input!AA11</f>
        <v>0</v>
      </c>
      <c r="B56" s="670">
        <f>Input!AB11</f>
        <v>0</v>
      </c>
      <c r="C56" s="677">
        <f>Input!AC11</f>
        <v>0</v>
      </c>
      <c r="E56" s="673" t="e">
        <f t="shared" si="18"/>
        <v>#DIV/0!</v>
      </c>
      <c r="F56" s="668" t="e">
        <f t="shared" si="19"/>
        <v>#DIV/0!</v>
      </c>
      <c r="G56" s="674" t="e">
        <f t="shared" si="20"/>
        <v>#DIV/0!</v>
      </c>
      <c r="H56" s="662"/>
      <c r="I56" s="663"/>
      <c r="J56" s="636"/>
      <c r="K56" s="636"/>
    </row>
    <row r="57" spans="1:11" ht="11.25">
      <c r="A57" s="676">
        <f>Input!AA12</f>
        <v>0</v>
      </c>
      <c r="B57" s="670">
        <f>Input!AB12</f>
        <v>0</v>
      </c>
      <c r="C57" s="677">
        <f>Input!AC12</f>
        <v>0</v>
      </c>
      <c r="E57" s="673" t="e">
        <f t="shared" si="18"/>
        <v>#DIV/0!</v>
      </c>
      <c r="F57" s="668" t="e">
        <f t="shared" si="19"/>
        <v>#DIV/0!</v>
      </c>
      <c r="G57" s="674" t="e">
        <f t="shared" si="20"/>
        <v>#DIV/0!</v>
      </c>
      <c r="H57" s="662"/>
      <c r="I57" s="663"/>
      <c r="J57" s="636"/>
      <c r="K57" s="636"/>
    </row>
    <row r="58" spans="1:11" ht="11.25">
      <c r="A58" s="676">
        <f>Input!AA13</f>
        <v>0</v>
      </c>
      <c r="B58" s="670">
        <f>Input!AB13</f>
        <v>0</v>
      </c>
      <c r="C58" s="677">
        <f>Input!AC13</f>
        <v>0</v>
      </c>
      <c r="E58" s="673" t="e">
        <f t="shared" si="18"/>
        <v>#DIV/0!</v>
      </c>
      <c r="F58" s="668" t="e">
        <f t="shared" si="19"/>
        <v>#DIV/0!</v>
      </c>
      <c r="G58" s="674" t="e">
        <f t="shared" si="20"/>
        <v>#DIV/0!</v>
      </c>
      <c r="H58" s="662"/>
      <c r="I58" s="663"/>
      <c r="J58" s="636"/>
      <c r="K58" s="636"/>
    </row>
    <row r="59" spans="1:11" ht="11.25">
      <c r="A59" s="676">
        <f>Input!AA14</f>
        <v>0</v>
      </c>
      <c r="B59" s="670">
        <f>Input!AB14</f>
        <v>0</v>
      </c>
      <c r="C59" s="677">
        <f>Input!AC14</f>
        <v>0</v>
      </c>
      <c r="E59" s="673" t="e">
        <f t="shared" si="18"/>
        <v>#DIV/0!</v>
      </c>
      <c r="F59" s="668" t="e">
        <f t="shared" si="19"/>
        <v>#DIV/0!</v>
      </c>
      <c r="G59" s="674" t="e">
        <f t="shared" si="20"/>
        <v>#DIV/0!</v>
      </c>
      <c r="H59" s="662"/>
      <c r="I59" s="663"/>
      <c r="J59" s="636"/>
      <c r="K59" s="636"/>
    </row>
    <row r="60" spans="1:11" ht="11.25">
      <c r="A60" s="676">
        <f>Input!AA15</f>
        <v>0</v>
      </c>
      <c r="B60" s="670">
        <f>Input!AB15</f>
        <v>0</v>
      </c>
      <c r="C60" s="677">
        <f>Input!AC15</f>
        <v>0</v>
      </c>
      <c r="E60" s="673" t="e">
        <f t="shared" si="18"/>
        <v>#DIV/0!</v>
      </c>
      <c r="F60" s="668" t="e">
        <f t="shared" si="19"/>
        <v>#DIV/0!</v>
      </c>
      <c r="G60" s="674" t="e">
        <f t="shared" si="20"/>
        <v>#DIV/0!</v>
      </c>
      <c r="H60" s="662"/>
      <c r="I60" s="663"/>
      <c r="J60" s="636"/>
      <c r="K60" s="636"/>
    </row>
    <row r="61" spans="1:11" ht="12" thickBot="1">
      <c r="A61" s="645">
        <f>Input!AA16</f>
        <v>0</v>
      </c>
      <c r="B61" s="646">
        <f>Input!AB16</f>
        <v>0</v>
      </c>
      <c r="C61" s="647">
        <f>Input!AC16</f>
        <v>0</v>
      </c>
      <c r="E61" s="673" t="e">
        <f t="shared" si="18"/>
        <v>#DIV/0!</v>
      </c>
      <c r="F61" s="668" t="e">
        <f t="shared" si="19"/>
        <v>#DIV/0!</v>
      </c>
      <c r="G61" s="674" t="e">
        <f t="shared" si="20"/>
        <v>#DIV/0!</v>
      </c>
      <c r="H61" s="662"/>
      <c r="I61" s="663"/>
      <c r="J61" s="636"/>
      <c r="K61" s="636"/>
    </row>
    <row r="62" spans="5:11" ht="12" thickBot="1">
      <c r="E62" s="640"/>
      <c r="F62" s="640"/>
      <c r="G62" s="640"/>
      <c r="H62" s="640"/>
      <c r="I62" s="657"/>
      <c r="J62" s="657"/>
      <c r="K62" s="657"/>
    </row>
    <row r="63" spans="1:11" ht="11.25">
      <c r="A63" s="1033" t="s">
        <v>272</v>
      </c>
      <c r="B63" s="1034"/>
      <c r="C63" s="1035"/>
      <c r="E63" s="1040" t="s">
        <v>273</v>
      </c>
      <c r="F63" s="1041"/>
      <c r="G63" s="1042"/>
      <c r="H63" s="656"/>
      <c r="I63" s="1036"/>
      <c r="J63" s="1036"/>
      <c r="K63" s="1036"/>
    </row>
    <row r="64" spans="1:11" ht="11.25">
      <c r="A64" s="641" t="s">
        <v>578</v>
      </c>
      <c r="B64" s="642" t="s">
        <v>579</v>
      </c>
      <c r="C64" s="643" t="s">
        <v>580</v>
      </c>
      <c r="E64" s="641" t="s">
        <v>578</v>
      </c>
      <c r="F64" s="642" t="s">
        <v>579</v>
      </c>
      <c r="G64" s="643" t="s">
        <v>580</v>
      </c>
      <c r="H64" s="656"/>
      <c r="I64" s="658"/>
      <c r="J64" s="658"/>
      <c r="K64" s="658"/>
    </row>
    <row r="65" spans="1:11" ht="11.25">
      <c r="A65" s="676">
        <f>Input!X8</f>
        <v>0</v>
      </c>
      <c r="B65" s="670">
        <f>Input!Y8</f>
        <v>0</v>
      </c>
      <c r="C65" s="677">
        <f>Input!Z8</f>
        <v>0</v>
      </c>
      <c r="D65" s="679"/>
      <c r="E65" s="673" t="e">
        <f>100*((A65*$A3)/(((100-$B41-A65-$B53)*$B16)+(($B41+A65+$B53)*$A3)))</f>
        <v>#DIV/0!</v>
      </c>
      <c r="F65" s="668" t="e">
        <f>100*((B65*$A3)/(((100-$B41-B65-$B53)*$B16)+(($B41+B65+$B53)*$A3)))</f>
        <v>#DIV/0!</v>
      </c>
      <c r="G65" s="674" t="e">
        <f>100*((C65*$A3)/(((100-$B41-C65-$B53)*$B16)+(($B41+C65+$B53)*$A3)))</f>
        <v>#DIV/0!</v>
      </c>
      <c r="H65" s="662"/>
      <c r="I65" s="657"/>
      <c r="J65" s="664"/>
      <c r="K65" s="657"/>
    </row>
    <row r="66" spans="1:11" ht="11.25">
      <c r="A66" s="676">
        <f>Input!X9</f>
        <v>0</v>
      </c>
      <c r="B66" s="670">
        <f>Input!Y9</f>
        <v>0</v>
      </c>
      <c r="C66" s="677">
        <f>Input!Z9</f>
        <v>0</v>
      </c>
      <c r="E66" s="673" t="e">
        <f aca="true" t="shared" si="21" ref="E66:E73">100*((A66*$A4)/(((100-$B42-A66-$B54)*$B17)+(($B42+A66+$B54)*$A4)))</f>
        <v>#DIV/0!</v>
      </c>
      <c r="F66" s="668" t="e">
        <f aca="true" t="shared" si="22" ref="F66:F73">100*((B66*$A4)/(((100-$B42-B66-$B54)*$B17)+(($B42+B66+$B54)*$A4)))</f>
        <v>#DIV/0!</v>
      </c>
      <c r="G66" s="674" t="e">
        <f aca="true" t="shared" si="23" ref="G66:G73">100*((C66*$A4)/(((100-$B42-C66-$B54)*$B17)+(($B42+C66+$B54)*$A4)))</f>
        <v>#DIV/0!</v>
      </c>
      <c r="H66" s="662"/>
      <c r="I66" s="657"/>
      <c r="J66" s="664"/>
      <c r="K66" s="657"/>
    </row>
    <row r="67" spans="1:11" ht="11.25">
      <c r="A67" s="676">
        <f>Input!X10</f>
        <v>0</v>
      </c>
      <c r="B67" s="670">
        <f>Input!Y10</f>
        <v>0</v>
      </c>
      <c r="C67" s="677">
        <f>Input!Z10</f>
        <v>0</v>
      </c>
      <c r="E67" s="673" t="e">
        <f t="shared" si="21"/>
        <v>#DIV/0!</v>
      </c>
      <c r="F67" s="668" t="e">
        <f t="shared" si="22"/>
        <v>#DIV/0!</v>
      </c>
      <c r="G67" s="674" t="e">
        <f t="shared" si="23"/>
        <v>#DIV/0!</v>
      </c>
      <c r="H67" s="662"/>
      <c r="I67" s="657"/>
      <c r="J67" s="664"/>
      <c r="K67" s="657"/>
    </row>
    <row r="68" spans="1:11" ht="11.25">
      <c r="A68" s="676">
        <f>Input!X11</f>
        <v>0</v>
      </c>
      <c r="B68" s="670">
        <f>Input!Y11</f>
        <v>0</v>
      </c>
      <c r="C68" s="677">
        <f>Input!Z11</f>
        <v>0</v>
      </c>
      <c r="E68" s="673" t="e">
        <f t="shared" si="21"/>
        <v>#DIV/0!</v>
      </c>
      <c r="F68" s="668" t="e">
        <f t="shared" si="22"/>
        <v>#DIV/0!</v>
      </c>
      <c r="G68" s="674" t="e">
        <f t="shared" si="23"/>
        <v>#DIV/0!</v>
      </c>
      <c r="H68" s="662"/>
      <c r="I68" s="657"/>
      <c r="J68" s="664"/>
      <c r="K68" s="657"/>
    </row>
    <row r="69" spans="1:11" ht="11.25">
      <c r="A69" s="676">
        <f>Input!X12</f>
        <v>0</v>
      </c>
      <c r="B69" s="670">
        <f>Input!Y12</f>
        <v>0</v>
      </c>
      <c r="C69" s="677">
        <f>Input!Z12</f>
        <v>0</v>
      </c>
      <c r="E69" s="673" t="e">
        <f t="shared" si="21"/>
        <v>#DIV/0!</v>
      </c>
      <c r="F69" s="668" t="e">
        <f t="shared" si="22"/>
        <v>#DIV/0!</v>
      </c>
      <c r="G69" s="674" t="e">
        <f t="shared" si="23"/>
        <v>#DIV/0!</v>
      </c>
      <c r="H69" s="662"/>
      <c r="I69" s="657"/>
      <c r="J69" s="664"/>
      <c r="K69" s="657"/>
    </row>
    <row r="70" spans="1:11" ht="11.25">
      <c r="A70" s="676">
        <f>Input!X13</f>
        <v>0</v>
      </c>
      <c r="B70" s="670">
        <f>Input!Y13</f>
        <v>0</v>
      </c>
      <c r="C70" s="677">
        <f>Input!Z13</f>
        <v>0</v>
      </c>
      <c r="E70" s="673" t="e">
        <f t="shared" si="21"/>
        <v>#DIV/0!</v>
      </c>
      <c r="F70" s="668" t="e">
        <f t="shared" si="22"/>
        <v>#DIV/0!</v>
      </c>
      <c r="G70" s="674" t="e">
        <f t="shared" si="23"/>
        <v>#DIV/0!</v>
      </c>
      <c r="H70" s="662"/>
      <c r="I70" s="657"/>
      <c r="J70" s="664"/>
      <c r="K70" s="657"/>
    </row>
    <row r="71" spans="1:11" ht="11.25">
      <c r="A71" s="676">
        <f>Input!X14</f>
        <v>0</v>
      </c>
      <c r="B71" s="670">
        <f>Input!Y14</f>
        <v>0</v>
      </c>
      <c r="C71" s="677">
        <f>Input!Z14</f>
        <v>0</v>
      </c>
      <c r="E71" s="673" t="e">
        <f t="shared" si="21"/>
        <v>#DIV/0!</v>
      </c>
      <c r="F71" s="668" t="e">
        <f t="shared" si="22"/>
        <v>#DIV/0!</v>
      </c>
      <c r="G71" s="674" t="e">
        <f t="shared" si="23"/>
        <v>#DIV/0!</v>
      </c>
      <c r="H71" s="662"/>
      <c r="I71" s="657"/>
      <c r="J71" s="664"/>
      <c r="K71" s="657"/>
    </row>
    <row r="72" spans="1:11" ht="11.25">
      <c r="A72" s="676">
        <f>Input!X15</f>
        <v>0</v>
      </c>
      <c r="B72" s="670">
        <f>Input!Y15</f>
        <v>0</v>
      </c>
      <c r="C72" s="677">
        <f>Input!Z15</f>
        <v>0</v>
      </c>
      <c r="E72" s="673" t="e">
        <f t="shared" si="21"/>
        <v>#DIV/0!</v>
      </c>
      <c r="F72" s="668" t="e">
        <f t="shared" si="22"/>
        <v>#DIV/0!</v>
      </c>
      <c r="G72" s="674" t="e">
        <f t="shared" si="23"/>
        <v>#DIV/0!</v>
      </c>
      <c r="H72" s="662"/>
      <c r="I72" s="657"/>
      <c r="J72" s="664"/>
      <c r="K72" s="657"/>
    </row>
    <row r="73" spans="1:11" ht="12" thickBot="1">
      <c r="A73" s="645">
        <f>Input!X16</f>
        <v>0</v>
      </c>
      <c r="B73" s="646">
        <f>Input!Y16</f>
        <v>0</v>
      </c>
      <c r="C73" s="647">
        <f>Input!Z16</f>
        <v>0</v>
      </c>
      <c r="E73" s="673" t="e">
        <f t="shared" si="21"/>
        <v>#DIV/0!</v>
      </c>
      <c r="F73" s="668" t="e">
        <f t="shared" si="22"/>
        <v>#DIV/0!</v>
      </c>
      <c r="G73" s="674" t="e">
        <f t="shared" si="23"/>
        <v>#DIV/0!</v>
      </c>
      <c r="H73" s="662"/>
      <c r="I73" s="657"/>
      <c r="J73" s="664"/>
      <c r="K73" s="657"/>
    </row>
    <row r="74" ht="12" thickBot="1">
      <c r="F74" s="665"/>
    </row>
    <row r="75" spans="5:7" ht="11.25">
      <c r="E75" s="654" t="s">
        <v>274</v>
      </c>
      <c r="F75" s="655" t="s">
        <v>275</v>
      </c>
      <c r="G75" s="666" t="s">
        <v>276</v>
      </c>
    </row>
    <row r="76" spans="5:7" ht="11.25">
      <c r="E76" s="681" t="s">
        <v>579</v>
      </c>
      <c r="F76" s="643" t="s">
        <v>579</v>
      </c>
      <c r="G76" s="667"/>
    </row>
    <row r="77" spans="5:6" ht="11.25">
      <c r="E77" s="682">
        <f>B65+B53</f>
        <v>0</v>
      </c>
      <c r="F77" s="674" t="e">
        <f>F53+F65</f>
        <v>#DIV/0!</v>
      </c>
    </row>
    <row r="78" spans="5:6" ht="11.25">
      <c r="E78" s="682">
        <f aca="true" t="shared" si="24" ref="E78:E85">B66+B54</f>
        <v>0</v>
      </c>
      <c r="F78" s="674" t="e">
        <f aca="true" t="shared" si="25" ref="F78:F85">F54+F66</f>
        <v>#DIV/0!</v>
      </c>
    </row>
    <row r="79" spans="5:6" ht="11.25">
      <c r="E79" s="682">
        <f t="shared" si="24"/>
        <v>0</v>
      </c>
      <c r="F79" s="674" t="e">
        <f t="shared" si="25"/>
        <v>#DIV/0!</v>
      </c>
    </row>
    <row r="80" spans="5:6" ht="11.25">
      <c r="E80" s="682">
        <f t="shared" si="24"/>
        <v>0</v>
      </c>
      <c r="F80" s="674" t="e">
        <f t="shared" si="25"/>
        <v>#DIV/0!</v>
      </c>
    </row>
    <row r="81" spans="5:6" ht="11.25">
      <c r="E81" s="682">
        <f t="shared" si="24"/>
        <v>0</v>
      </c>
      <c r="F81" s="674" t="e">
        <f t="shared" si="25"/>
        <v>#DIV/0!</v>
      </c>
    </row>
    <row r="82" spans="5:6" ht="11.25">
      <c r="E82" s="682">
        <f t="shared" si="24"/>
        <v>0</v>
      </c>
      <c r="F82" s="674" t="e">
        <f t="shared" si="25"/>
        <v>#DIV/0!</v>
      </c>
    </row>
    <row r="83" spans="5:6" ht="11.25">
      <c r="E83" s="682">
        <f t="shared" si="24"/>
        <v>0</v>
      </c>
      <c r="F83" s="674" t="e">
        <f t="shared" si="25"/>
        <v>#DIV/0!</v>
      </c>
    </row>
    <row r="84" spans="5:6" ht="11.25">
      <c r="E84" s="682">
        <f t="shared" si="24"/>
        <v>0</v>
      </c>
      <c r="F84" s="674" t="e">
        <f t="shared" si="25"/>
        <v>#DIV/0!</v>
      </c>
    </row>
    <row r="85" spans="5:6" ht="12" thickBot="1">
      <c r="E85" s="683">
        <f t="shared" si="24"/>
        <v>0</v>
      </c>
      <c r="F85" s="633" t="e">
        <f t="shared" si="25"/>
        <v>#DIV/0!</v>
      </c>
    </row>
  </sheetData>
  <mergeCells count="14">
    <mergeCell ref="I63:K63"/>
    <mergeCell ref="H1:J1"/>
    <mergeCell ref="K1:M1"/>
    <mergeCell ref="E1:G1"/>
    <mergeCell ref="E39:G39"/>
    <mergeCell ref="I39:K39"/>
    <mergeCell ref="E51:G51"/>
    <mergeCell ref="I51:K51"/>
    <mergeCell ref="E63:G63"/>
    <mergeCell ref="A63:C63"/>
    <mergeCell ref="A27:C27"/>
    <mergeCell ref="A14:C14"/>
    <mergeCell ref="A39:C39"/>
    <mergeCell ref="A51:C51"/>
  </mergeCells>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codeName="Sheet9"/>
  <dimension ref="A1:AS138"/>
  <sheetViews>
    <sheetView zoomScale="75" zoomScaleNormal="75" workbookViewId="0" topLeftCell="A1">
      <pane xSplit="1" topLeftCell="B1" activePane="topRight" state="frozen"/>
      <selection pane="topLeft" activeCell="A51" sqref="A51:B51"/>
      <selection pane="topRight" activeCell="AE16" sqref="AE16"/>
    </sheetView>
  </sheetViews>
  <sheetFormatPr defaultColWidth="9.140625" defaultRowHeight="12.75"/>
  <cols>
    <col min="1" max="1" width="7.00390625" style="0" bestFit="1" customWidth="1"/>
    <col min="2" max="2" width="8.140625" style="124" customWidth="1"/>
    <col min="3" max="3" width="8.57421875" style="124" customWidth="1"/>
    <col min="4" max="4" width="7.140625" style="124" customWidth="1"/>
    <col min="5" max="5" width="8.421875" style="124" customWidth="1"/>
    <col min="6" max="6" width="6.7109375" style="124" bestFit="1" customWidth="1"/>
    <col min="7" max="7" width="8.421875" style="124" customWidth="1"/>
    <col min="8" max="8" width="8.140625" style="124" customWidth="1"/>
    <col min="9" max="9" width="7.57421875" style="124" customWidth="1"/>
    <col min="10" max="11" width="7.8515625" style="124" customWidth="1"/>
    <col min="12" max="12" width="7.57421875" style="124" customWidth="1"/>
    <col min="13" max="13" width="8.00390625" style="124" customWidth="1"/>
    <col min="14" max="14" width="7.7109375" style="124" customWidth="1"/>
    <col min="15" max="15" width="8.421875" style="124" customWidth="1"/>
    <col min="16" max="16" width="7.00390625" style="0" customWidth="1"/>
    <col min="17" max="19" width="9.00390625" style="0" customWidth="1"/>
    <col min="20" max="20" width="19.7109375" style="0" customWidth="1"/>
    <col min="21" max="21" width="13.7109375" style="0" customWidth="1"/>
    <col min="22" max="22" width="15.57421875" style="0" customWidth="1"/>
    <col min="23" max="23" width="15.140625" style="124" customWidth="1"/>
    <col min="24" max="24" width="14.8515625" style="124" customWidth="1"/>
    <col min="25" max="26" width="11.421875" style="124" customWidth="1"/>
    <col min="27" max="27" width="9.421875" style="124" customWidth="1"/>
    <col min="28" max="29" width="8.421875" style="124" customWidth="1"/>
    <col min="31" max="31" width="8.7109375" style="0" customWidth="1"/>
    <col min="32" max="32" width="10.140625" style="0" customWidth="1"/>
    <col min="33" max="33" width="8.00390625" style="0" customWidth="1"/>
    <col min="34" max="34" width="8.140625" style="0" customWidth="1"/>
    <col min="36" max="39" width="10.57421875" style="0" customWidth="1"/>
    <col min="41" max="41" width="10.421875" style="0" customWidth="1"/>
  </cols>
  <sheetData>
    <row r="1" spans="1:45" ht="39" customHeight="1" thickBot="1">
      <c r="A1" s="1058" t="s">
        <v>701</v>
      </c>
      <c r="B1" s="1058"/>
      <c r="C1" s="1058"/>
      <c r="D1" s="1058"/>
      <c r="E1" s="1058"/>
      <c r="F1" s="1058"/>
      <c r="G1" s="1058"/>
      <c r="H1" s="1058"/>
      <c r="I1" s="1058"/>
      <c r="J1" s="1058"/>
      <c r="K1" s="1058"/>
      <c r="L1" s="1058"/>
      <c r="M1" s="1058"/>
      <c r="N1" s="1058"/>
      <c r="O1" s="1058"/>
      <c r="P1" s="1058"/>
      <c r="AA1"/>
      <c r="AB1"/>
      <c r="AC1"/>
      <c r="AS1" s="125"/>
    </row>
    <row r="2" spans="18:45" ht="13.5" thickBot="1">
      <c r="R2" s="126"/>
      <c r="S2" s="126"/>
      <c r="T2" s="1062" t="s">
        <v>702</v>
      </c>
      <c r="U2" s="1063"/>
      <c r="V2" s="1063"/>
      <c r="W2" s="1064"/>
      <c r="X2" s="1062" t="s">
        <v>312</v>
      </c>
      <c r="Y2" s="1063"/>
      <c r="Z2" s="1064"/>
      <c r="AA2"/>
      <c r="AB2" s="1059" t="s">
        <v>388</v>
      </c>
      <c r="AC2" s="1060"/>
      <c r="AD2" s="1061"/>
      <c r="AH2" s="130" t="s">
        <v>703</v>
      </c>
      <c r="AI2" s="1049" t="s">
        <v>704</v>
      </c>
      <c r="AJ2" s="1049"/>
      <c r="AK2" s="1049"/>
      <c r="AL2" s="1049"/>
      <c r="AM2" s="1049"/>
      <c r="AO2" t="s">
        <v>691</v>
      </c>
      <c r="AR2" t="s">
        <v>705</v>
      </c>
      <c r="AS2" s="125"/>
    </row>
    <row r="3" spans="1:45" ht="13.5" thickBot="1">
      <c r="A3" s="131" t="s">
        <v>415</v>
      </c>
      <c r="B3" s="132"/>
      <c r="C3" s="132"/>
      <c r="D3" s="132"/>
      <c r="E3" s="132"/>
      <c r="F3" s="132"/>
      <c r="G3" s="132"/>
      <c r="H3" s="132"/>
      <c r="I3" s="132"/>
      <c r="J3" s="132"/>
      <c r="K3" s="132"/>
      <c r="L3" s="132"/>
      <c r="M3" s="132"/>
      <c r="N3" s="132"/>
      <c r="O3" s="132"/>
      <c r="P3" s="133"/>
      <c r="R3" s="134"/>
      <c r="S3" s="134"/>
      <c r="T3" s="610" t="s">
        <v>574</v>
      </c>
      <c r="U3" s="574" t="s">
        <v>555</v>
      </c>
      <c r="V3" s="582" t="s">
        <v>557</v>
      </c>
      <c r="W3" s="606" t="s">
        <v>558</v>
      </c>
      <c r="X3" s="135" t="s">
        <v>706</v>
      </c>
      <c r="Y3" s="81" t="s">
        <v>579</v>
      </c>
      <c r="Z3" s="136" t="s">
        <v>707</v>
      </c>
      <c r="AA3"/>
      <c r="AB3" s="575" t="s">
        <v>707</v>
      </c>
      <c r="AC3" s="576" t="s">
        <v>579</v>
      </c>
      <c r="AD3" s="577" t="s">
        <v>706</v>
      </c>
      <c r="AE3" t="s">
        <v>483</v>
      </c>
      <c r="AF3" t="s">
        <v>484</v>
      </c>
      <c r="AH3" t="s">
        <v>708</v>
      </c>
      <c r="AI3">
        <v>0</v>
      </c>
      <c r="AJ3">
        <v>1</v>
      </c>
      <c r="AK3">
        <v>2</v>
      </c>
      <c r="AL3">
        <v>3</v>
      </c>
      <c r="AM3" s="137" t="s">
        <v>709</v>
      </c>
      <c r="AO3">
        <v>0.01</v>
      </c>
      <c r="AP3">
        <v>0.02</v>
      </c>
      <c r="AR3" s="382">
        <f>IF(Input!C34="","",IF(Input!C34="no data","no data",EXP(-0.0275*(Input!Y8+Input!AB8+Input!AE8))*Input!C34))</f>
      </c>
      <c r="AS3" s="125"/>
    </row>
    <row r="4" spans="2:45" ht="12.75">
      <c r="B4" s="1050" t="s">
        <v>710</v>
      </c>
      <c r="C4" s="1050"/>
      <c r="D4" s="1050"/>
      <c r="E4" s="1050"/>
      <c r="F4" s="1050"/>
      <c r="G4" s="1050"/>
      <c r="H4" s="1050"/>
      <c r="I4" s="1050"/>
      <c r="J4" s="1050"/>
      <c r="K4" s="1050"/>
      <c r="L4" s="1050"/>
      <c r="M4" s="1050"/>
      <c r="N4" s="1050"/>
      <c r="O4" s="1051"/>
      <c r="P4" s="126"/>
      <c r="Q4" s="126"/>
      <c r="R4" s="124"/>
      <c r="S4" s="124"/>
      <c r="T4" s="610">
        <f>IF(Input!A8="","",Input!A8)</f>
      </c>
      <c r="U4" s="574">
        <f>IF(Input!E8="","",Input!E8)</f>
      </c>
      <c r="V4" s="603">
        <f>IF(Input!J8="","",Input!J8)</f>
      </c>
      <c r="W4" s="607">
        <f>IF(Input!O8="","",Input!O8)</f>
      </c>
      <c r="X4" s="553">
        <f>IF(Input!AI8="","",Input!AI8)</f>
      </c>
      <c r="Y4" s="616">
        <f>IF(Input!AH8="","",Input!AH8)</f>
      </c>
      <c r="Z4" s="617">
        <f>IF(Input!AG8="","",Input!AG8)</f>
      </c>
      <c r="AA4"/>
      <c r="AB4" s="575">
        <f>IF(OR($U4="",$T13=""),"",IF(T13="organic",0.3,IF($T13="nonash",VLOOKUP($U4,AWCTable1,X14,FALSE),IF($T13="nonash; salt influenced",VLOOKUP($U4,AWCTable2,Z26,FALSE),IF($T13="vitrandic subgroups (no andic properties)",VLOOKUP($U4,AWCvit,X14,FALSE),IF(AND($T13="andisols or andic subgroups",Input!$AW$21="ashy"),VLOOKUP($U4,AWCashy,X14,FALSE),IF(AND($T13="andisols or andic subgroups",Input!$AW21="medial"),VLOOKUP($U4,AWCmedial,X14,FALSE),"")))))))</f>
      </c>
      <c r="AC4" s="576">
        <f>IF(OR($U4="",$T13=""),"",IF(T13="organic",0.45,IF($T13="nonash",VLOOKUP($U4,AWCTable1,Y14,FALSE),IF($T13="nonash; salt influenced",VLOOKUP($U4,AWCTable2,Y26,FALSE),IF($T13="vitrandic subgroups (no andic properties)",VLOOKUP($U4,AWCvit,Y14,FALSE),IF(AND($T13="andisols or andic subgroups",Input!$AW22="ashy"),VLOOKUP($U4,AWCashy,Y14,FALSE),IF(AND($T13="andisols or andic subgroups",Input!$AW22="medial"),VLOOKUP($U4,AWCmedial,Y14,FALSE),"")))))))</f>
      </c>
      <c r="AD4" s="577">
        <f>IF(OR($U4="",$T13=""),"",IF(T13="organic",0.6,IF($T13="nonash",VLOOKUP($U4,AWCTable1,Z14,FALSE),IF($T13="nonash; salt influenced",VLOOKUP($U4,AWCTable2,X26,FALSE),IF($T13="vitrandic subgroups (no andic properties)",VLOOKUP($U4,AWCvit,Z14,FALSE),IF(AND($T13="andisols or andic subgroups",Input!$AW21="ashy"),VLOOKUP($U4,AWCashy,Z14,FALSE),IF(AND($T13="andisols or andic subgroups",Input!$AW21="medial"),VLOOKUP($U4,AWCmedial,Z14,FALSE),"")))))))</f>
      </c>
      <c r="AE4">
        <f>IF(AND(Input!D8&lt;&gt;"",Input!C8&lt;&gt;""),ABS(Input!D8-Input!C8),"")</f>
      </c>
      <c r="AF4">
        <f>IF(U4="SPM",0,IF(U4="HPM",0,IF(U4="MPM",0,IF(T4="","",AE4*Complete!X34))))</f>
      </c>
      <c r="AH4" t="s">
        <v>540</v>
      </c>
      <c r="AI4">
        <v>0.32</v>
      </c>
      <c r="AJ4">
        <v>0.28</v>
      </c>
      <c r="AK4">
        <v>0.24</v>
      </c>
      <c r="AL4">
        <v>0.2</v>
      </c>
      <c r="AM4">
        <v>0.17</v>
      </c>
      <c r="AO4">
        <v>0.02</v>
      </c>
      <c r="AP4">
        <v>0.02</v>
      </c>
      <c r="AR4" s="383">
        <f>IF(Input!C35="","",IF(Input!C35="no data","no data",EXP(-0.0275*(Input!Y9+Input!AB9+Input!AE9))*Input!C35))</f>
      </c>
      <c r="AS4" s="125"/>
    </row>
    <row r="5" spans="2:45" ht="12.75">
      <c r="B5" s="139">
        <v>0</v>
      </c>
      <c r="C5" s="139">
        <v>10</v>
      </c>
      <c r="D5" s="139">
        <v>15</v>
      </c>
      <c r="E5" s="139">
        <v>20</v>
      </c>
      <c r="F5" s="139">
        <v>25</v>
      </c>
      <c r="G5" s="139">
        <v>30</v>
      </c>
      <c r="H5" s="139">
        <v>35</v>
      </c>
      <c r="I5" s="139">
        <v>40</v>
      </c>
      <c r="J5" s="139">
        <v>45</v>
      </c>
      <c r="K5" s="139">
        <v>50</v>
      </c>
      <c r="L5" s="139">
        <v>55</v>
      </c>
      <c r="M5" s="139">
        <v>60</v>
      </c>
      <c r="N5" s="139">
        <v>65</v>
      </c>
      <c r="O5" s="144">
        <v>70</v>
      </c>
      <c r="P5" s="144">
        <v>75</v>
      </c>
      <c r="Q5" s="140"/>
      <c r="R5" s="124"/>
      <c r="S5" s="124"/>
      <c r="T5" s="611">
        <f>IF(Input!A9="","",Input!A9)</f>
      </c>
      <c r="U5" s="601">
        <f>IF(Input!E9="","",Input!E9)</f>
      </c>
      <c r="V5" s="604">
        <f>IF(Input!J9="","",Input!J9)</f>
      </c>
      <c r="W5" s="608">
        <f>IF(Input!O9="","",Input!O9)</f>
      </c>
      <c r="X5" s="135">
        <f>IF(Input!AI9="","",Input!AI9)</f>
      </c>
      <c r="Y5" s="555">
        <f>IF(Input!AH9="","",Input!AH9)</f>
      </c>
      <c r="Z5" s="620">
        <f>IF(Input!AG9="","",Input!AG9)</f>
      </c>
      <c r="AA5"/>
      <c r="AB5" s="575">
        <f>IF(OR($U5="",$T14=""),"",IF(T14="organic",0.3,IF($T14="nonash",VLOOKUP($U5,AWCTable1,X15,FALSE),IF($T14="nonash; salt influenced",VLOOKUP($U5,AWCTable2,Z27,FALSE),IF($T14="vitrandic subgroups (no andic properties)",VLOOKUP($U5,AWCvit,X15,FALSE),IF(AND($T14="andisols or andic subgroups",Input!$AW$21="ashy"),VLOOKUP($U5,AWCashy,X15,FALSE),IF(AND($T14="andisols or andic subgroups",Input!$AW22="medial"),VLOOKUP($U5,AWCmedial,X15,FALSE),"")))))))</f>
      </c>
      <c r="AC5" s="576">
        <f>IF(OR($U5="",$T14=""),"",IF(T14="organic",0.45,IF($T14="nonash",VLOOKUP($U5,AWCTable1,Y15,FALSE),IF($T14="nonash; salt influenced",VLOOKUP($U5,AWCTable2,Y27,FALSE),IF($T14="vitrandic subgroups (no andic properties)",VLOOKUP($U5,AWCvit,Y15,FALSE),IF(AND($T14="andisols or andic subgroups",Input!$AW23="ashy"),VLOOKUP($U5,AWCashy,Y15,FALSE),IF(AND($T14="andisols or andic subgroups",Input!$AW23="medial"),VLOOKUP($U5,AWCmedial,Y15,FALSE),"")))))))</f>
      </c>
      <c r="AD5" s="577">
        <f>IF(OR($U5="",$T14=""),"",IF(T14="organic",0.6,IF($T14="nonash",VLOOKUP($U5,AWCTable1,Z15,FALSE),IF($T14="nonash; salt influenced",VLOOKUP($U5,AWCTable2,X27,FALSE),IF($T14="vitrandic subgroups (no andic properties)",VLOOKUP($U5,AWCvit,Z15,FALSE),IF(AND($T14="andisols or andic subgroups",Input!$AW22="ashy"),VLOOKUP($U5,AWCashy,Z15,FALSE),IF(AND($T14="andisols or andic subgroups",Input!$AW22="medial"),VLOOKUP($U5,AWCmedial,Z15,FALSE),"")))))))</f>
      </c>
      <c r="AE5">
        <f>IF(AND(Input!D9&lt;&gt;"",Input!C9&lt;&gt;""),ABS(Input!D9-Input!C9),"")</f>
      </c>
      <c r="AF5">
        <f>IF(U5="SPM",0,IF(U5="HPM",0,IF(U5="MPM",0,IF(T5="","",AE5*Complete!X35))))</f>
      </c>
      <c r="AH5" t="s">
        <v>611</v>
      </c>
      <c r="AI5">
        <v>0.43</v>
      </c>
      <c r="AJ5">
        <v>0.37</v>
      </c>
      <c r="AK5">
        <v>0.32</v>
      </c>
      <c r="AL5">
        <v>0.24</v>
      </c>
      <c r="AM5">
        <v>0.2</v>
      </c>
      <c r="AO5">
        <v>0.03</v>
      </c>
      <c r="AP5">
        <v>0.02</v>
      </c>
      <c r="AR5" s="383">
        <f>IF(Input!C36="","",IF(Input!C36="no data","no data",EXP(-0.0275*(Input!Y10+Input!AB10+Input!AE10))*Input!C36))</f>
      </c>
      <c r="AS5" s="125"/>
    </row>
    <row r="6" spans="1:45" ht="12.75">
      <c r="A6" t="s">
        <v>540</v>
      </c>
      <c r="B6" s="124" t="s">
        <v>711</v>
      </c>
      <c r="C6" s="124" t="s">
        <v>712</v>
      </c>
      <c r="D6" s="124" t="s">
        <v>712</v>
      </c>
      <c r="E6" s="124" t="s">
        <v>713</v>
      </c>
      <c r="F6" s="124" t="s">
        <v>714</v>
      </c>
      <c r="G6" s="124" t="s">
        <v>715</v>
      </c>
      <c r="H6" s="124" t="s">
        <v>716</v>
      </c>
      <c r="I6" s="124" t="s">
        <v>717</v>
      </c>
      <c r="J6" s="124" t="s">
        <v>718</v>
      </c>
      <c r="K6" s="124" t="s">
        <v>719</v>
      </c>
      <c r="L6" s="124" t="s">
        <v>720</v>
      </c>
      <c r="M6" s="124" t="s">
        <v>721</v>
      </c>
      <c r="N6" s="124" t="s">
        <v>721</v>
      </c>
      <c r="O6" s="124" t="s">
        <v>722</v>
      </c>
      <c r="P6" s="124" t="s">
        <v>723</v>
      </c>
      <c r="Q6" s="124"/>
      <c r="R6" s="124"/>
      <c r="S6" s="124"/>
      <c r="T6" s="611">
        <f>IF(Input!A10="","",Input!A10)</f>
      </c>
      <c r="U6" s="601">
        <f>IF(Input!E10="","",Input!E10)</f>
      </c>
      <c r="V6" s="604">
        <f>IF(Input!J10="","",Input!J10)</f>
      </c>
      <c r="W6" s="608">
        <f>IF(Input!O10="","",Input!O10)</f>
      </c>
      <c r="X6" s="618">
        <f>IF(Input!AI10="","",Input!AI10)</f>
      </c>
      <c r="Y6" s="619">
        <f>IF(Input!AH10="","",Input!AH10)</f>
      </c>
      <c r="Z6" s="620">
        <f>IF(Input!AG10="","",Input!AG10)</f>
      </c>
      <c r="AA6"/>
      <c r="AB6" s="575">
        <f>IF(OR($U6="",$T15=""),"",IF(T15="organic",0.3,IF($T15="nonash",VLOOKUP($U6,AWCTable1,X16,FALSE),IF($T15="nonash; salt influenced",VLOOKUP($U6,AWCTable2,Z28,FALSE),IF($T15="vitrandic subgroups (no andic properties)",VLOOKUP($U6,AWCvit,X16,FALSE),IF(AND($T15="andisols or andic subgroups",Input!$AW$21="ashy"),VLOOKUP($U6,AWCashy,X16,FALSE),IF(AND($T15="andisols or andic subgroups",Input!$AW23="medial"),VLOOKUP($U6,AWCmedial,X16,FALSE),"")))))))</f>
      </c>
      <c r="AC6" s="576">
        <f>IF(OR($U6="",$T16=""),"",IF(T15="organic",0.45,IF($T16="nonash",VLOOKUP($U6,AWCTable1,Y16,FALSE),IF($T16="nonash; salt influenced",VLOOKUP($U6,AWCTable2,Y28,FALSE),IF($T16="vitrandic subgroups (no andic properties)",VLOOKUP($U6,AWCvit,Y16,FALSE),IF(AND($T16="andisols or andic subgroups",Input!$AW24="ashy"),VLOOKUP($U6,AWCashy,Y16,FALSE),IF(AND($T16="andisols or andic subgroups",Input!$AW24="medial"),VLOOKUP($U6,AWCmedial,Y16,FALSE),"")))))))</f>
      </c>
      <c r="AD6" s="577">
        <f>IF(OR($U6="",$T15=""),"",IF(T15="organic",0.6,IF($T15="nonash",VLOOKUP($U6,AWCTable1,Z16,FALSE),IF($T15="nonash; salt influenced",VLOOKUP($U6,AWCTable2,X28,FALSE),IF($T15="vitrandic subgroups (no andic properties)",VLOOKUP($U6,AWCvit,Z16,FALSE),IF(AND($T15="andisols or andic subgroups",Input!$AW23="ashy"),VLOOKUP($U6,AWCashy,Z16,FALSE),IF(AND($T15="andisols or andic subgroups",Input!$AW23="medial"),VLOOKUP($U6,AWCmedial,Z16,FALSE),"")))))))</f>
      </c>
      <c r="AE6">
        <f>IF(AND(Input!D10&lt;&gt;"",Input!C10&lt;&gt;""),ABS(Input!D10-Input!C10),"")</f>
      </c>
      <c r="AF6">
        <f>IF(U6="SPM",0,IF(U6="HPM",0,IF(U6="MPM",0,IF(T6="","",AE6*Complete!X36))))</f>
      </c>
      <c r="AH6" t="s">
        <v>589</v>
      </c>
      <c r="AI6">
        <v>0.49</v>
      </c>
      <c r="AJ6">
        <v>0.43</v>
      </c>
      <c r="AK6">
        <v>0.37</v>
      </c>
      <c r="AL6">
        <v>0.32</v>
      </c>
      <c r="AM6">
        <v>0.28</v>
      </c>
      <c r="AO6">
        <v>0.04</v>
      </c>
      <c r="AP6">
        <v>0.05</v>
      </c>
      <c r="AR6" s="383">
        <f>IF(Input!C37="","",IF(Input!C37="no data","no data",EXP(-0.0275*(Input!Y11+Input!AB11+Input!AE11))*Input!C37))</f>
      </c>
      <c r="AS6" s="125"/>
    </row>
    <row r="7" spans="1:45" ht="12.75">
      <c r="A7" t="s">
        <v>611</v>
      </c>
      <c r="B7" s="124" t="s">
        <v>724</v>
      </c>
      <c r="C7" s="124" t="s">
        <v>725</v>
      </c>
      <c r="D7" s="124" t="s">
        <v>726</v>
      </c>
      <c r="E7" s="124" t="s">
        <v>712</v>
      </c>
      <c r="F7" s="124" t="s">
        <v>713</v>
      </c>
      <c r="G7" s="124" t="s">
        <v>727</v>
      </c>
      <c r="H7" s="124" t="s">
        <v>715</v>
      </c>
      <c r="I7" s="124" t="s">
        <v>716</v>
      </c>
      <c r="J7" s="124" t="s">
        <v>718</v>
      </c>
      <c r="K7" s="124" t="s">
        <v>728</v>
      </c>
      <c r="L7" s="124" t="s">
        <v>719</v>
      </c>
      <c r="M7" s="124" t="s">
        <v>720</v>
      </c>
      <c r="N7" s="124" t="s">
        <v>721</v>
      </c>
      <c r="O7" s="124" t="s">
        <v>722</v>
      </c>
      <c r="P7" s="124" t="s">
        <v>723</v>
      </c>
      <c r="Q7" s="124"/>
      <c r="R7" s="124"/>
      <c r="S7" s="124"/>
      <c r="T7" s="611">
        <f>IF(Input!A11="","",Input!A11)</f>
      </c>
      <c r="U7" s="601">
        <f>IF(Input!E11="","",Input!E11)</f>
      </c>
      <c r="V7" s="604">
        <f>IF(Input!J11="","",Input!J11)</f>
      </c>
      <c r="W7" s="608">
        <f>IF(Input!O11="","",Input!O11)</f>
      </c>
      <c r="X7" s="554">
        <f>IF(Input!AI11="","",Input!AI11)</f>
      </c>
      <c r="Y7" s="81">
        <f>IF(Input!AH11="","",Input!AH11)</f>
      </c>
      <c r="Z7" s="620">
        <f>IF(Input!AG11="","",Input!AG11)</f>
      </c>
      <c r="AA7"/>
      <c r="AB7" s="575">
        <f>IF(OR($U7="",$T16=""),"",IF(T16="organic",0.3,IF($T16="nonash",VLOOKUP($U7,AWCTable1,X17,FALSE),IF($T16="nonash; salt influenced",VLOOKUP($U7,AWCTable2,Z29,FALSE),IF($T16="vitrandic subgroups (no andic properties)",VLOOKUP($U7,AWCvit,X17,FALSE),IF(AND($T16="andisols or andic subgroups",Input!$AW$21="ashy"),VLOOKUP($U7,AWCashy,X17,FALSE),IF(AND($T16="andisols or andic subgroups",Input!$AW24="medial"),VLOOKUP($U7,AWCmedial,X17,FALSE),"")))))))</f>
      </c>
      <c r="AC7" s="576">
        <f>IF(OR($U7="",$T17=""),"",IF(T16="organic",0.45,IF($T17="nonash",VLOOKUP($U7,AWCTable1,Y17,FALSE),IF($T17="nonash; salt influenced",VLOOKUP($U7,AWCTable2,Y29,FALSE),IF($T17="vitrandic subgroups (no andic properties)",VLOOKUP($U7,AWCvit,Y17,FALSE),IF(AND($T17="andisols or andic subgroups",Input!$AW25="ashy"),VLOOKUP($U7,AWCashy,Y17,FALSE),IF(AND($T17="andisols or andic subgroups",Input!$AW25="medial"),VLOOKUP($U7,AWCmedial,Y17,FALSE),"")))))))</f>
      </c>
      <c r="AD7" s="577">
        <f>IF(OR($U7="",$T16=""),"",IF(T16="organic",0.6,IF($T16="nonash",VLOOKUP($U7,AWCTable1,Z17,FALSE),IF($T16="nonash; salt influenced",VLOOKUP($U7,AWCTable2,X29,FALSE),IF($T16="vitrandic subgroups (no andic properties)",VLOOKUP($U7,AWCvit,Z17,FALSE),IF(AND($T16="andisols or andic subgroups",Input!$AW24="ashy"),VLOOKUP($U7,AWCashy,Z17,FALSE),IF(AND($T16="andisols or andic subgroups",Input!$AW24="medial"),VLOOKUP($U7,AWCmedial,Z17,FALSE),"")))))))</f>
      </c>
      <c r="AE7">
        <f>IF(AND(Input!D11&lt;&gt;"",Input!C11&lt;&gt;""),ABS(Input!D11-Input!C11),"")</f>
      </c>
      <c r="AF7">
        <f>IF(U7="SPM",0,IF(U7="HPM",0,IF(U7="MPM",0,IF(T7="","",AE7*Complete!X37))))</f>
      </c>
      <c r="AH7" t="s">
        <v>590</v>
      </c>
      <c r="AI7">
        <v>0.64</v>
      </c>
      <c r="AJ7">
        <v>0.55</v>
      </c>
      <c r="AK7">
        <v>0.49</v>
      </c>
      <c r="AL7">
        <v>0.43</v>
      </c>
      <c r="AM7">
        <v>0.37</v>
      </c>
      <c r="AO7">
        <v>0.05</v>
      </c>
      <c r="AP7">
        <v>0.05</v>
      </c>
      <c r="AR7" s="383">
        <f>IF(Input!C38="","",IF(Input!C38="no data","no data",EXP(-0.0275*(Input!Y12+Input!AB12+Input!AE12))*Input!C38))</f>
      </c>
      <c r="AS7" s="125"/>
    </row>
    <row r="8" spans="1:45" ht="12.75">
      <c r="A8" t="s">
        <v>606</v>
      </c>
      <c r="B8" s="124" t="s">
        <v>724</v>
      </c>
      <c r="C8" s="124" t="s">
        <v>725</v>
      </c>
      <c r="D8" s="124" t="s">
        <v>726</v>
      </c>
      <c r="E8" s="124" t="s">
        <v>712</v>
      </c>
      <c r="F8" s="124" t="s">
        <v>713</v>
      </c>
      <c r="G8" s="124" t="s">
        <v>727</v>
      </c>
      <c r="H8" s="124" t="s">
        <v>715</v>
      </c>
      <c r="I8" s="124" t="s">
        <v>716</v>
      </c>
      <c r="J8" s="124" t="s">
        <v>718</v>
      </c>
      <c r="K8" s="124" t="s">
        <v>728</v>
      </c>
      <c r="L8" s="124" t="s">
        <v>719</v>
      </c>
      <c r="M8" s="124" t="s">
        <v>720</v>
      </c>
      <c r="N8" s="124" t="s">
        <v>721</v>
      </c>
      <c r="O8" s="124" t="s">
        <v>722</v>
      </c>
      <c r="P8" s="124" t="s">
        <v>723</v>
      </c>
      <c r="Q8" s="124"/>
      <c r="R8" s="124"/>
      <c r="S8" s="124"/>
      <c r="T8" s="611">
        <f>IF(Input!A12="","",Input!A12)</f>
      </c>
      <c r="U8" s="601">
        <f>IF(Input!E12="","",Input!E12)</f>
      </c>
      <c r="V8" s="604">
        <f>IF(Input!J12="","",Input!J12)</f>
      </c>
      <c r="W8" s="608">
        <f>IF(Input!O12="","",Input!O12)</f>
      </c>
      <c r="X8" s="135">
        <f>IF(Input!AI12="","",Input!AI12)</f>
      </c>
      <c r="Y8" s="555">
        <f>IF(Input!AH12="","",Input!AH12)</f>
      </c>
      <c r="Z8" s="620">
        <f>IF(Input!AG12="","",Input!AG12)</f>
      </c>
      <c r="AA8"/>
      <c r="AB8" s="575">
        <f>IF(OR($U8="",$T17=""),"",IF(T17="organic",0.3,IF($T17="nonash",VLOOKUP($U8,AWCTable1,X18,FALSE),IF($T17="nonash; salt influenced",VLOOKUP($U8,AWCTable2,Z30,FALSE),IF($T17="vitrandic subgroups (no andic properties)",VLOOKUP($U8,AWCvit,X18,FALSE),IF(AND($T17="andisols or andic subgroups",Input!$AW$21="ashy"),VLOOKUP($U8,AWCashy,X18,FALSE),IF(AND($T17="andisols or andic subgroups",Input!$AW25="medial"),VLOOKUP($U8,AWCmedial,X18,FALSE),"")))))))</f>
      </c>
      <c r="AC8" s="576">
        <f>IF(OR($U8="",$T18=""),"",IF(T17="organic",0.45,IF($T18="nonash",VLOOKUP($U8,AWCTable1,Y18,FALSE),IF($T18="nonash; salt influenced",VLOOKUP($U8,AWCTable2,Y30,FALSE),IF($T18="vitrandic subgroups (no andic properties)",VLOOKUP($U8,AWCvit,Y18,FALSE),IF(AND($T18="andisols or andic subgroups",Input!$AW26="ashy"),VLOOKUP($U8,AWCashy,Y18,FALSE),IF(AND($T18="andisols or andic subgroups",Input!$AW26="medial"),VLOOKUP($U8,AWCmedial,Y18,FALSE),"")))))))</f>
      </c>
      <c r="AD8" s="577">
        <f>IF(OR($U8="",$T17=""),"",IF(T17="organic",0.6,IF($T17="nonash",VLOOKUP($U8,AWCTable1,Z18,FALSE),IF($T17="nonash; salt influenced",VLOOKUP($U8,AWCTable2,X30,FALSE),IF($T17="vitrandic subgroups (no andic properties)",VLOOKUP($U8,AWCvit,Z18,FALSE),IF(AND($T17="andisols or andic subgroups",Input!$AW25="ashy"),VLOOKUP($U8,AWCashy,Z18,FALSE),IF(AND($T17="andisols or andic subgroups",Input!$AW25="medial"),VLOOKUP($U8,AWCmedial,Z18,FALSE),"")))))))</f>
      </c>
      <c r="AE8">
        <f>IF(AND(Input!D12&lt;&gt;"",Input!C12&lt;&gt;""),ABS(Input!D12-Input!C12),"")</f>
      </c>
      <c r="AF8">
        <f>IF(U8="SPM",0,IF(U8="HPM",0,IF(U8="MPM",0,IF(T8="","",AE8*Complete!X38))))</f>
      </c>
      <c r="AH8" t="s">
        <v>578</v>
      </c>
      <c r="AI8">
        <v>0.43</v>
      </c>
      <c r="AJ8">
        <v>0.37</v>
      </c>
      <c r="AK8">
        <v>0.32</v>
      </c>
      <c r="AL8">
        <v>0.28</v>
      </c>
      <c r="AM8">
        <v>0.24</v>
      </c>
      <c r="AO8">
        <v>0.06</v>
      </c>
      <c r="AP8">
        <v>0.05</v>
      </c>
      <c r="AR8" s="383">
        <f>IF(Input!C39="","",IF(Input!C39="no data","no data",EXP(-0.0275*(Input!Y13+Input!AB13+Input!AE13))*Input!C39))</f>
      </c>
      <c r="AS8" s="125"/>
    </row>
    <row r="9" spans="1:45" ht="12.75">
      <c r="A9" t="s">
        <v>589</v>
      </c>
      <c r="B9" s="124" t="s">
        <v>729</v>
      </c>
      <c r="C9" s="124" t="s">
        <v>730</v>
      </c>
      <c r="D9" s="124" t="s">
        <v>731</v>
      </c>
      <c r="E9" s="124" t="s">
        <v>724</v>
      </c>
      <c r="F9" s="124" t="s">
        <v>711</v>
      </c>
      <c r="G9" s="124" t="s">
        <v>725</v>
      </c>
      <c r="H9" s="124" t="s">
        <v>712</v>
      </c>
      <c r="I9" s="124" t="s">
        <v>713</v>
      </c>
      <c r="J9" s="124" t="s">
        <v>727</v>
      </c>
      <c r="K9" s="124" t="s">
        <v>732</v>
      </c>
      <c r="L9" s="124" t="s">
        <v>718</v>
      </c>
      <c r="M9" s="124" t="s">
        <v>719</v>
      </c>
      <c r="N9" s="124" t="s">
        <v>720</v>
      </c>
      <c r="O9" s="124" t="s">
        <v>721</v>
      </c>
      <c r="P9" s="124" t="s">
        <v>722</v>
      </c>
      <c r="Q9" s="124"/>
      <c r="R9" s="124"/>
      <c r="S9" s="124"/>
      <c r="T9" s="611">
        <f>IF(Input!A13="","",Input!A13)</f>
      </c>
      <c r="U9" s="601">
        <f>IF(Input!E13="","",Input!E13)</f>
      </c>
      <c r="V9" s="604">
        <f>IF(Input!J13="","",Input!J13)</f>
      </c>
      <c r="W9" s="608">
        <f>IF(Input!O13="","",Input!O13)</f>
      </c>
      <c r="X9" s="618">
        <f>IF(Input!AI13="","",Input!AI13)</f>
      </c>
      <c r="Y9" s="555">
        <f>IF(Input!AH13="","",Input!AH13)</f>
      </c>
      <c r="Z9" s="620">
        <f>IF(Input!AG13="","",Input!AG13)</f>
      </c>
      <c r="AA9"/>
      <c r="AB9" s="575">
        <f>IF(OR($U9="",$T18=""),"",IF(T18="organic",0.3,IF($T18="nonash",VLOOKUP($U9,AWCTable1,X19,FALSE),IF($T18="nonash; salt influenced",VLOOKUP($U9,AWCTable2,Z31,FALSE),IF($T18="vitrandic subgroups (no andic properties)",VLOOKUP($U9,AWCvit,X19,FALSE),IF(AND($T18="andisols or andic subgroups",Input!$AW$21="ashy"),VLOOKUP($U9,AWCashy,X19,FALSE),IF(AND($T18="andisols or andic subgroups",Input!$AW26="medial"),VLOOKUP($U9,AWCmedial,X19,FALSE),"")))))))</f>
      </c>
      <c r="AC9" s="576">
        <f>IF(OR($U9="",$T19=""),"",IF(T18="organic",0.45,IF($T19="nonash",VLOOKUP($U9,AWCTable1,Y19,FALSE),IF($T19="nonash; salt influenced",VLOOKUP($U9,AWCTable2,Y31,FALSE),IF($T19="vitrandic subgroups (no andic properties)",VLOOKUP($U9,AWCvit,Y19,FALSE),IF(AND($T19="andisols or andic subgroups",Input!$AW27="ashy"),VLOOKUP($U9,AWCashy,Y19,FALSE),IF(AND($T19="andisols or andic subgroups",Input!$AW27="medial"),VLOOKUP($U9,AWCmedial,Y19,FALSE),"")))))))</f>
      </c>
      <c r="AD9" s="577">
        <f>IF(OR($U9="",$T18=""),"",IF(T18="organic",0.6,IF($T18="nonash",VLOOKUP($U9,AWCTable1,Z19,FALSE),IF($T18="nonash; salt influenced",VLOOKUP($U9,AWCTable2,X31,FALSE),IF($T18="vitrandic subgroups (no andic properties)",VLOOKUP($U9,AWCvit,Z19,FALSE),IF(AND($T18="andisols or andic subgroups",Input!$AW26="ashy"),VLOOKUP($U9,AWCashy,Z19,FALSE),IF(AND($T18="andisols or andic subgroups",Input!$AW26="medial"),VLOOKUP($U9,AWCmedial,Z19,FALSE),"")))))))</f>
      </c>
      <c r="AE9">
        <f>IF(AND(Input!D13&lt;&gt;"",Input!C13&lt;&gt;""),ABS(Input!D13-Input!C13),"")</f>
      </c>
      <c r="AF9">
        <f>IF(U9="SPM",0,IF(U9="HPM",0,IF(U9="MPM",0,IF(T9="","",AE9*Complete!X39))))</f>
      </c>
      <c r="AH9" t="s">
        <v>546</v>
      </c>
      <c r="AI9">
        <v>0.37</v>
      </c>
      <c r="AJ9">
        <v>0.32</v>
      </c>
      <c r="AK9">
        <v>0.28</v>
      </c>
      <c r="AL9">
        <v>0.25</v>
      </c>
      <c r="AM9">
        <v>0.2</v>
      </c>
      <c r="AO9">
        <v>0.07</v>
      </c>
      <c r="AP9">
        <v>0.05</v>
      </c>
      <c r="AR9" s="383">
        <f>IF(Input!C40="","",IF(Input!C40="no data","no data",EXP(-0.0275*(Input!Y14+Input!AB14+Input!AE14))*Input!C40))</f>
      </c>
      <c r="AS9" s="145"/>
    </row>
    <row r="10" spans="1:44" ht="12.75">
      <c r="A10" t="s">
        <v>546</v>
      </c>
      <c r="B10" s="124" t="s">
        <v>729</v>
      </c>
      <c r="C10" s="124" t="s">
        <v>730</v>
      </c>
      <c r="D10" s="124" t="s">
        <v>731</v>
      </c>
      <c r="E10" s="124" t="s">
        <v>724</v>
      </c>
      <c r="F10" s="124" t="s">
        <v>711</v>
      </c>
      <c r="G10" s="124" t="s">
        <v>725</v>
      </c>
      <c r="H10" s="124" t="s">
        <v>712</v>
      </c>
      <c r="I10" s="124" t="s">
        <v>713</v>
      </c>
      <c r="J10" s="124" t="s">
        <v>727</v>
      </c>
      <c r="K10" s="124" t="s">
        <v>732</v>
      </c>
      <c r="L10" s="124" t="s">
        <v>718</v>
      </c>
      <c r="M10" s="124" t="s">
        <v>719</v>
      </c>
      <c r="N10" s="124" t="s">
        <v>720</v>
      </c>
      <c r="O10" s="124" t="s">
        <v>721</v>
      </c>
      <c r="P10" s="124" t="s">
        <v>722</v>
      </c>
      <c r="Q10" s="124"/>
      <c r="R10" s="124"/>
      <c r="S10" s="124"/>
      <c r="T10" s="611">
        <f>IF(Input!A14="","",Input!A14)</f>
      </c>
      <c r="U10" s="601">
        <f>IF(Input!E14="","",Input!E14)</f>
      </c>
      <c r="V10" s="604">
        <f>IF(Input!J14="","",Input!J14)</f>
      </c>
      <c r="W10" s="608">
        <f>IF(Input!O14="","",Input!O14)</f>
      </c>
      <c r="X10" s="618">
        <f>IF(Input!AI14="","",Input!AI14)</f>
      </c>
      <c r="Y10" s="555">
        <f>IF(Input!AH14="","",Input!AH14)</f>
      </c>
      <c r="Z10" s="620">
        <f>IF(Input!AG14="","",Input!AG14)</f>
      </c>
      <c r="AA10"/>
      <c r="AB10" s="575">
        <f>IF(OR($U10="",$T19=""),"",IF(T19="organic",0.3,IF($T19="nonash",VLOOKUP($U10,AWCTable1,X20,FALSE),IF($T19="nonash; salt influenced",VLOOKUP($U10,AWCTable2,Z32,FALSE),IF($T19="vitrandic subgroups (no andic properties)",VLOOKUP($U10,AWCvit,X20,FALSE),IF(AND($T19="andisols or andic subgroups",Input!$AW$21="ashy"),VLOOKUP($U10,AWCashy,X20,FALSE),IF(AND($T19="andisols or andic subgroups",Input!$AW27="medial"),VLOOKUP($U10,AWCmedial,X20,FALSE),"")))))))</f>
      </c>
      <c r="AC10" s="576">
        <f>IF(OR($U10="",$T20=""),"",IF(T19="organic",0.45,IF($T20="nonash",VLOOKUP($U10,AWCTable1,Y20,FALSE),IF($T20="nonash; salt influenced",VLOOKUP($U10,AWCTable2,Y32,FALSE),IF($T20="vitrandic subgroups (no andic properties)",VLOOKUP($U10,AWCvit,Y20,FALSE),IF(AND($T20="andisols or andic subgroups",Input!$AW28="ashy"),VLOOKUP($U10,AWCashy,Y20,FALSE),IF(AND($T20="andisols or andic subgroups",Input!$AW28="medial"),VLOOKUP($U10,AWCmedial,Y20,FALSE),"")))))))</f>
      </c>
      <c r="AD10" s="577">
        <f>IF(OR($U10="",$T19=""),"",IF(T19="organic",0.6,IF($T19="nonash",VLOOKUP($U10,AWCTable1,Z20,FALSE),IF($T19="nonash; salt influenced",VLOOKUP($U10,AWCTable2,X32,FALSE),IF($T19="vitrandic subgroups (no andic properties)",VLOOKUP($U10,AWCvit,Z20,FALSE),IF(AND($T19="andisols or andic subgroups",Input!$AW27="ashy"),VLOOKUP($U10,AWCashy,Z20,FALSE),IF(AND($T19="andisols or andic subgroups",Input!$AW27="medial"),VLOOKUP($U10,AWCmedial,Z20,FALSE),"")))))))</f>
      </c>
      <c r="AE10">
        <f>IF(AND(Input!D14&lt;&gt;"",Input!C14&lt;&gt;""),ABS(Input!D14-Input!C14),"")</f>
      </c>
      <c r="AF10">
        <f>IF(U10="SPM",0,IF(U10="HPM",0,IF(U10="MPM",0,IF(T10="","",AE10*Complete!X40))))</f>
      </c>
      <c r="AH10" t="s">
        <v>608</v>
      </c>
      <c r="AI10">
        <v>0.28</v>
      </c>
      <c r="AJ10">
        <v>0.24</v>
      </c>
      <c r="AK10">
        <v>0.2</v>
      </c>
      <c r="AL10">
        <v>0.17</v>
      </c>
      <c r="AM10">
        <v>0.15</v>
      </c>
      <c r="AO10">
        <v>0.08</v>
      </c>
      <c r="AP10">
        <v>0.1</v>
      </c>
      <c r="AR10" s="383">
        <f>IF(Input!C41="","",IF(Input!C41="no data","no data",EXP(-0.0275*(Input!Y15+Input!AB15+Input!AE15))*Input!C41))</f>
      </c>
    </row>
    <row r="11" spans="1:44" ht="13.5" thickBot="1">
      <c r="A11" s="145" t="s">
        <v>608</v>
      </c>
      <c r="B11" s="389" t="s">
        <v>711</v>
      </c>
      <c r="C11" s="389" t="s">
        <v>712</v>
      </c>
      <c r="D11" s="389" t="s">
        <v>712</v>
      </c>
      <c r="E11" s="389" t="s">
        <v>713</v>
      </c>
      <c r="F11" s="389" t="s">
        <v>714</v>
      </c>
      <c r="G11" s="389" t="s">
        <v>715</v>
      </c>
      <c r="H11" s="389" t="s">
        <v>716</v>
      </c>
      <c r="I11" s="389" t="s">
        <v>717</v>
      </c>
      <c r="J11" s="389" t="s">
        <v>718</v>
      </c>
      <c r="K11" s="389" t="s">
        <v>719</v>
      </c>
      <c r="L11" s="389" t="s">
        <v>720</v>
      </c>
      <c r="M11" s="389" t="s">
        <v>721</v>
      </c>
      <c r="N11" s="389" t="s">
        <v>721</v>
      </c>
      <c r="O11" s="389" t="s">
        <v>722</v>
      </c>
      <c r="P11" s="389" t="s">
        <v>723</v>
      </c>
      <c r="Q11" s="124"/>
      <c r="R11" s="124"/>
      <c r="S11" s="124"/>
      <c r="T11" s="611">
        <f>IF(Input!A15="","",Input!A15)</f>
      </c>
      <c r="U11" s="601">
        <f>IF(Input!E15="","",Input!E15)</f>
      </c>
      <c r="V11" s="604">
        <f>IF(Input!J15="","",Input!J15)</f>
      </c>
      <c r="W11" s="608">
        <f>IF(Input!O15="","",Input!O15)</f>
      </c>
      <c r="X11" s="554">
        <f>IF(Input!AI15="","",Input!AI15)</f>
      </c>
      <c r="Y11" s="555">
        <f>IF(Input!AH15="","",Input!AH15)</f>
      </c>
      <c r="Z11" s="620">
        <f>IF(Input!AG15="","",Input!AG15)</f>
      </c>
      <c r="AA11"/>
      <c r="AB11" s="575">
        <f>IF(OR($U11="",$T20=""),"",IF(T20="organic",0.3,IF($T20="nonash",VLOOKUP($U11,AWCTable1,X21,FALSE),IF($T20="nonash; salt influenced",VLOOKUP($U11,AWCTable2,Z33,FALSE),IF($T20="vitrandic subgroups (no andic properties)",VLOOKUP($U11,AWCvit,X21,FALSE),IF(AND($T20="andisols or andic subgroups",Input!$AW$21="ashy"),VLOOKUP($U11,AWCashy,X21,FALSE),IF(AND($T20="andisols or andic subgroups",Input!$AW28="medial"),VLOOKUP($U11,AWCmedial,X21,FALSE),"")))))))</f>
      </c>
      <c r="AC11" s="576">
        <f>IF(OR($U11="",$T21=""),"",IF(T20="organic",0.45,IF($T21="nonash",VLOOKUP($U11,AWCTable1,Y21,FALSE),IF($T21="nonash; salt influenced",VLOOKUP($U11,AWCTable2,Y33,FALSE),IF($T21="vitrandic subgroups (no andic properties)",VLOOKUP($U11,AWCvit,Y21,FALSE),IF(AND($T21="andisols or andic subgroups",Input!$AW29="ashy"),VLOOKUP($U11,AWCashy,Y21,FALSE),IF(AND($T21="andisols or andic subgroups",Input!$AW29="medial"),VLOOKUP($U11,AWCmedial,Y21,FALSE),"")))))))</f>
      </c>
      <c r="AD11" s="577">
        <f>IF(OR($U11="",$T20=""),"",IF(T20="organic",0.6,IF($T20="nonash",VLOOKUP($U11,AWCTable1,Z21,FALSE),IF($T20="nonash; salt influenced",VLOOKUP($U11,AWCTable2,X33,FALSE),IF($T20="vitrandic subgroups (no andic properties)",VLOOKUP($U11,AWCvit,Z21,FALSE),IF(AND($T20="andisols or andic subgroups",Input!$AW28="ashy"),VLOOKUP($U11,AWCashy,Z21,FALSE),IF(AND($T20="andisols or andic subgroups",Input!$AW28="medial"),VLOOKUP($U11,AWCmedial,Z21,FALSE),"")))))))</f>
      </c>
      <c r="AE11">
        <f>IF(AND(Input!D15&lt;&gt;"",Input!C15&lt;&gt;""),ABS(Input!D15-Input!C15),"")</f>
      </c>
      <c r="AF11">
        <f>IF(U11="SPM",0,IF(U11="HPM",0,IF(U11="MPM",0,IF(T11="","",AE11*Complete!X41))))</f>
      </c>
      <c r="AH11" t="s">
        <v>733</v>
      </c>
      <c r="AI11">
        <v>0.24</v>
      </c>
      <c r="AJ11">
        <v>0.2</v>
      </c>
      <c r="AK11">
        <v>0.17</v>
      </c>
      <c r="AL11">
        <v>0.05</v>
      </c>
      <c r="AM11">
        <v>0.1</v>
      </c>
      <c r="AO11">
        <v>0.09</v>
      </c>
      <c r="AP11">
        <v>0.1</v>
      </c>
      <c r="AR11" s="384">
        <f>IF(Input!C42="","",IF(Input!C42="no data","no data",EXP(-0.0275*(Input!Y16+Input!AB16+Input!AE16))*Input!C42))</f>
      </c>
    </row>
    <row r="12" spans="1:44" ht="13.5" thickBot="1">
      <c r="A12" s="145" t="s">
        <v>590</v>
      </c>
      <c r="B12" s="389" t="s">
        <v>729</v>
      </c>
      <c r="C12" s="389" t="s">
        <v>730</v>
      </c>
      <c r="D12" s="389" t="s">
        <v>731</v>
      </c>
      <c r="E12" s="389" t="s">
        <v>724</v>
      </c>
      <c r="F12" s="389" t="s">
        <v>711</v>
      </c>
      <c r="G12" s="389" t="s">
        <v>725</v>
      </c>
      <c r="H12" s="389" t="s">
        <v>712</v>
      </c>
      <c r="I12" s="389" t="s">
        <v>713</v>
      </c>
      <c r="J12" s="389" t="s">
        <v>727</v>
      </c>
      <c r="K12" s="389" t="s">
        <v>732</v>
      </c>
      <c r="L12" s="389" t="s">
        <v>718</v>
      </c>
      <c r="M12" s="389" t="s">
        <v>719</v>
      </c>
      <c r="N12" s="389" t="s">
        <v>720</v>
      </c>
      <c r="O12" s="389" t="s">
        <v>721</v>
      </c>
      <c r="P12" s="389" t="s">
        <v>722</v>
      </c>
      <c r="Q12" s="124"/>
      <c r="R12" s="124"/>
      <c r="S12" s="124"/>
      <c r="T12" s="612">
        <f>IF(Input!A16="","",Input!A16)</f>
      </c>
      <c r="U12" s="602">
        <f>IF(Input!E16="","",Input!E16)</f>
      </c>
      <c r="V12" s="605">
        <f>IF(Input!J16="","",Input!J16)</f>
      </c>
      <c r="W12" s="609">
        <f>IF(Input!O16="","",Input!O16)</f>
      </c>
      <c r="X12" s="615">
        <f>IF(Input!AI16="","",Input!AI16)</f>
      </c>
      <c r="Y12" s="556">
        <f>IF(Input!AH16="","",Input!AH16)</f>
      </c>
      <c r="Z12" s="557">
        <f>IF(Input!AG16="","",Input!AG16)</f>
      </c>
      <c r="AA12"/>
      <c r="AB12" s="578">
        <f>IF(OR($U12="",$T21=""),"",IF(T21="organic",0.3,IF($T21="nonash",VLOOKUP($U12,AWCTable1,X22,FALSE),IF($T21="nonash; salt influenced",VLOOKUP($U12,AWCTable2,Z34,FALSE),IF($T21="vitrandic subgroups (no andic properties)",VLOOKUP($U12,AWCvit,X22,FALSE),IF(AND($T21="andisols or andic subgroups",Input!$AW$21="ashy"),VLOOKUP($U12,AWCashy,X22,FALSE),IF(AND($T21="andisols or andic subgroups",Input!$AW29="medial"),VLOOKUP($U12,AWCmedial,X22,FALSE),"")))))))</f>
      </c>
      <c r="AC12" s="579">
        <f>IF(OR($U12="",$T22=""),"",IF(T21="organic",0.45,IF($T22="nonash",VLOOKUP($U12,AWCTable1,Y22,FALSE),IF($T22="nonash; salt influenced",VLOOKUP($U12,AWCTable2,Y34,FALSE),IF($T22="vitrandic subgroups (no andic properties)",VLOOKUP($U12,AWCvit,Y22,FALSE),IF(AND($T22="andisols or andic subgroups",Input!$AW30="ashy"),VLOOKUP($U12,AWCashy,Y22,FALSE),IF(AND($T22="andisols or andic subgroups",Input!$AW30="medial"),VLOOKUP($U12,AWCmedial,Y22,FALSE),"")))))))</f>
      </c>
      <c r="AD12" s="580">
        <f>IF(OR($U12="",$T21=""),"",IF(T21="organic",0.6,IF($T21="nonash",VLOOKUP($U12,AWCTable1,Z22,FALSE),IF($T21="nonash; salt influenced",VLOOKUP($U12,AWCTable2,X34,FALSE),IF($T21="vitrandic subgroups (no andic properties)",VLOOKUP($U12,AWCvit,Z22,FALSE),IF(AND($T21="andisols or andic subgroups",Input!$AW29="ashy"),VLOOKUP($U12,AWCashy,Z22,FALSE),IF(AND($T21="andisols or andic subgroups",Input!$AW29="medial"),VLOOKUP($U12,AWCmedial,Z22,FALSE),"")))))))</f>
      </c>
      <c r="AE12">
        <f>IF(AND(Input!D16&lt;&gt;"",Input!C16&lt;&gt;""),ABS(Input!D16-Input!C16),"")</f>
      </c>
      <c r="AF12">
        <f>IF(U12="SPM",0,IF(U12="HPM",0,IF(U12="MPM",0,IF(T12="","",AE12*Complete!X42))))</f>
      </c>
      <c r="AH12" t="s">
        <v>641</v>
      </c>
      <c r="AI12">
        <v>0.49</v>
      </c>
      <c r="AJ12">
        <v>0.43</v>
      </c>
      <c r="AK12">
        <v>0.37</v>
      </c>
      <c r="AL12">
        <v>0.32</v>
      </c>
      <c r="AM12">
        <v>0.24</v>
      </c>
      <c r="AO12">
        <v>0.1</v>
      </c>
      <c r="AP12">
        <v>0.1</v>
      </c>
      <c r="AR12" s="126"/>
    </row>
    <row r="13" spans="1:42" ht="13.5" thickBot="1">
      <c r="A13" s="145" t="s">
        <v>578</v>
      </c>
      <c r="B13" s="389" t="s">
        <v>731</v>
      </c>
      <c r="C13" s="389" t="s">
        <v>711</v>
      </c>
      <c r="D13" s="389" t="s">
        <v>734</v>
      </c>
      <c r="E13" s="389" t="s">
        <v>726</v>
      </c>
      <c r="F13" s="389" t="s">
        <v>712</v>
      </c>
      <c r="G13" s="389" t="s">
        <v>713</v>
      </c>
      <c r="H13" s="389" t="s">
        <v>727</v>
      </c>
      <c r="I13" s="389" t="s">
        <v>715</v>
      </c>
      <c r="J13" s="389" t="s">
        <v>716</v>
      </c>
      <c r="K13" s="389" t="s">
        <v>718</v>
      </c>
      <c r="L13" s="389" t="s">
        <v>719</v>
      </c>
      <c r="M13" s="389" t="s">
        <v>735</v>
      </c>
      <c r="N13" s="389" t="s">
        <v>721</v>
      </c>
      <c r="O13" s="389" t="s">
        <v>721</v>
      </c>
      <c r="P13" s="389" t="s">
        <v>722</v>
      </c>
      <c r="Q13" s="124"/>
      <c r="R13" s="124"/>
      <c r="S13" s="124"/>
      <c r="T13" s="1053">
        <f>IF(Input!AR21="","",Input!AR21)</f>
      </c>
      <c r="U13" s="1053"/>
      <c r="V13" s="1053"/>
      <c r="W13" s="1053"/>
      <c r="X13" s="1052" t="s">
        <v>736</v>
      </c>
      <c r="Y13" s="1053"/>
      <c r="Z13" s="1054"/>
      <c r="AA13"/>
      <c r="AB13"/>
      <c r="AC13"/>
      <c r="AH13" t="s">
        <v>591</v>
      </c>
      <c r="AI13">
        <v>0.37</v>
      </c>
      <c r="AJ13">
        <v>0.32</v>
      </c>
      <c r="AK13">
        <v>0.28</v>
      </c>
      <c r="AL13">
        <v>0.24</v>
      </c>
      <c r="AM13">
        <v>0.17</v>
      </c>
      <c r="AO13">
        <v>0.11</v>
      </c>
      <c r="AP13">
        <v>0.1</v>
      </c>
    </row>
    <row r="14" spans="1:42" ht="13.5" thickBot="1">
      <c r="A14" s="145" t="s">
        <v>641</v>
      </c>
      <c r="B14" s="389" t="s">
        <v>724</v>
      </c>
      <c r="C14" s="389" t="s">
        <v>725</v>
      </c>
      <c r="D14" s="389" t="s">
        <v>726</v>
      </c>
      <c r="E14" s="389" t="s">
        <v>712</v>
      </c>
      <c r="F14" s="389" t="s">
        <v>713</v>
      </c>
      <c r="G14" s="389" t="s">
        <v>727</v>
      </c>
      <c r="H14" s="389" t="s">
        <v>715</v>
      </c>
      <c r="I14" s="389" t="s">
        <v>716</v>
      </c>
      <c r="J14" s="389" t="s">
        <v>718</v>
      </c>
      <c r="K14" s="389" t="s">
        <v>728</v>
      </c>
      <c r="L14" s="389" t="s">
        <v>719</v>
      </c>
      <c r="M14" s="389" t="s">
        <v>720</v>
      </c>
      <c r="N14" s="389" t="s">
        <v>721</v>
      </c>
      <c r="O14" s="389" t="s">
        <v>722</v>
      </c>
      <c r="P14" s="389" t="s">
        <v>723</v>
      </c>
      <c r="Q14" s="124"/>
      <c r="R14" s="124"/>
      <c r="S14" s="124"/>
      <c r="T14" s="1049">
        <f>IF(Input!AR22="","",Input!AR22)</f>
      </c>
      <c r="U14" s="1049"/>
      <c r="V14" s="1049"/>
      <c r="W14" s="1055"/>
      <c r="X14" s="127">
        <f>IF(X4="","",IF(AND($X$2="Fragment Volume",X4&gt;75),16,IF(AND($X$2="Fragment Volume",X4&lt;7.5),2,IF($X$2="Fragment Volume",VLOOKUP(MROUND(X4,5),$T$24:$V$39,3,FALSE)))))</f>
      </c>
      <c r="Y14" s="128">
        <f>IF(Y4="","",IF(AND($X$2="Fragment Volume",Y4&gt;75),16,IF(AND($X$2="Fragment Volume",Y4&lt;7.5),2,IF($X$2="Fragment Volume",VLOOKUP(MROUND(Y4,5),$T$24:$V$39,3,FALSE)))))</f>
      </c>
      <c r="Z14" s="552">
        <f>IF(Z4="","",IF(AND($X$2="Fragment Volume",Z4&gt;75),16,IF(AND($X$2="Fragment Volume",Z4&lt;7.5),2,IF($X$2="Fragment Volume",VLOOKUP(MROUND(Z4,5),$T$24:$V$39,3,FALSE)))))</f>
      </c>
      <c r="AA14"/>
      <c r="AB14"/>
      <c r="AC14"/>
      <c r="AF14" s="561">
        <f>SUM(AF4:AF12)</f>
        <v>0</v>
      </c>
      <c r="AH14" t="s">
        <v>594</v>
      </c>
      <c r="AI14">
        <v>0.28</v>
      </c>
      <c r="AJ14">
        <v>0.24</v>
      </c>
      <c r="AK14">
        <v>0.2</v>
      </c>
      <c r="AL14">
        <v>0.17</v>
      </c>
      <c r="AM14">
        <v>0.15</v>
      </c>
      <c r="AO14">
        <v>0.12</v>
      </c>
      <c r="AP14">
        <v>0.1</v>
      </c>
    </row>
    <row r="15" spans="1:42" ht="13.5" thickBot="1">
      <c r="A15" s="145" t="s">
        <v>591</v>
      </c>
      <c r="B15" s="389" t="s">
        <v>725</v>
      </c>
      <c r="C15" s="389" t="s">
        <v>712</v>
      </c>
      <c r="D15" s="389" t="s">
        <v>713</v>
      </c>
      <c r="E15" s="389" t="s">
        <v>727</v>
      </c>
      <c r="F15" s="389" t="s">
        <v>715</v>
      </c>
      <c r="G15" s="389" t="s">
        <v>732</v>
      </c>
      <c r="H15" s="389" t="s">
        <v>717</v>
      </c>
      <c r="I15" s="389" t="s">
        <v>718</v>
      </c>
      <c r="J15" s="389" t="s">
        <v>719</v>
      </c>
      <c r="K15" s="389" t="s">
        <v>737</v>
      </c>
      <c r="L15" s="389" t="s">
        <v>720</v>
      </c>
      <c r="M15" s="389" t="s">
        <v>721</v>
      </c>
      <c r="N15" s="389" t="s">
        <v>722</v>
      </c>
      <c r="O15" s="389" t="s">
        <v>722</v>
      </c>
      <c r="P15" s="389" t="s">
        <v>723</v>
      </c>
      <c r="Q15" s="124"/>
      <c r="R15" s="124"/>
      <c r="S15" s="124"/>
      <c r="T15" s="1049">
        <f>IF(Input!AR23="","",Input!AR23)</f>
      </c>
      <c r="U15" s="1049"/>
      <c r="V15" s="1049"/>
      <c r="W15" s="1055"/>
      <c r="X15" s="558">
        <f>IF(X5="","",IF(AND($X$2="Fragment Volume",X5&gt;75),16,IF(AND($X$2="Fragment Volume",X5&lt;7.5),2,IF($X$2="Fragment Volume",VLOOKUP(MROUND(X5,5),$T$24:$V$39,3,FALSE)))))</f>
      </c>
      <c r="Y15" s="134">
        <f>IF(Y5="","",IF(AND($X$2="Fragment Volume",Y5&gt;75),16,IF(AND($X$2="Fragment Volume",Y5&lt;7.5),2,IF($X$2="Fragment Volume",VLOOKUP(MROUND(Y5,5),$T$24:$V$39,3,FALSE)))))</f>
      </c>
      <c r="Z15" s="142">
        <f>IF(Z5="","",IF(AND($X$2="Fragment Volume",Z5&gt;75),16,IF(AND($X$2="Fragment Volume",Z5&lt;7.5),2,IF($X$2="Fragment Volume",VLOOKUP(MROUND(Z5,5),$T$24:$V$39,3,FALSE)))))</f>
      </c>
      <c r="AA15"/>
      <c r="AB15" s="1043" t="s">
        <v>389</v>
      </c>
      <c r="AC15" s="1044"/>
      <c r="AD15" s="1045"/>
      <c r="AH15" t="s">
        <v>572</v>
      </c>
      <c r="AI15">
        <v>0.17</v>
      </c>
      <c r="AJ15">
        <v>0.15</v>
      </c>
      <c r="AK15">
        <v>0.1</v>
      </c>
      <c r="AL15">
        <v>0.05</v>
      </c>
      <c r="AM15">
        <v>0.02</v>
      </c>
      <c r="AO15">
        <v>0.13</v>
      </c>
      <c r="AP15">
        <v>0.15</v>
      </c>
    </row>
    <row r="16" spans="1:42" ht="13.5" thickBot="1">
      <c r="A16" s="145" t="s">
        <v>594</v>
      </c>
      <c r="B16" s="389" t="s">
        <v>713</v>
      </c>
      <c r="C16" s="389" t="s">
        <v>727</v>
      </c>
      <c r="D16" s="389" t="s">
        <v>732</v>
      </c>
      <c r="E16" s="389" t="s">
        <v>716</v>
      </c>
      <c r="F16" s="389" t="s">
        <v>717</v>
      </c>
      <c r="G16" s="389" t="s">
        <v>728</v>
      </c>
      <c r="H16" s="389" t="s">
        <v>719</v>
      </c>
      <c r="I16" s="389" t="s">
        <v>719</v>
      </c>
      <c r="J16" s="389" t="s">
        <v>720</v>
      </c>
      <c r="K16" s="389" t="s">
        <v>735</v>
      </c>
      <c r="L16" s="389" t="s">
        <v>721</v>
      </c>
      <c r="M16" s="389" t="s">
        <v>722</v>
      </c>
      <c r="N16" s="389" t="s">
        <v>722</v>
      </c>
      <c r="O16" s="389" t="s">
        <v>723</v>
      </c>
      <c r="P16" s="389" t="s">
        <v>738</v>
      </c>
      <c r="Q16" s="124"/>
      <c r="R16" s="124"/>
      <c r="S16" s="124"/>
      <c r="T16" s="1051">
        <f>IF(Input!AR24="","",Input!AR24)</f>
      </c>
      <c r="U16" s="1051"/>
      <c r="V16" s="1051"/>
      <c r="W16" s="1055"/>
      <c r="X16" s="558">
        <f>IF(X6="","",IF(AND($X$2="Fragment Volume",X6&gt;75),16,IF(AND($X$2="Fragment Volume",X6&lt;7.5),2,IF($X$2="Fragment Volume",VLOOKUP(MROUND(X6,5),$T$24:$V$39,3,FALSE)))))</f>
      </c>
      <c r="Y16" s="134">
        <f>IF(Y6="","",IF(AND($X$2="Fragment Volume",Y6&gt;75),16,IF(AND($X$2="Fragment Volume",Y6&lt;7.5),2,IF($X$2="Fragment Volume",VLOOKUP(MROUND(Y6,5),$T$24:$V$39,3,FALSE)))))</f>
      </c>
      <c r="Z16" s="42">
        <f>IF(Z6="","",IF(AND($X$2="Fragment Volume",Z6&gt;75),16,IF(AND($X$2="Fragment Volume",Z6&lt;7.5),2,IF($X$2="Fragment Volume",VLOOKUP(MROUND(Z6,5),$T$24:$V$39,3,FALSE)))))</f>
      </c>
      <c r="AA16"/>
      <c r="AB16" s="581" t="s">
        <v>707</v>
      </c>
      <c r="AC16" s="582" t="s">
        <v>579</v>
      </c>
      <c r="AD16" s="583" t="s">
        <v>706</v>
      </c>
      <c r="AH16" t="s">
        <v>598</v>
      </c>
      <c r="AI16">
        <v>0.28</v>
      </c>
      <c r="AJ16">
        <v>0.24</v>
      </c>
      <c r="AK16">
        <v>0.2</v>
      </c>
      <c r="AL16">
        <v>0.17</v>
      </c>
      <c r="AM16">
        <v>0.15</v>
      </c>
      <c r="AO16">
        <v>0.14</v>
      </c>
      <c r="AP16">
        <v>0.15</v>
      </c>
    </row>
    <row r="17" spans="1:42" ht="12.75">
      <c r="A17" s="145" t="s">
        <v>602</v>
      </c>
      <c r="B17" s="389" t="s">
        <v>727</v>
      </c>
      <c r="C17" s="389" t="s">
        <v>732</v>
      </c>
      <c r="D17" s="389" t="s">
        <v>717</v>
      </c>
      <c r="E17" s="389" t="s">
        <v>717</v>
      </c>
      <c r="F17" s="389" t="s">
        <v>718</v>
      </c>
      <c r="G17" s="389" t="s">
        <v>719</v>
      </c>
      <c r="H17" s="389" t="s">
        <v>737</v>
      </c>
      <c r="I17" s="389" t="s">
        <v>720</v>
      </c>
      <c r="J17" s="389" t="s">
        <v>735</v>
      </c>
      <c r="K17" s="389" t="s">
        <v>721</v>
      </c>
      <c r="L17" s="389" t="s">
        <v>722</v>
      </c>
      <c r="M17" s="389" t="s">
        <v>722</v>
      </c>
      <c r="N17" s="389" t="s">
        <v>723</v>
      </c>
      <c r="O17" s="389" t="s">
        <v>723</v>
      </c>
      <c r="P17" s="389" t="s">
        <v>738</v>
      </c>
      <c r="Q17" s="124"/>
      <c r="R17" s="124"/>
      <c r="S17" s="124"/>
      <c r="T17" s="1051">
        <f>IF(Input!AR25="","",Input!AR25)</f>
      </c>
      <c r="U17" s="1051"/>
      <c r="V17" s="1051"/>
      <c r="W17" s="1055"/>
      <c r="X17" s="558">
        <f>IF(X7="","",IF(AND($X$2="Fragment Volume",X7&gt;75),16,IF(AND($X$2="Fragment Volume",X7&lt;7.5),2,IF($X$2="Fragment Volume",VLOOKUP(MROUND(X7,5),$T$24:$V$39,3,FALSE)))))</f>
      </c>
      <c r="Y17" s="134">
        <f>IF(Y7="","",IF(AND($X$2="Fragment Volume",Y7&gt;75),16,IF(AND($X$2="Fragment Volume",Y7&lt;7.5),2,IF($X$2="Fragment Volume",VLOOKUP(MROUND(Y7,5),$T$24:$V$39,3,FALSE)))))</f>
      </c>
      <c r="Z17" s="42">
        <f>IF(Z7="","",IF(AND($X$2="Fragment Volume",Z7&gt;75),16,IF(AND($X$2="Fragment Volume",Z7&lt;7.5),2,IF($X$2="Fragment Volume",VLOOKUP(MROUND(Z7,5),$T$24:$V$39,3,FALSE)))))</f>
      </c>
      <c r="AA17"/>
      <c r="AB17" s="584">
        <f>IF(OR($V4="",$T$13=""),"",IF($T$13="nonash",VLOOKUP($V4,AWCTable1,X14,FALSE),IF($T$13="nonash; salt influenced",VLOOKUP($V4,AWCTable2,Z26,FALSE),IF($T$13="vitrandic subgroups (no andic properties)",VLOOKUP($V4,AWCvit,X14,FALSE),IF(AND($T$13="andisols or andic subgroups",Input!$AW$21="ashy"),VLOOKUP($V4,AWCashy,X14,FALSE),IF(AND($T$13="andisols or andic subgroups",Input!$AW$21="medial"),VLOOKUP($V4,AWCmedial,X14,FALSE),""))))))</f>
      </c>
      <c r="AC17" s="582">
        <f>IF(OR($V4="",$T$13=""),"",IF($T$13="nonash",VLOOKUP($V4,AWCTable1,Y14,FALSE),IF($T$13="nonash; salt influenced",VLOOKUP($V4,AWCTable2,Y26,FALSE),IF($T$13="vitrandic subgroups (no andic properties)",VLOOKUP($V4,AWCvit,Y14,FALSE),IF(AND($T$13="andisols or andic subgroups",Input!$AW$21="ashy"),VLOOKUP($V4,AWCashy,Y14,FALSE),IF(AND($T$13="andisols or andic subgroups",Input!$AW$21="medial"),VLOOKUP($V4,AWCmedial,Y14,FALSE),""))))))</f>
      </c>
      <c r="AD17" s="583">
        <f>IF(OR($V4="",$T$13=""),"",IF($T$13="nonash",VLOOKUP($V4,AWCTable1,Z14,FALSE),IF($T$13="nonash; salt influenced",VLOOKUP($V4,AWCTable2,X26,FALSE),IF($T$13="vitrandic subgroups (no andic properties)",VLOOKUP($V4,AWCvit,Z14,FALSE),IF(AND($T$13="andisols or andic subgroups",Input!$AW$21="ashy"),VLOOKUP($V4,AWCashy,Z14,FALSE),IF(AND($T$13="andisols or andic subgroups",Input!$AW$21="medial"),VLOOKUP($V4,AWCmedial,Z14,FALSE),""))))))</f>
      </c>
      <c r="AH17" t="s">
        <v>600</v>
      </c>
      <c r="AI17">
        <v>0.15</v>
      </c>
      <c r="AJ17">
        <v>0.1</v>
      </c>
      <c r="AK17">
        <v>0.1</v>
      </c>
      <c r="AL17">
        <v>0.05</v>
      </c>
      <c r="AM17">
        <v>0.05</v>
      </c>
      <c r="AO17">
        <v>0.15</v>
      </c>
      <c r="AP17">
        <v>0.15</v>
      </c>
    </row>
    <row r="18" spans="1:42" ht="12.75">
      <c r="A18" s="145" t="s">
        <v>598</v>
      </c>
      <c r="B18" s="389" t="s">
        <v>732</v>
      </c>
      <c r="C18" s="389" t="s">
        <v>717</v>
      </c>
      <c r="D18" s="389" t="s">
        <v>718</v>
      </c>
      <c r="E18" s="389" t="s">
        <v>728</v>
      </c>
      <c r="F18" s="389" t="s">
        <v>719</v>
      </c>
      <c r="G18" s="389" t="s">
        <v>720</v>
      </c>
      <c r="H18" s="389" t="s">
        <v>720</v>
      </c>
      <c r="I18" s="389" t="s">
        <v>735</v>
      </c>
      <c r="J18" s="389" t="s">
        <v>721</v>
      </c>
      <c r="K18" s="389" t="s">
        <v>739</v>
      </c>
      <c r="L18" s="389" t="s">
        <v>722</v>
      </c>
      <c r="M18" s="389" t="s">
        <v>723</v>
      </c>
      <c r="N18" s="389" t="s">
        <v>723</v>
      </c>
      <c r="O18" s="389" t="s">
        <v>723</v>
      </c>
      <c r="P18" s="389" t="s">
        <v>738</v>
      </c>
      <c r="Q18" s="124"/>
      <c r="R18" s="124"/>
      <c r="S18" s="124"/>
      <c r="T18" s="1051">
        <f>IF(Input!AR26="","",Input!AR26)</f>
      </c>
      <c r="U18" s="1051"/>
      <c r="V18" s="1051"/>
      <c r="W18" s="1055"/>
      <c r="X18" s="558">
        <f>IF(X8="","",IF(AND($X$2="Fragment Volume",X8&gt;75),16,IF(AND($X$2="Fragment Volume",X8&lt;7.5),2,IF($X$2="Fragment Volume",VLOOKUP(MROUND(X8,5),$T$24:$V$39,3,FALSE)))))</f>
      </c>
      <c r="Y18" s="134">
        <f>IF(Y8="","",IF(AND($X$2="Fragment Volume",Y8&gt;75),16,IF(AND($X$2="Fragment Volume",Y8&lt;7.5),2,IF($X$2="Fragment Volume",VLOOKUP(MROUND(Y8,5),$T$24:$V$39,3,FALSE)))))</f>
      </c>
      <c r="Z18" s="42">
        <f>IF(Z8="","",IF(AND($X$2="Fragment Volume",Z8&gt;75),16,IF(AND($X$2="Fragment Volume",Z8&lt;7.5),2,IF($X$2="Fragment Volume",VLOOKUP(MROUND(Z8,5),$T$24:$V$39,3,FALSE)))))</f>
      </c>
      <c r="AA18"/>
      <c r="AB18" s="585">
        <f>IF(OR($V5="",$T$14=""),"",IF($T$14="nonash",VLOOKUP($V5,AWCTable1,X15,FALSE),IF($T$14="nonash; salt influenced",VLOOKUP($V5,AWCTable2,Z27,FALSE),IF($T$14="vitrandic subgroups (no andic properties)",VLOOKUP($V5,AWCvit,X15,FALSE),IF(AND($T$14="andisols or andic subgroups",Input!$AW$22="ashy"),VLOOKUP($V5,AWCashy,X15,FALSE),IF(AND($T$14="andisols or andic subgroups",Input!$AW$22="medial"),VLOOKUP($V5,AWCmedial,X15,FALSE),""))))))</f>
      </c>
      <c r="AC18" s="586">
        <f>IF(OR($V5="",$T$14=""),"",IF($T$14="nonash",VLOOKUP($V5,AWCTable1,Y15,FALSE),IF($T$14="nonash; salt influenced",VLOOKUP($V5,AWCTable2,Y27,FALSE),IF($T$14="vitrandic subgroups (no andic properties)",VLOOKUP($V5,AWCvit,Y15,FALSE),IF(AND($T$14="andisols or andic subgroups",Input!$AW$22="ashy"),VLOOKUP($V5,AWCashy,Y15,FALSE),IF(AND($T$14="andisols or andic subgroups",Input!$AW$22="medial"),VLOOKUP($V5,AWCmedial,Y15,FALSE),""))))))</f>
      </c>
      <c r="AD18" s="587">
        <f>IF(OR($V5="",$T$14=""),"",IF($T$14="nonash",VLOOKUP($V5,AWCTable1,Z15,FALSE),IF($T$14="nonash; salt influenced",VLOOKUP($V5,AWCTable2,X27,FALSE),IF($T$14="vitrandic subgroups (no andic properties)",VLOOKUP($V5,AWCvit,Z15,FALSE),IF(AND($T$14="andisols or andic subgroups",Input!$AW$22="ashy"),VLOOKUP($V5,AWCashy,Z15,FALSE),IF(AND($T$14="andisols or andic subgroups",Input!$AW$22="medial"),VLOOKUP($V5,AWCmedial,Z15,FALSE),""))))))</f>
      </c>
      <c r="AH18" t="s">
        <v>604</v>
      </c>
      <c r="AI18">
        <v>0.05</v>
      </c>
      <c r="AJ18">
        <v>0.05</v>
      </c>
      <c r="AK18">
        <v>0.02</v>
      </c>
      <c r="AL18">
        <v>0.02</v>
      </c>
      <c r="AM18">
        <v>0.02</v>
      </c>
      <c r="AO18">
        <v>0.16</v>
      </c>
      <c r="AP18">
        <v>0.17</v>
      </c>
    </row>
    <row r="19" spans="1:42" ht="12.75">
      <c r="A19" s="145" t="s">
        <v>600</v>
      </c>
      <c r="B19" s="389" t="s">
        <v>737</v>
      </c>
      <c r="C19" s="389" t="s">
        <v>735</v>
      </c>
      <c r="D19" s="389" t="s">
        <v>735</v>
      </c>
      <c r="E19" s="389" t="s">
        <v>721</v>
      </c>
      <c r="F19" s="389" t="s">
        <v>739</v>
      </c>
      <c r="G19" s="389" t="s">
        <v>739</v>
      </c>
      <c r="H19" s="389" t="s">
        <v>722</v>
      </c>
      <c r="I19" s="389" t="s">
        <v>722</v>
      </c>
      <c r="J19" s="389" t="s">
        <v>723</v>
      </c>
      <c r="K19" s="389" t="s">
        <v>723</v>
      </c>
      <c r="L19" s="389" t="s">
        <v>723</v>
      </c>
      <c r="M19" s="389" t="s">
        <v>738</v>
      </c>
      <c r="N19" s="389" t="s">
        <v>738</v>
      </c>
      <c r="O19" s="389" t="s">
        <v>738</v>
      </c>
      <c r="P19" s="389" t="s">
        <v>740</v>
      </c>
      <c r="Q19" s="124"/>
      <c r="R19" s="124"/>
      <c r="S19" s="124"/>
      <c r="T19" s="1051">
        <f>IF(Input!AR27="","",Input!AR27)</f>
      </c>
      <c r="U19" s="1051"/>
      <c r="V19" s="1051"/>
      <c r="W19" s="1055"/>
      <c r="X19" s="558">
        <f>IF(X9="","",IF(AND($X$2="Fragment Volume",X9&gt;75),16,IF(AND($X$2="Fragment Volume",X9&lt;7.5),2,IF($X$2="Fragment Volume",VLOOKUP(MROUND(X9,5),$T$24:$V$39,3,FALSE)))))</f>
      </c>
      <c r="Y19" s="134">
        <f>IF(Y9="","",IF(AND($X$2="Fragment Volume",Y9&gt;75),16,IF(AND($X$2="Fragment Volume",Y9&lt;7.5),2,IF($X$2="Fragment Volume",VLOOKUP(MROUND(Y9,5),$T$24:$V$39,3,FALSE)))))</f>
      </c>
      <c r="Z19" s="42">
        <f>IF(Z9="","",IF(AND($X$2="Fragment Volume",Z9&gt;75),16,IF(AND($X$2="Fragment Volume",Z9&lt;7.5),2,IF($X$2="Fragment Volume",VLOOKUP(MROUND(Z9,5),$T$24:$V$39,3,FALSE)))))</f>
      </c>
      <c r="AA19"/>
      <c r="AB19" s="585">
        <f>IF(OR($V6="",$T$15=""),"",IF($T$15="nonash",VLOOKUP($V6,AWCTable1,X16,FALSE),IF($T$15="nonash; salt influenced",VLOOKUP($V6,AWCTable2,Z28,FALSE),IF($T$15="vitrandic subgroups (no andic properties)",VLOOKUP($V6,AWCvit,X16,FALSE),IF(AND($T$15="andisols or andic subgroups",Input!$AW$23="ashy"),VLOOKUP($V6,AWCashy,X16,FALSE),IF(AND($T$15="andisols or andic subgroups",Input!$AW$23="medial"),VLOOKUP($V6,AWCmedial,X16,FALSE),""))))))</f>
      </c>
      <c r="AC19" s="586">
        <f>IF(OR($V6="",$T$15=""),"",IF($T$15="nonash",VLOOKUP($V6,AWCTable1,Y16,FALSE),IF($T$15="nonash; salt influenced",VLOOKUP($V6,AWCTable2,Y28,FALSE),IF($T$15="vitrandic subgroups (no andic properties)",VLOOKUP($V6,AWCvit,Y16,FALSE),IF(AND($T$15="andisols or andic subgroups",Input!$AW$23="ashy"),VLOOKUP($V6,AWCashy,Y16,FALSE),IF(AND($T$15="andisols or andic subgroups",Input!$AW$23="medial"),VLOOKUP($V6,AWCmedial,Y16,FALSE),""))))))</f>
      </c>
      <c r="AD19" s="587">
        <f>IF(OR($V6="",$T$15=""),"",IF($T$15="nonash",VLOOKUP($V6,AWCTable1,Z16,FALSE),IF($T$15="nonash; salt influenced",VLOOKUP($V6,AWCTable2,X28,FALSE),IF($T$15="vitrandic subgroups (no andic properties)",VLOOKUP($V6,AWCvit,Z16,FALSE),IF(AND($T$15="andisols or andic subgroups",Input!$AW$23="ashy"),VLOOKUP($V6,AWCashy,Z16,FALSE),IF(AND($T$15="andisols or andic subgroups",Input!$AW$23="medial"),VLOOKUP($V6,AWCmedial,Z16,FALSE),""))))))</f>
      </c>
      <c r="AH19" t="s">
        <v>596</v>
      </c>
      <c r="AI19">
        <v>0.02</v>
      </c>
      <c r="AJ19">
        <v>0.02</v>
      </c>
      <c r="AK19">
        <v>0.02</v>
      </c>
      <c r="AL19">
        <v>0.02</v>
      </c>
      <c r="AM19">
        <v>0.02</v>
      </c>
      <c r="AO19">
        <v>0.17</v>
      </c>
      <c r="AP19">
        <v>0.17</v>
      </c>
    </row>
    <row r="20" spans="1:42" ht="12.75">
      <c r="A20" s="145" t="s">
        <v>587</v>
      </c>
      <c r="B20" s="389" t="s">
        <v>735</v>
      </c>
      <c r="C20" s="389" t="s">
        <v>739</v>
      </c>
      <c r="D20" s="389" t="s">
        <v>739</v>
      </c>
      <c r="E20" s="389" t="s">
        <v>739</v>
      </c>
      <c r="F20" s="389" t="s">
        <v>722</v>
      </c>
      <c r="G20" s="389" t="s">
        <v>741</v>
      </c>
      <c r="H20" s="389" t="s">
        <v>741</v>
      </c>
      <c r="I20" s="389" t="s">
        <v>723</v>
      </c>
      <c r="J20" s="389" t="s">
        <v>723</v>
      </c>
      <c r="K20" s="389" t="s">
        <v>723</v>
      </c>
      <c r="L20" s="389" t="s">
        <v>738</v>
      </c>
      <c r="M20" s="389" t="s">
        <v>738</v>
      </c>
      <c r="N20" s="389" t="s">
        <v>738</v>
      </c>
      <c r="O20" s="389" t="s">
        <v>740</v>
      </c>
      <c r="P20" s="389" t="s">
        <v>740</v>
      </c>
      <c r="Q20" s="124"/>
      <c r="R20" s="124"/>
      <c r="S20" s="124"/>
      <c r="T20" s="1051">
        <f>IF(Input!AR28="","",Input!AR28)</f>
      </c>
      <c r="U20" s="1051"/>
      <c r="V20" s="1051"/>
      <c r="W20" s="1055"/>
      <c r="X20" s="558">
        <f>IF(X10="","",IF(AND($X$2="Fragment Volume",X10&gt;75),16,IF(AND($X$2="Fragment Volume",X10&lt;7.5),2,IF($X$2="Fragment Volume",VLOOKUP(MROUND(X10,5),$T$24:$V$39,3,FALSE)))))</f>
      </c>
      <c r="Y20" s="144">
        <f>IF(Y10="","",IF(AND($X$2="Fragment Volume",Y10&gt;75),16,IF(AND($X$2="Fragment Volume",Y10&lt;7.5),2,IF($X$2="Fragment Volume",VLOOKUP(MROUND(Y10,5),$T$24:$V$39,3,FALSE)))))</f>
      </c>
      <c r="Z20" s="42">
        <f>IF(Z10="","",IF(AND($X$2="Fragment Volume",Z10&gt;75),16,IF(AND($X$2="Fragment Volume",Z10&lt;7.5),2,IF($X$2="Fragment Volume",VLOOKUP(MROUND(Z10,5),$T$24:$V$39,3,FALSE)))))</f>
      </c>
      <c r="AA20"/>
      <c r="AB20" s="585">
        <f>IF(OR($V7="",$T$16=""),"",IF($T$16="nonash",VLOOKUP($V7,AWCTable1,X17,FALSE),IF($T$16="nonash; salt influenced",VLOOKUP($V7,AWCTable2,Z29,FALSE),IF($T$16="vitrandic subgroups (no andic properties)",VLOOKUP($V7,AWCvit,X17,FALSE),IF(AND($T$16="andisols or andic subgroups",Input!$AW$24="ashy"),VLOOKUP($V7,AWCashy,X17,FALSE),IF(AND($T$16="andisols or andic subgroups",Input!$AW$24="medial"),VLOOKUP($V7,AWCmedial,X17,FALSE),""))))))</f>
      </c>
      <c r="AC20" s="586">
        <f>IF(OR($V7="",$T$16=""),"",IF($T$16="nonash",VLOOKUP($V7,AWCTable1,Y17,FALSE),IF($T$16="nonash; salt influenced",VLOOKUP($V7,AWCTable2,Y29,FALSE),IF($T$16="vitrandic subgroups (no andic properties)",VLOOKUP($V7,AWCvit,Y17,FALSE),IF(AND($T$16="andisols or andic subgroups",Input!$AW$24="ashy"),VLOOKUP($V7,AWCashy,Y17,FALSE),IF(AND($T$16="andisols or andic subgroups",Input!$AW$24="medial"),VLOOKUP($V7,AWCmedial,Y17,FALSE),""))))))</f>
      </c>
      <c r="AD20" s="587">
        <f>IF(OR($V7="",$T$16=""),"",IF($T$16="nonash",VLOOKUP($V7,AWCTable1,Z17,FALSE),IF($T$16="nonash; salt influenced",VLOOKUP($V7,AWCTable2,X29,FALSE),IF($T$16="vitrandic subgroups (no andic properties)",VLOOKUP($V7,AWCvit,Z17,FALSE),IF(AND($T$16="andisols or andic subgroups",Input!$AW$24="ashy"),VLOOKUP($V7,AWCashy,Z17,FALSE),IF(AND($T$16="andisols or andic subgroups",Input!$AW$24="medial"),VLOOKUP($V7,AWCmedial,Z17,FALSE),""))))))</f>
      </c>
      <c r="AH20" t="s">
        <v>602</v>
      </c>
      <c r="AI20" s="137" t="s">
        <v>807</v>
      </c>
      <c r="AJ20" s="137" t="s">
        <v>807</v>
      </c>
      <c r="AK20" s="137" t="s">
        <v>807</v>
      </c>
      <c r="AL20" s="137" t="s">
        <v>807</v>
      </c>
      <c r="AM20" s="137" t="s">
        <v>807</v>
      </c>
      <c r="AO20">
        <v>0.18</v>
      </c>
      <c r="AP20">
        <v>0.17</v>
      </c>
    </row>
    <row r="21" spans="1:42" ht="12.75" customHeight="1">
      <c r="A21" s="145" t="s">
        <v>604</v>
      </c>
      <c r="B21" s="389" t="s">
        <v>739</v>
      </c>
      <c r="C21" s="389" t="s">
        <v>741</v>
      </c>
      <c r="D21" s="389" t="s">
        <v>741</v>
      </c>
      <c r="E21" s="389" t="s">
        <v>741</v>
      </c>
      <c r="F21" s="389" t="s">
        <v>723</v>
      </c>
      <c r="G21" s="389" t="s">
        <v>758</v>
      </c>
      <c r="H21" s="389" t="s">
        <v>758</v>
      </c>
      <c r="I21" s="389" t="s">
        <v>738</v>
      </c>
      <c r="J21" s="389" t="s">
        <v>738</v>
      </c>
      <c r="K21" s="389" t="s">
        <v>738</v>
      </c>
      <c r="L21" s="389" t="s">
        <v>740</v>
      </c>
      <c r="M21" s="389" t="s">
        <v>740</v>
      </c>
      <c r="N21" s="389" t="s">
        <v>740</v>
      </c>
      <c r="O21" s="389">
        <v>0.01</v>
      </c>
      <c r="P21" s="389">
        <v>0.01</v>
      </c>
      <c r="Q21" s="124"/>
      <c r="R21" s="124"/>
      <c r="S21" s="124"/>
      <c r="T21" s="1051">
        <f>IF(Input!AR29="","",Input!AR29)</f>
      </c>
      <c r="U21" s="1051"/>
      <c r="V21" s="1051"/>
      <c r="W21" s="1055"/>
      <c r="X21" s="558">
        <f>IF(X11="","",IF(AND($X$2="Fragment Volume",X11&gt;75),16,IF(AND($X$2="Fragment Volume",X11&lt;7.5),2,IF($X$2="Fragment Volume",VLOOKUP(MROUND(X11,5),$T$24:$V$39,3,FALSE)))))</f>
      </c>
      <c r="Y21" s="140">
        <f>IF(Y11="","",IF(AND($X$2="Fragment Volume",Y11&gt;75),16,IF(AND($X$2="Fragment Volume",Y11&lt;7.5),2,IF($X$2="Fragment Volume",VLOOKUP(MROUND(Y11,5),$T$24:$V$39,3,FALSE)))))</f>
      </c>
      <c r="Z21" s="142">
        <f>IF(Z11="","",IF(AND($X$2="Fragment Volume",Z11&gt;75),16,IF(AND($X$2="Fragment Volume",Z11&lt;7.5),2,IF($X$2="Fragment Volume",VLOOKUP(MROUND(Z11,5),$T$24:$V$39,3,FALSE)))))</f>
      </c>
      <c r="AA21"/>
      <c r="AB21" s="585">
        <f>IF(OR($V8="",$T$17=""),"",IF($T$17="nonash",VLOOKUP($V8,AWCTable1,X18,FALSE),IF($T$17="nonash; salt influenced",VLOOKUP($V8,AWCTable2,Z30,FALSE),IF($T$17="vitrandic subgroups (no andic properties)",VLOOKUP($V8,AWCvit,X18,FALSE),IF(AND($T$17="andisols or andic subgroups",Input!$AW$25="ashy"),VLOOKUP($V8,AWCashy,X18,FALSE),IF(AND($T$17="andisols or andic subgroups",Input!$AW$25="medial"),VLOOKUP($V8,AWCmedial,X18,FALSE),""))))))</f>
      </c>
      <c r="AC21" s="586">
        <f>IF(OR($V8="",$T$17=""),"",IF($T$17="nonash",VLOOKUP($V8,AWCTable1,Y18,FALSE),IF($T$17="nonash; salt influenced",VLOOKUP($V8,AWCTable2,Y30,FALSE),IF($T$17="vitrandic subgroups (no andic properties)",VLOOKUP($V8,AWCvit,Y18,FALSE),IF(AND($T$17="andisols or andic subgroups",Input!$AW$25="ashy"),VLOOKUP($V8,AWCashy,Y18,FALSE),IF(AND($T$17="andisols or andic subgroups",Input!$AW$25="medial"),VLOOKUP($V8,AWCmedial,Y18,FALSE),""))))))</f>
      </c>
      <c r="AD21" s="587">
        <f>IF(OR($V8="",$T$17=""),"",IF($T$17="nonash",VLOOKUP($V8,AWCTable1,Z18,FALSE),IF($T$17="nonash; salt influenced",VLOOKUP($V8,AWCTable2,X30,FALSE),IF($T$17="vitrandic subgroups (no andic properties)",VLOOKUP($V8,AWCvit,Z18,FALSE),IF(AND($T$17="andisols or andic subgroups",Input!$AW$25="ashy"),VLOOKUP($V8,AWCashy,Z18,FALSE),IF(AND($T$17="andisols or andic subgroups",Input!$AW$25="medial"),VLOOKUP($V8,AWCmedial,Z18,FALSE),""))))))</f>
      </c>
      <c r="AH21" t="s">
        <v>552</v>
      </c>
      <c r="AI21" s="137" t="s">
        <v>807</v>
      </c>
      <c r="AJ21" s="137" t="s">
        <v>807</v>
      </c>
      <c r="AK21" s="137" t="s">
        <v>807</v>
      </c>
      <c r="AL21" s="137" t="s">
        <v>807</v>
      </c>
      <c r="AM21" s="137" t="s">
        <v>807</v>
      </c>
      <c r="AO21">
        <v>0.19</v>
      </c>
      <c r="AP21">
        <v>0.2</v>
      </c>
    </row>
    <row r="22" spans="1:42" ht="12.75" customHeight="1" thickBot="1">
      <c r="A22" s="145" t="s">
        <v>552</v>
      </c>
      <c r="B22" s="389" t="s">
        <v>739</v>
      </c>
      <c r="C22" s="389" t="s">
        <v>741</v>
      </c>
      <c r="D22" s="389" t="s">
        <v>741</v>
      </c>
      <c r="E22" s="389" t="s">
        <v>741</v>
      </c>
      <c r="F22" s="389" t="s">
        <v>723</v>
      </c>
      <c r="G22" s="389" t="s">
        <v>758</v>
      </c>
      <c r="H22" s="389" t="s">
        <v>758</v>
      </c>
      <c r="I22" s="389" t="s">
        <v>738</v>
      </c>
      <c r="J22" s="389" t="s">
        <v>738</v>
      </c>
      <c r="K22" s="389" t="s">
        <v>738</v>
      </c>
      <c r="L22" s="389" t="s">
        <v>740</v>
      </c>
      <c r="M22" s="389" t="s">
        <v>740</v>
      </c>
      <c r="N22" s="389" t="s">
        <v>740</v>
      </c>
      <c r="O22" s="389">
        <v>0.01</v>
      </c>
      <c r="P22" s="389">
        <v>0.01</v>
      </c>
      <c r="Q22" s="124"/>
      <c r="R22" s="124"/>
      <c r="S22" s="124"/>
      <c r="W22"/>
      <c r="X22" s="559">
        <f>IF(X12="","",IF(AND($X$2="Fragment Volume",X12&gt;75),16,IF(AND($X$2="Fragment Volume",X12&lt;7.5),2,IF($X$2="Fragment Volume",VLOOKUP(MROUND(X12,5),$T$24:$V$39,3,FALSE)))))</f>
      </c>
      <c r="Y22" s="134">
        <f>IF(Y12="","",IF(AND($X$2="Fragment Volume",Y12&gt;75),16,IF(AND($X$2="Fragment Volume",Y12&lt;7.5),2,IF($X$2="Fragment Volume",VLOOKUP(MROUND(Y12,5),$T$24:$V$39,3,FALSE)))))</f>
      </c>
      <c r="Z22" s="168">
        <f>IF(Z12="","",IF(AND($X$2="Fragment Volume",Z12&gt;75),16,IF(AND($X$2="Fragment Volume",Z12&lt;7.5),2,IF($X$2="Fragment Volume",VLOOKUP(MROUND(Z12,5),$T$24:$V$39,3,FALSE)))))</f>
      </c>
      <c r="AA22"/>
      <c r="AB22" s="585">
        <f>IF(OR($V9="",$T$18=""),"",IF($T$18="nonash",VLOOKUP($V9,AWCTable1,X19,FALSE),IF($T$18="nonash; salt influenced",VLOOKUP($V9,AWCTable2,Z31,FALSE),IF($T$18="vitrandic subgroups (no andic properties)",VLOOKUP($V9,AWCvit,X19,FALSE),IF(AND($T$18="andisols or andic subgroups",Input!$AW$26="ashy"),VLOOKUP($V9,AWCashy,X19,FALSE),IF(AND($T$18="andisols or andic subgroups",Input!$AW$26="medial"),VLOOKUP($V9,AWCmedial,X19,FALSE),""))))))</f>
      </c>
      <c r="AC22" s="586">
        <f>IF(OR($V9="",$T$18=""),"",IF($T$18="nonash",VLOOKUP($V9,AWCTable1,Y19,FALSE),IF($T$18="nonash; salt influenced",VLOOKUP($V9,AWCTable2,Y31,FALSE),IF($T$18="vitrandic subgroups (no andic properties)",VLOOKUP($V9,AWCvit,Y19,FALSE),IF(AND($T$18="andisols or andic subgroups",Input!$AW$26="ashy"),VLOOKUP($V9,AWCashy,Y19,FALSE),IF(AND($T$18="andisols or andic subgroups",Input!$AW$26="medial"),VLOOKUP($V9,AWCmedial,Y19,FALSE),""))))))</f>
      </c>
      <c r="AD22" s="587">
        <f>IF(OR($V9="",$T$18=""),"",IF($T$18="nonash",VLOOKUP($V9,AWCTable1,Z19,FALSE),IF($T$18="nonash; salt influenced",VLOOKUP($V9,AWCTable2,X31,FALSE),IF($T$18="vitrandic subgroups (no andic properties)",VLOOKUP($V9,AWCvit,Z19,FALSE),IF(AND($T$18="andisols or andic subgroups",Input!$AW$26="ashy"),VLOOKUP($V9,AWCashy,Z19,FALSE),IF(AND($T$18="andisols or andic subgroups",Input!$AW$26="medial"),VLOOKUP($V9,AWCmedial,Z19,FALSE),""))))))</f>
      </c>
      <c r="AH22" t="s">
        <v>593</v>
      </c>
      <c r="AI22" s="137" t="s">
        <v>807</v>
      </c>
      <c r="AJ22" s="137" t="s">
        <v>807</v>
      </c>
      <c r="AK22" s="137" t="s">
        <v>807</v>
      </c>
      <c r="AL22" s="137" t="s">
        <v>807</v>
      </c>
      <c r="AM22" s="137" t="s">
        <v>807</v>
      </c>
      <c r="AO22">
        <v>0.2</v>
      </c>
      <c r="AP22">
        <v>0.2</v>
      </c>
    </row>
    <row r="23" spans="1:42" ht="12.75" customHeight="1">
      <c r="A23" s="145" t="s">
        <v>636</v>
      </c>
      <c r="B23" s="389" t="s">
        <v>417</v>
      </c>
      <c r="C23" s="389" t="s">
        <v>728</v>
      </c>
      <c r="D23" s="389" t="s">
        <v>737</v>
      </c>
      <c r="E23" s="389" t="s">
        <v>737</v>
      </c>
      <c r="F23" s="389" t="s">
        <v>720</v>
      </c>
      <c r="G23" s="389" t="s">
        <v>735</v>
      </c>
      <c r="H23" s="389" t="s">
        <v>735</v>
      </c>
      <c r="I23" s="389" t="s">
        <v>721</v>
      </c>
      <c r="J23" s="389" t="s">
        <v>739</v>
      </c>
      <c r="K23" s="389" t="s">
        <v>722</v>
      </c>
      <c r="L23" s="389" t="s">
        <v>723</v>
      </c>
      <c r="M23" s="389" t="s">
        <v>723</v>
      </c>
      <c r="N23" s="389" t="s">
        <v>723</v>
      </c>
      <c r="O23" s="389" t="s">
        <v>738</v>
      </c>
      <c r="P23" s="389" t="s">
        <v>738</v>
      </c>
      <c r="Q23" s="124"/>
      <c r="R23" s="124"/>
      <c r="S23" s="124"/>
      <c r="T23" s="124" t="s">
        <v>742</v>
      </c>
      <c r="U23" s="124" t="s">
        <v>621</v>
      </c>
      <c r="V23" s="124" t="s">
        <v>743</v>
      </c>
      <c r="Y23" s="372"/>
      <c r="Z23" s="372"/>
      <c r="AA23"/>
      <c r="AB23" s="585">
        <f>IF(OR($V10="",$T$19=""),"",IF($T$19="nonash",VLOOKUP($V10,AWCTable1,X20,FALSE),IF($T$19="nonash; salt influenced",VLOOKUP($V10,AWCTable2,Z32,FALSE),IF($T$19="vitrandic subgroups (no andic properties)",VLOOKUP($V10,AWCvit,X20,FALSE),IF(AND($T$19="andisols or andic subgroups",Input!$AW$27="ashy"),VLOOKUP($V10,AWCashy,X20,FALSE),IF(AND($T$19="andisols or andic subgroups",Input!$AW$27="medial"),VLOOKUP($V10,AWCmedial,X20,FALSE),""))))))</f>
      </c>
      <c r="AC23" s="586">
        <f>IF(OR($V10="",$T$19=""),"",IF($T$19="nonash",VLOOKUP($V10,AWCTable1,Y20,FALSE),IF($T$19="nonash; salt influenced",VLOOKUP($V10,AWCTable2,Y32,FALSE),IF($T$19="vitrandic subgroups (no andic properties)",VLOOKUP($V10,AWCvit,Y20,FALSE),IF(AND($T$19="andisols or andic subgroups",Input!$AW$27="ashy"),VLOOKUP($V10,AWCashy,Y20,FALSE),IF(AND($T$19="andisols or andic subgroups",Input!$AW$27="medial"),VLOOKUP($V10,AWCmedial,Y20,FALSE),""))))))</f>
      </c>
      <c r="AD23" s="587">
        <f>IF(OR($V10="",$T$19=""),"",IF($T$19="nonash",VLOOKUP($V10,AWCTable1,Z20,FALSE),IF($T$19="nonash; salt influenced",VLOOKUP($V10,AWCTable2,X32,FALSE),IF($T$19="vitrandic subgroups (no andic properties)",VLOOKUP($V10,AWCvit,Z20,FALSE),IF(AND($T$19="andisols or andic subgroups",Input!$AW$27="ashy"),VLOOKUP($V10,AWCashy,Z20,FALSE),IF(AND($T$19="andisols or andic subgroups",Input!$AW$27="medial"),VLOOKUP($V10,AWCmedial,Z20,FALSE),""))))))</f>
      </c>
      <c r="AH23" t="s">
        <v>587</v>
      </c>
      <c r="AI23" s="137" t="s">
        <v>807</v>
      </c>
      <c r="AJ23" s="137" t="s">
        <v>807</v>
      </c>
      <c r="AK23" s="137" t="s">
        <v>807</v>
      </c>
      <c r="AL23" s="137" t="s">
        <v>807</v>
      </c>
      <c r="AM23" s="137" t="s">
        <v>807</v>
      </c>
      <c r="AO23">
        <v>0.21</v>
      </c>
      <c r="AP23">
        <v>0.2</v>
      </c>
    </row>
    <row r="24" spans="1:42" ht="12.75" customHeight="1" thickBot="1">
      <c r="A24" s="145" t="s">
        <v>596</v>
      </c>
      <c r="B24" s="389" t="s">
        <v>735</v>
      </c>
      <c r="C24" s="389" t="s">
        <v>739</v>
      </c>
      <c r="D24" s="389" t="s">
        <v>739</v>
      </c>
      <c r="E24" s="389" t="s">
        <v>722</v>
      </c>
      <c r="F24" s="389" t="s">
        <v>741</v>
      </c>
      <c r="G24" s="389" t="s">
        <v>741</v>
      </c>
      <c r="H24" s="389" t="s">
        <v>723</v>
      </c>
      <c r="I24" s="389" t="s">
        <v>723</v>
      </c>
      <c r="J24" s="389" t="s">
        <v>738</v>
      </c>
      <c r="K24" s="389" t="s">
        <v>738</v>
      </c>
      <c r="L24" s="389" t="s">
        <v>738</v>
      </c>
      <c r="M24" s="389" t="s">
        <v>740</v>
      </c>
      <c r="N24" s="389" t="s">
        <v>740</v>
      </c>
      <c r="O24" s="389" t="s">
        <v>740</v>
      </c>
      <c r="P24" s="389">
        <v>0.01</v>
      </c>
      <c r="Q24" s="124"/>
      <c r="R24" s="124"/>
      <c r="S24" s="124"/>
      <c r="T24" s="124">
        <v>0</v>
      </c>
      <c r="U24" s="140">
        <v>0</v>
      </c>
      <c r="V24" s="124">
        <v>2</v>
      </c>
      <c r="Y24"/>
      <c r="Z24"/>
      <c r="AA24"/>
      <c r="AB24" s="585">
        <f>IF(OR($V11="",$T$20=""),"",IF($T$20="nonash",VLOOKUP($V11,AWCTable1,X21,FALSE),IF($T$20="nonash; salt influenced",VLOOKUP($V11,AWCTable2,Z33,FALSE),IF($T$20="vitrandic subgroups (no andic properties)",VLOOKUP($V11,AWCvit,X21,FALSE),IF(AND($T$20="andisols or andic subgroups",Input!$AW$28="ashy"),VLOOKUP($V11,AWCashy,X21,FALSE),IF(AND($T$20="andisols or andic subgroups",Input!$AW$28="medial"),VLOOKUP($V11,AWCmedial,X21,FALSE),""))))))</f>
      </c>
      <c r="AC24" s="586">
        <f>IF(OR($V11="",$T$20=""),"",IF($T$20="nonash",VLOOKUP($V11,AWCTable1,Y21,FALSE),IF($T$20="nonash; salt influenced",VLOOKUP($V11,AWCTable2,Y33,FALSE),IF($T$20="vitrandic subgroups (no andic properties)",VLOOKUP($V11,AWCvit,Y21,FALSE),IF(AND($T$20="andisols or andic subgroups",Input!$AW$28="ashy"),VLOOKUP($V11,AWCashy,Y21,FALSE),IF(AND($T$20="andisols or andic subgroups",Input!$AW$28="medial"),VLOOKUP($V11,AWCmedial,Y21,FALSE),""))))))</f>
      </c>
      <c r="AD24" s="587">
        <f>IF(OR($V11="",$T$20=""),"",IF($T$20="nonash",VLOOKUP($V11,AWCTable1,Z21,FALSE),IF($T$20="nonash; salt influenced",VLOOKUP($V11,AWCTable2,X33,FALSE),IF($T$20="vitrandic subgroups (no andic properties)",VLOOKUP($V11,AWCvit,Z21,FALSE),IF(AND($T$20="andisols or andic subgroups",Input!$AW$28="ashy"),VLOOKUP($V11,AWCashy,Z21,FALSE),IF(AND($T$20="andisols or andic subgroups",Input!$AW$28="medial"),VLOOKUP($V11,AWCmedial,Z21,FALSE),""))))))</f>
      </c>
      <c r="AH24" t="s">
        <v>636</v>
      </c>
      <c r="AI24" s="137" t="s">
        <v>807</v>
      </c>
      <c r="AJ24" s="137" t="s">
        <v>807</v>
      </c>
      <c r="AK24" s="137" t="s">
        <v>807</v>
      </c>
      <c r="AL24" s="137" t="s">
        <v>807</v>
      </c>
      <c r="AM24" s="137" t="s">
        <v>807</v>
      </c>
      <c r="AO24">
        <v>0.22</v>
      </c>
      <c r="AP24">
        <v>0.2</v>
      </c>
    </row>
    <row r="25" spans="1:42" ht="12.75" customHeight="1" thickBot="1">
      <c r="A25" s="145" t="s">
        <v>572</v>
      </c>
      <c r="B25" s="389" t="s">
        <v>732</v>
      </c>
      <c r="C25" s="389" t="s">
        <v>717</v>
      </c>
      <c r="D25" s="389" t="s">
        <v>728</v>
      </c>
      <c r="E25" s="389" t="s">
        <v>719</v>
      </c>
      <c r="F25" s="389" t="s">
        <v>737</v>
      </c>
      <c r="G25" s="389" t="s">
        <v>737</v>
      </c>
      <c r="H25" s="389" t="s">
        <v>735</v>
      </c>
      <c r="I25" s="389" t="s">
        <v>720</v>
      </c>
      <c r="J25" s="389" t="s">
        <v>721</v>
      </c>
      <c r="K25" s="389" t="s">
        <v>739</v>
      </c>
      <c r="L25" s="389" t="s">
        <v>722</v>
      </c>
      <c r="M25" s="389" t="s">
        <v>723</v>
      </c>
      <c r="N25" s="389" t="s">
        <v>723</v>
      </c>
      <c r="O25" s="389" t="s">
        <v>723</v>
      </c>
      <c r="P25" s="389" t="s">
        <v>738</v>
      </c>
      <c r="Q25" s="124"/>
      <c r="T25" s="124">
        <v>10</v>
      </c>
      <c r="U25" s="140">
        <v>1</v>
      </c>
      <c r="V25" s="124">
        <v>3</v>
      </c>
      <c r="X25" s="1052" t="s">
        <v>376</v>
      </c>
      <c r="Y25" s="1053"/>
      <c r="Z25" s="1054"/>
      <c r="AA25"/>
      <c r="AB25" s="588">
        <f>IF(OR($V12="",$T$21=""),"",IF($T$21="nonash",VLOOKUP($V12,AWCTable1,X22,FALSE),IF($T$21="nonash; salt influenced",VLOOKUP($V12,AWCTable2,Z34,FALSE),IF($T$21="vitrandic subgroups (no andic properties)",VLOOKUP($V12,AWCvit,X22,FALSE),IF(AND($T$21="andisols or andic subgroups",Input!$AW$29="ashy"),VLOOKUP($V12,AWCashy,X22,FALSE),IF(AND($T$21="andisols or andic subgroups",Input!$AW$29="medial"),VLOOKUP($V12,AWCmedial,X22,FALSE),""))))))</f>
      </c>
      <c r="AC25" s="589">
        <f>IF(OR($V12="",$T$21=""),"",IF($T$21="nonash",VLOOKUP($V12,AWCTable1,Y22,FALSE),IF($T$21="nonash; salt influenced",VLOOKUP($V12,AWCTable2,Y34,FALSE),IF($T$21="vitrandic subgroups (no andic properties)",VLOOKUP($V12,AWCvit,Y22,FALSE),IF(AND($T$21="andisols or andic subgroups",Input!$AW$29="ashy"),VLOOKUP($V12,AWCashy,Y22,FALSE),IF(AND($T$21="andisols or andic subgroups",Input!$AW$29="medial"),VLOOKUP($V12,AWCmedial,Y22,FALSE),""))))))</f>
      </c>
      <c r="AD25" s="590">
        <f>IF(OR($V12="",$T$21=""),"",IF($T$21="nonash",VLOOKUP($V12,AWCTable1,Z22,FALSE),IF($T$21="nonash; salt influenced",VLOOKUP($V12,AWCTable2,X34,FALSE),IF($T$21="vitrandic subgroups (no andic properties)",VLOOKUP($V12,AWCvit,Z22,FALSE),IF(AND($T$21="andisols or andic subgroups",Input!$AW$29="ashy"),VLOOKUP($V12,AWCashy,Z22,FALSE),IF(AND($T$21="andisols or andic subgroups",Input!$AW$29="medial"),VLOOKUP($V12,AWCmedial,Z22,FALSE),""))))))</f>
      </c>
      <c r="AO25">
        <v>0.23</v>
      </c>
      <c r="AP25">
        <v>0.24</v>
      </c>
    </row>
    <row r="26" spans="1:42" ht="12.75" customHeight="1">
      <c r="A26" s="145" t="s">
        <v>593</v>
      </c>
      <c r="B26" s="389" t="s">
        <v>729</v>
      </c>
      <c r="C26" s="389" t="s">
        <v>730</v>
      </c>
      <c r="D26" s="389" t="s">
        <v>731</v>
      </c>
      <c r="E26" s="389" t="s">
        <v>724</v>
      </c>
      <c r="F26" s="389" t="s">
        <v>711</v>
      </c>
      <c r="G26" s="389" t="s">
        <v>725</v>
      </c>
      <c r="H26" s="389" t="s">
        <v>712</v>
      </c>
      <c r="I26" s="389" t="s">
        <v>713</v>
      </c>
      <c r="J26" s="389" t="s">
        <v>727</v>
      </c>
      <c r="K26" s="389" t="s">
        <v>732</v>
      </c>
      <c r="L26" s="389" t="s">
        <v>718</v>
      </c>
      <c r="M26" s="389" t="s">
        <v>719</v>
      </c>
      <c r="N26" s="389" t="s">
        <v>720</v>
      </c>
      <c r="O26" s="389" t="s">
        <v>721</v>
      </c>
      <c r="P26" s="389" t="s">
        <v>722</v>
      </c>
      <c r="Q26" s="124"/>
      <c r="T26" s="124">
        <v>15</v>
      </c>
      <c r="U26" s="140">
        <v>2</v>
      </c>
      <c r="V26" s="124">
        <v>4</v>
      </c>
      <c r="X26" s="127">
        <f>IF(Input!AE21="","",IF(AND(Input!AE21&gt;15),17,VLOOKUP(Input!AE21,$U$24:$V$39,2,FALSE)))</f>
      </c>
      <c r="Y26" s="621">
        <f>IF(Input!AF21="","",IF(AND(Input!AF21&gt;15),17,VLOOKUP(Input!AF21,$U$24:$V$39,2,FALSE)))</f>
      </c>
      <c r="Z26" s="129">
        <f>IF(Input!AG21="","",IF(AND(Input!AG21&gt;15),17,VLOOKUP(Input!AG21,$U$24:$V$39,2,FALSE)))</f>
      </c>
      <c r="AA26"/>
      <c r="AB26"/>
      <c r="AC26"/>
      <c r="AO26">
        <v>0.24</v>
      </c>
      <c r="AP26">
        <v>0.24</v>
      </c>
    </row>
    <row r="27" spans="18:42" ht="13.5" thickBot="1">
      <c r="R27" s="124"/>
      <c r="S27" s="124"/>
      <c r="T27" s="124">
        <v>20</v>
      </c>
      <c r="U27" s="140">
        <v>3</v>
      </c>
      <c r="V27" s="124">
        <v>5</v>
      </c>
      <c r="X27" s="614">
        <f>IF(Input!AE22="","",IF(AND(Input!AE22&gt;15),17,VLOOKUP(Input!AE22,$U$24:$V$39,2,FALSE)))</f>
      </c>
      <c r="Y27" s="144">
        <f>IF(Input!AF22="","",IF(AND(Input!AF22&gt;15),17,VLOOKUP(Input!AF22,$U$24:$V$39,2,FALSE)))</f>
      </c>
      <c r="Z27" s="168">
        <f>IF(Input!AG22="","",IF(AND(Input!AG22&gt;15),17,VLOOKUP(Input!AG22,$U$24:$V$39,2,FALSE)))</f>
      </c>
      <c r="AA27"/>
      <c r="AB27"/>
      <c r="AC27"/>
      <c r="AO27">
        <v>0.25</v>
      </c>
      <c r="AP27">
        <v>0.24</v>
      </c>
    </row>
    <row r="28" spans="18:42" ht="13.5" thickBot="1">
      <c r="R28" s="140"/>
      <c r="S28" s="140"/>
      <c r="T28" s="124">
        <v>25</v>
      </c>
      <c r="U28" s="140">
        <v>4</v>
      </c>
      <c r="V28" s="124">
        <v>6</v>
      </c>
      <c r="X28" s="614">
        <f>IF(Input!AE23="","",IF(AND(Input!AE23&gt;15),17,VLOOKUP(Input!AE23,$U$24:$V$39,2,FALSE)))</f>
      </c>
      <c r="Y28" s="144">
        <f>IF(Input!AF23="","",IF(AND(Input!AF23&gt;15),17,VLOOKUP(Input!AF23,$U$24:$V$39,2,FALSE)))</f>
      </c>
      <c r="Z28" s="168">
        <f>IF(Input!AG23="","",IF(AND(Input!AG23&gt;15),17,VLOOKUP(Input!AG23,$U$24:$V$39,2,FALSE)))</f>
      </c>
      <c r="AA28"/>
      <c r="AB28" s="1046" t="s">
        <v>390</v>
      </c>
      <c r="AC28" s="1047"/>
      <c r="AD28" s="1048"/>
      <c r="AO28">
        <v>0.26</v>
      </c>
      <c r="AP28">
        <v>0.24</v>
      </c>
    </row>
    <row r="29" spans="20:42" ht="13.5" thickBot="1">
      <c r="T29" s="124">
        <v>30</v>
      </c>
      <c r="U29" s="140">
        <v>5</v>
      </c>
      <c r="V29" s="124">
        <v>7</v>
      </c>
      <c r="X29" s="614">
        <f>IF(Input!AE24="","",IF(AND(Input!AE24&gt;15),17,VLOOKUP(Input!AE24,$U$24:$V$39,2,FALSE)))</f>
      </c>
      <c r="Y29" s="144">
        <f>IF(Input!AF24="","",IF(AND(Input!AF24&gt;15),17,VLOOKUP(Input!AF24,$U$24:$V$39,2,FALSE)))</f>
      </c>
      <c r="Z29" s="168">
        <f>IF(Input!AG24="","",IF(AND(Input!AG24&gt;15),17,VLOOKUP(Input!AG24,$U$24:$V$39,2,FALSE)))</f>
      </c>
      <c r="AA29"/>
      <c r="AB29" s="591" t="s">
        <v>707</v>
      </c>
      <c r="AC29" s="592" t="s">
        <v>579</v>
      </c>
      <c r="AD29" s="593" t="s">
        <v>706</v>
      </c>
      <c r="AO29">
        <v>0.27</v>
      </c>
      <c r="AP29">
        <v>0.28</v>
      </c>
    </row>
    <row r="30" spans="20:42" ht="12.75">
      <c r="T30" s="140">
        <v>35</v>
      </c>
      <c r="U30" s="140">
        <v>6</v>
      </c>
      <c r="V30" s="124">
        <v>8</v>
      </c>
      <c r="X30" s="558">
        <f>IF(Input!AE25="","",IF(AND(Input!AE25&gt;15),17,VLOOKUP(Input!AE25,$U$24:$V$39,2,FALSE)))</f>
      </c>
      <c r="Y30" s="144">
        <f>IF(Input!AF25="","",IF(AND(Input!AF25&gt;15),17,VLOOKUP(Input!AF25,$U$24:$V$39,2,FALSE)))</f>
      </c>
      <c r="Z30" s="42">
        <f>IF(Input!AG25="","",IF(AND(Input!AG25&gt;15),17,VLOOKUP(Input!AG25,$U$24:$V$39,2,FALSE)))</f>
      </c>
      <c r="AA30"/>
      <c r="AB30" s="594">
        <f>IF(OR($W4="",$T$13=""),"",IF($T$13="nonash",VLOOKUP($W4,AWCTable1,X14,FALSE),IF($T$13="nonash; salt influenced",VLOOKUP($W4,AWCTable2,Z26,FALSE),IF($T$13="vitrandic subgroups (no andic properties)",VLOOKUP($W4,AWCvit,X14,FALSE),IF(AND($T$13="andisols or andic subgroups",Input!$AW$21="ashy"),VLOOKUP($W4,AWCashy,X14,FALSE),IF(AND($T$13="andisols or andic subgroups",Input!$AW$21="medial"),VLOOKUP($W4,AWCmedial,X14,FALSE),""))))))</f>
      </c>
      <c r="AC30" s="592">
        <f>IF(OR($W4="",$T$13=""),"",IF($T$13="nonash",VLOOKUP($W4,AWCTable1,Y14,FALSE),IF($T$13="nonash; salt influenced",VLOOKUP($W4,AWCTable2,Y26,FALSE),IF($T$13="vitrandic subgroups (no andic properties)",VLOOKUP($W4,AWCvit,Y14,FALSE),IF(AND($T$13="andisols or andic subgroups",Input!$AW$21="ashy"),VLOOKUP($W4,AWCashy,Y14,FALSE),IF(AND($T$13="andisols or andic subgroups",Input!$AW$21="medial"),VLOOKUP($W4,AWCmedial,Y14,FALSE),""))))))</f>
      </c>
      <c r="AD30" s="593">
        <f>IF(OR($W4="",$T$13=""),"",IF($T$13="nonash",VLOOKUP($W4,AWCTable1,Z14,FALSE),IF($T$13="nonash; salt influenced",VLOOKUP($W4,AWCTable2,X26,FALSE),IF($T$13="vitrandic subgroups (no andic properties)",VLOOKUP($W4,AWCvit,Z14,FALSE),IF(AND($T$13="andisols or andic subgroups",Input!$AW$21="ashy"),VLOOKUP($W4,AWCashy,Z14,FALSE),IF(AND($T$13="andisols or andic subgroups",Input!$AW$21="medial"),VLOOKUP($W4,AWCmedial,Z14,FALSE),""))))))</f>
      </c>
      <c r="AO30">
        <v>0.28</v>
      </c>
      <c r="AP30">
        <v>0.28</v>
      </c>
    </row>
    <row r="31" spans="1:42" ht="12.75">
      <c r="A31" s="131" t="s">
        <v>416</v>
      </c>
      <c r="B31" s="132"/>
      <c r="C31" s="132"/>
      <c r="D31" s="132"/>
      <c r="E31" s="132"/>
      <c r="F31" s="132"/>
      <c r="G31" s="132"/>
      <c r="H31" s="132"/>
      <c r="I31" s="132"/>
      <c r="J31" s="132"/>
      <c r="K31" s="132"/>
      <c r="L31" s="132"/>
      <c r="M31" s="132"/>
      <c r="N31" s="132"/>
      <c r="O31" s="132"/>
      <c r="P31" s="133"/>
      <c r="Q31" s="133"/>
      <c r="T31" s="124">
        <v>40</v>
      </c>
      <c r="U31" s="140">
        <v>7</v>
      </c>
      <c r="V31" s="124">
        <v>9</v>
      </c>
      <c r="X31" s="558">
        <f>IF(Input!AE26="","",IF(AND(Input!AE26&gt;15),17,VLOOKUP(Input!AE26,$U$24:$V$39,2,FALSE)))</f>
      </c>
      <c r="Y31" s="144">
        <f>IF(Input!AF26="","",IF(AND(Input!AF26&gt;15),17,VLOOKUP(Input!AF26,$U$24:$V$39,2,FALSE)))</f>
      </c>
      <c r="Z31" s="42">
        <f>IF(Input!AG26="","",IF(AND(Input!AG26&gt;15),17,VLOOKUP(Input!AG26,$U$24:$V$39,2,FALSE)))</f>
      </c>
      <c r="AA31"/>
      <c r="AB31" s="595">
        <f>IF(OR($W5="",$T$14=""),"",IF($T$14="nonash",VLOOKUP($W5,AWCTable1,X15,FALSE),IF($T$14="nonash; salt influenced",VLOOKUP($W5,AWCTable2,Z27,FALSE),IF($T$14="vitrandic subgroups (no andic properties)",VLOOKUP($W5,AWCvit,X15,FALSE),IF(AND($T$14="andisols or andic subgroups",Input!$AW$22="ashy"),VLOOKUP($W5,AWCashy,X15,FALSE),IF(AND($T$14="andisols or andic subgroups",Input!$AW$22="medial"),VLOOKUP($W5,AWCmedial,X15,FALSE),""))))))</f>
      </c>
      <c r="AC31" s="596">
        <f>IF(OR($W5="",$T$14=""),"",IF($T$14="nonash",VLOOKUP($W5,AWCTable1,Y15,FALSE),IF($T$14="nonash; salt influenced",VLOOKUP($W5,AWCTable2,Y27,FALSE),IF($T$14="vitrandic subgroups (no andic properties)",VLOOKUP($W5,AWCvit,Y15,FALSE),IF(AND($T$14="andisols or andic subgroups",Input!$AW$22="ashy"),VLOOKUP($W5,AWCashy,Y15,FALSE),IF(AND($T$14="andisols or andic subgroups",Input!$AW$22="medial"),VLOOKUP($W5,AWCmedial,Y15,FALSE),""))))))</f>
      </c>
      <c r="AD31" s="597">
        <f>IF(OR($W5="",$T$14=""),"",IF($T$14="nonash",VLOOKUP($W5,AWCTable1,Z15,FALSE),IF($T$14="nonash; salt influenced",VLOOKUP($W5,AWCTable2,X27,FALSE),IF($T$14="vitrandic subgroups (no andic properties)",VLOOKUP($W5,AWCvit,Z15,FALSE),IF(AND($T$14="andisols or andic subgroups",Input!$AW$22="ashy"),VLOOKUP($W5,AWCashy,Z15,FALSE),IF(AND($T$14="andisols or andic subgroups",Input!$AW$22="medial"),VLOOKUP($W5,AWCmedial,Z15,FALSE),""))))))</f>
      </c>
      <c r="AO31">
        <v>0.29</v>
      </c>
      <c r="AP31">
        <v>0.28</v>
      </c>
    </row>
    <row r="32" spans="4:42" ht="14.25">
      <c r="D32" s="124" t="s">
        <v>284</v>
      </c>
      <c r="P32" s="124"/>
      <c r="Q32" s="124"/>
      <c r="T32" s="124">
        <v>45</v>
      </c>
      <c r="U32" s="140">
        <v>8</v>
      </c>
      <c r="V32" s="124">
        <v>10</v>
      </c>
      <c r="X32" s="558">
        <f>IF(Input!AE27="","",IF(AND(Input!AE27&gt;15),17,VLOOKUP(Input!AE27,$U$24:$V$39,2,FALSE)))</f>
      </c>
      <c r="Y32" s="144">
        <f>IF(Input!AF27="","",IF(AND(Input!AF27&gt;15),17,VLOOKUP(Input!AF27,$U$24:$V$39,2,FALSE)))</f>
      </c>
      <c r="Z32" s="168">
        <f>IF(Input!AG27="","",IF(AND(Input!AG27&gt;15),17,VLOOKUP(Input!AG27,$U$24:$V$39,2,FALSE)))</f>
      </c>
      <c r="AA32"/>
      <c r="AB32" s="595">
        <f>IF(OR($W6="",$T$15=""),"",IF($T$15="nonash",VLOOKUP($W6,AWCTable1,X16,FALSE),IF($T$15="nonash; salt influenced",VLOOKUP($W6,AWCTable2,Z28,FALSE),IF($T$15="vitrandic subgroups (no andic properties)",VLOOKUP($W6,AWCvit,X16,FALSE),IF(AND($T$15="andisols or andic subgroups",Input!$AW$23="ashy"),VLOOKUP($W6,AWCashy,X16,FALSE),IF(AND($T$15="andisols or andic subgroups",Input!$AW$23="medial"),VLOOKUP($W6,AWCmedial,X16,FALSE),""))))))</f>
      </c>
      <c r="AC32" s="596">
        <f>IF(OR($W6="",$T$15=""),"",IF($T$15="nonash",VLOOKUP($W6,AWCTable1,Y16,FALSE),IF($T$15="nonash; salt influenced",VLOOKUP($W6,AWCTable2,Y28,FALSE),IF($T$15="vitrandic subgroups (no andic properties)",VLOOKUP($W6,AWCvit,Y16,FALSE),IF(AND($T$15="andisols or andic subgroups",Input!$AW$23="ashy"),VLOOKUP($W6,AWCashy,Y16,FALSE),IF(AND($T$15="andisols or andic subgroups",Input!$AW$23="medial"),VLOOKUP($W6,AWCmedial,Y16,FALSE),""))))))</f>
      </c>
      <c r="AD32" s="597">
        <f>IF(OR($W6="",$T$15=""),"",IF($T$15="nonash",VLOOKUP($W6,AWCTable1,Z16,FALSE),IF($T$15="nonash; salt influenced",VLOOKUP($W6,AWCTable2,X28,FALSE),IF($T$15="vitrandic subgroups (no andic properties)",VLOOKUP($W6,AWCvit,Z16,FALSE),IF(AND($T$15="andisols or andic subgroups",Input!$AW$23="ashy"),VLOOKUP($W6,AWCashy,Z16,FALSE),IF(AND($T$15="andisols or andic subgroups",Input!$AW$23="medial"),VLOOKUP($W6,AWCmedial,Z16,FALSE),""))))))</f>
      </c>
      <c r="AO32">
        <v>0.3</v>
      </c>
      <c r="AP32">
        <v>0.28</v>
      </c>
    </row>
    <row r="33" spans="2:42" ht="13.5" thickBot="1">
      <c r="B33" s="150">
        <v>0</v>
      </c>
      <c r="C33" s="150">
        <v>1</v>
      </c>
      <c r="D33" s="150">
        <v>2</v>
      </c>
      <c r="E33" s="150">
        <v>3</v>
      </c>
      <c r="F33" s="150">
        <v>4</v>
      </c>
      <c r="G33" s="150">
        <v>5</v>
      </c>
      <c r="H33" s="150">
        <v>6</v>
      </c>
      <c r="I33" s="150">
        <v>7</v>
      </c>
      <c r="J33" s="150">
        <v>8</v>
      </c>
      <c r="K33" s="150">
        <v>9</v>
      </c>
      <c r="L33" s="150">
        <v>10</v>
      </c>
      <c r="M33" s="150">
        <v>11</v>
      </c>
      <c r="N33" s="150">
        <v>12</v>
      </c>
      <c r="O33" s="150">
        <v>13</v>
      </c>
      <c r="P33" s="150">
        <v>14</v>
      </c>
      <c r="Q33" s="150">
        <v>15</v>
      </c>
      <c r="T33" s="124">
        <v>50</v>
      </c>
      <c r="U33" s="140">
        <v>9</v>
      </c>
      <c r="V33" s="124">
        <v>11</v>
      </c>
      <c r="X33" s="558">
        <f>IF(Input!AE28="","",IF(AND(Input!AE28&gt;15),17,VLOOKUP(Input!AE28,$U$24:$V$39,2,FALSE)))</f>
      </c>
      <c r="Y33" s="144">
        <f>IF(Input!AF28="","",IF(AND(Input!AF28&gt;15),17,VLOOKUP(Input!AF28,$U$24:$V$39,2,FALSE)))</f>
      </c>
      <c r="Z33" s="42">
        <f>IF(Input!AG28="","",IF(AND(Input!AG28&gt;15),17,VLOOKUP(Input!AG28,$U$24:$V$39,2,FALSE)))</f>
      </c>
      <c r="AB33" s="595">
        <f>IF(OR($W7="",$T$16=""),"",IF($T$16="nonash",VLOOKUP($W7,AWCTable1,X17,FALSE),IF($T$16="nonash; salt influenced",VLOOKUP($W7,AWCTable2,Z29,FALSE),IF($T$16="vitrandic subgroups (no andic properties)",VLOOKUP($W7,AWCvit,X17,FALSE),IF(AND($T$16="andisols or andic subgroups",Input!$AW$24="ashy"),VLOOKUP($W7,AWCashy,X17,FALSE),IF(AND($T$16="andisols or andic subgroups",Input!$AW$24="medial"),VLOOKUP($W7,AWCmedial,X17,FALSE),""))))))</f>
      </c>
      <c r="AC33" s="596">
        <f>IF(OR($W7="",$T$16=""),"",IF($T$16="nonash",VLOOKUP($W7,AWCTable1,Y17,FALSE),IF($T$16="nonash; salt influenced",VLOOKUP($W7,AWCTable2,Y29,FALSE),IF($T$16="vitrandic subgroups (no andic properties)",VLOOKUP($W7,AWCvit,Y17,FALSE),IF(AND($T$16="andisols or andic subgroups",Input!$AW$24="ashy"),VLOOKUP($W7,AWCashy,Y17,FALSE),IF(AND($T$16="andisols or andic subgroups",Input!$AW$24="medial"),VLOOKUP($W7,AWCmedial,Y17,FALSE),""))))))</f>
      </c>
      <c r="AD33" s="597">
        <f>IF(OR($W7="",$T$16=""),"",IF($T$16="nonash",VLOOKUP($W7,AWCTable1,Z17,FALSE),IF($T$16="nonash; salt influenced",VLOOKUP($W7,AWCTable2,X29,FALSE),IF($T$16="vitrandic subgroups (no andic properties)",VLOOKUP($W7,AWCvit,Z17,FALSE),IF(AND($T$16="andisols or andic subgroups",Input!$AW$24="ashy"),VLOOKUP($W7,AWCashy,Z17,FALSE),IF(AND($T$16="andisols or andic subgroups",Input!$AW$24="medial"),VLOOKUP($W7,AWCmedial,Z17,FALSE),""))))))</f>
      </c>
      <c r="AO33">
        <v>0.31</v>
      </c>
      <c r="AP33">
        <v>0.32</v>
      </c>
    </row>
    <row r="34" spans="1:42" ht="14.25" thickBot="1" thickTop="1">
      <c r="A34" t="s">
        <v>540</v>
      </c>
      <c r="B34" s="124" t="s">
        <v>711</v>
      </c>
      <c r="C34" s="124" t="s">
        <v>711</v>
      </c>
      <c r="D34" s="124" t="s">
        <v>725</v>
      </c>
      <c r="E34" s="124" t="s">
        <v>725</v>
      </c>
      <c r="F34" s="124" t="s">
        <v>712</v>
      </c>
      <c r="G34" s="124" t="s">
        <v>712</v>
      </c>
      <c r="H34" s="124" t="s">
        <v>713</v>
      </c>
      <c r="I34" s="124" t="s">
        <v>714</v>
      </c>
      <c r="J34" s="124" t="s">
        <v>727</v>
      </c>
      <c r="K34" s="124" t="s">
        <v>732</v>
      </c>
      <c r="L34" s="124" t="s">
        <v>716</v>
      </c>
      <c r="M34" s="124" t="s">
        <v>718</v>
      </c>
      <c r="N34" s="124" t="s">
        <v>719</v>
      </c>
      <c r="O34" s="124" t="s">
        <v>720</v>
      </c>
      <c r="P34" t="s">
        <v>722</v>
      </c>
      <c r="Q34" t="s">
        <v>723</v>
      </c>
      <c r="T34" s="124">
        <v>55</v>
      </c>
      <c r="U34" s="140">
        <v>10</v>
      </c>
      <c r="V34" s="124">
        <v>12</v>
      </c>
      <c r="X34" s="147">
        <f>IF(Input!AE29="","",IF(AND(Input!AE29&gt;15),17,VLOOKUP(Input!AE29,$U$24:$V$39,2,FALSE)))</f>
      </c>
      <c r="Y34" s="560">
        <f>IF(Input!AF29="","",IF(AND(Input!AF29&gt;15),17,VLOOKUP(Input!AF29,$U$24:$V$39,2,FALSE)))</f>
      </c>
      <c r="Z34" s="52">
        <f>IF(Input!AG29="","",IF(AND(Input!AG29&gt;15),17,VLOOKUP(Input!AG29,$U$24:$V$39,2,FALSE)))</f>
      </c>
      <c r="AB34" s="595">
        <f>IF(OR($W8="",$T$17=""),"",IF($T$17="nonash",VLOOKUP($W8,AWCTable1,X18,FALSE),IF($T$17="nonash; salt influenced",VLOOKUP($W8,AWCTable2,Z30,FALSE),IF($T$17="vitrandic subgroups (no andic properties)",VLOOKUP($W8,AWCvit,X18,FALSE),IF(AND($T$17="andisols or andic subgroups",Input!$AW$25="ashy"),VLOOKUP($W8,AWCashy,X18,FALSE),IF(AND($T$17="andisols or andic subgroups",Input!$AW$25="medial"),VLOOKUP($W8,AWCmedial,X18,FALSE),""))))))</f>
      </c>
      <c r="AC34" s="596">
        <f>IF(OR($W8="",$T$17=""),"",IF($T$17="nonash",VLOOKUP($W8,AWCTable1,Y18,FALSE),IF($T$17="nonash; salt influenced",VLOOKUP($W8,AWCTable2,Y30,FALSE),IF($T$17="vitrandic subgroups (no andic properties)",VLOOKUP($W8,AWCvit,Y18,FALSE),IF(AND($T$17="andisols or andic subgroups",Input!$AW$25="ashy"),VLOOKUP($W8,AWCashy,Y18,FALSE),IF(AND($T$17="andisols or andic subgroups",Input!$AW$25="medial"),VLOOKUP($W8,AWCmedial,Y18,FALSE),""))))))</f>
      </c>
      <c r="AD34" s="597">
        <f>IF(OR($W8="",$T$17=""),"",IF($T$17="nonash",VLOOKUP($W8,AWCTable1,Z18,FALSE),IF($T$17="nonash; salt influenced",VLOOKUP($W8,AWCTable2,X30,FALSE),IF($T$17="vitrandic subgroups (no andic properties)",VLOOKUP($W8,AWCvit,Z18,FALSE),IF(AND($T$17="andisols or andic subgroups",Input!$AW$25="ashy"),VLOOKUP($W8,AWCashy,Z18,FALSE),IF(AND($T$17="andisols or andic subgroups",Input!$AW$25="medial"),VLOOKUP($W8,AWCmedial,Z18,FALSE),""))))))</f>
      </c>
      <c r="AO34">
        <v>0.32</v>
      </c>
      <c r="AP34">
        <v>0.32</v>
      </c>
    </row>
    <row r="35" spans="1:42" ht="12.75">
      <c r="A35" t="s">
        <v>611</v>
      </c>
      <c r="B35" s="124" t="s">
        <v>724</v>
      </c>
      <c r="C35" s="124" t="s">
        <v>744</v>
      </c>
      <c r="D35" s="124" t="s">
        <v>711</v>
      </c>
      <c r="E35" s="124" t="s">
        <v>734</v>
      </c>
      <c r="F35" s="124" t="s">
        <v>725</v>
      </c>
      <c r="G35" s="124" t="s">
        <v>726</v>
      </c>
      <c r="H35" s="124" t="s">
        <v>712</v>
      </c>
      <c r="I35" s="124" t="s">
        <v>745</v>
      </c>
      <c r="J35" s="124" t="s">
        <v>714</v>
      </c>
      <c r="K35" s="124" t="s">
        <v>715</v>
      </c>
      <c r="L35" s="124" t="s">
        <v>732</v>
      </c>
      <c r="M35" s="124" t="s">
        <v>718</v>
      </c>
      <c r="N35" s="124" t="s">
        <v>719</v>
      </c>
      <c r="O35" s="124" t="s">
        <v>720</v>
      </c>
      <c r="P35" t="s">
        <v>721</v>
      </c>
      <c r="Q35" t="s">
        <v>722</v>
      </c>
      <c r="T35" s="124">
        <v>60</v>
      </c>
      <c r="U35" s="140">
        <v>11</v>
      </c>
      <c r="V35" s="124">
        <v>13</v>
      </c>
      <c r="X35" s="128"/>
      <c r="Y35" s="372"/>
      <c r="Z35"/>
      <c r="AB35" s="595">
        <f>IF(OR($W9="",$T$18=""),"",IF($T$18="nonash",VLOOKUP($W9,AWCTable1,X19,FALSE),IF($T$18="nonash; salt influenced",VLOOKUP($W9,AWCTable2,Z31,FALSE),IF($T$18="vitrandic subgroups (no andic properties)",VLOOKUP($W9,AWCvit,X19,FALSE),IF(AND($T$18="andisols or andic subgroups",Input!$AW$26="ashy"),VLOOKUP($W9,AWCashy,X19,FALSE),IF(AND($T$18="andisols or andic subgroups",Input!$AW$26="medial"),VLOOKUP($W9,AWCmedial,X19,FALSE),""))))))</f>
      </c>
      <c r="AC35" s="596">
        <f>IF(OR($W9="",$T$18=""),"",IF($T$18="nonash",VLOOKUP($W9,AWCTable1,Y19,FALSE),IF($T$18="nonash; salt influenced",VLOOKUP($W9,AWCTable2,Y31,FALSE),IF($T$18="vitrandic subgroups (no andic properties)",VLOOKUP($W9,AWCvit,Y19,FALSE),IF(AND($T$18="andisols or andic subgroups",Input!$AW$26="ashy"),VLOOKUP($W9,AWCashy,Y19,FALSE),IF(AND($T$18="andisols or andic subgroups",Input!$AW$26="medial"),VLOOKUP($W9,AWCmedial,Y19,FALSE),""))))))</f>
      </c>
      <c r="AD35" s="597">
        <f>IF(OR($W9="",$T$18=""),"",IF($T$18="nonash",VLOOKUP($W9,AWCTable1,Z19,FALSE),IF($T$18="nonash; salt influenced",VLOOKUP($W9,AWCTable2,X31,FALSE),IF($T$18="vitrandic subgroups (no andic properties)",VLOOKUP($W9,AWCvit,Z19,FALSE),IF(AND($T$18="andisols or andic subgroups",Input!$AW$26="ashy"),VLOOKUP($W9,AWCashy,Z19,FALSE),IF(AND($T$18="andisols or andic subgroups",Input!$AW$26="medial"),VLOOKUP($W9,AWCmedial,Z19,FALSE),""))))))</f>
      </c>
      <c r="AO35">
        <v>0.33</v>
      </c>
      <c r="AP35">
        <v>0.32</v>
      </c>
    </row>
    <row r="36" spans="1:42" ht="12.75">
      <c r="A36" t="s">
        <v>606</v>
      </c>
      <c r="B36" s="124" t="s">
        <v>724</v>
      </c>
      <c r="C36" s="124" t="s">
        <v>744</v>
      </c>
      <c r="D36" s="124" t="s">
        <v>711</v>
      </c>
      <c r="E36" s="124" t="s">
        <v>734</v>
      </c>
      <c r="F36" s="124" t="s">
        <v>725</v>
      </c>
      <c r="G36" s="124" t="s">
        <v>726</v>
      </c>
      <c r="H36" s="124" t="s">
        <v>712</v>
      </c>
      <c r="I36" s="124" t="s">
        <v>745</v>
      </c>
      <c r="J36" s="124" t="s">
        <v>714</v>
      </c>
      <c r="K36" s="124" t="s">
        <v>715</v>
      </c>
      <c r="L36" s="124" t="s">
        <v>732</v>
      </c>
      <c r="M36" s="124" t="s">
        <v>718</v>
      </c>
      <c r="N36" s="124" t="s">
        <v>719</v>
      </c>
      <c r="O36" s="124" t="s">
        <v>720</v>
      </c>
      <c r="P36" t="s">
        <v>721</v>
      </c>
      <c r="Q36" t="s">
        <v>722</v>
      </c>
      <c r="T36" s="124">
        <v>65</v>
      </c>
      <c r="U36" s="140">
        <v>12</v>
      </c>
      <c r="V36" s="124">
        <v>14</v>
      </c>
      <c r="Y36"/>
      <c r="Z36"/>
      <c r="AB36" s="595">
        <f>IF(OR($W10="",$T$19=""),"",IF($T$19="nonash",VLOOKUP($W10,AWCTable1,X20,FALSE),IF($T$19="nonash; salt influenced",VLOOKUP($W10,AWCTable2,Z32,FALSE),IF($T$19="vitrandic subgroups (no andic properties)",VLOOKUP($W10,AWCvit,X20,FALSE),IF(AND($T$19="andisols or andic subgroups",Input!$AW$27="ashy"),VLOOKUP($W10,AWCashy,X20,FALSE),IF(AND($T$19="andisols or andic subgroups",Input!$AW$27="medial"),VLOOKUP($W10,AWCmedial,X20,FALSE),""))))))</f>
      </c>
      <c r="AC36" s="596">
        <f>IF(OR($W10="",$T$19=""),"",IF($T$19="nonash",VLOOKUP($W10,AWCTable1,Y20,FALSE),IF($T$19="nonash; salt influenced",VLOOKUP($W10,AWCTable2,Y32,FALSE),IF($T$19="vitrandic subgroups (no andic properties)",VLOOKUP($W10,AWCvit,Y20,FALSE),IF(AND($T$19="andisols or andic subgroups",Input!$AW$27="ashy"),VLOOKUP($W10,AWCashy,Y20,FALSE),IF(AND($T$19="andisols or andic subgroups",Input!$AW$27="medial"),VLOOKUP($W10,AWCmedial,Y20,FALSE),""))))))</f>
      </c>
      <c r="AD36" s="597">
        <f>IF(OR($W10="",$T$19=""),"",IF($T$19="nonash",VLOOKUP($W10,AWCTable1,Z20,FALSE),IF($T$19="nonash; salt influenced",VLOOKUP($W10,AWCTable2,X32,FALSE),IF($T$19="vitrandic subgroups (no andic properties)",VLOOKUP($W10,AWCvit,Z20,FALSE),IF(AND($T$19="andisols or andic subgroups",Input!$AW$27="ashy"),VLOOKUP($W10,AWCashy,Z20,FALSE),IF(AND($T$19="andisols or andic subgroups",Input!$AW$27="medial"),VLOOKUP($W10,AWCmedial,Z20,FALSE),""))))))</f>
      </c>
      <c r="AO36">
        <v>0.34</v>
      </c>
      <c r="AP36">
        <v>0.32</v>
      </c>
    </row>
    <row r="37" spans="1:42" ht="12.75">
      <c r="A37" t="s">
        <v>589</v>
      </c>
      <c r="B37" s="124" t="s">
        <v>729</v>
      </c>
      <c r="C37" s="124" t="s">
        <v>746</v>
      </c>
      <c r="D37" s="124" t="s">
        <v>746</v>
      </c>
      <c r="E37" s="124" t="s">
        <v>730</v>
      </c>
      <c r="F37" s="124" t="s">
        <v>747</v>
      </c>
      <c r="G37" s="124" t="s">
        <v>731</v>
      </c>
      <c r="H37" s="124" t="s">
        <v>724</v>
      </c>
      <c r="I37" s="124" t="s">
        <v>744</v>
      </c>
      <c r="J37" s="124" t="s">
        <v>734</v>
      </c>
      <c r="K37" s="124" t="s">
        <v>726</v>
      </c>
      <c r="L37" s="124" t="s">
        <v>745</v>
      </c>
      <c r="M37" s="124" t="s">
        <v>727</v>
      </c>
      <c r="N37" s="124" t="s">
        <v>716</v>
      </c>
      <c r="O37" s="124" t="s">
        <v>718</v>
      </c>
      <c r="P37" t="s">
        <v>720</v>
      </c>
      <c r="Q37" t="s">
        <v>721</v>
      </c>
      <c r="T37" s="124">
        <v>70</v>
      </c>
      <c r="U37" s="140">
        <v>13</v>
      </c>
      <c r="V37" s="124">
        <v>15</v>
      </c>
      <c r="Y37"/>
      <c r="Z37"/>
      <c r="AB37" s="595">
        <f>IF(OR($W11="",$T$20=""),"",IF($T$20="nonash",VLOOKUP($W11,AWCTable1,X21,FALSE),IF($T$20="nonash; salt influenced",VLOOKUP($W11,AWCTable2,Z33,FALSE),IF($T$20="vitrandic subgroups (no andic properties)",VLOOKUP($W11,AWCvit,X21,FALSE),IF(AND($T$20="andisols or andic subgroups",Input!$AW$28="ashy"),VLOOKUP($W11,AWCashy,X21,FALSE),IF(AND($T$20="andisols or andic subgroups",Input!$AW$28="medial"),VLOOKUP($W11,AWCmedial,X21,FALSE),""))))))</f>
      </c>
      <c r="AC37" s="596">
        <f>IF(OR($W11="",$T$20=""),"",IF($T$20="nonash",VLOOKUP($W11,AWCTable1,Y21,FALSE),IF($T$20="nonash; salt influenced",VLOOKUP($W11,AWCTable2,Y33,FALSE),IF($T$20="vitrandic subgroups (no andic properties)",VLOOKUP($W11,AWCvit,Y21,FALSE),IF(AND($T$20="andisols or andic subgroups",Input!$AW$28="ashy"),VLOOKUP($W11,AWCashy,Y21,FALSE),IF(AND($T$20="andisols or andic subgroups",Input!$AW$28="medial"),VLOOKUP($W11,AWCmedial,Y21,FALSE),""))))))</f>
      </c>
      <c r="AD37" s="597">
        <f>IF(OR($W11="",$T$20=""),"",IF($T$20="nonash",VLOOKUP($W11,AWCTable1,Z21,FALSE),IF($T$20="nonash; salt influenced",VLOOKUP($W11,AWCTable2,X33,FALSE),IF($T$20="vitrandic subgroups (no andic properties)",VLOOKUP($W11,AWCvit,Z21,FALSE),IF(AND($T$20="andisols or andic subgroups",Input!$AW$28="ashy"),VLOOKUP($W11,AWCashy,Z21,FALSE),IF(AND($T$20="andisols or andic subgroups",Input!$AW$28="medial"),VLOOKUP($W11,AWCmedial,Z21,FALSE),""))))))</f>
      </c>
      <c r="AO37">
        <v>0.35</v>
      </c>
      <c r="AP37">
        <v>0.37</v>
      </c>
    </row>
    <row r="38" spans="1:42" ht="13.5" thickBot="1">
      <c r="A38" t="s">
        <v>546</v>
      </c>
      <c r="B38" s="124" t="s">
        <v>729</v>
      </c>
      <c r="C38" s="124" t="s">
        <v>746</v>
      </c>
      <c r="D38" s="124" t="s">
        <v>746</v>
      </c>
      <c r="E38" s="124" t="s">
        <v>730</v>
      </c>
      <c r="F38" s="124" t="s">
        <v>747</v>
      </c>
      <c r="G38" s="124" t="s">
        <v>731</v>
      </c>
      <c r="H38" s="124" t="s">
        <v>724</v>
      </c>
      <c r="I38" s="124" t="s">
        <v>744</v>
      </c>
      <c r="J38" s="124" t="s">
        <v>734</v>
      </c>
      <c r="K38" s="124" t="s">
        <v>726</v>
      </c>
      <c r="L38" s="124" t="s">
        <v>745</v>
      </c>
      <c r="M38" s="124" t="s">
        <v>727</v>
      </c>
      <c r="N38" s="124" t="s">
        <v>716</v>
      </c>
      <c r="O38" s="124" t="s">
        <v>718</v>
      </c>
      <c r="P38" t="s">
        <v>720</v>
      </c>
      <c r="Q38" t="s">
        <v>721</v>
      </c>
      <c r="T38" s="124">
        <v>75</v>
      </c>
      <c r="U38" s="140">
        <v>14</v>
      </c>
      <c r="V38" s="124">
        <v>16</v>
      </c>
      <c r="Y38"/>
      <c r="Z38"/>
      <c r="AB38" s="598">
        <f>IF(OR($W12="",$T$21=""),"",IF($T$21="nonash",VLOOKUP($W12,AWCTable1,X22,FALSE),IF($T$21="nonash; salt influenced",VLOOKUP($W12,AWCTable2,Z34,FALSE),IF($T$21="vitrandic subgroups (no andic properties)",VLOOKUP($W12,AWCvit,X22,FALSE),IF(AND($T$21="andisols or andic subgroups",Input!$AW$29="ashy"),VLOOKUP($W12,AWCashy,X22,FALSE),IF(AND($T$21="andisols or andic subgroups",Input!$AW$29="medial"),VLOOKUP($W12,AWCmedial,X22,FALSE),""))))))</f>
      </c>
      <c r="AC38" s="599">
        <f>IF(OR($W12="",$T$21=""),"",IF($T$21="nonash",VLOOKUP($W12,AWCTable1,Y22,FALSE),IF($T$21="nonash; salt influenced",VLOOKUP($W12,AWCTable2,Y34,FALSE),IF($T$21="vitrandic subgroups (no andic properties)",VLOOKUP($W12,AWCvit,Y22,FALSE),IF(AND($T$21="andisols or andic subgroups",Input!$AW$29="ashy"),VLOOKUP($W12,AWCashy,Y22,FALSE),IF(AND($T$21="andisols or andic subgroups",Input!$AW$29="medial"),VLOOKUP($W12,AWCmedial,Y22,FALSE),""))))))</f>
      </c>
      <c r="AD38" s="600">
        <f>IF(OR($W12="",$T$21=""),"",IF($T$21="nonash",VLOOKUP($W12,AWCTable1,Z22,FALSE),IF($T$21="nonash; salt influenced",VLOOKUP($W12,AWCTable2,X34,FALSE),IF($T$21="vitrandic subgroups (no andic properties)",VLOOKUP($W12,AWCvit,Z22,FALSE),IF(AND($T$21="andisols or andic subgroups",Input!$AW$29="ashy"),VLOOKUP($W12,AWCashy,Z22,FALSE),IF(AND($T$21="andisols or andic subgroups",Input!$AW$29="medial"),VLOOKUP($W12,AWCmedial,Z22,FALSE),""))))))</f>
      </c>
      <c r="AO38">
        <v>0.36</v>
      </c>
      <c r="AP38">
        <v>0.37</v>
      </c>
    </row>
    <row r="39" spans="1:42" ht="12.75">
      <c r="A39" t="s">
        <v>608</v>
      </c>
      <c r="B39" s="124" t="s">
        <v>711</v>
      </c>
      <c r="C39" s="124" t="s">
        <v>711</v>
      </c>
      <c r="D39" s="124" t="s">
        <v>725</v>
      </c>
      <c r="E39" s="124" t="s">
        <v>725</v>
      </c>
      <c r="F39" s="124" t="s">
        <v>712</v>
      </c>
      <c r="G39" s="124" t="s">
        <v>712</v>
      </c>
      <c r="H39" s="124" t="s">
        <v>713</v>
      </c>
      <c r="I39" s="124" t="s">
        <v>714</v>
      </c>
      <c r="J39" s="124" t="s">
        <v>727</v>
      </c>
      <c r="K39" s="124" t="s">
        <v>732</v>
      </c>
      <c r="L39" s="124" t="s">
        <v>716</v>
      </c>
      <c r="M39" s="124" t="s">
        <v>718</v>
      </c>
      <c r="N39" s="124" t="s">
        <v>719</v>
      </c>
      <c r="O39" s="124" t="s">
        <v>720</v>
      </c>
      <c r="P39" t="s">
        <v>722</v>
      </c>
      <c r="Q39" t="s">
        <v>723</v>
      </c>
      <c r="T39" s="124"/>
      <c r="U39" s="140">
        <v>15</v>
      </c>
      <c r="V39" s="124">
        <v>17</v>
      </c>
      <c r="Y39"/>
      <c r="Z39"/>
      <c r="AD39" s="124"/>
      <c r="AO39">
        <v>0.37</v>
      </c>
      <c r="AP39">
        <v>0.37</v>
      </c>
    </row>
    <row r="40" spans="1:42" ht="12.75">
      <c r="A40" t="s">
        <v>590</v>
      </c>
      <c r="B40" s="124" t="s">
        <v>729</v>
      </c>
      <c r="C40" s="124" t="s">
        <v>746</v>
      </c>
      <c r="D40" s="124" t="s">
        <v>746</v>
      </c>
      <c r="E40" s="124" t="s">
        <v>730</v>
      </c>
      <c r="F40" s="124" t="s">
        <v>747</v>
      </c>
      <c r="G40" s="124" t="s">
        <v>731</v>
      </c>
      <c r="H40" s="124" t="s">
        <v>724</v>
      </c>
      <c r="I40" s="124" t="s">
        <v>744</v>
      </c>
      <c r="J40" s="124" t="s">
        <v>734</v>
      </c>
      <c r="K40" s="124" t="s">
        <v>726</v>
      </c>
      <c r="L40" s="124" t="s">
        <v>745</v>
      </c>
      <c r="M40" s="124" t="s">
        <v>727</v>
      </c>
      <c r="N40" s="124" t="s">
        <v>716</v>
      </c>
      <c r="O40" s="124" t="s">
        <v>718</v>
      </c>
      <c r="P40" t="s">
        <v>720</v>
      </c>
      <c r="Q40" t="s">
        <v>721</v>
      </c>
      <c r="W40"/>
      <c r="X40"/>
      <c r="Y40"/>
      <c r="Z40"/>
      <c r="AD40" s="124"/>
      <c r="AO40">
        <v>0.38</v>
      </c>
      <c r="AP40">
        <v>0.37</v>
      </c>
    </row>
    <row r="41" spans="1:42" ht="12.75">
      <c r="A41" t="s">
        <v>578</v>
      </c>
      <c r="B41" s="124" t="s">
        <v>731</v>
      </c>
      <c r="C41" s="124" t="s">
        <v>748</v>
      </c>
      <c r="D41" s="124" t="s">
        <v>724</v>
      </c>
      <c r="E41" s="124" t="s">
        <v>744</v>
      </c>
      <c r="F41" s="124" t="s">
        <v>711</v>
      </c>
      <c r="G41" s="124" t="s">
        <v>734</v>
      </c>
      <c r="H41" s="124" t="s">
        <v>725</v>
      </c>
      <c r="I41" s="124" t="s">
        <v>712</v>
      </c>
      <c r="J41" s="124" t="s">
        <v>745</v>
      </c>
      <c r="K41" s="124" t="s">
        <v>714</v>
      </c>
      <c r="L41" s="124" t="s">
        <v>715</v>
      </c>
      <c r="M41" s="124" t="s">
        <v>716</v>
      </c>
      <c r="N41" s="124" t="s">
        <v>718</v>
      </c>
      <c r="O41" s="124" t="s">
        <v>720</v>
      </c>
      <c r="P41" t="s">
        <v>721</v>
      </c>
      <c r="Q41" t="s">
        <v>722</v>
      </c>
      <c r="W41"/>
      <c r="X41"/>
      <c r="Y41"/>
      <c r="Z41"/>
      <c r="AD41" s="124"/>
      <c r="AO41">
        <v>0.39</v>
      </c>
      <c r="AP41">
        <v>0.37</v>
      </c>
    </row>
    <row r="42" spans="1:42" ht="12.75">
      <c r="A42" t="s">
        <v>641</v>
      </c>
      <c r="B42" s="124" t="s">
        <v>724</v>
      </c>
      <c r="C42" s="124" t="s">
        <v>744</v>
      </c>
      <c r="D42" s="124" t="s">
        <v>711</v>
      </c>
      <c r="E42" s="124" t="s">
        <v>734</v>
      </c>
      <c r="F42" s="124" t="s">
        <v>725</v>
      </c>
      <c r="G42" s="124" t="s">
        <v>726</v>
      </c>
      <c r="H42" s="124" t="s">
        <v>712</v>
      </c>
      <c r="I42" s="124" t="s">
        <v>745</v>
      </c>
      <c r="J42" s="124" t="s">
        <v>714</v>
      </c>
      <c r="K42" s="124" t="s">
        <v>715</v>
      </c>
      <c r="L42" s="124" t="s">
        <v>732</v>
      </c>
      <c r="M42" s="124" t="s">
        <v>718</v>
      </c>
      <c r="N42" s="124" t="s">
        <v>719</v>
      </c>
      <c r="O42" s="124" t="s">
        <v>720</v>
      </c>
      <c r="P42" t="s">
        <v>721</v>
      </c>
      <c r="Q42" t="s">
        <v>722</v>
      </c>
      <c r="W42" s="151"/>
      <c r="X42" s="151"/>
      <c r="Y42" s="151"/>
      <c r="Z42" s="151"/>
      <c r="AD42" s="124"/>
      <c r="AO42">
        <v>0.4</v>
      </c>
      <c r="AP42">
        <v>0.37</v>
      </c>
    </row>
    <row r="43" spans="1:42" ht="12.75">
      <c r="A43" t="s">
        <v>591</v>
      </c>
      <c r="B43" s="124" t="s">
        <v>725</v>
      </c>
      <c r="C43" s="124" t="s">
        <v>725</v>
      </c>
      <c r="D43" s="124" t="s">
        <v>712</v>
      </c>
      <c r="E43" s="124" t="s">
        <v>712</v>
      </c>
      <c r="F43" s="124" t="s">
        <v>713</v>
      </c>
      <c r="G43" s="124" t="s">
        <v>713</v>
      </c>
      <c r="H43" s="124" t="s">
        <v>714</v>
      </c>
      <c r="I43" s="124" t="s">
        <v>727</v>
      </c>
      <c r="J43" s="124" t="s">
        <v>732</v>
      </c>
      <c r="K43" s="124" t="s">
        <v>716</v>
      </c>
      <c r="L43" s="124" t="s">
        <v>718</v>
      </c>
      <c r="M43" s="124" t="s">
        <v>719</v>
      </c>
      <c r="N43" s="124" t="s">
        <v>720</v>
      </c>
      <c r="O43" s="124" t="s">
        <v>721</v>
      </c>
      <c r="P43" t="s">
        <v>722</v>
      </c>
      <c r="Q43" t="s">
        <v>723</v>
      </c>
      <c r="W43"/>
      <c r="X43"/>
      <c r="Y43"/>
      <c r="Z43"/>
      <c r="AD43" s="124"/>
      <c r="AO43">
        <v>0.41</v>
      </c>
      <c r="AP43">
        <v>0.43</v>
      </c>
    </row>
    <row r="44" spans="1:42" ht="12.75">
      <c r="A44" s="145" t="s">
        <v>594</v>
      </c>
      <c r="B44" s="389" t="s">
        <v>713</v>
      </c>
      <c r="C44" s="389" t="s">
        <v>713</v>
      </c>
      <c r="D44" s="389" t="s">
        <v>727</v>
      </c>
      <c r="E44" s="389" t="s">
        <v>727</v>
      </c>
      <c r="F44" s="389" t="s">
        <v>715</v>
      </c>
      <c r="G44" s="389" t="s">
        <v>732</v>
      </c>
      <c r="H44" s="389" t="s">
        <v>732</v>
      </c>
      <c r="I44" s="389" t="s">
        <v>717</v>
      </c>
      <c r="J44" s="389" t="s">
        <v>718</v>
      </c>
      <c r="K44" s="389" t="s">
        <v>728</v>
      </c>
      <c r="L44" s="389" t="s">
        <v>719</v>
      </c>
      <c r="M44" s="389" t="s">
        <v>720</v>
      </c>
      <c r="N44" s="389" t="s">
        <v>721</v>
      </c>
      <c r="O44" s="389" t="s">
        <v>722</v>
      </c>
      <c r="P44" s="145" t="s">
        <v>723</v>
      </c>
      <c r="Q44" s="145" t="s">
        <v>738</v>
      </c>
      <c r="R44" s="124"/>
      <c r="S44" s="124"/>
      <c r="W44"/>
      <c r="X44"/>
      <c r="Y44"/>
      <c r="Z44"/>
      <c r="AD44" s="124"/>
      <c r="AO44">
        <v>0.42</v>
      </c>
      <c r="AP44">
        <v>0.43</v>
      </c>
    </row>
    <row r="45" spans="1:42" ht="12.75">
      <c r="A45" s="145" t="s">
        <v>602</v>
      </c>
      <c r="B45" s="389" t="s">
        <v>727</v>
      </c>
      <c r="C45" s="389" t="s">
        <v>727</v>
      </c>
      <c r="D45" s="389" t="s">
        <v>715</v>
      </c>
      <c r="E45" s="389" t="s">
        <v>732</v>
      </c>
      <c r="F45" s="389" t="s">
        <v>732</v>
      </c>
      <c r="G45" s="389" t="s">
        <v>717</v>
      </c>
      <c r="H45" s="389" t="s">
        <v>717</v>
      </c>
      <c r="I45" s="389" t="s">
        <v>718</v>
      </c>
      <c r="J45" s="389" t="s">
        <v>728</v>
      </c>
      <c r="K45" s="389" t="s">
        <v>719</v>
      </c>
      <c r="L45" s="389" t="s">
        <v>720</v>
      </c>
      <c r="M45" s="389" t="s">
        <v>720</v>
      </c>
      <c r="N45" s="389" t="s">
        <v>721</v>
      </c>
      <c r="O45" s="389" t="s">
        <v>722</v>
      </c>
      <c r="P45" s="145" t="s">
        <v>723</v>
      </c>
      <c r="Q45" s="145" t="s">
        <v>738</v>
      </c>
      <c r="R45" s="124"/>
      <c r="S45" s="124"/>
      <c r="W45"/>
      <c r="X45"/>
      <c r="Y45"/>
      <c r="Z45"/>
      <c r="AD45" s="124"/>
      <c r="AO45">
        <v>0.43</v>
      </c>
      <c r="AP45">
        <v>0.43</v>
      </c>
    </row>
    <row r="46" spans="1:42" ht="12.75">
      <c r="A46" s="145" t="s">
        <v>598</v>
      </c>
      <c r="B46" s="389" t="s">
        <v>732</v>
      </c>
      <c r="C46" s="389" t="s">
        <v>732</v>
      </c>
      <c r="D46" s="389" t="s">
        <v>716</v>
      </c>
      <c r="E46" s="389" t="s">
        <v>717</v>
      </c>
      <c r="F46" s="389" t="s">
        <v>717</v>
      </c>
      <c r="G46" s="389" t="s">
        <v>718</v>
      </c>
      <c r="H46" s="389" t="s">
        <v>728</v>
      </c>
      <c r="I46" s="389" t="s">
        <v>719</v>
      </c>
      <c r="J46" s="389" t="s">
        <v>737</v>
      </c>
      <c r="K46" s="389" t="s">
        <v>720</v>
      </c>
      <c r="L46" s="389" t="s">
        <v>720</v>
      </c>
      <c r="M46" s="389" t="s">
        <v>721</v>
      </c>
      <c r="N46" s="389" t="s">
        <v>722</v>
      </c>
      <c r="O46" s="389" t="s">
        <v>723</v>
      </c>
      <c r="P46" s="145" t="s">
        <v>723</v>
      </c>
      <c r="Q46" s="145" t="s">
        <v>738</v>
      </c>
      <c r="R46" s="124"/>
      <c r="S46" s="124"/>
      <c r="T46" s="124"/>
      <c r="U46" s="124"/>
      <c r="V46" s="124"/>
      <c r="W46"/>
      <c r="X46"/>
      <c r="Y46"/>
      <c r="Z46"/>
      <c r="AD46" s="124"/>
      <c r="AO46">
        <v>0.44</v>
      </c>
      <c r="AP46">
        <v>0.43</v>
      </c>
    </row>
    <row r="47" spans="1:42" ht="12.75">
      <c r="A47" s="145" t="s">
        <v>600</v>
      </c>
      <c r="B47" s="389" t="s">
        <v>737</v>
      </c>
      <c r="C47" s="389" t="s">
        <v>737</v>
      </c>
      <c r="D47" s="389" t="s">
        <v>737</v>
      </c>
      <c r="E47" s="389" t="s">
        <v>735</v>
      </c>
      <c r="F47" s="389" t="s">
        <v>735</v>
      </c>
      <c r="G47" s="389" t="s">
        <v>735</v>
      </c>
      <c r="H47" s="389" t="s">
        <v>721</v>
      </c>
      <c r="I47" s="389" t="s">
        <v>721</v>
      </c>
      <c r="J47" s="389" t="s">
        <v>739</v>
      </c>
      <c r="K47" s="389" t="s">
        <v>722</v>
      </c>
      <c r="L47" s="389" t="s">
        <v>722</v>
      </c>
      <c r="M47" s="389" t="s">
        <v>723</v>
      </c>
      <c r="N47" s="389" t="s">
        <v>723</v>
      </c>
      <c r="O47" s="389" t="s">
        <v>738</v>
      </c>
      <c r="P47" s="145" t="s">
        <v>738</v>
      </c>
      <c r="Q47" s="145" t="s">
        <v>740</v>
      </c>
      <c r="R47" s="124"/>
      <c r="S47" s="124"/>
      <c r="T47" s="124"/>
      <c r="U47" s="124"/>
      <c r="V47" s="124"/>
      <c r="W47"/>
      <c r="X47"/>
      <c r="Y47"/>
      <c r="Z47"/>
      <c r="AD47" s="124"/>
      <c r="AO47">
        <v>0.45</v>
      </c>
      <c r="AP47">
        <v>0.43</v>
      </c>
    </row>
    <row r="48" spans="1:42" ht="12.75">
      <c r="A48" s="145" t="s">
        <v>587</v>
      </c>
      <c r="B48" s="389" t="s">
        <v>735</v>
      </c>
      <c r="C48" s="389" t="s">
        <v>735</v>
      </c>
      <c r="D48" s="389" t="s">
        <v>735</v>
      </c>
      <c r="E48" s="389" t="s">
        <v>735</v>
      </c>
      <c r="F48" s="389" t="s">
        <v>739</v>
      </c>
      <c r="G48" s="389" t="s">
        <v>739</v>
      </c>
      <c r="H48" s="389" t="s">
        <v>739</v>
      </c>
      <c r="I48" s="389" t="s">
        <v>722</v>
      </c>
      <c r="J48" s="389" t="s">
        <v>722</v>
      </c>
      <c r="K48" s="389" t="s">
        <v>741</v>
      </c>
      <c r="L48" s="389" t="s">
        <v>723</v>
      </c>
      <c r="M48" s="389" t="s">
        <v>723</v>
      </c>
      <c r="N48" s="389" t="s">
        <v>738</v>
      </c>
      <c r="O48" s="389" t="s">
        <v>738</v>
      </c>
      <c r="P48" s="389">
        <v>0.02</v>
      </c>
      <c r="Q48" s="389">
        <v>0.01</v>
      </c>
      <c r="R48" s="124"/>
      <c r="S48" s="124"/>
      <c r="T48" s="124"/>
      <c r="U48" s="124"/>
      <c r="V48" s="124"/>
      <c r="W48"/>
      <c r="X48"/>
      <c r="Y48"/>
      <c r="Z48"/>
      <c r="AD48" s="124"/>
      <c r="AO48">
        <v>0.46</v>
      </c>
      <c r="AP48">
        <v>0.43</v>
      </c>
    </row>
    <row r="49" spans="1:42" ht="12.75" customHeight="1">
      <c r="A49" s="145" t="s">
        <v>604</v>
      </c>
      <c r="B49" s="389" t="s">
        <v>739</v>
      </c>
      <c r="C49" s="389" t="s">
        <v>739</v>
      </c>
      <c r="D49" s="389" t="s">
        <v>739</v>
      </c>
      <c r="E49" s="389" t="s">
        <v>739</v>
      </c>
      <c r="F49" s="389" t="s">
        <v>741</v>
      </c>
      <c r="G49" s="389" t="s">
        <v>741</v>
      </c>
      <c r="H49" s="389" t="s">
        <v>741</v>
      </c>
      <c r="I49" s="389" t="s">
        <v>723</v>
      </c>
      <c r="J49" s="389" t="s">
        <v>723</v>
      </c>
      <c r="K49" s="389" t="s">
        <v>758</v>
      </c>
      <c r="L49" s="389" t="s">
        <v>738</v>
      </c>
      <c r="M49" s="389" t="s">
        <v>738</v>
      </c>
      <c r="N49" s="389" t="s">
        <v>418</v>
      </c>
      <c r="O49" s="389" t="s">
        <v>740</v>
      </c>
      <c r="P49" s="389">
        <v>0.01</v>
      </c>
      <c r="Q49" s="389">
        <v>0.01</v>
      </c>
      <c r="R49" s="124"/>
      <c r="S49" s="124"/>
      <c r="T49" s="124"/>
      <c r="U49" s="124"/>
      <c r="V49" s="124"/>
      <c r="W49"/>
      <c r="X49"/>
      <c r="Y49"/>
      <c r="Z49"/>
      <c r="AD49" s="124"/>
      <c r="AO49">
        <v>0.47</v>
      </c>
      <c r="AP49">
        <v>0.49</v>
      </c>
    </row>
    <row r="50" spans="1:42" ht="12.75" customHeight="1">
      <c r="A50" s="145" t="s">
        <v>552</v>
      </c>
      <c r="B50" s="389" t="s">
        <v>739</v>
      </c>
      <c r="C50" s="389" t="s">
        <v>739</v>
      </c>
      <c r="D50" s="389" t="s">
        <v>739</v>
      </c>
      <c r="E50" s="389" t="s">
        <v>739</v>
      </c>
      <c r="F50" s="389" t="s">
        <v>741</v>
      </c>
      <c r="G50" s="389" t="s">
        <v>741</v>
      </c>
      <c r="H50" s="389" t="s">
        <v>741</v>
      </c>
      <c r="I50" s="389" t="s">
        <v>723</v>
      </c>
      <c r="J50" s="389" t="s">
        <v>723</v>
      </c>
      <c r="K50" s="389" t="s">
        <v>758</v>
      </c>
      <c r="L50" s="389" t="s">
        <v>738</v>
      </c>
      <c r="M50" s="389" t="s">
        <v>738</v>
      </c>
      <c r="N50" s="389" t="s">
        <v>418</v>
      </c>
      <c r="O50" s="389" t="s">
        <v>740</v>
      </c>
      <c r="P50" s="389">
        <v>0.01</v>
      </c>
      <c r="Q50" s="389">
        <v>0.01</v>
      </c>
      <c r="T50" s="124"/>
      <c r="U50" s="124"/>
      <c r="V50" s="124"/>
      <c r="W50"/>
      <c r="X50"/>
      <c r="Y50"/>
      <c r="Z50"/>
      <c r="AD50" s="124"/>
      <c r="AO50">
        <v>0.48</v>
      </c>
      <c r="AP50">
        <v>0.49</v>
      </c>
    </row>
    <row r="51" spans="1:42" ht="12.75" customHeight="1">
      <c r="A51" t="s">
        <v>636</v>
      </c>
      <c r="B51" s="124" t="s">
        <v>717</v>
      </c>
      <c r="C51" s="124" t="s">
        <v>717</v>
      </c>
      <c r="D51" s="124" t="s">
        <v>718</v>
      </c>
      <c r="E51" s="124" t="s">
        <v>728</v>
      </c>
      <c r="F51" s="124" t="s">
        <v>728</v>
      </c>
      <c r="G51" s="124" t="s">
        <v>737</v>
      </c>
      <c r="H51" s="124" t="s">
        <v>737</v>
      </c>
      <c r="I51" s="124" t="s">
        <v>720</v>
      </c>
      <c r="J51" s="124" t="s">
        <v>720</v>
      </c>
      <c r="K51" s="124" t="s">
        <v>735</v>
      </c>
      <c r="L51" s="124" t="s">
        <v>721</v>
      </c>
      <c r="M51" s="124" t="s">
        <v>721</v>
      </c>
      <c r="N51" s="124" t="s">
        <v>722</v>
      </c>
      <c r="O51" s="124" t="s">
        <v>723</v>
      </c>
      <c r="P51" s="124">
        <v>0.03</v>
      </c>
      <c r="Q51" s="124">
        <v>0.02</v>
      </c>
      <c r="T51" s="124"/>
      <c r="U51" s="124"/>
      <c r="V51" s="124"/>
      <c r="W51"/>
      <c r="X51"/>
      <c r="Y51"/>
      <c r="Z51"/>
      <c r="AD51" s="124"/>
      <c r="AO51">
        <v>0.49</v>
      </c>
      <c r="AP51">
        <v>0.49</v>
      </c>
    </row>
    <row r="52" spans="1:42" ht="12.75" customHeight="1">
      <c r="A52" t="s">
        <v>596</v>
      </c>
      <c r="B52" s="124" t="s">
        <v>735</v>
      </c>
      <c r="C52" s="124" t="s">
        <v>735</v>
      </c>
      <c r="D52" s="124" t="s">
        <v>735</v>
      </c>
      <c r="E52" s="124" t="s">
        <v>739</v>
      </c>
      <c r="F52" s="124" t="s">
        <v>739</v>
      </c>
      <c r="G52" s="124" t="s">
        <v>739</v>
      </c>
      <c r="H52" s="124" t="s">
        <v>722</v>
      </c>
      <c r="I52" s="124" t="s">
        <v>722</v>
      </c>
      <c r="J52" s="124" t="s">
        <v>741</v>
      </c>
      <c r="K52" s="124" t="s">
        <v>723</v>
      </c>
      <c r="L52" s="124" t="s">
        <v>723</v>
      </c>
      <c r="M52" s="124" t="s">
        <v>738</v>
      </c>
      <c r="N52" s="124" t="s">
        <v>758</v>
      </c>
      <c r="O52" s="124" t="s">
        <v>740</v>
      </c>
      <c r="P52" s="124">
        <v>0.02</v>
      </c>
      <c r="Q52" s="124">
        <v>0.01</v>
      </c>
      <c r="W52"/>
      <c r="X52"/>
      <c r="Y52"/>
      <c r="Z52"/>
      <c r="AD52" s="124"/>
      <c r="AO52">
        <v>0.5</v>
      </c>
      <c r="AP52">
        <v>0.49</v>
      </c>
    </row>
    <row r="53" spans="1:42" ht="12.75" customHeight="1">
      <c r="A53" t="s">
        <v>572</v>
      </c>
      <c r="B53" s="124" t="s">
        <v>732</v>
      </c>
      <c r="C53" s="124" t="s">
        <v>732</v>
      </c>
      <c r="D53" s="124" t="s">
        <v>717</v>
      </c>
      <c r="E53" s="124" t="s">
        <v>717</v>
      </c>
      <c r="F53" s="124" t="s">
        <v>716</v>
      </c>
      <c r="G53" s="124" t="s">
        <v>728</v>
      </c>
      <c r="H53" s="124" t="s">
        <v>728</v>
      </c>
      <c r="I53" s="124" t="s">
        <v>719</v>
      </c>
      <c r="J53" s="124" t="s">
        <v>737</v>
      </c>
      <c r="K53" s="124" t="s">
        <v>720</v>
      </c>
      <c r="L53" s="124" t="s">
        <v>720</v>
      </c>
      <c r="M53" s="124" t="s">
        <v>721</v>
      </c>
      <c r="N53" s="124" t="s">
        <v>722</v>
      </c>
      <c r="O53" s="124" t="s">
        <v>723</v>
      </c>
      <c r="P53" s="124" t="s">
        <v>723</v>
      </c>
      <c r="Q53" s="124" t="s">
        <v>738</v>
      </c>
      <c r="W53"/>
      <c r="X53"/>
      <c r="Y53"/>
      <c r="Z53"/>
      <c r="AD53" s="124"/>
      <c r="AO53">
        <v>0.51</v>
      </c>
      <c r="AP53">
        <v>0.49</v>
      </c>
    </row>
    <row r="54" spans="1:42" ht="12.75" customHeight="1">
      <c r="A54" t="s">
        <v>593</v>
      </c>
      <c r="B54" s="124" t="s">
        <v>729</v>
      </c>
      <c r="C54" s="124" t="s">
        <v>746</v>
      </c>
      <c r="D54" s="124" t="s">
        <v>746</v>
      </c>
      <c r="E54" s="124" t="s">
        <v>730</v>
      </c>
      <c r="F54" s="124" t="s">
        <v>747</v>
      </c>
      <c r="G54" s="124" t="s">
        <v>731</v>
      </c>
      <c r="H54" s="124" t="s">
        <v>724</v>
      </c>
      <c r="I54" s="124" t="s">
        <v>744</v>
      </c>
      <c r="J54" s="124" t="s">
        <v>734</v>
      </c>
      <c r="K54" s="124" t="s">
        <v>726</v>
      </c>
      <c r="L54" s="124" t="s">
        <v>745</v>
      </c>
      <c r="M54" s="124" t="s">
        <v>727</v>
      </c>
      <c r="N54" s="124" t="s">
        <v>716</v>
      </c>
      <c r="O54" s="124" t="s">
        <v>718</v>
      </c>
      <c r="P54" t="s">
        <v>720</v>
      </c>
      <c r="Q54" t="s">
        <v>721</v>
      </c>
      <c r="W54"/>
      <c r="X54"/>
      <c r="Y54"/>
      <c r="Z54"/>
      <c r="AD54" s="124"/>
      <c r="AO54">
        <v>0.52</v>
      </c>
      <c r="AP54">
        <v>0.49</v>
      </c>
    </row>
    <row r="55" spans="16:42" ht="12.75">
      <c r="P55" s="124"/>
      <c r="Q55" s="124"/>
      <c r="W55"/>
      <c r="X55"/>
      <c r="Y55"/>
      <c r="Z55"/>
      <c r="AD55" s="124"/>
      <c r="AO55">
        <v>0.53</v>
      </c>
      <c r="AP55">
        <v>0.49</v>
      </c>
    </row>
    <row r="56" spans="16:42" ht="12.75">
      <c r="P56" s="124"/>
      <c r="Q56" s="124"/>
      <c r="W56"/>
      <c r="X56"/>
      <c r="Y56"/>
      <c r="Z56"/>
      <c r="AD56" s="124"/>
      <c r="AO56">
        <v>0.54</v>
      </c>
      <c r="AP56">
        <v>0.55</v>
      </c>
    </row>
    <row r="57" spans="16:42" ht="12.75">
      <c r="P57" s="124"/>
      <c r="Q57" s="124"/>
      <c r="W57"/>
      <c r="X57"/>
      <c r="Y57"/>
      <c r="Z57"/>
      <c r="AD57" s="124"/>
      <c r="AO57">
        <v>0.55</v>
      </c>
      <c r="AP57">
        <v>0.55</v>
      </c>
    </row>
    <row r="58" spans="23:42" ht="12.75">
      <c r="W58"/>
      <c r="X58"/>
      <c r="Y58"/>
      <c r="Z58"/>
      <c r="AD58" s="124"/>
      <c r="AO58">
        <v>0.56</v>
      </c>
      <c r="AP58">
        <v>0.55</v>
      </c>
    </row>
    <row r="59" spans="1:42" ht="25.5" customHeight="1">
      <c r="A59" s="1057" t="s">
        <v>419</v>
      </c>
      <c r="B59" s="1057"/>
      <c r="C59" s="1057"/>
      <c r="D59" s="1057"/>
      <c r="E59" s="1057"/>
      <c r="F59" s="1057"/>
      <c r="G59" s="1057"/>
      <c r="H59" s="1057"/>
      <c r="I59" s="1057"/>
      <c r="J59" s="1057"/>
      <c r="K59" s="1057"/>
      <c r="L59" s="1057"/>
      <c r="M59" s="1057"/>
      <c r="N59" s="1057"/>
      <c r="O59" s="1057"/>
      <c r="P59" s="1057"/>
      <c r="Q59" s="1057"/>
      <c r="R59" s="145"/>
      <c r="S59" s="145"/>
      <c r="W59"/>
      <c r="X59"/>
      <c r="Y59"/>
      <c r="Z59"/>
      <c r="AD59" s="124"/>
      <c r="AO59">
        <v>0.57</v>
      </c>
      <c r="AP59">
        <v>0.55</v>
      </c>
    </row>
    <row r="60" spans="2:42" ht="12.75">
      <c r="B60" s="1050" t="s">
        <v>710</v>
      </c>
      <c r="C60" s="1050"/>
      <c r="D60" s="1050"/>
      <c r="E60" s="1050"/>
      <c r="F60" s="1050"/>
      <c r="G60" s="1050"/>
      <c r="H60" s="1050"/>
      <c r="I60" s="1050"/>
      <c r="J60" s="1050"/>
      <c r="K60" s="1050"/>
      <c r="L60" s="1050"/>
      <c r="M60" s="1050"/>
      <c r="N60" s="1050"/>
      <c r="O60" s="1050"/>
      <c r="P60" s="1050"/>
      <c r="R60" s="145"/>
      <c r="S60" s="152"/>
      <c r="T60" s="153"/>
      <c r="U60" s="153"/>
      <c r="V60" s="153"/>
      <c r="W60"/>
      <c r="X60"/>
      <c r="Y60"/>
      <c r="Z60"/>
      <c r="AD60" s="124"/>
      <c r="AO60">
        <v>0.58</v>
      </c>
      <c r="AP60">
        <v>0.55</v>
      </c>
    </row>
    <row r="61" spans="2:42" ht="12.75">
      <c r="B61" s="139">
        <v>0</v>
      </c>
      <c r="C61" s="139">
        <v>10</v>
      </c>
      <c r="D61" s="139">
        <v>15</v>
      </c>
      <c r="E61" s="144">
        <v>20</v>
      </c>
      <c r="F61" s="139">
        <v>25</v>
      </c>
      <c r="G61" s="139">
        <v>30</v>
      </c>
      <c r="H61" s="139">
        <v>35</v>
      </c>
      <c r="I61" s="139">
        <v>40</v>
      </c>
      <c r="J61" s="139">
        <v>45</v>
      </c>
      <c r="K61" s="139">
        <v>50</v>
      </c>
      <c r="L61" s="139">
        <v>55</v>
      </c>
      <c r="M61" s="139">
        <v>60</v>
      </c>
      <c r="N61" s="139">
        <v>65</v>
      </c>
      <c r="O61" s="144">
        <v>70</v>
      </c>
      <c r="P61" s="42">
        <v>75</v>
      </c>
      <c r="R61" s="145"/>
      <c r="S61" s="152"/>
      <c r="T61" s="153"/>
      <c r="U61" s="153"/>
      <c r="V61" s="153"/>
      <c r="W61" s="145"/>
      <c r="X61" s="145"/>
      <c r="Y61" s="145"/>
      <c r="Z61" s="145"/>
      <c r="AD61" s="124"/>
      <c r="AO61">
        <v>0.59</v>
      </c>
      <c r="AP61">
        <v>0.55</v>
      </c>
    </row>
    <row r="62" spans="1:42" ht="12.75">
      <c r="A62" s="154" t="s">
        <v>540</v>
      </c>
      <c r="B62" s="155" t="s">
        <v>749</v>
      </c>
      <c r="C62" s="155" t="s">
        <v>725</v>
      </c>
      <c r="D62" s="155" t="s">
        <v>725</v>
      </c>
      <c r="E62" s="156" t="s">
        <v>712</v>
      </c>
      <c r="F62" s="155" t="s">
        <v>745</v>
      </c>
      <c r="G62" s="155" t="s">
        <v>714</v>
      </c>
      <c r="H62" s="155" t="s">
        <v>750</v>
      </c>
      <c r="I62" s="155" t="s">
        <v>732</v>
      </c>
      <c r="J62" s="155" t="s">
        <v>716</v>
      </c>
      <c r="K62" s="155" t="s">
        <v>718</v>
      </c>
      <c r="L62" s="155" t="s">
        <v>719</v>
      </c>
      <c r="M62" s="155" t="s">
        <v>720</v>
      </c>
      <c r="N62" s="155" t="s">
        <v>720</v>
      </c>
      <c r="O62" s="155" t="s">
        <v>739</v>
      </c>
      <c r="P62" s="155" t="s">
        <v>723</v>
      </c>
      <c r="R62" s="145"/>
      <c r="S62" s="152"/>
      <c r="T62" s="153"/>
      <c r="U62" s="153"/>
      <c r="V62" s="153"/>
      <c r="W62" s="145"/>
      <c r="X62" s="145"/>
      <c r="Y62" s="145"/>
      <c r="Z62" s="145"/>
      <c r="AD62" s="124"/>
      <c r="AO62">
        <v>0.6</v>
      </c>
      <c r="AP62">
        <v>0.64</v>
      </c>
    </row>
    <row r="63" spans="1:42" ht="12.75">
      <c r="A63" s="154" t="s">
        <v>611</v>
      </c>
      <c r="B63" s="155" t="s">
        <v>730</v>
      </c>
      <c r="C63" s="156" t="s">
        <v>751</v>
      </c>
      <c r="D63" s="155" t="s">
        <v>734</v>
      </c>
      <c r="E63" s="156" t="s">
        <v>725</v>
      </c>
      <c r="F63" s="155" t="s">
        <v>712</v>
      </c>
      <c r="G63" s="155" t="s">
        <v>713</v>
      </c>
      <c r="H63" s="155" t="s">
        <v>714</v>
      </c>
      <c r="I63" s="155" t="s">
        <v>750</v>
      </c>
      <c r="J63" s="155" t="s">
        <v>716</v>
      </c>
      <c r="K63" s="155" t="s">
        <v>717</v>
      </c>
      <c r="L63" s="155" t="s">
        <v>718</v>
      </c>
      <c r="M63" s="155" t="s">
        <v>719</v>
      </c>
      <c r="N63" s="155" t="s">
        <v>720</v>
      </c>
      <c r="O63" s="155" t="s">
        <v>739</v>
      </c>
      <c r="P63" s="155" t="s">
        <v>723</v>
      </c>
      <c r="R63" s="145"/>
      <c r="S63" s="152"/>
      <c r="T63" s="153"/>
      <c r="U63" s="153"/>
      <c r="V63" s="153"/>
      <c r="W63" s="145"/>
      <c r="X63" s="145"/>
      <c r="Y63" s="145"/>
      <c r="Z63" s="145"/>
      <c r="AD63" s="124"/>
      <c r="AO63">
        <v>0.61</v>
      </c>
      <c r="AP63">
        <v>0.64</v>
      </c>
    </row>
    <row r="64" spans="1:42" ht="12.75">
      <c r="A64" s="154" t="s">
        <v>606</v>
      </c>
      <c r="B64" s="155" t="s">
        <v>730</v>
      </c>
      <c r="C64" s="156" t="s">
        <v>751</v>
      </c>
      <c r="D64" s="155" t="s">
        <v>734</v>
      </c>
      <c r="E64" s="155" t="s">
        <v>725</v>
      </c>
      <c r="F64" s="155" t="s">
        <v>712</v>
      </c>
      <c r="G64" s="155" t="s">
        <v>713</v>
      </c>
      <c r="H64" s="155" t="s">
        <v>714</v>
      </c>
      <c r="I64" s="155" t="s">
        <v>750</v>
      </c>
      <c r="J64" s="155" t="s">
        <v>716</v>
      </c>
      <c r="K64" s="155" t="s">
        <v>717</v>
      </c>
      <c r="L64" s="155" t="s">
        <v>718</v>
      </c>
      <c r="M64" s="155" t="s">
        <v>719</v>
      </c>
      <c r="N64" s="155" t="s">
        <v>720</v>
      </c>
      <c r="O64" s="155" t="s">
        <v>739</v>
      </c>
      <c r="P64" s="155" t="s">
        <v>723</v>
      </c>
      <c r="R64" s="145"/>
      <c r="S64" s="152"/>
      <c r="T64" s="153"/>
      <c r="U64" s="153"/>
      <c r="V64" s="153"/>
      <c r="W64" s="145"/>
      <c r="X64" s="145"/>
      <c r="Y64" s="145"/>
      <c r="Z64" s="145"/>
      <c r="AO64">
        <v>0.62</v>
      </c>
      <c r="AP64">
        <v>0.64</v>
      </c>
    </row>
    <row r="65" spans="1:42" ht="12.75">
      <c r="A65" s="154" t="s">
        <v>589</v>
      </c>
      <c r="B65" s="155" t="s">
        <v>752</v>
      </c>
      <c r="C65" s="155" t="s">
        <v>729</v>
      </c>
      <c r="D65" s="155" t="s">
        <v>753</v>
      </c>
      <c r="E65" s="155" t="s">
        <v>730</v>
      </c>
      <c r="F65" s="155" t="s">
        <v>749</v>
      </c>
      <c r="G65" s="156" t="s">
        <v>754</v>
      </c>
      <c r="H65" s="156" t="s">
        <v>725</v>
      </c>
      <c r="I65" s="155" t="s">
        <v>712</v>
      </c>
      <c r="J65" s="155" t="s">
        <v>713</v>
      </c>
      <c r="K65" s="155" t="s">
        <v>727</v>
      </c>
      <c r="L65" s="155" t="s">
        <v>716</v>
      </c>
      <c r="M65" s="155" t="s">
        <v>718</v>
      </c>
      <c r="N65" s="155" t="s">
        <v>719</v>
      </c>
      <c r="O65" s="155" t="s">
        <v>720</v>
      </c>
      <c r="P65" s="155" t="s">
        <v>739</v>
      </c>
      <c r="R65" s="145"/>
      <c r="S65" s="152"/>
      <c r="T65" s="153"/>
      <c r="U65" s="153"/>
      <c r="V65" s="153"/>
      <c r="AO65">
        <v>0.63</v>
      </c>
      <c r="AP65">
        <v>0.64</v>
      </c>
    </row>
    <row r="66" spans="1:42" ht="12.75">
      <c r="A66" s="154" t="s">
        <v>546</v>
      </c>
      <c r="B66" s="155" t="s">
        <v>752</v>
      </c>
      <c r="C66" s="155" t="s">
        <v>729</v>
      </c>
      <c r="D66" s="155" t="s">
        <v>753</v>
      </c>
      <c r="E66" s="155" t="s">
        <v>730</v>
      </c>
      <c r="F66" s="155" t="s">
        <v>749</v>
      </c>
      <c r="G66" s="156" t="s">
        <v>754</v>
      </c>
      <c r="H66" s="156" t="s">
        <v>725</v>
      </c>
      <c r="I66" s="155" t="s">
        <v>712</v>
      </c>
      <c r="J66" s="155" t="s">
        <v>713</v>
      </c>
      <c r="K66" s="155" t="s">
        <v>727</v>
      </c>
      <c r="L66" s="155" t="s">
        <v>716</v>
      </c>
      <c r="M66" s="155" t="s">
        <v>718</v>
      </c>
      <c r="N66" s="155" t="s">
        <v>719</v>
      </c>
      <c r="O66" s="155" t="s">
        <v>720</v>
      </c>
      <c r="P66" s="155" t="s">
        <v>739</v>
      </c>
      <c r="R66" s="145"/>
      <c r="S66" s="152"/>
      <c r="T66" s="153"/>
      <c r="U66" s="153"/>
      <c r="V66" s="153"/>
      <c r="AO66">
        <v>0.64</v>
      </c>
      <c r="AP66">
        <v>0.64</v>
      </c>
    </row>
    <row r="67" spans="1:22" ht="12.75">
      <c r="A67" s="154" t="s">
        <v>608</v>
      </c>
      <c r="B67" s="155" t="s">
        <v>749</v>
      </c>
      <c r="C67" s="155" t="s">
        <v>725</v>
      </c>
      <c r="D67" s="156" t="s">
        <v>725</v>
      </c>
      <c r="E67" s="155" t="s">
        <v>712</v>
      </c>
      <c r="F67" s="155" t="s">
        <v>745</v>
      </c>
      <c r="G67" s="155" t="s">
        <v>714</v>
      </c>
      <c r="H67" s="155" t="s">
        <v>750</v>
      </c>
      <c r="I67" s="155" t="s">
        <v>732</v>
      </c>
      <c r="J67" s="155" t="s">
        <v>716</v>
      </c>
      <c r="K67" s="155" t="s">
        <v>718</v>
      </c>
      <c r="L67" s="155" t="s">
        <v>719</v>
      </c>
      <c r="M67" s="155" t="s">
        <v>720</v>
      </c>
      <c r="N67" s="155" t="s">
        <v>720</v>
      </c>
      <c r="O67" s="155" t="s">
        <v>739</v>
      </c>
      <c r="P67" s="155" t="s">
        <v>723</v>
      </c>
      <c r="Q67" s="145"/>
      <c r="R67" s="145"/>
      <c r="S67" s="152"/>
      <c r="T67" s="153"/>
      <c r="U67" s="153"/>
      <c r="V67" s="153"/>
    </row>
    <row r="68" spans="1:22" ht="12.75">
      <c r="A68" s="154" t="s">
        <v>590</v>
      </c>
      <c r="B68" s="155" t="s">
        <v>752</v>
      </c>
      <c r="C68" s="155" t="s">
        <v>729</v>
      </c>
      <c r="D68" s="155" t="s">
        <v>753</v>
      </c>
      <c r="E68" s="155" t="s">
        <v>730</v>
      </c>
      <c r="F68" s="155" t="s">
        <v>749</v>
      </c>
      <c r="G68" s="155" t="s">
        <v>751</v>
      </c>
      <c r="H68" s="156" t="s">
        <v>725</v>
      </c>
      <c r="I68" s="155" t="s">
        <v>712</v>
      </c>
      <c r="J68" s="155" t="s">
        <v>713</v>
      </c>
      <c r="K68" s="155" t="s">
        <v>727</v>
      </c>
      <c r="L68" s="155" t="s">
        <v>716</v>
      </c>
      <c r="M68" s="155" t="s">
        <v>718</v>
      </c>
      <c r="N68" s="155" t="s">
        <v>719</v>
      </c>
      <c r="O68" s="155" t="s">
        <v>720</v>
      </c>
      <c r="P68" s="155" t="s">
        <v>739</v>
      </c>
      <c r="Q68" s="145"/>
      <c r="R68" s="145"/>
      <c r="S68" s="152"/>
      <c r="T68" s="153"/>
      <c r="U68" s="153"/>
      <c r="V68" s="153"/>
    </row>
    <row r="69" spans="1:22" ht="12.75">
      <c r="A69" s="154" t="s">
        <v>578</v>
      </c>
      <c r="B69" s="155" t="s">
        <v>746</v>
      </c>
      <c r="C69" s="155" t="s">
        <v>749</v>
      </c>
      <c r="D69" s="156" t="s">
        <v>724</v>
      </c>
      <c r="E69" s="155" t="s">
        <v>734</v>
      </c>
      <c r="F69" s="155" t="s">
        <v>725</v>
      </c>
      <c r="G69" s="155" t="s">
        <v>712</v>
      </c>
      <c r="H69" s="155" t="s">
        <v>713</v>
      </c>
      <c r="I69" s="155" t="s">
        <v>714</v>
      </c>
      <c r="J69" s="155" t="s">
        <v>715</v>
      </c>
      <c r="K69" s="155" t="s">
        <v>716</v>
      </c>
      <c r="L69" s="155" t="s">
        <v>718</v>
      </c>
      <c r="M69" s="155" t="s">
        <v>737</v>
      </c>
      <c r="N69" s="155" t="s">
        <v>720</v>
      </c>
      <c r="O69" s="155" t="s">
        <v>720</v>
      </c>
      <c r="P69" s="155" t="s">
        <v>739</v>
      </c>
      <c r="Q69" s="145"/>
      <c r="R69" s="145"/>
      <c r="S69" s="152"/>
      <c r="T69" s="153"/>
      <c r="U69" s="153"/>
      <c r="V69" s="153"/>
    </row>
    <row r="70" spans="1:22" ht="12.75">
      <c r="A70" s="157" t="s">
        <v>641</v>
      </c>
      <c r="B70" s="158" t="s">
        <v>746</v>
      </c>
      <c r="C70" s="158" t="s">
        <v>731</v>
      </c>
      <c r="D70" s="158" t="s">
        <v>748</v>
      </c>
      <c r="E70" s="158" t="s">
        <v>751</v>
      </c>
      <c r="F70" s="158" t="s">
        <v>755</v>
      </c>
      <c r="G70" s="158" t="s">
        <v>712</v>
      </c>
      <c r="H70" s="158" t="s">
        <v>745</v>
      </c>
      <c r="I70" s="158" t="s">
        <v>714</v>
      </c>
      <c r="J70" s="158" t="s">
        <v>715</v>
      </c>
      <c r="K70" s="158" t="s">
        <v>756</v>
      </c>
      <c r="L70" s="158" t="s">
        <v>717</v>
      </c>
      <c r="M70" s="158" t="s">
        <v>719</v>
      </c>
      <c r="N70" s="158" t="s">
        <v>720</v>
      </c>
      <c r="O70" s="158" t="s">
        <v>721</v>
      </c>
      <c r="P70" s="158" t="s">
        <v>722</v>
      </c>
      <c r="Q70" s="145"/>
      <c r="R70" s="145"/>
      <c r="S70" s="152"/>
      <c r="T70" s="153"/>
      <c r="U70" s="153"/>
      <c r="V70" s="153"/>
    </row>
    <row r="71" spans="1:22" ht="12.75">
      <c r="A71" s="157" t="s">
        <v>591</v>
      </c>
      <c r="B71" s="158" t="s">
        <v>731</v>
      </c>
      <c r="C71" s="158" t="s">
        <v>751</v>
      </c>
      <c r="D71" s="158" t="s">
        <v>755</v>
      </c>
      <c r="E71" s="158" t="s">
        <v>712</v>
      </c>
      <c r="F71" s="158" t="s">
        <v>745</v>
      </c>
      <c r="G71" s="158" t="s">
        <v>713</v>
      </c>
      <c r="H71" s="158" t="s">
        <v>727</v>
      </c>
      <c r="I71" s="158" t="s">
        <v>715</v>
      </c>
      <c r="J71" s="158" t="s">
        <v>717</v>
      </c>
      <c r="K71" s="158" t="s">
        <v>757</v>
      </c>
      <c r="L71" s="158" t="s">
        <v>719</v>
      </c>
      <c r="M71" s="158" t="s">
        <v>720</v>
      </c>
      <c r="N71" s="158" t="s">
        <v>721</v>
      </c>
      <c r="O71" s="158" t="s">
        <v>721</v>
      </c>
      <c r="P71" s="158" t="s">
        <v>722</v>
      </c>
      <c r="Q71" s="145"/>
      <c r="R71" s="145"/>
      <c r="S71" s="152"/>
      <c r="T71" s="153"/>
      <c r="U71" s="153"/>
      <c r="V71" s="153"/>
    </row>
    <row r="72" spans="1:22" ht="12.75">
      <c r="A72" s="157" t="s">
        <v>594</v>
      </c>
      <c r="B72" s="158" t="s">
        <v>755</v>
      </c>
      <c r="C72" s="158" t="s">
        <v>712</v>
      </c>
      <c r="D72" s="158" t="s">
        <v>713</v>
      </c>
      <c r="E72" s="158" t="s">
        <v>714</v>
      </c>
      <c r="F72" s="158" t="s">
        <v>727</v>
      </c>
      <c r="G72" s="158" t="s">
        <v>756</v>
      </c>
      <c r="H72" s="158" t="s">
        <v>717</v>
      </c>
      <c r="I72" s="158" t="s">
        <v>717</v>
      </c>
      <c r="J72" s="158" t="s">
        <v>719</v>
      </c>
      <c r="K72" s="158" t="s">
        <v>737</v>
      </c>
      <c r="L72" s="158" t="s">
        <v>720</v>
      </c>
      <c r="M72" s="158" t="s">
        <v>721</v>
      </c>
      <c r="N72" s="158" t="s">
        <v>721</v>
      </c>
      <c r="O72" s="158" t="s">
        <v>722</v>
      </c>
      <c r="P72" s="158" t="s">
        <v>758</v>
      </c>
      <c r="Q72" s="145"/>
      <c r="R72" s="145"/>
      <c r="S72" s="152"/>
      <c r="T72" s="153"/>
      <c r="U72" s="153"/>
      <c r="V72" s="153"/>
    </row>
    <row r="73" spans="1:22" ht="12.75">
      <c r="A73" s="157" t="s">
        <v>602</v>
      </c>
      <c r="B73" s="158" t="s">
        <v>712</v>
      </c>
      <c r="C73" s="158" t="s">
        <v>713</v>
      </c>
      <c r="D73" s="158" t="s">
        <v>727</v>
      </c>
      <c r="E73" s="158" t="s">
        <v>727</v>
      </c>
      <c r="F73" s="158" t="s">
        <v>715</v>
      </c>
      <c r="G73" s="158" t="s">
        <v>717</v>
      </c>
      <c r="H73" s="158" t="s">
        <v>757</v>
      </c>
      <c r="I73" s="158" t="s">
        <v>719</v>
      </c>
      <c r="J73" s="158" t="s">
        <v>737</v>
      </c>
      <c r="K73" s="158" t="s">
        <v>720</v>
      </c>
      <c r="L73" s="158" t="s">
        <v>721</v>
      </c>
      <c r="M73" s="158" t="s">
        <v>721</v>
      </c>
      <c r="N73" s="158" t="s">
        <v>722</v>
      </c>
      <c r="O73" s="158" t="s">
        <v>722</v>
      </c>
      <c r="P73" s="158" t="s">
        <v>758</v>
      </c>
      <c r="Q73" s="145"/>
      <c r="R73" s="145"/>
      <c r="S73" s="152"/>
      <c r="T73" s="153"/>
      <c r="U73" s="153"/>
      <c r="V73" s="153"/>
    </row>
    <row r="74" spans="1:22" ht="12.75">
      <c r="A74" s="157" t="s">
        <v>598</v>
      </c>
      <c r="B74" s="158" t="s">
        <v>713</v>
      </c>
      <c r="C74" s="158" t="s">
        <v>727</v>
      </c>
      <c r="D74" s="158" t="s">
        <v>715</v>
      </c>
      <c r="E74" s="158" t="s">
        <v>756</v>
      </c>
      <c r="F74" s="158" t="s">
        <v>717</v>
      </c>
      <c r="G74" s="158" t="s">
        <v>719</v>
      </c>
      <c r="H74" s="158" t="s">
        <v>719</v>
      </c>
      <c r="I74" s="158" t="s">
        <v>737</v>
      </c>
      <c r="J74" s="158" t="s">
        <v>720</v>
      </c>
      <c r="K74" s="158" t="s">
        <v>735</v>
      </c>
      <c r="L74" s="158" t="s">
        <v>721</v>
      </c>
      <c r="M74" s="158" t="s">
        <v>722</v>
      </c>
      <c r="N74" s="158" t="s">
        <v>722</v>
      </c>
      <c r="O74" s="158" t="s">
        <v>722</v>
      </c>
      <c r="P74" s="158" t="s">
        <v>758</v>
      </c>
      <c r="Q74" s="145"/>
      <c r="R74" s="145"/>
      <c r="S74" s="152"/>
      <c r="T74" s="153"/>
      <c r="U74" s="153"/>
      <c r="V74" s="153"/>
    </row>
    <row r="75" spans="1:22" ht="12.75">
      <c r="A75" s="157" t="s">
        <v>600</v>
      </c>
      <c r="B75" s="158" t="s">
        <v>757</v>
      </c>
      <c r="C75" s="158" t="s">
        <v>737</v>
      </c>
      <c r="D75" s="158" t="s">
        <v>737</v>
      </c>
      <c r="E75" s="158" t="s">
        <v>720</v>
      </c>
      <c r="F75" s="158" t="s">
        <v>735</v>
      </c>
      <c r="G75" s="158" t="s">
        <v>735</v>
      </c>
      <c r="H75" s="158" t="s">
        <v>721</v>
      </c>
      <c r="I75" s="158" t="s">
        <v>721</v>
      </c>
      <c r="J75" s="158" t="s">
        <v>722</v>
      </c>
      <c r="K75" s="158" t="s">
        <v>722</v>
      </c>
      <c r="L75" s="158" t="s">
        <v>722</v>
      </c>
      <c r="M75" s="158" t="s">
        <v>758</v>
      </c>
      <c r="N75" s="158" t="s">
        <v>758</v>
      </c>
      <c r="O75" s="158" t="s">
        <v>758</v>
      </c>
      <c r="P75" s="158" t="s">
        <v>740</v>
      </c>
      <c r="Q75" s="145"/>
      <c r="R75" s="145"/>
      <c r="S75" s="152"/>
      <c r="T75" s="153"/>
      <c r="U75" s="153"/>
      <c r="V75" s="153"/>
    </row>
    <row r="76" spans="1:22" ht="12.75">
      <c r="A76" s="157" t="s">
        <v>587</v>
      </c>
      <c r="B76" s="158" t="s">
        <v>737</v>
      </c>
      <c r="C76" s="158" t="s">
        <v>735</v>
      </c>
      <c r="D76" s="158" t="s">
        <v>735</v>
      </c>
      <c r="E76" s="158" t="s">
        <v>735</v>
      </c>
      <c r="F76" s="158" t="s">
        <v>721</v>
      </c>
      <c r="G76" s="158" t="s">
        <v>739</v>
      </c>
      <c r="H76" s="158" t="s">
        <v>739</v>
      </c>
      <c r="I76" s="158" t="s">
        <v>722</v>
      </c>
      <c r="J76" s="158" t="s">
        <v>722</v>
      </c>
      <c r="K76" s="158" t="s">
        <v>722</v>
      </c>
      <c r="L76" s="158" t="s">
        <v>758</v>
      </c>
      <c r="M76" s="158" t="s">
        <v>758</v>
      </c>
      <c r="N76" s="159" t="s">
        <v>758</v>
      </c>
      <c r="O76" s="158" t="s">
        <v>740</v>
      </c>
      <c r="P76" s="159" t="s">
        <v>740</v>
      </c>
      <c r="Q76" s="145"/>
      <c r="R76" s="145"/>
      <c r="S76" s="152"/>
      <c r="T76" s="153"/>
      <c r="U76" s="153"/>
      <c r="V76" s="153"/>
    </row>
    <row r="77" spans="1:22" ht="12.75">
      <c r="A77" s="157" t="s">
        <v>604</v>
      </c>
      <c r="B77" s="160" t="s">
        <v>735</v>
      </c>
      <c r="C77" s="160" t="s">
        <v>739</v>
      </c>
      <c r="D77" s="160" t="s">
        <v>739</v>
      </c>
      <c r="E77" s="160" t="s">
        <v>739</v>
      </c>
      <c r="F77" s="160" t="s">
        <v>722</v>
      </c>
      <c r="G77" s="160" t="s">
        <v>420</v>
      </c>
      <c r="H77" s="160" t="s">
        <v>420</v>
      </c>
      <c r="I77" s="160" t="s">
        <v>758</v>
      </c>
      <c r="J77" s="160" t="s">
        <v>758</v>
      </c>
      <c r="K77" s="160" t="s">
        <v>758</v>
      </c>
      <c r="L77" s="160" t="s">
        <v>740</v>
      </c>
      <c r="M77" s="160" t="s">
        <v>740</v>
      </c>
      <c r="N77" s="160" t="s">
        <v>740</v>
      </c>
      <c r="O77" s="160">
        <v>0.01</v>
      </c>
      <c r="P77" s="160">
        <v>0.01</v>
      </c>
      <c r="Q77" s="145"/>
      <c r="R77" s="145"/>
      <c r="S77" s="152"/>
      <c r="T77" s="153"/>
      <c r="U77" s="153"/>
      <c r="V77" s="153"/>
    </row>
    <row r="78" spans="1:22" ht="12.75">
      <c r="A78" s="157" t="s">
        <v>552</v>
      </c>
      <c r="B78" s="160" t="s">
        <v>735</v>
      </c>
      <c r="C78" s="160" t="s">
        <v>739</v>
      </c>
      <c r="D78" s="160" t="s">
        <v>739</v>
      </c>
      <c r="E78" s="160" t="s">
        <v>739</v>
      </c>
      <c r="F78" s="160" t="s">
        <v>722</v>
      </c>
      <c r="G78" s="160" t="s">
        <v>420</v>
      </c>
      <c r="H78" s="160" t="s">
        <v>420</v>
      </c>
      <c r="I78" s="160" t="s">
        <v>758</v>
      </c>
      <c r="J78" s="160" t="s">
        <v>758</v>
      </c>
      <c r="K78" s="160" t="s">
        <v>758</v>
      </c>
      <c r="L78" s="160" t="s">
        <v>740</v>
      </c>
      <c r="M78" s="160" t="s">
        <v>740</v>
      </c>
      <c r="N78" s="160" t="s">
        <v>740</v>
      </c>
      <c r="O78" s="160">
        <v>0.01</v>
      </c>
      <c r="P78" s="160">
        <v>0.01</v>
      </c>
      <c r="Q78" s="145"/>
      <c r="R78" s="145"/>
      <c r="S78" s="152"/>
      <c r="T78" s="153"/>
      <c r="U78" s="153"/>
      <c r="V78" s="153"/>
    </row>
    <row r="79" spans="1:22" ht="12.75">
      <c r="A79" s="157" t="s">
        <v>636</v>
      </c>
      <c r="B79" s="160" t="s">
        <v>727</v>
      </c>
      <c r="C79" s="160" t="s">
        <v>756</v>
      </c>
      <c r="D79" s="160" t="s">
        <v>757</v>
      </c>
      <c r="E79" s="160" t="s">
        <v>757</v>
      </c>
      <c r="F79" s="160" t="s">
        <v>719</v>
      </c>
      <c r="G79" s="160" t="s">
        <v>737</v>
      </c>
      <c r="H79" s="160" t="s">
        <v>737</v>
      </c>
      <c r="I79" s="160" t="s">
        <v>720</v>
      </c>
      <c r="J79" s="160" t="s">
        <v>735</v>
      </c>
      <c r="K79" s="160" t="s">
        <v>721</v>
      </c>
      <c r="L79" s="160" t="s">
        <v>722</v>
      </c>
      <c r="M79" s="160" t="s">
        <v>722</v>
      </c>
      <c r="N79" s="160" t="s">
        <v>421</v>
      </c>
      <c r="O79" s="160" t="s">
        <v>738</v>
      </c>
      <c r="P79" s="160" t="s">
        <v>738</v>
      </c>
      <c r="Q79" s="145"/>
      <c r="R79" s="145"/>
      <c r="S79" s="152"/>
      <c r="T79" s="153"/>
      <c r="U79" s="153"/>
      <c r="V79" s="153"/>
    </row>
    <row r="80" spans="1:22" ht="12.75">
      <c r="A80" s="157" t="s">
        <v>596</v>
      </c>
      <c r="B80" s="160" t="s">
        <v>737</v>
      </c>
      <c r="C80" s="160" t="s">
        <v>735</v>
      </c>
      <c r="D80" s="160" t="s">
        <v>735</v>
      </c>
      <c r="E80" s="160" t="s">
        <v>721</v>
      </c>
      <c r="F80" s="160" t="s">
        <v>739</v>
      </c>
      <c r="G80" s="160" t="s">
        <v>739</v>
      </c>
      <c r="H80" s="160" t="s">
        <v>722</v>
      </c>
      <c r="I80" s="160" t="s">
        <v>722</v>
      </c>
      <c r="J80" s="160" t="s">
        <v>758</v>
      </c>
      <c r="K80" s="160" t="s">
        <v>758</v>
      </c>
      <c r="L80" s="160" t="s">
        <v>758</v>
      </c>
      <c r="M80" s="160" t="s">
        <v>740</v>
      </c>
      <c r="N80" s="160" t="s">
        <v>740</v>
      </c>
      <c r="O80" s="160" t="s">
        <v>740</v>
      </c>
      <c r="P80" s="160">
        <v>0.01</v>
      </c>
      <c r="Q80" s="145"/>
      <c r="R80" s="145"/>
      <c r="S80" s="152"/>
      <c r="T80" s="153"/>
      <c r="U80" s="153"/>
      <c r="V80" s="153"/>
    </row>
    <row r="81" spans="1:22" ht="12.75">
      <c r="A81" s="157" t="s">
        <v>572</v>
      </c>
      <c r="B81" s="160" t="s">
        <v>713</v>
      </c>
      <c r="C81" s="160" t="s">
        <v>727</v>
      </c>
      <c r="D81" s="160" t="s">
        <v>756</v>
      </c>
      <c r="E81" s="160" t="s">
        <v>717</v>
      </c>
      <c r="F81" s="160" t="s">
        <v>757</v>
      </c>
      <c r="G81" s="160" t="s">
        <v>719</v>
      </c>
      <c r="H81" s="159" t="s">
        <v>737</v>
      </c>
      <c r="I81" s="160" t="s">
        <v>719</v>
      </c>
      <c r="J81" s="160" t="s">
        <v>720</v>
      </c>
      <c r="K81" s="160" t="s">
        <v>735</v>
      </c>
      <c r="L81" s="160" t="s">
        <v>721</v>
      </c>
      <c r="M81" s="160" t="s">
        <v>722</v>
      </c>
      <c r="N81" s="160" t="s">
        <v>722</v>
      </c>
      <c r="O81" s="160" t="s">
        <v>722</v>
      </c>
      <c r="P81" s="160" t="s">
        <v>758</v>
      </c>
      <c r="Q81" s="145"/>
      <c r="R81" s="145"/>
      <c r="S81" s="152"/>
      <c r="T81" s="153"/>
      <c r="U81" s="153"/>
      <c r="V81" s="153"/>
    </row>
    <row r="82" spans="1:22" ht="12.75">
      <c r="A82" s="154" t="s">
        <v>593</v>
      </c>
      <c r="B82" s="155" t="s">
        <v>752</v>
      </c>
      <c r="C82" s="155" t="s">
        <v>729</v>
      </c>
      <c r="D82" s="155" t="s">
        <v>753</v>
      </c>
      <c r="E82" s="155" t="s">
        <v>730</v>
      </c>
      <c r="F82" s="155" t="s">
        <v>749</v>
      </c>
      <c r="G82" s="155" t="s">
        <v>751</v>
      </c>
      <c r="H82" s="156" t="s">
        <v>725</v>
      </c>
      <c r="I82" s="155" t="s">
        <v>712</v>
      </c>
      <c r="J82" s="155" t="s">
        <v>713</v>
      </c>
      <c r="K82" s="155" t="s">
        <v>727</v>
      </c>
      <c r="L82" s="155" t="s">
        <v>716</v>
      </c>
      <c r="M82" s="155" t="s">
        <v>718</v>
      </c>
      <c r="N82" s="155" t="s">
        <v>719</v>
      </c>
      <c r="O82" s="155" t="s">
        <v>720</v>
      </c>
      <c r="P82" s="155" t="s">
        <v>739</v>
      </c>
      <c r="Q82" s="145"/>
      <c r="R82" s="145"/>
      <c r="S82" s="152"/>
      <c r="T82" s="153"/>
      <c r="U82" s="153"/>
      <c r="V82" s="153"/>
    </row>
    <row r="83" spans="16:22" ht="12.75">
      <c r="P83" s="124"/>
      <c r="Q83" s="145"/>
      <c r="R83" s="145"/>
      <c r="S83" s="152"/>
      <c r="T83" s="153"/>
      <c r="U83" s="153"/>
      <c r="V83" s="153"/>
    </row>
    <row r="84" spans="16:22" ht="12.75">
      <c r="P84" s="124"/>
      <c r="Q84" s="145"/>
      <c r="R84" s="145"/>
      <c r="S84" s="152"/>
      <c r="T84" s="153"/>
      <c r="U84" s="153"/>
      <c r="V84" s="153"/>
    </row>
    <row r="85" spans="16:22" ht="12.75">
      <c r="P85" s="124"/>
      <c r="Q85" s="145"/>
      <c r="R85" s="145"/>
      <c r="S85" s="152"/>
      <c r="T85" s="153"/>
      <c r="U85" s="153"/>
      <c r="V85" s="153"/>
    </row>
    <row r="86" spans="17:22" ht="12.75">
      <c r="Q86" s="145"/>
      <c r="T86" s="145"/>
      <c r="U86" s="145"/>
      <c r="V86" s="145"/>
    </row>
    <row r="87" spans="1:22" ht="12.75">
      <c r="A87" s="1056" t="s">
        <v>422</v>
      </c>
      <c r="B87" s="1056"/>
      <c r="C87" s="1056"/>
      <c r="D87" s="1056"/>
      <c r="E87" s="1056"/>
      <c r="F87" s="1056"/>
      <c r="G87" s="1056"/>
      <c r="H87" s="1056"/>
      <c r="I87" s="1056"/>
      <c r="J87" s="1056"/>
      <c r="K87" s="1056"/>
      <c r="L87" s="1056"/>
      <c r="M87" s="1056"/>
      <c r="N87" s="1056"/>
      <c r="O87" s="1056"/>
      <c r="P87" s="1056"/>
      <c r="Q87" s="145"/>
      <c r="T87" s="145"/>
      <c r="U87" s="145"/>
      <c r="V87" s="145"/>
    </row>
    <row r="88" spans="2:17" ht="12.75">
      <c r="B88" s="1050" t="s">
        <v>710</v>
      </c>
      <c r="C88" s="1050"/>
      <c r="D88" s="1050"/>
      <c r="E88" s="1050"/>
      <c r="F88" s="1050"/>
      <c r="G88" s="1050"/>
      <c r="H88" s="1050"/>
      <c r="I88" s="1050"/>
      <c r="J88" s="1050"/>
      <c r="K88" s="1050"/>
      <c r="L88" s="1050"/>
      <c r="M88" s="1050"/>
      <c r="N88" s="1050"/>
      <c r="O88" s="1050"/>
      <c r="P88" s="1050"/>
      <c r="Q88" s="145"/>
    </row>
    <row r="89" spans="2:17" ht="12.75">
      <c r="B89" s="139">
        <v>0</v>
      </c>
      <c r="C89" s="139">
        <v>10</v>
      </c>
      <c r="D89" s="139">
        <v>15</v>
      </c>
      <c r="E89" s="139">
        <v>20</v>
      </c>
      <c r="F89" s="139">
        <v>25</v>
      </c>
      <c r="G89" s="139">
        <v>30</v>
      </c>
      <c r="H89" s="139">
        <v>35</v>
      </c>
      <c r="I89" s="139">
        <v>40</v>
      </c>
      <c r="J89" s="139">
        <v>45</v>
      </c>
      <c r="K89" s="139">
        <v>50</v>
      </c>
      <c r="L89" s="139">
        <v>55</v>
      </c>
      <c r="M89" s="139">
        <v>60</v>
      </c>
      <c r="N89" s="139">
        <v>65</v>
      </c>
      <c r="O89" s="144">
        <v>70</v>
      </c>
      <c r="P89" s="42">
        <v>75</v>
      </c>
      <c r="Q89" s="145"/>
    </row>
    <row r="90" spans="1:17" ht="12.75">
      <c r="A90" t="s">
        <v>540</v>
      </c>
      <c r="B90" s="160" t="s">
        <v>759</v>
      </c>
      <c r="C90" s="160" t="s">
        <v>760</v>
      </c>
      <c r="D90" s="160" t="s">
        <v>760</v>
      </c>
      <c r="E90" s="160" t="s">
        <v>761</v>
      </c>
      <c r="F90" s="160" t="s">
        <v>747</v>
      </c>
      <c r="G90" s="160" t="s">
        <v>724</v>
      </c>
      <c r="H90" s="160" t="s">
        <v>734</v>
      </c>
      <c r="I90" s="160" t="s">
        <v>762</v>
      </c>
      <c r="J90" s="160" t="s">
        <v>712</v>
      </c>
      <c r="K90" s="160" t="s">
        <v>714</v>
      </c>
      <c r="L90" s="160" t="s">
        <v>732</v>
      </c>
      <c r="M90" s="160" t="s">
        <v>718</v>
      </c>
      <c r="N90" s="160" t="s">
        <v>718</v>
      </c>
      <c r="O90" s="160" t="s">
        <v>737</v>
      </c>
      <c r="P90" s="160" t="s">
        <v>721</v>
      </c>
      <c r="Q90" s="145"/>
    </row>
    <row r="91" spans="1:17" ht="12.75">
      <c r="A91" t="s">
        <v>611</v>
      </c>
      <c r="B91" s="160" t="s">
        <v>763</v>
      </c>
      <c r="C91" s="160" t="s">
        <v>764</v>
      </c>
      <c r="D91" s="160" t="s">
        <v>765</v>
      </c>
      <c r="E91" s="160" t="s">
        <v>760</v>
      </c>
      <c r="F91" s="160" t="s">
        <v>761</v>
      </c>
      <c r="G91" s="160" t="s">
        <v>749</v>
      </c>
      <c r="H91" s="160" t="s">
        <v>724</v>
      </c>
      <c r="I91" s="160" t="s">
        <v>734</v>
      </c>
      <c r="J91" s="160" t="s">
        <v>712</v>
      </c>
      <c r="K91" s="160" t="s">
        <v>766</v>
      </c>
      <c r="L91" s="160" t="s">
        <v>714</v>
      </c>
      <c r="M91" s="160" t="s">
        <v>732</v>
      </c>
      <c r="N91" s="160" t="s">
        <v>718</v>
      </c>
      <c r="O91" s="160" t="s">
        <v>737</v>
      </c>
      <c r="P91" s="160" t="s">
        <v>721</v>
      </c>
      <c r="Q91" s="145"/>
    </row>
    <row r="92" spans="1:17" ht="12.75">
      <c r="A92" t="s">
        <v>606</v>
      </c>
      <c r="B92" s="160" t="s">
        <v>763</v>
      </c>
      <c r="C92" s="160" t="s">
        <v>764</v>
      </c>
      <c r="D92" s="160" t="s">
        <v>765</v>
      </c>
      <c r="E92" s="160" t="s">
        <v>760</v>
      </c>
      <c r="F92" s="160" t="s">
        <v>761</v>
      </c>
      <c r="G92" s="160" t="s">
        <v>749</v>
      </c>
      <c r="H92" s="160" t="s">
        <v>724</v>
      </c>
      <c r="I92" s="160" t="s">
        <v>734</v>
      </c>
      <c r="J92" s="160" t="s">
        <v>712</v>
      </c>
      <c r="K92" s="160" t="s">
        <v>766</v>
      </c>
      <c r="L92" s="160" t="s">
        <v>714</v>
      </c>
      <c r="M92" s="160" t="s">
        <v>732</v>
      </c>
      <c r="N92" s="160" t="s">
        <v>718</v>
      </c>
      <c r="O92" s="160" t="s">
        <v>737</v>
      </c>
      <c r="P92" s="160" t="s">
        <v>721</v>
      </c>
      <c r="Q92" s="145"/>
    </row>
    <row r="93" spans="1:17" ht="12.75">
      <c r="A93" t="s">
        <v>589</v>
      </c>
      <c r="B93" s="160" t="s">
        <v>767</v>
      </c>
      <c r="C93" s="160" t="s">
        <v>768</v>
      </c>
      <c r="D93" s="160" t="s">
        <v>769</v>
      </c>
      <c r="E93" s="160" t="s">
        <v>763</v>
      </c>
      <c r="F93" s="160" t="s">
        <v>759</v>
      </c>
      <c r="G93" s="160" t="s">
        <v>764</v>
      </c>
      <c r="H93" s="160" t="s">
        <v>760</v>
      </c>
      <c r="I93" s="160" t="s">
        <v>761</v>
      </c>
      <c r="J93" s="160" t="s">
        <v>749</v>
      </c>
      <c r="K93" s="160" t="s">
        <v>751</v>
      </c>
      <c r="L93" s="160" t="s">
        <v>712</v>
      </c>
      <c r="M93" s="160" t="s">
        <v>714</v>
      </c>
      <c r="N93" s="160" t="s">
        <v>732</v>
      </c>
      <c r="O93" s="160" t="s">
        <v>718</v>
      </c>
      <c r="P93" s="160" t="s">
        <v>737</v>
      </c>
      <c r="Q93" s="145"/>
    </row>
    <row r="94" spans="1:17" ht="12.75">
      <c r="A94" t="s">
        <v>546</v>
      </c>
      <c r="B94" s="160" t="s">
        <v>767</v>
      </c>
      <c r="C94" s="160" t="s">
        <v>768</v>
      </c>
      <c r="D94" s="160" t="s">
        <v>769</v>
      </c>
      <c r="E94" s="160" t="s">
        <v>763</v>
      </c>
      <c r="F94" s="160" t="s">
        <v>759</v>
      </c>
      <c r="G94" s="160" t="s">
        <v>764</v>
      </c>
      <c r="H94" s="160" t="s">
        <v>760</v>
      </c>
      <c r="I94" s="160" t="s">
        <v>761</v>
      </c>
      <c r="J94" s="160" t="s">
        <v>749</v>
      </c>
      <c r="K94" s="160" t="s">
        <v>751</v>
      </c>
      <c r="L94" s="160" t="s">
        <v>712</v>
      </c>
      <c r="M94" s="160" t="s">
        <v>714</v>
      </c>
      <c r="N94" s="160" t="s">
        <v>732</v>
      </c>
      <c r="O94" s="160" t="s">
        <v>718</v>
      </c>
      <c r="P94" s="160" t="s">
        <v>737</v>
      </c>
      <c r="Q94" s="145"/>
    </row>
    <row r="95" spans="1:17" ht="12.75">
      <c r="A95" t="s">
        <v>608</v>
      </c>
      <c r="B95" s="160" t="s">
        <v>759</v>
      </c>
      <c r="C95" s="160" t="s">
        <v>760</v>
      </c>
      <c r="D95" s="160" t="s">
        <v>760</v>
      </c>
      <c r="E95" s="160" t="s">
        <v>761</v>
      </c>
      <c r="F95" s="160" t="s">
        <v>747</v>
      </c>
      <c r="G95" s="160" t="s">
        <v>724</v>
      </c>
      <c r="H95" s="160" t="s">
        <v>734</v>
      </c>
      <c r="I95" s="160" t="s">
        <v>762</v>
      </c>
      <c r="J95" s="160" t="s">
        <v>712</v>
      </c>
      <c r="K95" s="160" t="s">
        <v>714</v>
      </c>
      <c r="L95" s="160" t="s">
        <v>732</v>
      </c>
      <c r="M95" s="160" t="s">
        <v>718</v>
      </c>
      <c r="N95" s="160" t="s">
        <v>718</v>
      </c>
      <c r="O95" s="160" t="s">
        <v>737</v>
      </c>
      <c r="P95" s="160" t="s">
        <v>721</v>
      </c>
      <c r="Q95" s="145"/>
    </row>
    <row r="96" spans="1:17" ht="12.75">
      <c r="A96" t="s">
        <v>590</v>
      </c>
      <c r="B96" s="160" t="s">
        <v>767</v>
      </c>
      <c r="C96" s="160" t="s">
        <v>768</v>
      </c>
      <c r="D96" s="160" t="s">
        <v>769</v>
      </c>
      <c r="E96" s="160" t="s">
        <v>763</v>
      </c>
      <c r="F96" s="160" t="s">
        <v>759</v>
      </c>
      <c r="G96" s="160" t="s">
        <v>764</v>
      </c>
      <c r="H96" s="160" t="s">
        <v>760</v>
      </c>
      <c r="I96" s="160" t="s">
        <v>761</v>
      </c>
      <c r="J96" s="160" t="s">
        <v>749</v>
      </c>
      <c r="K96" s="160" t="s">
        <v>751</v>
      </c>
      <c r="L96" s="160" t="s">
        <v>712</v>
      </c>
      <c r="M96" s="160" t="s">
        <v>714</v>
      </c>
      <c r="N96" s="160" t="s">
        <v>732</v>
      </c>
      <c r="O96" s="160" t="s">
        <v>718</v>
      </c>
      <c r="P96" s="160" t="s">
        <v>737</v>
      </c>
      <c r="Q96" s="145"/>
    </row>
    <row r="97" spans="1:16" ht="12.75">
      <c r="A97" t="s">
        <v>578</v>
      </c>
      <c r="B97" s="160" t="s">
        <v>769</v>
      </c>
      <c r="C97" s="160" t="s">
        <v>759</v>
      </c>
      <c r="D97" s="160" t="s">
        <v>752</v>
      </c>
      <c r="E97" s="160" t="s">
        <v>765</v>
      </c>
      <c r="F97" s="160" t="s">
        <v>760</v>
      </c>
      <c r="G97" s="160" t="s">
        <v>761</v>
      </c>
      <c r="H97" s="160" t="s">
        <v>749</v>
      </c>
      <c r="I97" s="160" t="s">
        <v>724</v>
      </c>
      <c r="J97" s="160" t="s">
        <v>734</v>
      </c>
      <c r="K97" s="160" t="s">
        <v>712</v>
      </c>
      <c r="L97" s="160" t="s">
        <v>714</v>
      </c>
      <c r="M97" s="160" t="s">
        <v>756</v>
      </c>
      <c r="N97" s="160" t="s">
        <v>718</v>
      </c>
      <c r="O97" s="160" t="s">
        <v>718</v>
      </c>
      <c r="P97" s="160" t="s">
        <v>737</v>
      </c>
    </row>
    <row r="98" spans="1:16" ht="12.75">
      <c r="A98" t="s">
        <v>641</v>
      </c>
      <c r="B98" s="160" t="s">
        <v>763</v>
      </c>
      <c r="C98" s="160" t="s">
        <v>764</v>
      </c>
      <c r="D98" s="160" t="s">
        <v>765</v>
      </c>
      <c r="E98" s="160" t="s">
        <v>760</v>
      </c>
      <c r="F98" s="160" t="s">
        <v>761</v>
      </c>
      <c r="G98" s="160" t="s">
        <v>749</v>
      </c>
      <c r="H98" s="160" t="s">
        <v>724</v>
      </c>
      <c r="I98" s="160" t="s">
        <v>734</v>
      </c>
      <c r="J98" s="160" t="s">
        <v>712</v>
      </c>
      <c r="K98" s="160" t="s">
        <v>766</v>
      </c>
      <c r="L98" s="160" t="s">
        <v>714</v>
      </c>
      <c r="M98" s="160" t="s">
        <v>732</v>
      </c>
      <c r="N98" s="160" t="s">
        <v>718</v>
      </c>
      <c r="O98" s="160" t="s">
        <v>737</v>
      </c>
      <c r="P98" s="160" t="s">
        <v>721</v>
      </c>
    </row>
    <row r="99" spans="1:16" ht="12.75">
      <c r="A99" t="s">
        <v>591</v>
      </c>
      <c r="B99" s="160" t="s">
        <v>764</v>
      </c>
      <c r="C99" s="160" t="s">
        <v>760</v>
      </c>
      <c r="D99" s="160" t="s">
        <v>761</v>
      </c>
      <c r="E99" s="160" t="s">
        <v>749</v>
      </c>
      <c r="F99" s="160" t="s">
        <v>724</v>
      </c>
      <c r="G99" s="160" t="s">
        <v>751</v>
      </c>
      <c r="H99" s="160" t="s">
        <v>762</v>
      </c>
      <c r="I99" s="160" t="s">
        <v>712</v>
      </c>
      <c r="J99" s="160" t="s">
        <v>714</v>
      </c>
      <c r="K99" s="160" t="s">
        <v>770</v>
      </c>
      <c r="L99" s="160" t="s">
        <v>732</v>
      </c>
      <c r="M99" s="160" t="s">
        <v>718</v>
      </c>
      <c r="N99" s="160" t="s">
        <v>737</v>
      </c>
      <c r="O99" s="160" t="s">
        <v>737</v>
      </c>
      <c r="P99" s="160" t="s">
        <v>721</v>
      </c>
    </row>
    <row r="100" spans="1:16" ht="12.75">
      <c r="A100" t="s">
        <v>594</v>
      </c>
      <c r="B100" s="160" t="s">
        <v>761</v>
      </c>
      <c r="C100" s="160" t="s">
        <v>749</v>
      </c>
      <c r="D100" s="160" t="s">
        <v>751</v>
      </c>
      <c r="E100" s="160" t="s">
        <v>734</v>
      </c>
      <c r="F100" s="160" t="s">
        <v>762</v>
      </c>
      <c r="G100" s="160" t="s">
        <v>766</v>
      </c>
      <c r="H100" s="160" t="s">
        <v>714</v>
      </c>
      <c r="I100" s="160" t="s">
        <v>714</v>
      </c>
      <c r="J100" s="160" t="s">
        <v>732</v>
      </c>
      <c r="K100" s="160" t="s">
        <v>756</v>
      </c>
      <c r="L100" s="160" t="s">
        <v>718</v>
      </c>
      <c r="M100" s="160" t="s">
        <v>737</v>
      </c>
      <c r="N100" s="160" t="s">
        <v>737</v>
      </c>
      <c r="O100" s="160" t="s">
        <v>721</v>
      </c>
      <c r="P100" s="160" t="s">
        <v>741</v>
      </c>
    </row>
    <row r="101" spans="1:16" ht="12.75">
      <c r="A101" t="s">
        <v>602</v>
      </c>
      <c r="B101" s="160" t="s">
        <v>749</v>
      </c>
      <c r="C101" s="160" t="s">
        <v>751</v>
      </c>
      <c r="D101" s="160" t="s">
        <v>762</v>
      </c>
      <c r="E101" s="160" t="s">
        <v>762</v>
      </c>
      <c r="F101" s="160" t="s">
        <v>712</v>
      </c>
      <c r="G101" s="160" t="s">
        <v>714</v>
      </c>
      <c r="H101" s="160" t="s">
        <v>770</v>
      </c>
      <c r="I101" s="160" t="s">
        <v>732</v>
      </c>
      <c r="J101" s="160" t="s">
        <v>756</v>
      </c>
      <c r="K101" s="160" t="s">
        <v>718</v>
      </c>
      <c r="L101" s="160" t="s">
        <v>737</v>
      </c>
      <c r="M101" s="160" t="s">
        <v>737</v>
      </c>
      <c r="N101" s="160" t="s">
        <v>721</v>
      </c>
      <c r="O101" s="160" t="s">
        <v>721</v>
      </c>
      <c r="P101" s="160" t="s">
        <v>741</v>
      </c>
    </row>
    <row r="102" spans="1:16" ht="12.75">
      <c r="A102" t="s">
        <v>598</v>
      </c>
      <c r="B102" s="160" t="s">
        <v>751</v>
      </c>
      <c r="C102" s="160" t="s">
        <v>762</v>
      </c>
      <c r="D102" s="160" t="s">
        <v>712</v>
      </c>
      <c r="E102" s="160" t="s">
        <v>766</v>
      </c>
      <c r="F102" s="160" t="s">
        <v>714</v>
      </c>
      <c r="G102" s="160" t="s">
        <v>732</v>
      </c>
      <c r="H102" s="160" t="s">
        <v>732</v>
      </c>
      <c r="I102" s="160" t="s">
        <v>756</v>
      </c>
      <c r="J102" s="160" t="s">
        <v>718</v>
      </c>
      <c r="K102" s="160" t="s">
        <v>771</v>
      </c>
      <c r="L102" s="160" t="s">
        <v>737</v>
      </c>
      <c r="M102" s="160" t="s">
        <v>721</v>
      </c>
      <c r="N102" s="160" t="s">
        <v>721</v>
      </c>
      <c r="O102" s="160" t="s">
        <v>721</v>
      </c>
      <c r="P102" s="160" t="s">
        <v>741</v>
      </c>
    </row>
    <row r="103" spans="1:16" ht="12.75">
      <c r="A103" t="s">
        <v>600</v>
      </c>
      <c r="B103" s="160" t="s">
        <v>770</v>
      </c>
      <c r="C103" s="160" t="s">
        <v>756</v>
      </c>
      <c r="D103" s="160" t="s">
        <v>756</v>
      </c>
      <c r="E103" s="160" t="s">
        <v>718</v>
      </c>
      <c r="F103" s="160" t="s">
        <v>771</v>
      </c>
      <c r="G103" s="160" t="s">
        <v>771</v>
      </c>
      <c r="H103" s="160" t="s">
        <v>737</v>
      </c>
      <c r="I103" s="160" t="s">
        <v>737</v>
      </c>
      <c r="J103" s="160" t="s">
        <v>721</v>
      </c>
      <c r="K103" s="160" t="s">
        <v>721</v>
      </c>
      <c r="L103" s="160" t="s">
        <v>721</v>
      </c>
      <c r="M103" s="160" t="s">
        <v>741</v>
      </c>
      <c r="N103" s="160" t="s">
        <v>741</v>
      </c>
      <c r="O103" s="160" t="s">
        <v>741</v>
      </c>
      <c r="P103" s="160" t="s">
        <v>738</v>
      </c>
    </row>
    <row r="104" spans="1:16" ht="12.75">
      <c r="A104" t="s">
        <v>587</v>
      </c>
      <c r="B104" s="160" t="s">
        <v>756</v>
      </c>
      <c r="C104" s="160" t="s">
        <v>771</v>
      </c>
      <c r="D104" s="160" t="s">
        <v>771</v>
      </c>
      <c r="E104" s="160" t="s">
        <v>771</v>
      </c>
      <c r="F104" s="160" t="s">
        <v>737</v>
      </c>
      <c r="G104" s="160" t="s">
        <v>772</v>
      </c>
      <c r="H104" s="160" t="s">
        <v>772</v>
      </c>
      <c r="I104" s="160" t="s">
        <v>721</v>
      </c>
      <c r="J104" s="160" t="s">
        <v>721</v>
      </c>
      <c r="K104" s="160" t="s">
        <v>721</v>
      </c>
      <c r="L104" s="160" t="s">
        <v>741</v>
      </c>
      <c r="M104" s="160" t="s">
        <v>741</v>
      </c>
      <c r="N104" s="160" t="s">
        <v>741</v>
      </c>
      <c r="O104" s="160" t="s">
        <v>738</v>
      </c>
      <c r="P104" s="160" t="s">
        <v>738</v>
      </c>
    </row>
    <row r="105" spans="1:16" ht="12.75">
      <c r="A105" t="s">
        <v>604</v>
      </c>
      <c r="B105" s="124" t="s">
        <v>771</v>
      </c>
      <c r="C105" s="124" t="s">
        <v>772</v>
      </c>
      <c r="D105" s="124" t="s">
        <v>772</v>
      </c>
      <c r="E105" s="124" t="s">
        <v>772</v>
      </c>
      <c r="F105" s="124" t="s">
        <v>721</v>
      </c>
      <c r="G105" s="124" t="s">
        <v>423</v>
      </c>
      <c r="H105" s="124" t="s">
        <v>423</v>
      </c>
      <c r="I105" s="124" t="s">
        <v>741</v>
      </c>
      <c r="J105" s="124" t="s">
        <v>741</v>
      </c>
      <c r="K105" s="124" t="s">
        <v>741</v>
      </c>
      <c r="L105" s="124" t="s">
        <v>738</v>
      </c>
      <c r="M105" s="124" t="s">
        <v>738</v>
      </c>
      <c r="N105" s="124" t="s">
        <v>738</v>
      </c>
      <c r="O105" s="124">
        <v>0.02</v>
      </c>
      <c r="P105" s="124">
        <v>0.02</v>
      </c>
    </row>
    <row r="106" spans="1:16" ht="12.75">
      <c r="A106" t="s">
        <v>552</v>
      </c>
      <c r="B106" s="124" t="s">
        <v>771</v>
      </c>
      <c r="C106" s="124" t="s">
        <v>772</v>
      </c>
      <c r="D106" s="124" t="s">
        <v>772</v>
      </c>
      <c r="E106" s="124" t="s">
        <v>772</v>
      </c>
      <c r="F106" s="124" t="s">
        <v>721</v>
      </c>
      <c r="G106" s="124" t="s">
        <v>423</v>
      </c>
      <c r="H106" s="124" t="s">
        <v>423</v>
      </c>
      <c r="I106" s="124" t="s">
        <v>741</v>
      </c>
      <c r="J106" s="124" t="s">
        <v>741</v>
      </c>
      <c r="K106" s="124" t="s">
        <v>741</v>
      </c>
      <c r="L106" s="124" t="s">
        <v>738</v>
      </c>
      <c r="M106" s="124" t="s">
        <v>738</v>
      </c>
      <c r="N106" s="124" t="s">
        <v>738</v>
      </c>
      <c r="O106" s="124">
        <v>0.02</v>
      </c>
      <c r="P106" s="124">
        <v>0.02</v>
      </c>
    </row>
    <row r="107" spans="1:16" ht="12.75">
      <c r="A107" t="s">
        <v>636</v>
      </c>
      <c r="B107" s="124" t="s">
        <v>762</v>
      </c>
      <c r="C107" s="124" t="s">
        <v>766</v>
      </c>
      <c r="D107" s="124" t="s">
        <v>770</v>
      </c>
      <c r="E107" s="124" t="s">
        <v>770</v>
      </c>
      <c r="F107" s="124" t="s">
        <v>732</v>
      </c>
      <c r="G107" s="124" t="s">
        <v>756</v>
      </c>
      <c r="H107" s="124" t="s">
        <v>756</v>
      </c>
      <c r="I107" s="124" t="s">
        <v>718</v>
      </c>
      <c r="J107" s="124" t="s">
        <v>771</v>
      </c>
      <c r="K107" s="124" t="s">
        <v>737</v>
      </c>
      <c r="L107" s="124" t="s">
        <v>721</v>
      </c>
      <c r="M107" s="124" t="s">
        <v>721</v>
      </c>
      <c r="N107" s="124" t="s">
        <v>721</v>
      </c>
      <c r="O107" s="124" t="s">
        <v>741</v>
      </c>
      <c r="P107" s="124" t="s">
        <v>741</v>
      </c>
    </row>
    <row r="108" spans="1:16" ht="12.75">
      <c r="A108" t="s">
        <v>596</v>
      </c>
      <c r="B108" s="124" t="s">
        <v>756</v>
      </c>
      <c r="C108" s="124" t="s">
        <v>771</v>
      </c>
      <c r="D108" s="124" t="s">
        <v>771</v>
      </c>
      <c r="E108" s="124" t="s">
        <v>737</v>
      </c>
      <c r="F108" s="124" t="s">
        <v>772</v>
      </c>
      <c r="G108" s="124" t="s">
        <v>772</v>
      </c>
      <c r="H108" s="124" t="s">
        <v>721</v>
      </c>
      <c r="I108" s="124" t="s">
        <v>721</v>
      </c>
      <c r="J108" s="124" t="s">
        <v>741</v>
      </c>
      <c r="K108" s="124" t="s">
        <v>741</v>
      </c>
      <c r="L108" s="124" t="s">
        <v>741</v>
      </c>
      <c r="M108" s="124" t="s">
        <v>738</v>
      </c>
      <c r="N108" s="124" t="s">
        <v>738</v>
      </c>
      <c r="O108" s="124" t="s">
        <v>738</v>
      </c>
      <c r="P108" s="124">
        <v>0.02</v>
      </c>
    </row>
    <row r="109" spans="1:16" ht="12.75">
      <c r="A109" t="s">
        <v>572</v>
      </c>
      <c r="B109" s="124" t="s">
        <v>751</v>
      </c>
      <c r="C109" s="124" t="s">
        <v>762</v>
      </c>
      <c r="D109" s="124" t="s">
        <v>766</v>
      </c>
      <c r="E109" s="124" t="s">
        <v>714</v>
      </c>
      <c r="F109" s="124" t="s">
        <v>770</v>
      </c>
      <c r="G109" s="124" t="s">
        <v>770</v>
      </c>
      <c r="H109" s="124" t="s">
        <v>756</v>
      </c>
      <c r="I109" s="124" t="s">
        <v>732</v>
      </c>
      <c r="J109" s="124" t="s">
        <v>718</v>
      </c>
      <c r="K109" s="124" t="s">
        <v>771</v>
      </c>
      <c r="L109" s="124" t="s">
        <v>737</v>
      </c>
      <c r="M109" s="124" t="s">
        <v>721</v>
      </c>
      <c r="N109" s="124" t="s">
        <v>721</v>
      </c>
      <c r="O109" s="124" t="s">
        <v>721</v>
      </c>
      <c r="P109" s="124" t="s">
        <v>424</v>
      </c>
    </row>
    <row r="110" spans="1:16" ht="12.75">
      <c r="A110" t="s">
        <v>593</v>
      </c>
      <c r="B110" s="124" t="s">
        <v>767</v>
      </c>
      <c r="C110" s="124" t="s">
        <v>768</v>
      </c>
      <c r="D110" s="124" t="s">
        <v>769</v>
      </c>
      <c r="E110" s="124" t="s">
        <v>763</v>
      </c>
      <c r="F110" s="124" t="s">
        <v>759</v>
      </c>
      <c r="G110" s="124" t="s">
        <v>764</v>
      </c>
      <c r="H110" s="124" t="s">
        <v>760</v>
      </c>
      <c r="I110" s="124" t="s">
        <v>761</v>
      </c>
      <c r="J110" s="124" t="s">
        <v>749</v>
      </c>
      <c r="K110" s="124" t="s">
        <v>751</v>
      </c>
      <c r="L110" s="124" t="s">
        <v>712</v>
      </c>
      <c r="M110" s="124" t="s">
        <v>714</v>
      </c>
      <c r="N110" s="124" t="s">
        <v>732</v>
      </c>
      <c r="O110" s="124" t="s">
        <v>718</v>
      </c>
      <c r="P110" s="124" t="s">
        <v>737</v>
      </c>
    </row>
    <row r="111" ht="12.75">
      <c r="P111" s="124"/>
    </row>
    <row r="112" ht="12.75">
      <c r="P112" s="124"/>
    </row>
    <row r="113" ht="12.75">
      <c r="P113" s="124"/>
    </row>
    <row r="115" spans="1:16" ht="12.75">
      <c r="A115" s="131" t="s">
        <v>773</v>
      </c>
      <c r="B115" s="132"/>
      <c r="C115" s="132"/>
      <c r="D115" s="132"/>
      <c r="E115" s="132"/>
      <c r="F115" s="132"/>
      <c r="G115" s="132"/>
      <c r="H115" s="132"/>
      <c r="I115" s="132"/>
      <c r="J115" s="132"/>
      <c r="K115" s="132"/>
      <c r="L115" s="132"/>
      <c r="M115" s="132"/>
      <c r="N115" s="132"/>
      <c r="O115" s="132"/>
      <c r="P115" s="133"/>
    </row>
    <row r="116" spans="2:16" ht="12.75">
      <c r="B116" s="1050" t="s">
        <v>710</v>
      </c>
      <c r="C116" s="1050"/>
      <c r="D116" s="1050"/>
      <c r="E116" s="1050"/>
      <c r="F116" s="1050"/>
      <c r="G116" s="1050"/>
      <c r="H116" s="1050"/>
      <c r="I116" s="1050"/>
      <c r="J116" s="1050"/>
      <c r="K116" s="1050"/>
      <c r="L116" s="1050"/>
      <c r="M116" s="1050"/>
      <c r="N116" s="1050"/>
      <c r="O116" s="1050"/>
      <c r="P116" s="1050"/>
    </row>
    <row r="117" spans="2:16" ht="12.75">
      <c r="B117" s="139">
        <v>0</v>
      </c>
      <c r="C117" s="139">
        <v>10</v>
      </c>
      <c r="D117" s="139">
        <v>15</v>
      </c>
      <c r="E117" s="139">
        <v>20</v>
      </c>
      <c r="F117" s="139">
        <v>25</v>
      </c>
      <c r="G117" s="139">
        <v>30</v>
      </c>
      <c r="H117" s="139">
        <v>35</v>
      </c>
      <c r="I117" s="139">
        <v>40</v>
      </c>
      <c r="J117" s="139">
        <v>45</v>
      </c>
      <c r="K117" s="139">
        <v>50</v>
      </c>
      <c r="L117" s="139">
        <v>55</v>
      </c>
      <c r="M117" s="139">
        <v>60</v>
      </c>
      <c r="N117" s="139">
        <v>65</v>
      </c>
      <c r="O117" s="144">
        <v>70</v>
      </c>
      <c r="P117" s="42">
        <v>75</v>
      </c>
    </row>
    <row r="118" spans="1:16" ht="12.75">
      <c r="A118" t="s">
        <v>591</v>
      </c>
      <c r="B118" s="124" t="s">
        <v>774</v>
      </c>
      <c r="C118" s="124" t="s">
        <v>775</v>
      </c>
      <c r="D118" s="124" t="s">
        <v>776</v>
      </c>
      <c r="E118" s="124" t="s">
        <v>777</v>
      </c>
      <c r="F118" s="124" t="s">
        <v>778</v>
      </c>
      <c r="G118" s="124" t="s">
        <v>779</v>
      </c>
      <c r="H118" s="124" t="s">
        <v>780</v>
      </c>
      <c r="I118" s="124" t="s">
        <v>781</v>
      </c>
      <c r="J118" s="124" t="s">
        <v>782</v>
      </c>
      <c r="K118" s="124" t="s">
        <v>783</v>
      </c>
      <c r="L118" s="124" t="s">
        <v>784</v>
      </c>
      <c r="M118" s="124" t="s">
        <v>785</v>
      </c>
      <c r="N118" s="124" t="s">
        <v>786</v>
      </c>
      <c r="O118" s="124" t="s">
        <v>766</v>
      </c>
      <c r="P118" t="s">
        <v>732</v>
      </c>
    </row>
    <row r="119" spans="1:16" ht="12.75">
      <c r="A119" t="s">
        <v>578</v>
      </c>
      <c r="B119" s="124" t="s">
        <v>774</v>
      </c>
      <c r="C119" s="124" t="s">
        <v>775</v>
      </c>
      <c r="D119" s="124" t="s">
        <v>776</v>
      </c>
      <c r="E119" s="124" t="s">
        <v>777</v>
      </c>
      <c r="F119" s="124" t="s">
        <v>778</v>
      </c>
      <c r="G119" s="124" t="s">
        <v>779</v>
      </c>
      <c r="H119" s="124" t="s">
        <v>780</v>
      </c>
      <c r="I119" s="124" t="s">
        <v>781</v>
      </c>
      <c r="J119" s="124" t="s">
        <v>782</v>
      </c>
      <c r="K119" s="124" t="s">
        <v>783</v>
      </c>
      <c r="L119" s="124" t="s">
        <v>784</v>
      </c>
      <c r="M119" s="124" t="s">
        <v>785</v>
      </c>
      <c r="N119" s="124" t="s">
        <v>786</v>
      </c>
      <c r="O119" s="124" t="s">
        <v>766</v>
      </c>
      <c r="P119" t="s">
        <v>732</v>
      </c>
    </row>
    <row r="120" spans="1:16" ht="12.75">
      <c r="A120" t="s">
        <v>590</v>
      </c>
      <c r="B120" s="124" t="s">
        <v>774</v>
      </c>
      <c r="C120" s="124" t="s">
        <v>775</v>
      </c>
      <c r="D120" s="124" t="s">
        <v>776</v>
      </c>
      <c r="E120" s="124" t="s">
        <v>777</v>
      </c>
      <c r="F120" s="124" t="s">
        <v>778</v>
      </c>
      <c r="G120" s="124" t="s">
        <v>779</v>
      </c>
      <c r="H120" s="124" t="s">
        <v>780</v>
      </c>
      <c r="I120" s="124" t="s">
        <v>781</v>
      </c>
      <c r="J120" s="124" t="s">
        <v>782</v>
      </c>
      <c r="K120" s="124" t="s">
        <v>783</v>
      </c>
      <c r="L120" s="124" t="s">
        <v>784</v>
      </c>
      <c r="M120" s="124" t="s">
        <v>785</v>
      </c>
      <c r="N120" s="124" t="s">
        <v>786</v>
      </c>
      <c r="O120" s="124" t="s">
        <v>766</v>
      </c>
      <c r="P120" t="s">
        <v>732</v>
      </c>
    </row>
    <row r="121" spans="1:16" ht="12.75">
      <c r="A121" t="s">
        <v>540</v>
      </c>
      <c r="B121" s="124" t="s">
        <v>774</v>
      </c>
      <c r="C121" s="124" t="s">
        <v>775</v>
      </c>
      <c r="D121" s="124" t="s">
        <v>776</v>
      </c>
      <c r="E121" s="124" t="s">
        <v>777</v>
      </c>
      <c r="F121" s="124" t="s">
        <v>778</v>
      </c>
      <c r="G121" s="124" t="s">
        <v>779</v>
      </c>
      <c r="H121" s="124" t="s">
        <v>780</v>
      </c>
      <c r="I121" s="124" t="s">
        <v>781</v>
      </c>
      <c r="J121" s="124" t="s">
        <v>782</v>
      </c>
      <c r="K121" s="124" t="s">
        <v>783</v>
      </c>
      <c r="L121" s="124" t="s">
        <v>784</v>
      </c>
      <c r="M121" s="124" t="s">
        <v>785</v>
      </c>
      <c r="N121" s="124" t="s">
        <v>786</v>
      </c>
      <c r="O121" s="124" t="s">
        <v>766</v>
      </c>
      <c r="P121" t="s">
        <v>732</v>
      </c>
    </row>
    <row r="122" spans="1:16" ht="12.75">
      <c r="A122" t="s">
        <v>611</v>
      </c>
      <c r="B122" s="124" t="s">
        <v>774</v>
      </c>
      <c r="C122" s="124" t="s">
        <v>775</v>
      </c>
      <c r="D122" s="124" t="s">
        <v>776</v>
      </c>
      <c r="E122" s="124" t="s">
        <v>777</v>
      </c>
      <c r="F122" s="124" t="s">
        <v>778</v>
      </c>
      <c r="G122" s="124" t="s">
        <v>779</v>
      </c>
      <c r="H122" s="124" t="s">
        <v>780</v>
      </c>
      <c r="I122" s="124" t="s">
        <v>781</v>
      </c>
      <c r="J122" s="124" t="s">
        <v>782</v>
      </c>
      <c r="K122" s="124" t="s">
        <v>783</v>
      </c>
      <c r="L122" s="124" t="s">
        <v>784</v>
      </c>
      <c r="M122" s="124" t="s">
        <v>785</v>
      </c>
      <c r="N122" s="124" t="s">
        <v>786</v>
      </c>
      <c r="O122" s="124" t="s">
        <v>766</v>
      </c>
      <c r="P122" t="s">
        <v>732</v>
      </c>
    </row>
    <row r="123" spans="1:16" ht="12.75">
      <c r="A123" t="s">
        <v>606</v>
      </c>
      <c r="B123" s="124" t="s">
        <v>774</v>
      </c>
      <c r="C123" s="124" t="s">
        <v>775</v>
      </c>
      <c r="D123" s="124" t="s">
        <v>776</v>
      </c>
      <c r="E123" s="124" t="s">
        <v>777</v>
      </c>
      <c r="F123" s="124" t="s">
        <v>778</v>
      </c>
      <c r="G123" s="124" t="s">
        <v>779</v>
      </c>
      <c r="H123" s="124" t="s">
        <v>780</v>
      </c>
      <c r="I123" s="124" t="s">
        <v>781</v>
      </c>
      <c r="J123" s="124" t="s">
        <v>782</v>
      </c>
      <c r="K123" s="124" t="s">
        <v>783</v>
      </c>
      <c r="L123" s="124" t="s">
        <v>784</v>
      </c>
      <c r="M123" s="124" t="s">
        <v>785</v>
      </c>
      <c r="N123" s="124" t="s">
        <v>786</v>
      </c>
      <c r="O123" s="124" t="s">
        <v>766</v>
      </c>
      <c r="P123" t="s">
        <v>732</v>
      </c>
    </row>
    <row r="124" spans="1:16" ht="12.75">
      <c r="A124" t="s">
        <v>589</v>
      </c>
      <c r="B124" s="124" t="s">
        <v>774</v>
      </c>
      <c r="C124" s="124" t="s">
        <v>775</v>
      </c>
      <c r="D124" s="124" t="s">
        <v>776</v>
      </c>
      <c r="E124" s="124" t="s">
        <v>777</v>
      </c>
      <c r="F124" s="124" t="s">
        <v>778</v>
      </c>
      <c r="G124" s="124" t="s">
        <v>779</v>
      </c>
      <c r="H124" s="124" t="s">
        <v>780</v>
      </c>
      <c r="I124" s="124" t="s">
        <v>781</v>
      </c>
      <c r="J124" s="124" t="s">
        <v>782</v>
      </c>
      <c r="K124" s="124" t="s">
        <v>783</v>
      </c>
      <c r="L124" s="124" t="s">
        <v>784</v>
      </c>
      <c r="M124" s="124" t="s">
        <v>785</v>
      </c>
      <c r="N124" s="124" t="s">
        <v>786</v>
      </c>
      <c r="O124" s="124" t="s">
        <v>766</v>
      </c>
      <c r="P124" t="s">
        <v>732</v>
      </c>
    </row>
    <row r="125" spans="1:16" ht="12.75">
      <c r="A125" t="s">
        <v>546</v>
      </c>
      <c r="B125" s="124" t="s">
        <v>774</v>
      </c>
      <c r="C125" s="124" t="s">
        <v>775</v>
      </c>
      <c r="D125" s="124" t="s">
        <v>776</v>
      </c>
      <c r="E125" s="124" t="s">
        <v>777</v>
      </c>
      <c r="F125" s="124" t="s">
        <v>778</v>
      </c>
      <c r="G125" s="124" t="s">
        <v>779</v>
      </c>
      <c r="H125" s="124" t="s">
        <v>780</v>
      </c>
      <c r="I125" s="124" t="s">
        <v>781</v>
      </c>
      <c r="J125" s="124" t="s">
        <v>782</v>
      </c>
      <c r="K125" s="124" t="s">
        <v>783</v>
      </c>
      <c r="L125" s="124" t="s">
        <v>784</v>
      </c>
      <c r="M125" s="124" t="s">
        <v>785</v>
      </c>
      <c r="N125" s="124" t="s">
        <v>786</v>
      </c>
      <c r="O125" s="124" t="s">
        <v>766</v>
      </c>
      <c r="P125" t="s">
        <v>732</v>
      </c>
    </row>
    <row r="126" spans="1:16" ht="12.75">
      <c r="A126" t="s">
        <v>608</v>
      </c>
      <c r="B126" s="124" t="s">
        <v>774</v>
      </c>
      <c r="C126" s="124" t="s">
        <v>775</v>
      </c>
      <c r="D126" s="124" t="s">
        <v>776</v>
      </c>
      <c r="E126" s="124" t="s">
        <v>777</v>
      </c>
      <c r="F126" s="124" t="s">
        <v>778</v>
      </c>
      <c r="G126" s="124" t="s">
        <v>779</v>
      </c>
      <c r="H126" s="124" t="s">
        <v>780</v>
      </c>
      <c r="I126" s="124" t="s">
        <v>781</v>
      </c>
      <c r="J126" s="124" t="s">
        <v>782</v>
      </c>
      <c r="K126" s="124" t="s">
        <v>783</v>
      </c>
      <c r="L126" s="124" t="s">
        <v>784</v>
      </c>
      <c r="M126" s="124" t="s">
        <v>785</v>
      </c>
      <c r="N126" s="124" t="s">
        <v>786</v>
      </c>
      <c r="O126" s="124" t="s">
        <v>766</v>
      </c>
      <c r="P126" t="s">
        <v>732</v>
      </c>
    </row>
    <row r="127" spans="1:16" ht="12.75">
      <c r="A127" t="s">
        <v>641</v>
      </c>
      <c r="B127" s="124" t="s">
        <v>774</v>
      </c>
      <c r="C127" s="124" t="s">
        <v>775</v>
      </c>
      <c r="D127" s="124" t="s">
        <v>776</v>
      </c>
      <c r="E127" s="124" t="s">
        <v>777</v>
      </c>
      <c r="F127" s="124" t="s">
        <v>778</v>
      </c>
      <c r="G127" s="124" t="s">
        <v>779</v>
      </c>
      <c r="H127" s="124" t="s">
        <v>780</v>
      </c>
      <c r="I127" s="124" t="s">
        <v>781</v>
      </c>
      <c r="J127" s="124" t="s">
        <v>782</v>
      </c>
      <c r="K127" s="124" t="s">
        <v>783</v>
      </c>
      <c r="L127" s="124" t="s">
        <v>784</v>
      </c>
      <c r="M127" s="124" t="s">
        <v>785</v>
      </c>
      <c r="N127" s="124" t="s">
        <v>786</v>
      </c>
      <c r="O127" s="124" t="s">
        <v>766</v>
      </c>
      <c r="P127" t="s">
        <v>732</v>
      </c>
    </row>
    <row r="128" spans="1:16" ht="12.75">
      <c r="A128" t="s">
        <v>594</v>
      </c>
      <c r="B128" s="124" t="s">
        <v>774</v>
      </c>
      <c r="C128" s="420" t="s">
        <v>775</v>
      </c>
      <c r="D128" s="124" t="s">
        <v>776</v>
      </c>
      <c r="E128" s="124" t="s">
        <v>777</v>
      </c>
      <c r="F128" s="124" t="s">
        <v>778</v>
      </c>
      <c r="G128" s="124" t="s">
        <v>779</v>
      </c>
      <c r="H128" s="124" t="s">
        <v>780</v>
      </c>
      <c r="I128" s="124" t="s">
        <v>781</v>
      </c>
      <c r="J128" s="124" t="s">
        <v>782</v>
      </c>
      <c r="K128" s="124" t="s">
        <v>783</v>
      </c>
      <c r="L128" s="124" t="s">
        <v>784</v>
      </c>
      <c r="M128" s="124" t="s">
        <v>785</v>
      </c>
      <c r="N128" s="124" t="s">
        <v>786</v>
      </c>
      <c r="O128" s="124" t="s">
        <v>766</v>
      </c>
      <c r="P128" t="s">
        <v>732</v>
      </c>
    </row>
    <row r="129" spans="1:16" ht="12.75">
      <c r="A129" t="s">
        <v>602</v>
      </c>
      <c r="B129" s="124" t="s">
        <v>774</v>
      </c>
      <c r="C129" s="124" t="s">
        <v>775</v>
      </c>
      <c r="D129" s="124" t="s">
        <v>776</v>
      </c>
      <c r="E129" s="124" t="s">
        <v>777</v>
      </c>
      <c r="F129" s="124" t="s">
        <v>778</v>
      </c>
      <c r="G129" s="124" t="s">
        <v>779</v>
      </c>
      <c r="H129" s="124" t="s">
        <v>780</v>
      </c>
      <c r="I129" s="124" t="s">
        <v>781</v>
      </c>
      <c r="J129" s="124" t="s">
        <v>782</v>
      </c>
      <c r="K129" s="124" t="s">
        <v>783</v>
      </c>
      <c r="L129" s="124" t="s">
        <v>784</v>
      </c>
      <c r="M129" s="124" t="s">
        <v>785</v>
      </c>
      <c r="N129" s="124" t="s">
        <v>786</v>
      </c>
      <c r="O129" s="124" t="s">
        <v>766</v>
      </c>
      <c r="P129" t="s">
        <v>732</v>
      </c>
    </row>
    <row r="130" spans="1:16" ht="12.75">
      <c r="A130" t="s">
        <v>598</v>
      </c>
      <c r="B130" s="124" t="s">
        <v>774</v>
      </c>
      <c r="C130" s="124" t="s">
        <v>775</v>
      </c>
      <c r="D130" s="124" t="s">
        <v>776</v>
      </c>
      <c r="E130" s="124" t="s">
        <v>777</v>
      </c>
      <c r="F130" s="124" t="s">
        <v>778</v>
      </c>
      <c r="G130" s="124" t="s">
        <v>779</v>
      </c>
      <c r="H130" s="124" t="s">
        <v>780</v>
      </c>
      <c r="I130" s="124" t="s">
        <v>781</v>
      </c>
      <c r="J130" s="124" t="s">
        <v>782</v>
      </c>
      <c r="K130" s="124" t="s">
        <v>783</v>
      </c>
      <c r="L130" s="124" t="s">
        <v>784</v>
      </c>
      <c r="M130" s="124" t="s">
        <v>785</v>
      </c>
      <c r="N130" s="124" t="s">
        <v>786</v>
      </c>
      <c r="O130" s="124" t="s">
        <v>766</v>
      </c>
      <c r="P130" t="s">
        <v>732</v>
      </c>
    </row>
    <row r="131" spans="1:16" ht="12.75">
      <c r="A131" t="s">
        <v>600</v>
      </c>
      <c r="B131" s="124" t="s">
        <v>774</v>
      </c>
      <c r="C131" s="124" t="s">
        <v>775</v>
      </c>
      <c r="D131" s="124" t="s">
        <v>776</v>
      </c>
      <c r="E131" s="124" t="s">
        <v>777</v>
      </c>
      <c r="F131" s="124" t="s">
        <v>778</v>
      </c>
      <c r="G131" s="124" t="s">
        <v>779</v>
      </c>
      <c r="H131" s="124" t="s">
        <v>780</v>
      </c>
      <c r="I131" s="124" t="s">
        <v>781</v>
      </c>
      <c r="J131" s="124" t="s">
        <v>782</v>
      </c>
      <c r="K131" s="124" t="s">
        <v>783</v>
      </c>
      <c r="L131" s="124" t="s">
        <v>784</v>
      </c>
      <c r="M131" s="124" t="s">
        <v>785</v>
      </c>
      <c r="N131" s="124" t="s">
        <v>786</v>
      </c>
      <c r="O131" s="124" t="s">
        <v>766</v>
      </c>
      <c r="P131" t="s">
        <v>732</v>
      </c>
    </row>
    <row r="132" spans="1:16" ht="12.75">
      <c r="A132" t="s">
        <v>587</v>
      </c>
      <c r="B132" s="124" t="s">
        <v>774</v>
      </c>
      <c r="C132" s="124" t="s">
        <v>775</v>
      </c>
      <c r="D132" s="124" t="s">
        <v>776</v>
      </c>
      <c r="E132" s="124" t="s">
        <v>777</v>
      </c>
      <c r="F132" s="124" t="s">
        <v>778</v>
      </c>
      <c r="G132" s="124" t="s">
        <v>779</v>
      </c>
      <c r="H132" s="124" t="s">
        <v>780</v>
      </c>
      <c r="I132" s="124" t="s">
        <v>781</v>
      </c>
      <c r="J132" s="124" t="s">
        <v>782</v>
      </c>
      <c r="K132" s="124" t="s">
        <v>783</v>
      </c>
      <c r="L132" s="124" t="s">
        <v>784</v>
      </c>
      <c r="M132" s="124" t="s">
        <v>785</v>
      </c>
      <c r="N132" s="124" t="s">
        <v>786</v>
      </c>
      <c r="O132" s="124" t="s">
        <v>766</v>
      </c>
      <c r="P132" t="s">
        <v>732</v>
      </c>
    </row>
    <row r="133" spans="1:16" ht="12.75">
      <c r="A133" t="s">
        <v>604</v>
      </c>
      <c r="B133" s="124" t="s">
        <v>774</v>
      </c>
      <c r="C133" s="124" t="s">
        <v>775</v>
      </c>
      <c r="D133" s="124" t="s">
        <v>776</v>
      </c>
      <c r="E133" s="124" t="s">
        <v>777</v>
      </c>
      <c r="F133" s="124" t="s">
        <v>778</v>
      </c>
      <c r="G133" s="124" t="s">
        <v>779</v>
      </c>
      <c r="H133" s="124" t="s">
        <v>780</v>
      </c>
      <c r="I133" s="124" t="s">
        <v>781</v>
      </c>
      <c r="J133" s="124" t="s">
        <v>782</v>
      </c>
      <c r="K133" s="124" t="s">
        <v>783</v>
      </c>
      <c r="L133" s="124" t="s">
        <v>784</v>
      </c>
      <c r="M133" s="124" t="s">
        <v>785</v>
      </c>
      <c r="N133" s="124" t="s">
        <v>786</v>
      </c>
      <c r="O133" s="124" t="s">
        <v>766</v>
      </c>
      <c r="P133" t="s">
        <v>732</v>
      </c>
    </row>
    <row r="134" spans="1:16" ht="12.75">
      <c r="A134" t="s">
        <v>552</v>
      </c>
      <c r="B134" s="124" t="s">
        <v>774</v>
      </c>
      <c r="C134" s="124" t="s">
        <v>775</v>
      </c>
      <c r="D134" s="124" t="s">
        <v>776</v>
      </c>
      <c r="E134" s="124" t="s">
        <v>777</v>
      </c>
      <c r="F134" s="124" t="s">
        <v>778</v>
      </c>
      <c r="G134" s="124" t="s">
        <v>779</v>
      </c>
      <c r="H134" s="124" t="s">
        <v>780</v>
      </c>
      <c r="I134" s="124" t="s">
        <v>781</v>
      </c>
      <c r="J134" s="124" t="s">
        <v>782</v>
      </c>
      <c r="K134" s="124" t="s">
        <v>783</v>
      </c>
      <c r="L134" s="124" t="s">
        <v>784</v>
      </c>
      <c r="M134" s="124" t="s">
        <v>785</v>
      </c>
      <c r="N134" s="124" t="s">
        <v>786</v>
      </c>
      <c r="O134" s="124" t="s">
        <v>766</v>
      </c>
      <c r="P134" t="s">
        <v>732</v>
      </c>
    </row>
    <row r="135" spans="1:16" ht="12.75">
      <c r="A135" t="s">
        <v>636</v>
      </c>
      <c r="B135" s="124" t="s">
        <v>774</v>
      </c>
      <c r="C135" s="124" t="s">
        <v>775</v>
      </c>
      <c r="D135" s="124" t="s">
        <v>776</v>
      </c>
      <c r="E135" s="124" t="s">
        <v>777</v>
      </c>
      <c r="F135" s="124" t="s">
        <v>778</v>
      </c>
      <c r="G135" s="124" t="s">
        <v>779</v>
      </c>
      <c r="H135" s="124" t="s">
        <v>780</v>
      </c>
      <c r="I135" s="124" t="s">
        <v>781</v>
      </c>
      <c r="J135" s="124" t="s">
        <v>782</v>
      </c>
      <c r="K135" s="124" t="s">
        <v>783</v>
      </c>
      <c r="L135" s="124" t="s">
        <v>784</v>
      </c>
      <c r="M135" s="124" t="s">
        <v>785</v>
      </c>
      <c r="N135" s="124" t="s">
        <v>786</v>
      </c>
      <c r="O135" s="124" t="s">
        <v>766</v>
      </c>
      <c r="P135" t="s">
        <v>732</v>
      </c>
    </row>
    <row r="136" spans="1:16" ht="12.75">
      <c r="A136" t="s">
        <v>596</v>
      </c>
      <c r="B136" s="124" t="s">
        <v>774</v>
      </c>
      <c r="C136" s="124" t="s">
        <v>775</v>
      </c>
      <c r="D136" s="124" t="s">
        <v>776</v>
      </c>
      <c r="E136" s="124" t="s">
        <v>777</v>
      </c>
      <c r="F136" s="124" t="s">
        <v>778</v>
      </c>
      <c r="G136" s="124" t="s">
        <v>779</v>
      </c>
      <c r="H136" s="124" t="s">
        <v>780</v>
      </c>
      <c r="I136" s="124" t="s">
        <v>781</v>
      </c>
      <c r="J136" s="124" t="s">
        <v>782</v>
      </c>
      <c r="K136" s="124" t="s">
        <v>783</v>
      </c>
      <c r="L136" s="124" t="s">
        <v>784</v>
      </c>
      <c r="M136" s="124" t="s">
        <v>785</v>
      </c>
      <c r="N136" s="124" t="s">
        <v>786</v>
      </c>
      <c r="O136" s="124" t="s">
        <v>766</v>
      </c>
      <c r="P136" t="s">
        <v>732</v>
      </c>
    </row>
    <row r="137" spans="1:16" ht="12.75">
      <c r="A137" t="s">
        <v>572</v>
      </c>
      <c r="B137" s="124" t="s">
        <v>774</v>
      </c>
      <c r="C137" s="124" t="s">
        <v>775</v>
      </c>
      <c r="D137" s="124" t="s">
        <v>776</v>
      </c>
      <c r="E137" s="124" t="s">
        <v>777</v>
      </c>
      <c r="F137" s="124" t="s">
        <v>778</v>
      </c>
      <c r="G137" s="124" t="s">
        <v>779</v>
      </c>
      <c r="H137" s="124" t="s">
        <v>780</v>
      </c>
      <c r="I137" s="124" t="s">
        <v>781</v>
      </c>
      <c r="J137" s="124" t="s">
        <v>782</v>
      </c>
      <c r="K137" s="124" t="s">
        <v>783</v>
      </c>
      <c r="L137" s="124" t="s">
        <v>784</v>
      </c>
      <c r="M137" s="124" t="s">
        <v>785</v>
      </c>
      <c r="N137" s="124" t="s">
        <v>786</v>
      </c>
      <c r="O137" s="124" t="s">
        <v>766</v>
      </c>
      <c r="P137" t="s">
        <v>732</v>
      </c>
    </row>
    <row r="138" spans="1:16" ht="12.75">
      <c r="A138" t="s">
        <v>593</v>
      </c>
      <c r="B138" s="124" t="s">
        <v>774</v>
      </c>
      <c r="C138" s="124" t="s">
        <v>775</v>
      </c>
      <c r="D138" s="124" t="s">
        <v>776</v>
      </c>
      <c r="E138" s="124" t="s">
        <v>777</v>
      </c>
      <c r="F138" s="124" t="s">
        <v>778</v>
      </c>
      <c r="G138" s="124" t="s">
        <v>779</v>
      </c>
      <c r="H138" s="124" t="s">
        <v>780</v>
      </c>
      <c r="I138" s="124" t="s">
        <v>781</v>
      </c>
      <c r="J138" s="124" t="s">
        <v>782</v>
      </c>
      <c r="K138" s="124" t="s">
        <v>783</v>
      </c>
      <c r="L138" s="124" t="s">
        <v>784</v>
      </c>
      <c r="M138" s="124" t="s">
        <v>785</v>
      </c>
      <c r="N138" s="124" t="s">
        <v>786</v>
      </c>
      <c r="O138" s="124" t="s">
        <v>766</v>
      </c>
      <c r="P138" t="s">
        <v>732</v>
      </c>
    </row>
  </sheetData>
  <sheetProtection/>
  <mergeCells count="24">
    <mergeCell ref="A1:P1"/>
    <mergeCell ref="AB2:AD2"/>
    <mergeCell ref="T2:W2"/>
    <mergeCell ref="X2:Z2"/>
    <mergeCell ref="B116:P116"/>
    <mergeCell ref="A87:P87"/>
    <mergeCell ref="T15:W15"/>
    <mergeCell ref="T16:W16"/>
    <mergeCell ref="T17:W17"/>
    <mergeCell ref="T18:W18"/>
    <mergeCell ref="T19:W19"/>
    <mergeCell ref="T21:W21"/>
    <mergeCell ref="B60:P60"/>
    <mergeCell ref="A59:Q59"/>
    <mergeCell ref="AB15:AD15"/>
    <mergeCell ref="AB28:AD28"/>
    <mergeCell ref="AI2:AM2"/>
    <mergeCell ref="B88:P88"/>
    <mergeCell ref="B4:O4"/>
    <mergeCell ref="X13:Z13"/>
    <mergeCell ref="T13:W13"/>
    <mergeCell ref="T14:W14"/>
    <mergeCell ref="T20:W20"/>
    <mergeCell ref="X25:Z25"/>
  </mergeCells>
  <printOptions/>
  <pageMargins left="0.6" right="0.45" top="1" bottom="1" header="0.5" footer="0.5"/>
  <pageSetup horizontalDpi="600" verticalDpi="600" orientation="landscape" r:id="rId3"/>
  <legacyDrawing r:id="rId2"/>
</worksheet>
</file>

<file path=xl/worksheets/sheet7.xml><?xml version="1.0" encoding="utf-8"?>
<worksheet xmlns="http://schemas.openxmlformats.org/spreadsheetml/2006/main" xmlns:r="http://schemas.openxmlformats.org/officeDocument/2006/relationships">
  <sheetPr codeName="Sheet8"/>
  <dimension ref="A1:AH47"/>
  <sheetViews>
    <sheetView workbookViewId="0" topLeftCell="A1">
      <selection activeCell="O4" sqref="O4"/>
    </sheetView>
  </sheetViews>
  <sheetFormatPr defaultColWidth="9.140625" defaultRowHeight="12.75"/>
  <cols>
    <col min="1" max="1" width="20.421875" style="0" bestFit="1" customWidth="1"/>
    <col min="2" max="4" width="7.140625" style="124" bestFit="1" customWidth="1"/>
    <col min="5" max="5" width="6.57421875" style="124" bestFit="1" customWidth="1"/>
    <col min="6" max="7" width="5.57421875" style="124" bestFit="1" customWidth="1"/>
    <col min="8" max="10" width="6.57421875" style="124" bestFit="1" customWidth="1"/>
    <col min="11" max="11" width="7.140625" style="124" bestFit="1" customWidth="1"/>
    <col min="12" max="12" width="3.57421875" style="124" bestFit="1" customWidth="1"/>
    <col min="14" max="14" width="7.7109375" style="189" customWidth="1"/>
    <col min="15" max="17" width="7.140625" style="124" customWidth="1"/>
    <col min="18" max="18" width="9.7109375" style="0" customWidth="1"/>
    <col min="22" max="22" width="10.28125" style="0" customWidth="1"/>
    <col min="25" max="25" width="10.00390625" style="0" customWidth="1"/>
    <col min="32" max="32" width="4.7109375" style="0" customWidth="1"/>
    <col min="33" max="33" width="10.28125" style="0" bestFit="1" customWidth="1"/>
  </cols>
  <sheetData>
    <row r="1" spans="1:34" ht="18">
      <c r="A1" t="s">
        <v>787</v>
      </c>
      <c r="N1" s="161" t="s">
        <v>788</v>
      </c>
      <c r="O1" s="128"/>
      <c r="P1" s="128"/>
      <c r="Q1" s="129"/>
      <c r="R1" s="162" t="s">
        <v>789</v>
      </c>
      <c r="S1" s="163" t="s">
        <v>790</v>
      </c>
      <c r="V1" s="162" t="s">
        <v>791</v>
      </c>
      <c r="W1" s="163" t="s">
        <v>790</v>
      </c>
      <c r="Z1" s="126"/>
      <c r="AA1" s="126"/>
      <c r="AB1" s="126"/>
      <c r="AC1" s="126"/>
      <c r="AD1" s="126"/>
      <c r="AE1" s="126"/>
      <c r="AG1" t="s">
        <v>792</v>
      </c>
      <c r="AH1">
        <v>9</v>
      </c>
    </row>
    <row r="2" spans="1:34" ht="13.5" thickBot="1">
      <c r="A2" s="164" t="s">
        <v>793</v>
      </c>
      <c r="B2" s="165">
        <v>100</v>
      </c>
      <c r="C2" s="165">
        <v>90</v>
      </c>
      <c r="D2" s="165">
        <v>80</v>
      </c>
      <c r="E2" s="165">
        <v>70</v>
      </c>
      <c r="F2" s="165">
        <v>60</v>
      </c>
      <c r="G2" s="165">
        <v>50</v>
      </c>
      <c r="H2" s="165">
        <v>40</v>
      </c>
      <c r="I2" s="165">
        <v>30</v>
      </c>
      <c r="J2" s="165">
        <v>20</v>
      </c>
      <c r="K2" s="165">
        <v>10</v>
      </c>
      <c r="L2" s="165">
        <v>5</v>
      </c>
      <c r="N2" s="166"/>
      <c r="O2" s="167" t="s">
        <v>578</v>
      </c>
      <c r="P2" s="134" t="s">
        <v>579</v>
      </c>
      <c r="Q2" s="168" t="s">
        <v>580</v>
      </c>
      <c r="S2" s="169" t="s">
        <v>578</v>
      </c>
      <c r="T2" s="170" t="s">
        <v>579</v>
      </c>
      <c r="U2" s="171" t="s">
        <v>580</v>
      </c>
      <c r="W2" s="169" t="s">
        <v>578</v>
      </c>
      <c r="X2" s="170" t="s">
        <v>579</v>
      </c>
      <c r="Y2" s="171" t="s">
        <v>580</v>
      </c>
      <c r="Z2" s="140"/>
      <c r="AA2" s="140"/>
      <c r="AB2" s="140"/>
      <c r="AC2" s="140"/>
      <c r="AD2" s="140"/>
      <c r="AE2" s="140"/>
      <c r="AG2" t="s">
        <v>794</v>
      </c>
      <c r="AH2" t="s">
        <v>795</v>
      </c>
    </row>
    <row r="3" spans="1:31" ht="13.5" thickBot="1">
      <c r="A3" s="172" t="s">
        <v>540</v>
      </c>
      <c r="B3" s="124" t="s">
        <v>796</v>
      </c>
      <c r="C3" s="124" t="s">
        <v>797</v>
      </c>
      <c r="D3" s="124" t="s">
        <v>798</v>
      </c>
      <c r="E3" s="124" t="s">
        <v>799</v>
      </c>
      <c r="F3" s="124" t="s">
        <v>800</v>
      </c>
      <c r="G3" s="124" t="s">
        <v>801</v>
      </c>
      <c r="H3" s="124" t="s">
        <v>802</v>
      </c>
      <c r="I3" s="124" t="s">
        <v>803</v>
      </c>
      <c r="J3" s="124" t="s">
        <v>804</v>
      </c>
      <c r="K3" s="173" t="s">
        <v>805</v>
      </c>
      <c r="L3" s="124" t="s">
        <v>806</v>
      </c>
      <c r="M3" s="100"/>
      <c r="N3" s="174">
        <f>IF(Input!A8="","",Input!A8)</f>
      </c>
      <c r="O3" s="175" t="e">
        <f>'FRAG conversion'!K3</f>
        <v>#DIV/0!</v>
      </c>
      <c r="P3" s="175" t="e">
        <f>'FRAG conversion'!L3</f>
        <v>#DIV/0!</v>
      </c>
      <c r="Q3" s="175" t="e">
        <f>'FRAG conversion'!M3</f>
        <v>#DIV/0!</v>
      </c>
      <c r="R3" s="176">
        <f>IF(Input!E8="","",Input!E8)</f>
      </c>
      <c r="S3" s="177" t="e">
        <f>IF(OR(O3="",Input!$E8=""),"",VLOOKUP($R3,pp40,O14,FALSE))</f>
        <v>#DIV/0!</v>
      </c>
      <c r="T3" s="140" t="e">
        <f>IF(OR(P3="",Input!$E8=""),"",VLOOKUP($R3,pp40,P14,FALSE))</f>
        <v>#DIV/0!</v>
      </c>
      <c r="U3" s="178" t="e">
        <f>IF(OR(Q3="",Input!$E8=""),"",VLOOKUP($R3,pp40,Q14,FALSE))</f>
        <v>#DIV/0!</v>
      </c>
      <c r="W3" s="177" t="e">
        <f>IF(OR(O3="",Input!$E8=""),"",VLOOKUP($R3,pp200,O14,FALSE))</f>
        <v>#DIV/0!</v>
      </c>
      <c r="X3" s="140" t="e">
        <f>IF(OR(P3="",Input!$E8=""),"",VLOOKUP($R3,pp200,P14,FALSE))</f>
        <v>#DIV/0!</v>
      </c>
      <c r="Y3" s="178" t="e">
        <f>IF(OR(Q3="",Input!$E8=""),"",VLOOKUP($R3,pp200,Q14,FALSE))</f>
        <v>#DIV/0!</v>
      </c>
      <c r="Z3" s="140"/>
      <c r="AA3" s="140"/>
      <c r="AB3" s="140"/>
      <c r="AC3" s="140"/>
      <c r="AD3" s="140"/>
      <c r="AE3" s="140"/>
    </row>
    <row r="4" spans="1:31" ht="13.5" thickBot="1">
      <c r="A4" s="179" t="s">
        <v>546</v>
      </c>
      <c r="B4" s="124" t="s">
        <v>796</v>
      </c>
      <c r="C4" s="124" t="s">
        <v>797</v>
      </c>
      <c r="D4" s="124" t="s">
        <v>798</v>
      </c>
      <c r="E4" s="124" t="s">
        <v>799</v>
      </c>
      <c r="F4" s="124" t="s">
        <v>800</v>
      </c>
      <c r="G4" s="124" t="s">
        <v>801</v>
      </c>
      <c r="H4" s="124" t="s">
        <v>802</v>
      </c>
      <c r="I4" s="124" t="s">
        <v>803</v>
      </c>
      <c r="J4" s="124" t="s">
        <v>804</v>
      </c>
      <c r="K4" s="173" t="s">
        <v>805</v>
      </c>
      <c r="L4" s="124" t="s">
        <v>806</v>
      </c>
      <c r="M4" s="180"/>
      <c r="N4" s="181">
        <f>IF(Input!A9="","",Input!A9)</f>
      </c>
      <c r="O4" s="175" t="e">
        <f>'FRAG conversion'!K4</f>
        <v>#DIV/0!</v>
      </c>
      <c r="P4" s="175" t="e">
        <f>'FRAG conversion'!L4</f>
        <v>#DIV/0!</v>
      </c>
      <c r="Q4" s="175" t="e">
        <f>'FRAG conversion'!M4</f>
        <v>#DIV/0!</v>
      </c>
      <c r="R4" s="182">
        <f>IF(Input!E9="","",Input!E9)</f>
      </c>
      <c r="S4" s="177" t="e">
        <f>IF(OR(O4="",Input!$E9=""),"",VLOOKUP($R4,pp40,O15,FALSE))</f>
        <v>#DIV/0!</v>
      </c>
      <c r="T4" s="140" t="e">
        <f>IF(OR(P4="",Input!$E9=""),"",VLOOKUP($R4,pp40,P15,FALSE))</f>
        <v>#DIV/0!</v>
      </c>
      <c r="U4" s="178" t="e">
        <f>IF(OR(Q4="",Input!$E9=""),"",VLOOKUP($R4,pp40,Q15,FALSE))</f>
        <v>#DIV/0!</v>
      </c>
      <c r="W4" s="177" t="e">
        <f>IF(OR(O4="",Input!$E9=""),"",VLOOKUP($R4,pp200,O15,FALSE))</f>
        <v>#DIV/0!</v>
      </c>
      <c r="X4" s="140" t="e">
        <f>IF(OR(P4="",Input!$E9=""),"",VLOOKUP($R4,pp200,P15,FALSE))</f>
        <v>#DIV/0!</v>
      </c>
      <c r="Y4" s="178" t="e">
        <f>IF(OR(Q4="",Input!$E9=""),"",VLOOKUP($R4,pp200,Q15,FALSE))</f>
        <v>#DIV/0!</v>
      </c>
      <c r="Z4" s="140"/>
      <c r="AA4" s="140"/>
      <c r="AB4" s="140"/>
      <c r="AC4" s="140"/>
      <c r="AD4" s="140"/>
      <c r="AE4" s="140"/>
    </row>
    <row r="5" spans="1:31" ht="13.5" thickBot="1">
      <c r="A5" s="183" t="s">
        <v>552</v>
      </c>
      <c r="B5" s="124" t="s">
        <v>837</v>
      </c>
      <c r="C5" s="124" t="s">
        <v>838</v>
      </c>
      <c r="D5" s="124" t="s">
        <v>839</v>
      </c>
      <c r="E5" s="124" t="s">
        <v>829</v>
      </c>
      <c r="F5" s="124" t="s">
        <v>830</v>
      </c>
      <c r="G5" s="124" t="s">
        <v>830</v>
      </c>
      <c r="H5" s="124" t="s">
        <v>831</v>
      </c>
      <c r="I5" s="124" t="s">
        <v>804</v>
      </c>
      <c r="J5" s="188" t="s">
        <v>815</v>
      </c>
      <c r="K5" s="173" t="s">
        <v>805</v>
      </c>
      <c r="L5" s="124" t="s">
        <v>806</v>
      </c>
      <c r="M5" s="180"/>
      <c r="N5" s="181">
        <f>IF(Input!A10="","",Input!A10)</f>
      </c>
      <c r="O5" s="175" t="e">
        <f>'FRAG conversion'!K5</f>
        <v>#DIV/0!</v>
      </c>
      <c r="P5" s="175" t="e">
        <f>'FRAG conversion'!L5</f>
        <v>#DIV/0!</v>
      </c>
      <c r="Q5" s="175" t="e">
        <f>'FRAG conversion'!M5</f>
        <v>#DIV/0!</v>
      </c>
      <c r="R5" s="182">
        <f>IF(Input!E10="","",Input!E10)</f>
      </c>
      <c r="S5" s="177" t="e">
        <f>IF(OR(O5="",Input!$E10=""),"",VLOOKUP($R5,pp40,O16,FALSE))</f>
        <v>#DIV/0!</v>
      </c>
      <c r="T5" s="140" t="e">
        <f>IF(OR(P5="",Input!$E10=""),"",VLOOKUP($R5,pp40,P16,FALSE))</f>
        <v>#DIV/0!</v>
      </c>
      <c r="U5" s="178" t="e">
        <f>IF(OR(Q5="",Input!$E10=""),"",VLOOKUP($R5,pp40,Q16,FALSE))</f>
        <v>#DIV/0!</v>
      </c>
      <c r="W5" s="177" t="e">
        <f>IF(OR(O5="",Input!$E10=""),"",VLOOKUP($R5,pp200,O16,FALSE))</f>
        <v>#DIV/0!</v>
      </c>
      <c r="X5" s="140" t="e">
        <f>IF(OR(P5="",Input!$E10=""),"",VLOOKUP($R5,pp200,P16,FALSE))</f>
        <v>#DIV/0!</v>
      </c>
      <c r="Y5" s="178" t="e">
        <f>IF(OR(Q5="",Input!$E10=""),"",VLOOKUP($R5,pp200,Q16,FALSE))</f>
        <v>#DIV/0!</v>
      </c>
      <c r="Z5" s="140"/>
      <c r="AA5" s="140"/>
      <c r="AB5" s="140"/>
      <c r="AC5" s="140"/>
      <c r="AD5" s="140"/>
      <c r="AE5" s="140"/>
    </row>
    <row r="6" spans="1:31" ht="13.5" thickBot="1">
      <c r="A6" s="183" t="s">
        <v>572</v>
      </c>
      <c r="B6" s="124" t="s">
        <v>845</v>
      </c>
      <c r="C6" s="124" t="s">
        <v>818</v>
      </c>
      <c r="D6" s="124" t="s">
        <v>811</v>
      </c>
      <c r="E6" s="124" t="s">
        <v>820</v>
      </c>
      <c r="F6" s="124" t="s">
        <v>802</v>
      </c>
      <c r="G6" s="124" t="s">
        <v>841</v>
      </c>
      <c r="H6" s="124" t="s">
        <v>803</v>
      </c>
      <c r="I6" s="124" t="s">
        <v>804</v>
      </c>
      <c r="J6" s="173" t="s">
        <v>815</v>
      </c>
      <c r="K6" s="173" t="s">
        <v>805</v>
      </c>
      <c r="L6" s="124" t="s">
        <v>806</v>
      </c>
      <c r="M6" s="100"/>
      <c r="N6" s="181">
        <f>IF(Input!A11="","",Input!A11)</f>
      </c>
      <c r="O6" s="175" t="e">
        <f>'FRAG conversion'!K6</f>
        <v>#DIV/0!</v>
      </c>
      <c r="P6" s="175" t="e">
        <f>'FRAG conversion'!L6</f>
        <v>#DIV/0!</v>
      </c>
      <c r="Q6" s="175" t="e">
        <f>'FRAG conversion'!M6</f>
        <v>#DIV/0!</v>
      </c>
      <c r="R6" s="182">
        <f>IF(Input!E11="","",Input!E11)</f>
      </c>
      <c r="S6" s="177" t="e">
        <f>IF(OR(O6="",Input!$E11=""),"",VLOOKUP($R6,pp40,O17,FALSE))</f>
        <v>#DIV/0!</v>
      </c>
      <c r="T6" s="140" t="e">
        <f>IF(OR(P6="",Input!$E11=""),"",VLOOKUP($R6,pp40,P17,FALSE))</f>
        <v>#DIV/0!</v>
      </c>
      <c r="U6" s="178" t="e">
        <f>IF(OR(Q6="",Input!$E11=""),"",VLOOKUP($R6,pp40,Q17,FALSE))</f>
        <v>#DIV/0!</v>
      </c>
      <c r="W6" s="177" t="e">
        <f>IF(OR(O6="",Input!$E11=""),"",VLOOKUP($R6,pp200,O17,FALSE))</f>
        <v>#DIV/0!</v>
      </c>
      <c r="X6" s="140" t="e">
        <f>IF(OR(P6="",Input!$E11=""),"",VLOOKUP($R6,pp200,P17,FALSE))</f>
        <v>#DIV/0!</v>
      </c>
      <c r="Y6" s="178" t="e">
        <f>IF(OR(Q6="",Input!$E11=""),"",VLOOKUP($R6,pp200,Q17,FALSE))</f>
        <v>#DIV/0!</v>
      </c>
      <c r="Z6" s="140"/>
      <c r="AA6" s="140"/>
      <c r="AB6" s="140"/>
      <c r="AC6" s="140"/>
      <c r="AD6" s="140"/>
      <c r="AE6" s="140"/>
    </row>
    <row r="7" spans="1:31" ht="13.5" thickBot="1">
      <c r="A7" s="179" t="s">
        <v>587</v>
      </c>
      <c r="B7" s="124" t="s">
        <v>808</v>
      </c>
      <c r="C7" s="124" t="s">
        <v>809</v>
      </c>
      <c r="D7" s="124" t="s">
        <v>810</v>
      </c>
      <c r="E7" s="124" t="s">
        <v>811</v>
      </c>
      <c r="F7" s="124" t="s">
        <v>812</v>
      </c>
      <c r="G7" s="124" t="s">
        <v>813</v>
      </c>
      <c r="H7" s="124" t="s">
        <v>803</v>
      </c>
      <c r="I7" s="124" t="s">
        <v>814</v>
      </c>
      <c r="J7" s="173" t="s">
        <v>815</v>
      </c>
      <c r="K7" s="173" t="s">
        <v>805</v>
      </c>
      <c r="L7" s="124" t="s">
        <v>806</v>
      </c>
      <c r="M7" s="100"/>
      <c r="N7" s="181">
        <f>IF(Input!A12="","",Input!A12)</f>
      </c>
      <c r="O7" s="175" t="e">
        <f>'FRAG conversion'!K7</f>
        <v>#DIV/0!</v>
      </c>
      <c r="P7" s="175" t="e">
        <f>'FRAG conversion'!L7</f>
        <v>#DIV/0!</v>
      </c>
      <c r="Q7" s="175" t="e">
        <f>'FRAG conversion'!M7</f>
        <v>#DIV/0!</v>
      </c>
      <c r="R7" s="182">
        <f>IF(Input!E12="","",Input!E12)</f>
      </c>
      <c r="S7" s="177" t="e">
        <f>IF(OR(O7="",Input!$E12=""),"",VLOOKUP($R7,pp40,O18,FALSE))</f>
        <v>#DIV/0!</v>
      </c>
      <c r="T7" s="140" t="e">
        <f>IF(OR(P7="",Input!$E12=""),"",VLOOKUP($R7,pp40,P18,FALSE))</f>
        <v>#DIV/0!</v>
      </c>
      <c r="U7" s="178" t="e">
        <f>IF(OR(Q7="",Input!$E12=""),"",VLOOKUP($R7,pp40,Q18,FALSE))</f>
        <v>#DIV/0!</v>
      </c>
      <c r="W7" s="177" t="e">
        <f>IF(OR(O7="",Input!$E12=""),"",VLOOKUP($R7,pp200,O18,FALSE))</f>
        <v>#DIV/0!</v>
      </c>
      <c r="X7" s="140" t="e">
        <f>IF(OR(P7="",Input!$E12=""),"",VLOOKUP($R7,pp200,P18,FALSE))</f>
        <v>#DIV/0!</v>
      </c>
      <c r="Y7" s="178" t="e">
        <f>IF(OR(Q7="",Input!$E12=""),"",VLOOKUP($R7,pp200,Q18,FALSE))</f>
        <v>#DIV/0!</v>
      </c>
      <c r="Z7" s="140"/>
      <c r="AA7" s="140"/>
      <c r="AB7" s="140"/>
      <c r="AC7" s="140"/>
      <c r="AD7" s="140"/>
      <c r="AE7" s="140"/>
    </row>
    <row r="8" spans="1:31" ht="13.5" thickBot="1">
      <c r="A8" s="179" t="s">
        <v>591</v>
      </c>
      <c r="B8" s="124" t="s">
        <v>816</v>
      </c>
      <c r="C8" s="124" t="s">
        <v>817</v>
      </c>
      <c r="D8" s="124" t="s">
        <v>818</v>
      </c>
      <c r="E8" s="124" t="s">
        <v>819</v>
      </c>
      <c r="F8" s="124" t="s">
        <v>820</v>
      </c>
      <c r="G8" s="124" t="s">
        <v>812</v>
      </c>
      <c r="H8" s="124" t="s">
        <v>821</v>
      </c>
      <c r="I8" s="124" t="s">
        <v>814</v>
      </c>
      <c r="J8" s="124" t="s">
        <v>804</v>
      </c>
      <c r="K8" s="173" t="s">
        <v>805</v>
      </c>
      <c r="L8" s="124" t="s">
        <v>806</v>
      </c>
      <c r="M8" s="100"/>
      <c r="N8" s="181">
        <f>IF(Input!A13="","",Input!A13)</f>
      </c>
      <c r="O8" s="175" t="e">
        <f>'FRAG conversion'!K8</f>
        <v>#DIV/0!</v>
      </c>
      <c r="P8" s="175" t="e">
        <f>'FRAG conversion'!L8</f>
        <v>#DIV/0!</v>
      </c>
      <c r="Q8" s="175" t="e">
        <f>'FRAG conversion'!M8</f>
        <v>#DIV/0!</v>
      </c>
      <c r="R8" s="182">
        <f>IF(Input!E13="","",Input!E13)</f>
      </c>
      <c r="S8" s="177" t="e">
        <f>IF(OR(O8="",Input!$E13=""),"",VLOOKUP($R8,pp40,O19,FALSE))</f>
        <v>#DIV/0!</v>
      </c>
      <c r="T8" s="140" t="e">
        <f>IF(OR(P8="",Input!$E13=""),"",VLOOKUP($R8,pp40,P19,FALSE))</f>
        <v>#DIV/0!</v>
      </c>
      <c r="U8" s="178" t="e">
        <f>IF(OR(Q8="",Input!$E13=""),"",VLOOKUP($R8,pp40,Q19,FALSE))</f>
        <v>#DIV/0!</v>
      </c>
      <c r="W8" s="177" t="e">
        <f>IF(OR(O8="",Input!$E13=""),"",VLOOKUP($R8,pp200,O19,FALSE))</f>
        <v>#DIV/0!</v>
      </c>
      <c r="X8" s="140" t="e">
        <f>IF(OR(P8="",Input!$E13=""),"",VLOOKUP($R8,pp200,P19,FALSE))</f>
        <v>#DIV/0!</v>
      </c>
      <c r="Y8" s="178" t="e">
        <f>IF(OR(Q8="",Input!$E13=""),"",VLOOKUP($R8,pp200,Q19,FALSE))</f>
        <v>#DIV/0!</v>
      </c>
      <c r="Z8" s="140"/>
      <c r="AA8" s="140"/>
      <c r="AB8" s="140"/>
      <c r="AC8" s="140"/>
      <c r="AD8" s="140"/>
      <c r="AE8" s="140"/>
    </row>
    <row r="9" spans="1:31" ht="13.5" thickBot="1">
      <c r="A9" s="179" t="s">
        <v>578</v>
      </c>
      <c r="B9" s="124" t="s">
        <v>822</v>
      </c>
      <c r="C9" s="124" t="s">
        <v>823</v>
      </c>
      <c r="D9" s="124" t="s">
        <v>817</v>
      </c>
      <c r="E9" s="124" t="s">
        <v>824</v>
      </c>
      <c r="F9" s="124" t="s">
        <v>825</v>
      </c>
      <c r="G9" s="124" t="s">
        <v>820</v>
      </c>
      <c r="H9" s="124" t="s">
        <v>802</v>
      </c>
      <c r="I9" s="124" t="s">
        <v>803</v>
      </c>
      <c r="J9" s="124" t="s">
        <v>804</v>
      </c>
      <c r="K9" s="173" t="s">
        <v>805</v>
      </c>
      <c r="L9" s="124" t="s">
        <v>806</v>
      </c>
      <c r="M9" s="100"/>
      <c r="N9" s="181">
        <f>IF(Input!A14="","",Input!A14)</f>
      </c>
      <c r="O9" s="175" t="e">
        <f>'FRAG conversion'!K9</f>
        <v>#DIV/0!</v>
      </c>
      <c r="P9" s="175" t="e">
        <f>'FRAG conversion'!L9</f>
        <v>#DIV/0!</v>
      </c>
      <c r="Q9" s="175" t="e">
        <f>'FRAG conversion'!M9</f>
        <v>#DIV/0!</v>
      </c>
      <c r="R9" s="182">
        <f>IF(Input!E14="","",Input!E14)</f>
      </c>
      <c r="S9" s="177" t="e">
        <f>IF(OR(O9="",Input!$E14=""),"",VLOOKUP($R9,pp40,O20,FALSE))</f>
        <v>#DIV/0!</v>
      </c>
      <c r="T9" s="140" t="e">
        <f>IF(OR(P9="",Input!$E14=""),"",VLOOKUP($R9,pp40,P20,FALSE))</f>
        <v>#DIV/0!</v>
      </c>
      <c r="U9" s="178" t="e">
        <f>IF(OR(Q9="",Input!$E14=""),"",VLOOKUP($R9,pp40,Q20,FALSE))</f>
        <v>#DIV/0!</v>
      </c>
      <c r="W9" s="177" t="e">
        <f>IF(OR(O9="",Input!$E14=""),"",VLOOKUP($R9,pp200,O20,FALSE))</f>
        <v>#DIV/0!</v>
      </c>
      <c r="X9" s="140" t="e">
        <f>IF(OR(P9="",Input!$E14=""),"",VLOOKUP($R9,pp200,P20,FALSE))</f>
        <v>#DIV/0!</v>
      </c>
      <c r="Y9" s="178" t="e">
        <f>IF(OR(Q9="",Input!$E14=""),"",VLOOKUP($R9,pp200,Q20,FALSE))</f>
        <v>#DIV/0!</v>
      </c>
      <c r="Z9" s="140"/>
      <c r="AA9" s="140"/>
      <c r="AB9" s="140"/>
      <c r="AC9" s="140"/>
      <c r="AD9" s="140"/>
      <c r="AE9" s="140"/>
    </row>
    <row r="10" spans="1:31" ht="13.5" thickBot="1">
      <c r="A10" s="183" t="s">
        <v>596</v>
      </c>
      <c r="B10" s="124" t="s">
        <v>826</v>
      </c>
      <c r="C10" s="124" t="s">
        <v>827</v>
      </c>
      <c r="D10" s="124" t="s">
        <v>828</v>
      </c>
      <c r="E10" s="124" t="s">
        <v>829</v>
      </c>
      <c r="F10" s="124" t="s">
        <v>830</v>
      </c>
      <c r="G10" s="124" t="s">
        <v>803</v>
      </c>
      <c r="H10" s="124" t="s">
        <v>831</v>
      </c>
      <c r="I10" s="124" t="s">
        <v>804</v>
      </c>
      <c r="J10" s="188" t="s">
        <v>815</v>
      </c>
      <c r="K10" s="173" t="s">
        <v>805</v>
      </c>
      <c r="L10" s="124" t="s">
        <v>806</v>
      </c>
      <c r="M10" s="100"/>
      <c r="N10" s="181">
        <f>IF(Input!A15="","",Input!A15)</f>
      </c>
      <c r="O10" s="175" t="e">
        <f>'FRAG conversion'!K10</f>
        <v>#DIV/0!</v>
      </c>
      <c r="P10" s="175" t="e">
        <f>'FRAG conversion'!L10</f>
        <v>#DIV/0!</v>
      </c>
      <c r="Q10" s="175" t="e">
        <f>'FRAG conversion'!M10</f>
        <v>#DIV/0!</v>
      </c>
      <c r="R10" s="182">
        <f>IF(Input!E15="","",Input!E15)</f>
      </c>
      <c r="S10" s="177" t="e">
        <f>IF(OR(O10="",Input!$E15=""),"",VLOOKUP($R10,pp40,O21,FALSE))</f>
        <v>#DIV/0!</v>
      </c>
      <c r="T10" s="140" t="e">
        <f>IF(OR(P10="",Input!$E15=""),"",VLOOKUP($R10,pp40,P21,FALSE))</f>
        <v>#DIV/0!</v>
      </c>
      <c r="U10" s="178" t="e">
        <f>IF(OR(Q10="",Input!$E15=""),"",VLOOKUP($R10,pp40,Q21,FALSE))</f>
        <v>#DIV/0!</v>
      </c>
      <c r="W10" s="177" t="e">
        <f>IF(OR(O10="",Input!$E15=""),"",VLOOKUP($R10,pp200,O21,FALSE))</f>
        <v>#DIV/0!</v>
      </c>
      <c r="X10" s="140" t="e">
        <f>IF(OR(P10="",Input!$E15=""),"",VLOOKUP($R10,pp200,P21,FALSE))</f>
        <v>#DIV/0!</v>
      </c>
      <c r="Y10" s="178" t="e">
        <f>IF(OR(Q10="",Input!$E15=""),"",VLOOKUP($R10,pp200,Q21,FALSE))</f>
        <v>#DIV/0!</v>
      </c>
      <c r="Z10" s="140"/>
      <c r="AA10" s="140"/>
      <c r="AB10" s="140"/>
      <c r="AC10" s="140"/>
      <c r="AD10" s="140"/>
      <c r="AE10" s="140"/>
    </row>
    <row r="11" spans="1:31" ht="13.5" thickBot="1">
      <c r="A11" s="183" t="s">
        <v>598</v>
      </c>
      <c r="B11" s="124" t="s">
        <v>846</v>
      </c>
      <c r="C11" s="124" t="s">
        <v>808</v>
      </c>
      <c r="D11" s="124" t="s">
        <v>845</v>
      </c>
      <c r="E11" s="124" t="s">
        <v>851</v>
      </c>
      <c r="F11" s="124" t="s">
        <v>820</v>
      </c>
      <c r="G11" s="124" t="s">
        <v>812</v>
      </c>
      <c r="H11" s="124" t="s">
        <v>821</v>
      </c>
      <c r="I11" s="124" t="s">
        <v>814</v>
      </c>
      <c r="J11" s="124" t="s">
        <v>804</v>
      </c>
      <c r="K11" s="173" t="s">
        <v>805</v>
      </c>
      <c r="L11" s="188" t="s">
        <v>806</v>
      </c>
      <c r="M11" s="100"/>
      <c r="N11" s="184">
        <f>IF(Input!A16="","",Input!A16)</f>
      </c>
      <c r="O11" s="175" t="e">
        <f>'FRAG conversion'!K11</f>
        <v>#DIV/0!</v>
      </c>
      <c r="P11" s="175" t="e">
        <f>'FRAG conversion'!L11</f>
        <v>#DIV/0!</v>
      </c>
      <c r="Q11" s="175" t="e">
        <f>'FRAG conversion'!M11</f>
        <v>#DIV/0!</v>
      </c>
      <c r="R11" s="185">
        <f>IF(Input!E16="","",Input!E16)</f>
      </c>
      <c r="S11" s="186" t="e">
        <f>IF(OR(O11="",Input!$E16=""),"",VLOOKUP($R11,pp40,O22,FALSE))</f>
        <v>#DIV/0!</v>
      </c>
      <c r="T11" s="139" t="e">
        <f>IF(OR(P11="",Input!$E16=""),"",VLOOKUP($R11,pp40,P22,FALSE))</f>
        <v>#DIV/0!</v>
      </c>
      <c r="U11" s="187" t="e">
        <f>IF(OR(Q11="",Input!$E16=""),"",VLOOKUP($R11,pp40,Q22,FALSE))</f>
        <v>#DIV/0!</v>
      </c>
      <c r="W11" s="186" t="e">
        <f>IF(OR(O11="",Input!$E16=""),"",VLOOKUP($R11,pp200,O22,FALSE))</f>
        <v>#DIV/0!</v>
      </c>
      <c r="X11" s="139" t="e">
        <f>IF(OR(P11="",Input!$E16=""),"",VLOOKUP($R11,pp200,P22,FALSE))</f>
        <v>#DIV/0!</v>
      </c>
      <c r="Y11" s="187" t="e">
        <f>IF(OR(Q11="",Input!$E16=""),"",VLOOKUP($R11,pp200,Q22,FALSE))</f>
        <v>#DIV/0!</v>
      </c>
      <c r="Z11" s="140"/>
      <c r="AA11" s="140"/>
      <c r="AB11" s="140"/>
      <c r="AC11" s="140"/>
      <c r="AD11" s="140"/>
      <c r="AE11" s="140"/>
    </row>
    <row r="12" spans="1:17" ht="12.75">
      <c r="A12" s="179" t="s">
        <v>600</v>
      </c>
      <c r="B12" s="124" t="s">
        <v>826</v>
      </c>
      <c r="C12" s="124" t="s">
        <v>827</v>
      </c>
      <c r="D12" s="124" t="s">
        <v>828</v>
      </c>
      <c r="E12" s="124" t="s">
        <v>829</v>
      </c>
      <c r="F12" s="124" t="s">
        <v>830</v>
      </c>
      <c r="G12" s="124" t="s">
        <v>803</v>
      </c>
      <c r="H12" s="124" t="s">
        <v>831</v>
      </c>
      <c r="I12" s="124" t="s">
        <v>804</v>
      </c>
      <c r="J12" s="188" t="s">
        <v>815</v>
      </c>
      <c r="K12" s="173" t="s">
        <v>805</v>
      </c>
      <c r="L12" s="124" t="s">
        <v>806</v>
      </c>
      <c r="M12" s="100"/>
      <c r="O12" s="1052" t="s">
        <v>736</v>
      </c>
      <c r="P12" s="1053"/>
      <c r="Q12" s="1054"/>
    </row>
    <row r="13" spans="1:31" ht="25.5" customHeight="1" thickBot="1">
      <c r="A13" s="179" t="s">
        <v>602</v>
      </c>
      <c r="B13" s="124" t="s">
        <v>832</v>
      </c>
      <c r="C13" s="124" t="s">
        <v>833</v>
      </c>
      <c r="D13" s="124" t="s">
        <v>834</v>
      </c>
      <c r="E13" s="124" t="s">
        <v>824</v>
      </c>
      <c r="F13" s="124" t="s">
        <v>825</v>
      </c>
      <c r="G13" s="124" t="s">
        <v>801</v>
      </c>
      <c r="H13" s="124" t="s">
        <v>802</v>
      </c>
      <c r="I13" s="124" t="s">
        <v>803</v>
      </c>
      <c r="J13" s="124" t="s">
        <v>804</v>
      </c>
      <c r="K13" s="173" t="s">
        <v>805</v>
      </c>
      <c r="L13" s="124" t="s">
        <v>806</v>
      </c>
      <c r="M13" s="190" t="s">
        <v>835</v>
      </c>
      <c r="N13" s="191" t="s">
        <v>836</v>
      </c>
      <c r="O13" s="140" t="s">
        <v>578</v>
      </c>
      <c r="P13" s="140" t="s">
        <v>579</v>
      </c>
      <c r="Q13" s="142" t="s">
        <v>580</v>
      </c>
      <c r="S13" s="192" t="s">
        <v>557</v>
      </c>
      <c r="T13" s="193"/>
      <c r="U13" s="194"/>
      <c r="W13" s="192" t="s">
        <v>557</v>
      </c>
      <c r="X13" s="193"/>
      <c r="Y13" s="194"/>
      <c r="Z13" s="126"/>
      <c r="AA13" s="126"/>
      <c r="AB13" s="126"/>
      <c r="AC13" s="126"/>
      <c r="AD13" s="126"/>
      <c r="AE13" s="126"/>
    </row>
    <row r="14" spans="1:31" ht="12.75">
      <c r="A14" s="179" t="s">
        <v>604</v>
      </c>
      <c r="B14" s="124" t="s">
        <v>837</v>
      </c>
      <c r="C14" s="124" t="s">
        <v>838</v>
      </c>
      <c r="D14" s="124" t="s">
        <v>839</v>
      </c>
      <c r="E14" s="124" t="s">
        <v>829</v>
      </c>
      <c r="F14" s="124" t="s">
        <v>830</v>
      </c>
      <c r="G14" s="124" t="s">
        <v>830</v>
      </c>
      <c r="H14" s="124" t="s">
        <v>831</v>
      </c>
      <c r="I14" s="124" t="s">
        <v>804</v>
      </c>
      <c r="J14" s="188" t="s">
        <v>815</v>
      </c>
      <c r="K14" s="173" t="s">
        <v>805</v>
      </c>
      <c r="L14" s="124" t="s">
        <v>806</v>
      </c>
      <c r="M14" s="195">
        <v>100</v>
      </c>
      <c r="N14" s="196">
        <v>2</v>
      </c>
      <c r="O14" s="128" t="e">
        <f>IF(O3="","",IF(O3&lt;7.5,12,VLOOKUP(MROUND(O3,10),$M$14:$N$24,2,FALSE)))</f>
        <v>#DIV/0!</v>
      </c>
      <c r="P14" s="128" t="e">
        <f>IF(P3="","",IF(P3&lt;7.5,12,VLOOKUP(MROUND(P3,10),$M$14:$N$24,2,FALSE)))</f>
        <v>#DIV/0!</v>
      </c>
      <c r="Q14" s="129" t="e">
        <f>IF(Q3="","",IF(Q3&lt;7.5,12,VLOOKUP(MROUND(Q3,10),$M$14:$N$24,2,FALSE)))</f>
        <v>#DIV/0!</v>
      </c>
      <c r="S14" s="197" t="s">
        <v>578</v>
      </c>
      <c r="T14" s="198" t="s">
        <v>579</v>
      </c>
      <c r="U14" s="199" t="s">
        <v>580</v>
      </c>
      <c r="W14" s="197" t="s">
        <v>578</v>
      </c>
      <c r="X14" s="198" t="s">
        <v>579</v>
      </c>
      <c r="Y14" s="199" t="s">
        <v>580</v>
      </c>
      <c r="Z14" s="140"/>
      <c r="AA14" s="140"/>
      <c r="AB14" s="140"/>
      <c r="AC14" s="140"/>
      <c r="AD14" s="140"/>
      <c r="AE14" s="140"/>
    </row>
    <row r="15" spans="1:31" ht="12.75">
      <c r="A15" s="179" t="s">
        <v>606</v>
      </c>
      <c r="B15" s="124" t="s">
        <v>822</v>
      </c>
      <c r="C15" s="124" t="s">
        <v>823</v>
      </c>
      <c r="D15" s="124" t="s">
        <v>817</v>
      </c>
      <c r="E15" s="124" t="s">
        <v>824</v>
      </c>
      <c r="F15" s="124" t="s">
        <v>825</v>
      </c>
      <c r="G15" s="124" t="s">
        <v>820</v>
      </c>
      <c r="H15" s="124" t="s">
        <v>802</v>
      </c>
      <c r="I15" s="124" t="s">
        <v>803</v>
      </c>
      <c r="J15" s="124" t="s">
        <v>804</v>
      </c>
      <c r="K15" s="173" t="s">
        <v>805</v>
      </c>
      <c r="L15" s="124" t="s">
        <v>806</v>
      </c>
      <c r="M15" s="195">
        <v>90</v>
      </c>
      <c r="N15" s="196">
        <v>3</v>
      </c>
      <c r="O15" s="140" t="e">
        <f>IF(O4="","",IF(O4&lt;7.5,12,VLOOKUP(MROUND(O4,10),$M$14:$N$24,2,FALSE)))</f>
        <v>#DIV/0!</v>
      </c>
      <c r="P15" s="140" t="e">
        <f>IF(P4="","",IF(P4&lt;7.5,12,VLOOKUP(MROUND(P4,10),$M$14:$N$24,2,FALSE)))</f>
        <v>#DIV/0!</v>
      </c>
      <c r="Q15" s="142" t="e">
        <f>IF(Q4="","",IF(Q4&lt;7.5,12,VLOOKUP(MROUND(Q4,10),$M$14:$N$24,2,FALSE)))</f>
        <v>#DIV/0!</v>
      </c>
      <c r="R15" s="200">
        <f>IF(Input!J8="","",Input!J8)</f>
      </c>
      <c r="S15" s="177" t="e">
        <f>IF(OR(O3="",Input!$J8=""),"",VLOOKUP($R15,pp40,'Percent Passing'!O14,FALSE))</f>
        <v>#DIV/0!</v>
      </c>
      <c r="T15" s="140" t="e">
        <f>IF(OR(P3="",Input!$J8=""),"",VLOOKUP($R15,pp40,'Percent Passing'!P14,FALSE))</f>
        <v>#DIV/0!</v>
      </c>
      <c r="U15" s="178" t="e">
        <f>IF(OR(Q3="",Input!$J8=""),"",VLOOKUP($R15,pp40,'Percent Passing'!Q14,FALSE))</f>
        <v>#DIV/0!</v>
      </c>
      <c r="W15" s="177" t="e">
        <f>IF(OR(O3="",Input!$J8=""),"",VLOOKUP($R15,pp200,O14,FALSE))</f>
        <v>#DIV/0!</v>
      </c>
      <c r="X15" s="140" t="e">
        <f>IF(OR(P3="",Input!$J8=""),"",VLOOKUP($R15,pp200,P14,FALSE))</f>
        <v>#DIV/0!</v>
      </c>
      <c r="Y15" s="178" t="e">
        <f>IF(OR(Q3="",Input!$J8=""),"",VLOOKUP($R15,pp200,Q14,FALSE))</f>
        <v>#DIV/0!</v>
      </c>
      <c r="Z15" s="140"/>
      <c r="AA15" s="140"/>
      <c r="AB15" s="140"/>
      <c r="AC15" s="140"/>
      <c r="AD15" s="140"/>
      <c r="AE15" s="140"/>
    </row>
    <row r="16" spans="1:31" ht="12.75">
      <c r="A16" s="179" t="s">
        <v>608</v>
      </c>
      <c r="B16" s="124" t="s">
        <v>797</v>
      </c>
      <c r="C16" s="124" t="s">
        <v>798</v>
      </c>
      <c r="D16" s="124" t="s">
        <v>817</v>
      </c>
      <c r="E16" s="124" t="s">
        <v>818</v>
      </c>
      <c r="F16" s="124" t="s">
        <v>825</v>
      </c>
      <c r="G16" s="124" t="s">
        <v>840</v>
      </c>
      <c r="H16" s="124" t="s">
        <v>841</v>
      </c>
      <c r="I16" s="124" t="s">
        <v>803</v>
      </c>
      <c r="J16" s="124" t="s">
        <v>804</v>
      </c>
      <c r="K16" s="173" t="s">
        <v>805</v>
      </c>
      <c r="L16" s="124" t="s">
        <v>806</v>
      </c>
      <c r="M16" s="195">
        <v>80</v>
      </c>
      <c r="N16" s="196">
        <v>4</v>
      </c>
      <c r="O16" s="140" t="e">
        <f>IF(O5="","",IF(O5&lt;7.5,12,VLOOKUP(MROUND(O5,10),$M$14:$N$24,2,FALSE)))</f>
        <v>#DIV/0!</v>
      </c>
      <c r="P16" s="140" t="e">
        <f>IF(P5="","",IF(P5&lt;7.5,12,VLOOKUP(MROUND(P5,10),$M$14:$N$24,2,FALSE)))</f>
        <v>#DIV/0!</v>
      </c>
      <c r="Q16" s="142" t="e">
        <f>IF(Q5="","",IF(Q5&lt;7.5,12,VLOOKUP(MROUND(Q5,10),$M$14:$N$24,2,FALSE)))</f>
        <v>#DIV/0!</v>
      </c>
      <c r="R16" s="201">
        <f>IF(Input!J9="","",Input!J9)</f>
      </c>
      <c r="S16" s="177" t="e">
        <f>IF(OR(O4="",Input!J9=""),"",VLOOKUP($R16,pp40,'Percent Passing'!O15,FALSE))</f>
        <v>#DIV/0!</v>
      </c>
      <c r="T16" s="140" t="e">
        <f>IF(OR(P4="",Input!$J9=""),"",VLOOKUP($R16,pp40,'Percent Passing'!P15,FALSE))</f>
        <v>#DIV/0!</v>
      </c>
      <c r="U16" s="178" t="e">
        <f>IF(OR(Q4="",Input!$J9=""),"",VLOOKUP($R16,pp40,'Percent Passing'!Q15,FALSE))</f>
        <v>#DIV/0!</v>
      </c>
      <c r="W16" s="177" t="e">
        <f>IF(OR(O4="",Input!$J9=""),"",VLOOKUP($R16,pp200,O15,FALSE))</f>
        <v>#DIV/0!</v>
      </c>
      <c r="X16" s="140" t="e">
        <f>IF(OR(P4="",Input!$J9=""),"",VLOOKUP($R16,pp200,P15,FALSE))</f>
        <v>#DIV/0!</v>
      </c>
      <c r="Y16" s="178" t="e">
        <f>IF(OR(Q4="",Input!$J9=""),"",VLOOKUP($R16,pp200,Q15,FALSE))</f>
        <v>#DIV/0!</v>
      </c>
      <c r="Z16" s="140"/>
      <c r="AA16" s="140"/>
      <c r="AB16" s="140"/>
      <c r="AC16" s="140"/>
      <c r="AD16" s="140"/>
      <c r="AE16" s="140"/>
    </row>
    <row r="17" spans="1:31" ht="12.75">
      <c r="A17" s="179" t="s">
        <v>593</v>
      </c>
      <c r="B17" s="124" t="s">
        <v>842</v>
      </c>
      <c r="C17" s="124" t="s">
        <v>843</v>
      </c>
      <c r="D17" s="124" t="s">
        <v>844</v>
      </c>
      <c r="E17" s="124" t="s">
        <v>799</v>
      </c>
      <c r="F17" s="124" t="s">
        <v>800</v>
      </c>
      <c r="G17" s="124" t="s">
        <v>801</v>
      </c>
      <c r="H17" s="124" t="s">
        <v>802</v>
      </c>
      <c r="I17" s="124" t="s">
        <v>803</v>
      </c>
      <c r="J17" s="124" t="s">
        <v>804</v>
      </c>
      <c r="K17" s="173" t="s">
        <v>805</v>
      </c>
      <c r="L17" s="124" t="s">
        <v>806</v>
      </c>
      <c r="M17" s="195">
        <v>70</v>
      </c>
      <c r="N17" s="196">
        <v>5</v>
      </c>
      <c r="O17" s="140" t="e">
        <f>IF(O6="","",IF(O6&lt;7.5,12,VLOOKUP(MROUND(O6,10),$M$14:$N$24,2,FALSE)))</f>
        <v>#DIV/0!</v>
      </c>
      <c r="P17" s="140" t="e">
        <f>IF(P6="","",IF(P6&lt;7.5,12,VLOOKUP(MROUND(P6,10),$M$14:$N$24,2,FALSE)))</f>
        <v>#DIV/0!</v>
      </c>
      <c r="Q17" s="142" t="e">
        <f>IF(Q6="","",IF(Q6&lt;7.5,12,VLOOKUP(MROUND(Q6,10),$M$14:$N$24,2,FALSE)))</f>
        <v>#DIV/0!</v>
      </c>
      <c r="R17" s="201">
        <f>IF(Input!J10="","",Input!J10)</f>
      </c>
      <c r="S17" s="177" t="e">
        <f>IF(OR(O5="",Input!J10=""),"",VLOOKUP($R17,pp40,'Percent Passing'!O16,FALSE))</f>
        <v>#DIV/0!</v>
      </c>
      <c r="T17" s="140" t="e">
        <f>IF(OR(P5="",Input!$J10=""),"",VLOOKUP($R17,pp40,'Percent Passing'!P16,FALSE))</f>
        <v>#DIV/0!</v>
      </c>
      <c r="U17" s="178" t="e">
        <f>IF(OR(Q5="",Input!$J10=""),"",VLOOKUP($R17,pp40,'Percent Passing'!Q16,FALSE))</f>
        <v>#DIV/0!</v>
      </c>
      <c r="W17" s="177" t="e">
        <f>IF(OR(O5="",Input!$J10=""),"",VLOOKUP($R17,pp200,O16,FALSE))</f>
        <v>#DIV/0!</v>
      </c>
      <c r="X17" s="140" t="e">
        <f>IF(OR(P5="",Input!$J10=""),"",VLOOKUP($R17,pp200,P16,FALSE))</f>
        <v>#DIV/0!</v>
      </c>
      <c r="Y17" s="178" t="e">
        <f>IF(OR(Q5="",Input!$J10=""),"",VLOOKUP($R17,pp200,Q16,FALSE))</f>
        <v>#DIV/0!</v>
      </c>
      <c r="Z17" s="140"/>
      <c r="AA17" s="140"/>
      <c r="AB17" s="140"/>
      <c r="AC17" s="140"/>
      <c r="AD17" s="140"/>
      <c r="AE17" s="140"/>
    </row>
    <row r="18" spans="1:31" ht="12.75">
      <c r="A18" s="179" t="s">
        <v>611</v>
      </c>
      <c r="B18" s="124" t="s">
        <v>842</v>
      </c>
      <c r="C18" s="124" t="s">
        <v>843</v>
      </c>
      <c r="D18" s="124" t="s">
        <v>844</v>
      </c>
      <c r="E18" s="124" t="s">
        <v>799</v>
      </c>
      <c r="F18" s="124" t="s">
        <v>800</v>
      </c>
      <c r="G18" s="124" t="s">
        <v>801</v>
      </c>
      <c r="H18" s="124" t="s">
        <v>802</v>
      </c>
      <c r="I18" s="124" t="s">
        <v>803</v>
      </c>
      <c r="J18" s="124" t="s">
        <v>804</v>
      </c>
      <c r="K18" s="173" t="s">
        <v>805</v>
      </c>
      <c r="L18" s="124" t="s">
        <v>806</v>
      </c>
      <c r="M18" s="195">
        <v>60</v>
      </c>
      <c r="N18" s="196">
        <v>6</v>
      </c>
      <c r="O18" s="140" t="e">
        <f>IF(O7="","",IF(O7&lt;7.5,12,VLOOKUP(MROUND(O7,10),$M$14:$N$24,2,FALSE)))</f>
        <v>#DIV/0!</v>
      </c>
      <c r="P18" s="140" t="e">
        <f>IF(P7="","",IF(P7&lt;7.5,12,VLOOKUP(MROUND(P7,10),$M$14:$N$24,2,FALSE)))</f>
        <v>#DIV/0!</v>
      </c>
      <c r="Q18" s="142" t="e">
        <f>IF(Q7="","",IF(Q7&lt;7.5,12,VLOOKUP(MROUND(Q7,10),$M$14:$N$24,2,FALSE)))</f>
        <v>#DIV/0!</v>
      </c>
      <c r="R18" s="201">
        <f>IF(Input!J11="","",Input!J11)</f>
      </c>
      <c r="S18" s="177" t="e">
        <f>IF(OR(O6="",Input!J11=""),"",VLOOKUP($R18,pp40,'Percent Passing'!O17,FALSE))</f>
        <v>#DIV/0!</v>
      </c>
      <c r="T18" s="140" t="e">
        <f>IF(OR(P6="",Input!$J11=""),"",VLOOKUP($R18,pp40,'Percent Passing'!P17,FALSE))</f>
        <v>#DIV/0!</v>
      </c>
      <c r="U18" s="178" t="e">
        <f>IF(OR(Q6="",Input!$J11=""),"",VLOOKUP($R18,pp40,'Percent Passing'!Q17,FALSE))</f>
        <v>#DIV/0!</v>
      </c>
      <c r="W18" s="177" t="e">
        <f>IF(OR(O6="",Input!$J11=""),"",VLOOKUP($R18,pp200,O17,FALSE))</f>
        <v>#DIV/0!</v>
      </c>
      <c r="X18" s="140" t="e">
        <f>IF(OR(P6="",Input!$J11=""),"",VLOOKUP($R18,pp200,P17,FALSE))</f>
        <v>#DIV/0!</v>
      </c>
      <c r="Y18" s="178" t="e">
        <f>IF(OR(Q6="",Input!$J11=""),"",VLOOKUP($R18,pp200,Q17,FALSE))</f>
        <v>#DIV/0!</v>
      </c>
      <c r="Z18" s="140"/>
      <c r="AA18" s="140"/>
      <c r="AB18" s="140"/>
      <c r="AC18" s="140"/>
      <c r="AD18" s="140"/>
      <c r="AE18" s="140"/>
    </row>
    <row r="19" spans="1:31" ht="12.75">
      <c r="A19" s="179" t="s">
        <v>589</v>
      </c>
      <c r="B19" s="124" t="s">
        <v>842</v>
      </c>
      <c r="C19" s="124" t="s">
        <v>843</v>
      </c>
      <c r="D19" s="124" t="s">
        <v>844</v>
      </c>
      <c r="E19" s="124" t="s">
        <v>799</v>
      </c>
      <c r="F19" s="124" t="s">
        <v>800</v>
      </c>
      <c r="G19" s="124" t="s">
        <v>801</v>
      </c>
      <c r="H19" s="124" t="s">
        <v>802</v>
      </c>
      <c r="I19" s="124" t="s">
        <v>803</v>
      </c>
      <c r="J19" s="124" t="s">
        <v>804</v>
      </c>
      <c r="K19" s="173" t="s">
        <v>805</v>
      </c>
      <c r="L19" s="124" t="s">
        <v>806</v>
      </c>
      <c r="M19" s="195">
        <v>50</v>
      </c>
      <c r="N19" s="196">
        <v>7</v>
      </c>
      <c r="O19" s="140" t="e">
        <f>IF(O8="","",IF(O8&lt;7.5,12,VLOOKUP(MROUND(O8,10),$M$14:$N$24,2,FALSE)))</f>
        <v>#DIV/0!</v>
      </c>
      <c r="P19" s="140" t="e">
        <f>IF(P8="","",IF(P8&lt;7.5,12,VLOOKUP(MROUND(P8,10),$M$14:$N$24,2,FALSE)))</f>
        <v>#DIV/0!</v>
      </c>
      <c r="Q19" s="142" t="e">
        <f>IF(Q8="","",IF(Q8&lt;7.5,12,VLOOKUP(MROUND(Q8,10),$M$14:$N$24,2,FALSE)))</f>
        <v>#DIV/0!</v>
      </c>
      <c r="R19" s="201">
        <f>IF(Input!J12="","",Input!J12)</f>
      </c>
      <c r="S19" s="177" t="e">
        <f>IF(OR(O7="",Input!J12=""),"",VLOOKUP($R19,pp40,'Percent Passing'!O18,FALSE))</f>
        <v>#DIV/0!</v>
      </c>
      <c r="T19" s="140" t="e">
        <f>IF(OR(P7="",Input!$J12=""),"",VLOOKUP($R19,pp40,'Percent Passing'!P18,FALSE))</f>
        <v>#DIV/0!</v>
      </c>
      <c r="U19" s="178" t="e">
        <f>IF(OR(Q7="",Input!$J12=""),"",VLOOKUP($R19,pp40,'Percent Passing'!Q18,FALSE))</f>
        <v>#DIV/0!</v>
      </c>
      <c r="W19" s="177" t="e">
        <f>IF(OR(O7="",Input!$J12=""),"",VLOOKUP($R19,pp200,O18,FALSE))</f>
        <v>#DIV/0!</v>
      </c>
      <c r="X19" s="140" t="e">
        <f>IF(OR(P7="",Input!$J12=""),"",VLOOKUP($R19,pp200,P18,FALSE))</f>
        <v>#DIV/0!</v>
      </c>
      <c r="Y19" s="178" t="e">
        <f>IF(OR(Q7="",Input!$J12=""),"",VLOOKUP($R19,pp200,Q18,FALSE))</f>
        <v>#DIV/0!</v>
      </c>
      <c r="Z19" s="140"/>
      <c r="AA19" s="140"/>
      <c r="AB19" s="140"/>
      <c r="AC19" s="140"/>
      <c r="AD19" s="140"/>
      <c r="AE19" s="140"/>
    </row>
    <row r="20" spans="1:31" ht="12.75">
      <c r="A20" s="179" t="s">
        <v>590</v>
      </c>
      <c r="B20" s="124" t="s">
        <v>796</v>
      </c>
      <c r="C20" s="124" t="s">
        <v>797</v>
      </c>
      <c r="D20" s="124" t="s">
        <v>798</v>
      </c>
      <c r="E20" s="124" t="s">
        <v>799</v>
      </c>
      <c r="F20" s="124" t="s">
        <v>800</v>
      </c>
      <c r="G20" s="124" t="s">
        <v>801</v>
      </c>
      <c r="H20" s="124" t="s">
        <v>802</v>
      </c>
      <c r="I20" s="124" t="s">
        <v>803</v>
      </c>
      <c r="J20" s="124" t="s">
        <v>804</v>
      </c>
      <c r="K20" s="173" t="s">
        <v>805</v>
      </c>
      <c r="L20" s="124" t="s">
        <v>806</v>
      </c>
      <c r="M20" s="195">
        <v>40</v>
      </c>
      <c r="N20" s="196">
        <v>8</v>
      </c>
      <c r="O20" s="140" t="e">
        <f>IF(O9="","",IF(O9&lt;7.5,12,VLOOKUP(MROUND(O9,10),$M$14:$N$24,2,FALSE)))</f>
        <v>#DIV/0!</v>
      </c>
      <c r="P20" s="140" t="e">
        <f>IF(P9="","",IF(P9&lt;7.5,12,VLOOKUP(MROUND(P9,10),$M$14:$N$24,2,FALSE)))</f>
        <v>#DIV/0!</v>
      </c>
      <c r="Q20" s="142" t="e">
        <f>IF(Q9="","",IF(Q9&lt;7.5,12,VLOOKUP(MROUND(Q9,10),$M$14:$N$24,2,FALSE)))</f>
        <v>#DIV/0!</v>
      </c>
      <c r="R20" s="201">
        <f>IF(Input!J13="","",Input!J13)</f>
      </c>
      <c r="S20" s="177" t="e">
        <f>IF(OR(O8="",Input!J13=""),"",VLOOKUP($R20,pp40,'Percent Passing'!O19,FALSE))</f>
        <v>#DIV/0!</v>
      </c>
      <c r="T20" s="140" t="e">
        <f>IF(OR(P8="",Input!$J13=""),"",VLOOKUP($R20,pp40,'Percent Passing'!P19,FALSE))</f>
        <v>#DIV/0!</v>
      </c>
      <c r="U20" s="178" t="e">
        <f>IF(OR(Q8="",Input!$J13=""),"",VLOOKUP($R20,pp40,'Percent Passing'!Q19,FALSE))</f>
        <v>#DIV/0!</v>
      </c>
      <c r="W20" s="177" t="e">
        <f>IF(OR(O8="",Input!$J13=""),"",VLOOKUP($R20,pp200,O19,FALSE))</f>
        <v>#DIV/0!</v>
      </c>
      <c r="X20" s="140" t="e">
        <f>IF(OR(P8="",Input!$J13=""),"",VLOOKUP($R20,pp200,P19,FALSE))</f>
        <v>#DIV/0!</v>
      </c>
      <c r="Y20" s="178" t="e">
        <f>IF(OR(Q8="",Input!$J13=""),"",VLOOKUP($R20,pp200,Q19,FALSE))</f>
        <v>#DIV/0!</v>
      </c>
      <c r="Z20" s="140"/>
      <c r="AA20" s="140"/>
      <c r="AB20" s="140"/>
      <c r="AC20" s="140"/>
      <c r="AD20" s="140"/>
      <c r="AE20" s="140"/>
    </row>
    <row r="21" spans="1:31" ht="12.75">
      <c r="A21" s="179" t="s">
        <v>594</v>
      </c>
      <c r="B21" s="124" t="s">
        <v>845</v>
      </c>
      <c r="C21" s="124" t="s">
        <v>818</v>
      </c>
      <c r="D21" s="124" t="s">
        <v>811</v>
      </c>
      <c r="E21" s="124" t="s">
        <v>820</v>
      </c>
      <c r="F21" s="124" t="s">
        <v>802</v>
      </c>
      <c r="G21" s="124" t="s">
        <v>841</v>
      </c>
      <c r="H21" s="124" t="s">
        <v>803</v>
      </c>
      <c r="I21" s="124" t="s">
        <v>804</v>
      </c>
      <c r="J21" s="173" t="s">
        <v>815</v>
      </c>
      <c r="K21" s="173" t="s">
        <v>805</v>
      </c>
      <c r="L21" s="124" t="s">
        <v>806</v>
      </c>
      <c r="M21" s="195">
        <v>30</v>
      </c>
      <c r="N21" s="196">
        <v>9</v>
      </c>
      <c r="O21" s="140" t="e">
        <f>IF(O10="","",IF(O10&lt;7.5,12,VLOOKUP(MROUND(O10,10),$M$14:$N$24,2,FALSE)))</f>
        <v>#DIV/0!</v>
      </c>
      <c r="P21" s="140" t="e">
        <f>IF(P10="","",IF(P10&lt;7.5,12,VLOOKUP(MROUND(P10,10),$M$14:$N$24,2,FALSE)))</f>
        <v>#DIV/0!</v>
      </c>
      <c r="Q21" s="142" t="e">
        <f>IF(Q10="","",IF(Q10&lt;7.5,12,VLOOKUP(MROUND(Q10,10),$M$14:$N$24,2,FALSE)))</f>
        <v>#DIV/0!</v>
      </c>
      <c r="R21" s="201">
        <f>IF(Input!J14="","",Input!J14)</f>
      </c>
      <c r="S21" s="177" t="e">
        <f>IF(OR(O9="",Input!J14=""),"",VLOOKUP($R21,pp40,'Percent Passing'!O20,FALSE))</f>
        <v>#DIV/0!</v>
      </c>
      <c r="T21" s="140" t="e">
        <f>IF(OR(P9="",Input!$J14=""),"",VLOOKUP($R21,pp40,'Percent Passing'!P20,FALSE))</f>
        <v>#DIV/0!</v>
      </c>
      <c r="U21" s="178" t="e">
        <f>IF(OR(Q9="",Input!$J14=""),"",VLOOKUP($R21,pp40,'Percent Passing'!Q20,FALSE))</f>
        <v>#DIV/0!</v>
      </c>
      <c r="W21" s="177" t="e">
        <f>IF(OR(O9="",Input!$J14=""),"",VLOOKUP($R21,pp200,O20,FALSE))</f>
        <v>#DIV/0!</v>
      </c>
      <c r="X21" s="140" t="e">
        <f>IF(OR(P9="",Input!$J14=""),"",VLOOKUP($R21,pp200,P20,FALSE))</f>
        <v>#DIV/0!</v>
      </c>
      <c r="Y21" s="178" t="e">
        <f>IF(OR(Q9="",Input!$J14=""),"",VLOOKUP($R21,pp200,Q20,FALSE))</f>
        <v>#DIV/0!</v>
      </c>
      <c r="Z21" s="140"/>
      <c r="AA21" s="140"/>
      <c r="AB21" s="140"/>
      <c r="AC21" s="140"/>
      <c r="AD21" s="140"/>
      <c r="AE21" s="140"/>
    </row>
    <row r="22" spans="1:31" ht="13.5" thickBot="1">
      <c r="A22" s="179" t="s">
        <v>636</v>
      </c>
      <c r="B22" s="124" t="s">
        <v>846</v>
      </c>
      <c r="C22" s="124" t="s">
        <v>808</v>
      </c>
      <c r="D22" s="124" t="s">
        <v>847</v>
      </c>
      <c r="E22" s="124" t="s">
        <v>810</v>
      </c>
      <c r="F22" s="124" t="s">
        <v>811</v>
      </c>
      <c r="G22" s="124" t="s">
        <v>812</v>
      </c>
      <c r="H22" s="124" t="s">
        <v>841</v>
      </c>
      <c r="I22" s="124" t="s">
        <v>814</v>
      </c>
      <c r="J22" s="124" t="s">
        <v>804</v>
      </c>
      <c r="K22" s="173" t="s">
        <v>805</v>
      </c>
      <c r="L22" s="124" t="s">
        <v>806</v>
      </c>
      <c r="M22" s="195">
        <v>20</v>
      </c>
      <c r="N22" s="196">
        <v>10</v>
      </c>
      <c r="O22" s="148" t="e">
        <f>IF(O11="","",IF(O11&lt;7.5,12,VLOOKUP(MROUND(O11,10),$M$14:$N$24,2,FALSE)))</f>
        <v>#DIV/0!</v>
      </c>
      <c r="P22" s="148" t="e">
        <f>IF(P11="","",IF(P11&lt;7.5,12,VLOOKUP(MROUND(P11,10),$M$14:$N$24,2,FALSE)))</f>
        <v>#DIV/0!</v>
      </c>
      <c r="Q22" s="149" t="e">
        <f>IF(Q11="","",IF(Q11&lt;7.5,12,VLOOKUP(MROUND(Q11,10),$M$14:$N$24,2,FALSE)))</f>
        <v>#DIV/0!</v>
      </c>
      <c r="R22" s="201">
        <f>IF(Input!J15="","",Input!J15)</f>
      </c>
      <c r="S22" s="177" t="e">
        <f>IF(OR(O10="",Input!J15=""),"",VLOOKUP($R22,pp40,'Percent Passing'!O21,FALSE))</f>
        <v>#DIV/0!</v>
      </c>
      <c r="T22" s="140" t="e">
        <f>IF(OR(P10="",Input!$J15=""),"",VLOOKUP($R22,pp40,'Percent Passing'!P21,FALSE))</f>
        <v>#DIV/0!</v>
      </c>
      <c r="U22" s="178" t="e">
        <f>IF(OR(Q10="",Input!$J15=""),"",VLOOKUP($R22,pp40,'Percent Passing'!Q21,FALSE))</f>
        <v>#DIV/0!</v>
      </c>
      <c r="W22" s="177" t="e">
        <f>IF(OR(O10="",Input!$J15=""),"",VLOOKUP($R22,pp200,O21,FALSE))</f>
        <v>#DIV/0!</v>
      </c>
      <c r="X22" s="140" t="e">
        <f>IF(OR(P10="",Input!$J15=""),"",VLOOKUP($R22,pp200,P21,FALSE))</f>
        <v>#DIV/0!</v>
      </c>
      <c r="Y22" s="178" t="e">
        <f>IF(OR(Q10="",Input!$J15=""),"",VLOOKUP($R22,pp200,Q21,FALSE))</f>
        <v>#DIV/0!</v>
      </c>
      <c r="Z22" s="140"/>
      <c r="AA22" s="140"/>
      <c r="AB22" s="140"/>
      <c r="AC22" s="140"/>
      <c r="AD22" s="140"/>
      <c r="AE22" s="140"/>
    </row>
    <row r="23" spans="1:31" ht="12.75">
      <c r="A23" s="179" t="s">
        <v>641</v>
      </c>
      <c r="B23" s="124" t="s">
        <v>822</v>
      </c>
      <c r="C23" s="124" t="s">
        <v>823</v>
      </c>
      <c r="D23" s="124" t="s">
        <v>817</v>
      </c>
      <c r="E23" s="124" t="s">
        <v>824</v>
      </c>
      <c r="F23" s="124" t="s">
        <v>825</v>
      </c>
      <c r="G23" s="124" t="s">
        <v>820</v>
      </c>
      <c r="H23" s="124" t="s">
        <v>802</v>
      </c>
      <c r="I23" s="124" t="s">
        <v>803</v>
      </c>
      <c r="J23" s="124" t="s">
        <v>804</v>
      </c>
      <c r="K23" s="173" t="s">
        <v>805</v>
      </c>
      <c r="L23" s="124" t="s">
        <v>806</v>
      </c>
      <c r="M23" s="195">
        <v>10</v>
      </c>
      <c r="N23" s="196">
        <v>11</v>
      </c>
      <c r="R23" s="202">
        <f>IF(Input!J16="","",Input!J16)</f>
      </c>
      <c r="S23" s="186" t="e">
        <f>IF(OR(O11="",Input!J16=""),"",VLOOKUP($R23,pp40,'Percent Passing'!O22,FALSE))</f>
        <v>#DIV/0!</v>
      </c>
      <c r="T23" s="139" t="e">
        <f>IF(OR(P11="",Input!$J16=""),"",VLOOKUP($R23,pp40,'Percent Passing'!P22,FALSE))</f>
        <v>#DIV/0!</v>
      </c>
      <c r="U23" s="187" t="e">
        <f>IF(OR(Q11="",Input!$J16=""),"",VLOOKUP($R23,pp40,'Percent Passing'!Q22,FALSE))</f>
        <v>#DIV/0!</v>
      </c>
      <c r="W23" s="186" t="e">
        <f>IF(OR(O11="",Input!$J16=""),"",VLOOKUP($R23,pp200,O22,FALSE))</f>
        <v>#DIV/0!</v>
      </c>
      <c r="X23" s="139" t="e">
        <f>IF(OR(P11="",Input!$J16=""),"",VLOOKUP($R23,pp200,P22,FALSE))</f>
        <v>#DIV/0!</v>
      </c>
      <c r="Y23" s="187" t="e">
        <f>IF(OR(Q11="",Input!$J16=""),"",VLOOKUP($R23,pp200,Q22,FALSE))</f>
        <v>#DIV/0!</v>
      </c>
      <c r="Z23" s="140"/>
      <c r="AA23" s="140"/>
      <c r="AB23" s="140"/>
      <c r="AC23" s="140"/>
      <c r="AD23" s="140"/>
      <c r="AE23" s="140"/>
    </row>
    <row r="24" spans="13:31" ht="12.75">
      <c r="M24" s="203">
        <v>5</v>
      </c>
      <c r="N24" s="204">
        <v>12</v>
      </c>
      <c r="S24" s="124"/>
      <c r="AE24" s="140"/>
    </row>
    <row r="25" spans="1:31" ht="12.75">
      <c r="A25" t="s">
        <v>848</v>
      </c>
      <c r="M25" s="179"/>
      <c r="S25" s="192" t="s">
        <v>558</v>
      </c>
      <c r="T25" s="193"/>
      <c r="U25" s="194"/>
      <c r="W25" s="192" t="s">
        <v>558</v>
      </c>
      <c r="X25" s="193"/>
      <c r="Y25" s="194"/>
      <c r="Z25" s="126"/>
      <c r="AA25" s="126"/>
      <c r="AB25" s="126"/>
      <c r="AC25" s="126"/>
      <c r="AD25" s="126"/>
      <c r="AE25" s="126"/>
    </row>
    <row r="26" spans="1:31" ht="12.75">
      <c r="A26" s="164" t="s">
        <v>793</v>
      </c>
      <c r="B26" s="165">
        <v>100</v>
      </c>
      <c r="C26" s="165">
        <v>90</v>
      </c>
      <c r="D26" s="165">
        <v>80</v>
      </c>
      <c r="E26" s="165">
        <v>70</v>
      </c>
      <c r="F26" s="165">
        <v>60</v>
      </c>
      <c r="G26" s="165">
        <v>50</v>
      </c>
      <c r="H26" s="165">
        <v>40</v>
      </c>
      <c r="I26" s="165">
        <v>30</v>
      </c>
      <c r="J26" s="165">
        <v>20</v>
      </c>
      <c r="K26" s="165">
        <v>10</v>
      </c>
      <c r="L26" s="165">
        <v>5</v>
      </c>
      <c r="M26" s="179"/>
      <c r="S26" s="197" t="s">
        <v>578</v>
      </c>
      <c r="T26" s="198" t="s">
        <v>579</v>
      </c>
      <c r="U26" s="199" t="s">
        <v>580</v>
      </c>
      <c r="W26" s="197" t="s">
        <v>578</v>
      </c>
      <c r="X26" s="198" t="s">
        <v>579</v>
      </c>
      <c r="Y26" s="199" t="s">
        <v>580</v>
      </c>
      <c r="Z26" s="140"/>
      <c r="AA26" s="140"/>
      <c r="AB26" s="140"/>
      <c r="AC26" s="140"/>
      <c r="AD26" s="140"/>
      <c r="AE26" s="140"/>
    </row>
    <row r="27" spans="1:31" ht="12.75">
      <c r="A27" s="179" t="s">
        <v>593</v>
      </c>
      <c r="B27" s="124" t="s">
        <v>796</v>
      </c>
      <c r="C27" s="124" t="s">
        <v>797</v>
      </c>
      <c r="D27" s="124" t="s">
        <v>798</v>
      </c>
      <c r="E27" s="124" t="s">
        <v>845</v>
      </c>
      <c r="F27" s="124" t="s">
        <v>800</v>
      </c>
      <c r="G27" s="124" t="s">
        <v>801</v>
      </c>
      <c r="H27" s="124" t="s">
        <v>802</v>
      </c>
      <c r="I27" s="124" t="s">
        <v>803</v>
      </c>
      <c r="J27" s="124" t="s">
        <v>804</v>
      </c>
      <c r="K27" s="188" t="s">
        <v>805</v>
      </c>
      <c r="L27" s="188" t="s">
        <v>806</v>
      </c>
      <c r="M27" s="179"/>
      <c r="R27" s="205">
        <f>IF(Input!O8="","",Input!O8)</f>
      </c>
      <c r="S27" s="177" t="e">
        <f>IF(OR(O3="",Input!$O8=""),"",VLOOKUP($R27,pp40,O14,FALSE))</f>
        <v>#DIV/0!</v>
      </c>
      <c r="T27" s="140" t="e">
        <f>IF(OR(P3="",Input!$O8=""),"",VLOOKUP($R27,pp40,P14,FALSE))</f>
        <v>#DIV/0!</v>
      </c>
      <c r="U27" s="178" t="e">
        <f>IF(OR(Q3="",Input!$O8=""),"",VLOOKUP($R27,pp40,Q14,FALSE))</f>
        <v>#DIV/0!</v>
      </c>
      <c r="W27" s="177" t="e">
        <f>IF(OR(O3="",Input!$O8=""),"",VLOOKUP($R27,pp200,O14,FALSE))</f>
        <v>#DIV/0!</v>
      </c>
      <c r="X27" s="140" t="e">
        <f>IF(OR(P3="",Input!$O8=""),"",VLOOKUP($R27,pp200,P14,FALSE))</f>
        <v>#DIV/0!</v>
      </c>
      <c r="Y27" s="178" t="e">
        <f>IF(OR(Q3="",Input!$O8=""),"",VLOOKUP($R27,pp200,Q14,FALSE))</f>
        <v>#DIV/0!</v>
      </c>
      <c r="Z27" s="140"/>
      <c r="AA27" s="140"/>
      <c r="AB27" s="140"/>
      <c r="AC27" s="140"/>
      <c r="AD27" s="140"/>
      <c r="AE27" s="140"/>
    </row>
    <row r="28" spans="1:31" ht="12.75">
      <c r="A28" s="179" t="s">
        <v>611</v>
      </c>
      <c r="B28" s="124" t="s">
        <v>832</v>
      </c>
      <c r="C28" s="124" t="s">
        <v>833</v>
      </c>
      <c r="D28" s="124" t="s">
        <v>834</v>
      </c>
      <c r="E28" s="124" t="s">
        <v>799</v>
      </c>
      <c r="F28" s="124" t="s">
        <v>800</v>
      </c>
      <c r="G28" s="124" t="s">
        <v>801</v>
      </c>
      <c r="H28" s="124" t="s">
        <v>802</v>
      </c>
      <c r="I28" s="124" t="s">
        <v>803</v>
      </c>
      <c r="J28" s="124" t="s">
        <v>804</v>
      </c>
      <c r="K28" s="188" t="s">
        <v>805</v>
      </c>
      <c r="L28" s="188" t="s">
        <v>806</v>
      </c>
      <c r="M28" s="179"/>
      <c r="R28" s="206">
        <f>IF(Input!O9="","",Input!O9)</f>
      </c>
      <c r="S28" s="177" t="e">
        <f>IF(OR(O4="",Input!O9=""),"",VLOOKUP($R28,pp40,O15,FALSE))</f>
        <v>#DIV/0!</v>
      </c>
      <c r="T28" s="140" t="e">
        <f>IF(OR(P4="",Input!$O9=""),"",VLOOKUP($R28,pp40,P15,FALSE))</f>
        <v>#DIV/0!</v>
      </c>
      <c r="U28" s="178" t="e">
        <f>IF(OR(Q4="",Input!$O9=""),"",VLOOKUP($R28,pp40,Q15,FALSE))</f>
        <v>#DIV/0!</v>
      </c>
      <c r="W28" s="177" t="e">
        <f>IF(OR(O4="",Input!$O9=""),"",VLOOKUP($R28,pp200,O15,FALSE))</f>
        <v>#DIV/0!</v>
      </c>
      <c r="X28" s="140" t="e">
        <f>IF(OR(P4="",Input!$O9=""),"",VLOOKUP($R28,pp200,P15,FALSE))</f>
        <v>#DIV/0!</v>
      </c>
      <c r="Y28" s="178" t="e">
        <f>IF(OR(Q4="",Input!$O9=""),"",VLOOKUP($R28,pp200,Q15,FALSE))</f>
        <v>#DIV/0!</v>
      </c>
      <c r="Z28" s="140"/>
      <c r="AA28" s="140"/>
      <c r="AB28" s="140"/>
      <c r="AC28" s="140"/>
      <c r="AD28" s="140"/>
      <c r="AE28" s="140"/>
    </row>
    <row r="29" spans="1:31" ht="12.75">
      <c r="A29" s="179" t="s">
        <v>589</v>
      </c>
      <c r="B29" s="124" t="s">
        <v>822</v>
      </c>
      <c r="C29" s="124" t="s">
        <v>823</v>
      </c>
      <c r="D29" s="124" t="s">
        <v>817</v>
      </c>
      <c r="E29" s="124" t="s">
        <v>824</v>
      </c>
      <c r="F29" s="124" t="s">
        <v>819</v>
      </c>
      <c r="G29" s="124" t="s">
        <v>820</v>
      </c>
      <c r="H29" s="124" t="s">
        <v>802</v>
      </c>
      <c r="I29" s="124" t="s">
        <v>803</v>
      </c>
      <c r="J29" s="124" t="s">
        <v>804</v>
      </c>
      <c r="K29" s="188" t="s">
        <v>805</v>
      </c>
      <c r="L29" s="188" t="s">
        <v>806</v>
      </c>
      <c r="M29" s="179"/>
      <c r="R29" s="206">
        <f>IF(Input!O10="","",Input!O10)</f>
      </c>
      <c r="S29" s="177" t="e">
        <f>IF(OR(O5="",Input!O10=""),"",VLOOKUP($R29,pp40,O16,FALSE))</f>
        <v>#DIV/0!</v>
      </c>
      <c r="T29" s="140" t="e">
        <f>IF(OR(P5="",Input!$O10=""),"",VLOOKUP($R29,pp40,P16,FALSE))</f>
        <v>#DIV/0!</v>
      </c>
      <c r="U29" s="178" t="e">
        <f>IF(OR(Q5="",Input!$O10=""),"",VLOOKUP($R29,pp40,Q16,FALSE))</f>
        <v>#DIV/0!</v>
      </c>
      <c r="W29" s="177" t="e">
        <f>IF(OR(O5="",Input!$O10=""),"",VLOOKUP($R29,pp200,O16,FALSE))</f>
        <v>#DIV/0!</v>
      </c>
      <c r="X29" s="140" t="e">
        <f>IF(OR(P5="",Input!$O10=""),"",VLOOKUP($R29,pp200,P16,FALSE))</f>
        <v>#DIV/0!</v>
      </c>
      <c r="Y29" s="178" t="e">
        <f>IF(OR(Q5="",Input!$O10=""),"",VLOOKUP($R29,pp200,Q16,FALSE))</f>
        <v>#DIV/0!</v>
      </c>
      <c r="Z29" s="140"/>
      <c r="AA29" s="140"/>
      <c r="AB29" s="140"/>
      <c r="AC29" s="140"/>
      <c r="AD29" s="140"/>
      <c r="AE29" s="140"/>
    </row>
    <row r="30" spans="1:31" ht="12.75">
      <c r="A30" s="179" t="s">
        <v>540</v>
      </c>
      <c r="B30" s="124" t="s">
        <v>849</v>
      </c>
      <c r="C30" s="124" t="s">
        <v>816</v>
      </c>
      <c r="D30" s="124" t="s">
        <v>847</v>
      </c>
      <c r="E30" s="124" t="s">
        <v>810</v>
      </c>
      <c r="F30" s="124" t="s">
        <v>811</v>
      </c>
      <c r="G30" s="124" t="s">
        <v>820</v>
      </c>
      <c r="H30" s="124" t="s">
        <v>841</v>
      </c>
      <c r="I30" s="124" t="s">
        <v>831</v>
      </c>
      <c r="J30" s="124" t="s">
        <v>804</v>
      </c>
      <c r="K30" s="188" t="s">
        <v>805</v>
      </c>
      <c r="L30" s="188" t="s">
        <v>806</v>
      </c>
      <c r="M30" s="179"/>
      <c r="R30" s="206">
        <f>IF(Input!O11="","",Input!O11)</f>
      </c>
      <c r="S30" s="177" t="e">
        <f>IF(OR(O6="",Input!O11=""),"",VLOOKUP($R30,pp40,O17,FALSE))</f>
        <v>#DIV/0!</v>
      </c>
      <c r="T30" s="140" t="e">
        <f>IF(OR(P6="",Input!$O11=""),"",VLOOKUP($R30,pp40,P17,FALSE))</f>
        <v>#DIV/0!</v>
      </c>
      <c r="U30" s="178" t="e">
        <f>IF(OR(Q6="",Input!$O11=""),"",VLOOKUP($R30,pp40,Q17,FALSE))</f>
        <v>#DIV/0!</v>
      </c>
      <c r="W30" s="177" t="e">
        <f>IF(OR(O6="",Input!$O11=""),"",VLOOKUP($R30,pp200,O17,FALSE))</f>
        <v>#DIV/0!</v>
      </c>
      <c r="X30" s="140" t="e">
        <f>IF(OR(P6="",Input!$O11=""),"",VLOOKUP($R30,pp200,P17,FALSE))</f>
        <v>#DIV/0!</v>
      </c>
      <c r="Y30" s="178" t="e">
        <f>IF(OR(Q6="",Input!$O11=""),"",VLOOKUP($R30,pp200,Q17,FALSE))</f>
        <v>#DIV/0!</v>
      </c>
      <c r="Z30" s="140"/>
      <c r="AA30" s="140"/>
      <c r="AB30" s="140"/>
      <c r="AC30" s="140"/>
      <c r="AD30" s="140"/>
      <c r="AE30" s="140"/>
    </row>
    <row r="31" spans="1:31" ht="12.75">
      <c r="A31" s="179" t="s">
        <v>590</v>
      </c>
      <c r="B31" s="124" t="s">
        <v>850</v>
      </c>
      <c r="C31" s="124" t="s">
        <v>808</v>
      </c>
      <c r="D31" s="124" t="s">
        <v>809</v>
      </c>
      <c r="E31" s="124" t="s">
        <v>810</v>
      </c>
      <c r="F31" s="124" t="s">
        <v>839</v>
      </c>
      <c r="G31" s="124" t="s">
        <v>812</v>
      </c>
      <c r="H31" s="124" t="s">
        <v>841</v>
      </c>
      <c r="I31" s="124" t="s">
        <v>814</v>
      </c>
      <c r="J31" s="124" t="s">
        <v>804</v>
      </c>
      <c r="K31" s="188" t="s">
        <v>805</v>
      </c>
      <c r="L31" s="188" t="s">
        <v>806</v>
      </c>
      <c r="M31" s="179"/>
      <c r="R31" s="206">
        <f>IF(Input!O12="","",Input!O12)</f>
      </c>
      <c r="S31" s="177" t="e">
        <f>IF(OR(O7="",Input!O12=""),"",VLOOKUP($R31,pp40,O18,FALSE))</f>
        <v>#DIV/0!</v>
      </c>
      <c r="T31" s="140" t="e">
        <f>IF(OR(P7="",Input!$O12=""),"",VLOOKUP($R31,pp40,P18,FALSE))</f>
        <v>#DIV/0!</v>
      </c>
      <c r="U31" s="178" t="e">
        <f>IF(OR(Q7="",Input!$O12=""),"",VLOOKUP($R31,pp40,Q18,FALSE))</f>
        <v>#DIV/0!</v>
      </c>
      <c r="W31" s="177" t="e">
        <f>IF(OR(O7="",Input!$O12=""),"",VLOOKUP($R31,pp200,O18,FALSE))</f>
        <v>#DIV/0!</v>
      </c>
      <c r="X31" s="140" t="e">
        <f>IF(OR(P7="",Input!$O12=""),"",VLOOKUP($R31,pp200,P18,FALSE))</f>
        <v>#DIV/0!</v>
      </c>
      <c r="Y31" s="178" t="e">
        <f>IF(OR(Q7="",Input!$O12=""),"",VLOOKUP($R31,pp200,Q18,FALSE))</f>
        <v>#DIV/0!</v>
      </c>
      <c r="Z31" s="140"/>
      <c r="AA31" s="140"/>
      <c r="AB31" s="140"/>
      <c r="AC31" s="140"/>
      <c r="AD31" s="140"/>
      <c r="AE31" s="140"/>
    </row>
    <row r="32" spans="1:31" ht="12.75">
      <c r="A32" s="179" t="s">
        <v>546</v>
      </c>
      <c r="B32" s="124" t="s">
        <v>798</v>
      </c>
      <c r="C32" s="124" t="s">
        <v>799</v>
      </c>
      <c r="D32" s="124" t="s">
        <v>818</v>
      </c>
      <c r="E32" s="124" t="s">
        <v>825</v>
      </c>
      <c r="F32" s="124" t="s">
        <v>820</v>
      </c>
      <c r="G32" s="124" t="s">
        <v>802</v>
      </c>
      <c r="H32" s="124" t="s">
        <v>841</v>
      </c>
      <c r="I32" s="124" t="s">
        <v>814</v>
      </c>
      <c r="J32" s="188" t="s">
        <v>815</v>
      </c>
      <c r="K32" s="188" t="s">
        <v>805</v>
      </c>
      <c r="L32" s="188" t="s">
        <v>806</v>
      </c>
      <c r="M32" s="179"/>
      <c r="R32" s="206">
        <f>IF(Input!O13="","",Input!O13)</f>
      </c>
      <c r="S32" s="177" t="e">
        <f>IF(OR(O8="",Input!O13=""),"",VLOOKUP($R32,pp40,O19,FALSE))</f>
        <v>#DIV/0!</v>
      </c>
      <c r="T32" s="140" t="e">
        <f>IF(OR(P8="",Input!$O13=""),"",VLOOKUP($R32,pp40,P19,FALSE))</f>
        <v>#DIV/0!</v>
      </c>
      <c r="U32" s="178" t="e">
        <f>IF(OR(Q8="",Input!$O13=""),"",VLOOKUP($R32,pp40,Q19,FALSE))</f>
        <v>#DIV/0!</v>
      </c>
      <c r="W32" s="177" t="e">
        <f>IF(OR(O8="",Input!$O13=""),"",VLOOKUP($R32,pp200,O19,FALSE))</f>
        <v>#DIV/0!</v>
      </c>
      <c r="X32" s="140" t="e">
        <f>IF(OR(P8="",Input!$O13=""),"",VLOOKUP($R32,pp200,P19,FALSE))</f>
        <v>#DIV/0!</v>
      </c>
      <c r="Y32" s="178" t="e">
        <f>IF(OR(Q8="",Input!$O13=""),"",VLOOKUP($R32,pp200,Q19,FALSE))</f>
        <v>#DIV/0!</v>
      </c>
      <c r="Z32" s="140"/>
      <c r="AA32" s="140"/>
      <c r="AB32" s="140"/>
      <c r="AC32" s="140"/>
      <c r="AD32" s="140"/>
      <c r="AE32" s="140"/>
    </row>
    <row r="33" spans="1:31" ht="12.75">
      <c r="A33" s="179" t="s">
        <v>578</v>
      </c>
      <c r="B33" s="124" t="s">
        <v>847</v>
      </c>
      <c r="C33" s="124" t="s">
        <v>809</v>
      </c>
      <c r="D33" s="124" t="s">
        <v>819</v>
      </c>
      <c r="E33" s="124" t="s">
        <v>820</v>
      </c>
      <c r="F33" s="124" t="s">
        <v>812</v>
      </c>
      <c r="G33" s="124" t="s">
        <v>813</v>
      </c>
      <c r="H33" s="124" t="s">
        <v>803</v>
      </c>
      <c r="I33" s="124" t="s">
        <v>814</v>
      </c>
      <c r="J33" s="188" t="s">
        <v>815</v>
      </c>
      <c r="K33" s="188" t="s">
        <v>805</v>
      </c>
      <c r="L33" s="188" t="s">
        <v>806</v>
      </c>
      <c r="M33" s="179"/>
      <c r="R33" s="206">
        <f>IF(Input!O14="","",Input!O14)</f>
      </c>
      <c r="S33" s="177" t="e">
        <f>IF(OR(O9="",Input!O14=""),"",VLOOKUP($R33,pp40,O20,FALSE))</f>
        <v>#DIV/0!</v>
      </c>
      <c r="T33" s="140" t="e">
        <f>IF(OR(P9="",Input!$O14=""),"",VLOOKUP($R33,pp40,P20,FALSE))</f>
        <v>#DIV/0!</v>
      </c>
      <c r="U33" s="178" t="e">
        <f>IF(OR(Q9="",Input!$O14=""),"",VLOOKUP($R33,pp40,Q20,FALSE))</f>
        <v>#DIV/0!</v>
      </c>
      <c r="W33" s="177" t="e">
        <f>IF(OR(O9="",Input!$O14=""),"",VLOOKUP($R33,pp200,O20,FALSE))</f>
        <v>#DIV/0!</v>
      </c>
      <c r="X33" s="140" t="e">
        <f>IF(OR(P9="",Input!$O14=""),"",VLOOKUP($R33,pp200,P20,FALSE))</f>
        <v>#DIV/0!</v>
      </c>
      <c r="Y33" s="178" t="e">
        <f>IF(OR(Q9="",Input!$O14=""),"",VLOOKUP($R33,pp200,Q20,FALSE))</f>
        <v>#DIV/0!</v>
      </c>
      <c r="Z33" s="140"/>
      <c r="AA33" s="140"/>
      <c r="AB33" s="140"/>
      <c r="AC33" s="140"/>
      <c r="AD33" s="140"/>
      <c r="AE33" s="140"/>
    </row>
    <row r="34" spans="1:31" ht="12.75">
      <c r="A34" s="179" t="s">
        <v>641</v>
      </c>
      <c r="B34" s="124" t="s">
        <v>810</v>
      </c>
      <c r="C34" s="124" t="s">
        <v>811</v>
      </c>
      <c r="D34" s="124" t="s">
        <v>820</v>
      </c>
      <c r="E34" s="124" t="s">
        <v>812</v>
      </c>
      <c r="F34" s="124" t="s">
        <v>813</v>
      </c>
      <c r="G34" s="124" t="s">
        <v>803</v>
      </c>
      <c r="H34" s="124" t="s">
        <v>814</v>
      </c>
      <c r="I34" s="124" t="s">
        <v>804</v>
      </c>
      <c r="J34" s="188" t="s">
        <v>815</v>
      </c>
      <c r="K34" s="188" t="s">
        <v>805</v>
      </c>
      <c r="L34" s="188" t="s">
        <v>806</v>
      </c>
      <c r="M34" s="179"/>
      <c r="R34" s="206">
        <f>IF(Input!O15="","",Input!O15)</f>
      </c>
      <c r="S34" s="177" t="e">
        <f>IF(OR(O10="",Input!O15=""),"",VLOOKUP($R34,pp40,O21,FALSE))</f>
        <v>#DIV/0!</v>
      </c>
      <c r="T34" s="140" t="e">
        <f>IF(OR(P10="",Input!$O15=""),"",VLOOKUP($R34,pp40,P21,FALSE))</f>
        <v>#DIV/0!</v>
      </c>
      <c r="U34" s="178" t="e">
        <f>IF(OR(Q10="",Input!$O15=""),"",VLOOKUP($R34,pp40,Q21,FALSE))</f>
        <v>#DIV/0!</v>
      </c>
      <c r="W34" s="177" t="e">
        <f>IF(OR(O10="",Input!$O15=""),"",VLOOKUP($R34,pp200,O21,FALSE))</f>
        <v>#DIV/0!</v>
      </c>
      <c r="X34" s="140" t="e">
        <f>IF(OR(P10="",Input!$O15=""),"",VLOOKUP($R34,pp200,P21,FALSE))</f>
        <v>#DIV/0!</v>
      </c>
      <c r="Y34" s="178" t="e">
        <f>IF(OR(Q10="",Input!$O15=""),"",VLOOKUP($R34,pp200,Q21,FALSE))</f>
        <v>#DIV/0!</v>
      </c>
      <c r="Z34" s="140"/>
      <c r="AA34" s="140"/>
      <c r="AB34" s="140"/>
      <c r="AC34" s="140"/>
      <c r="AD34" s="140"/>
      <c r="AE34" s="140"/>
    </row>
    <row r="35" spans="1:31" ht="12.75">
      <c r="A35" s="179" t="s">
        <v>606</v>
      </c>
      <c r="B35" s="124" t="s">
        <v>851</v>
      </c>
      <c r="C35" s="124" t="s">
        <v>839</v>
      </c>
      <c r="D35" s="124" t="s">
        <v>812</v>
      </c>
      <c r="E35" s="124" t="s">
        <v>813</v>
      </c>
      <c r="F35" s="124" t="s">
        <v>821</v>
      </c>
      <c r="G35" s="124" t="s">
        <v>831</v>
      </c>
      <c r="H35" s="124" t="s">
        <v>814</v>
      </c>
      <c r="I35" s="124" t="s">
        <v>804</v>
      </c>
      <c r="J35" s="188" t="s">
        <v>815</v>
      </c>
      <c r="K35" s="188" t="s">
        <v>805</v>
      </c>
      <c r="L35" s="188" t="s">
        <v>806</v>
      </c>
      <c r="M35" s="179"/>
      <c r="R35" s="202">
        <f>IF(Input!O16="","",Input!O16)</f>
      </c>
      <c r="S35" s="186" t="e">
        <f>IF(OR(O11="",Input!O16=""),"",VLOOKUP($R35,pp40,O22,FALSE))</f>
        <v>#DIV/0!</v>
      </c>
      <c r="T35" s="139" t="e">
        <f>IF(OR(P11="",Input!$O16=""),"",VLOOKUP($R35,pp40,P22,FALSE))</f>
        <v>#DIV/0!</v>
      </c>
      <c r="U35" s="187" t="e">
        <f>IF(OR(Q11="",Input!$O16=""),"",VLOOKUP($R35,pp40,Q22,FALSE))</f>
        <v>#DIV/0!</v>
      </c>
      <c r="W35" s="186" t="e">
        <f>IF(OR(O11="",Input!$O16=""),"",VLOOKUP($R35,pp200,O22,FALSE))</f>
        <v>#DIV/0!</v>
      </c>
      <c r="X35" s="139" t="e">
        <f>IF(OR(P11="",Input!$O16=""),"",VLOOKUP($R35,pp200,P22,FALSE))</f>
        <v>#DIV/0!</v>
      </c>
      <c r="Y35" s="187" t="e">
        <f>IF(OR(Q11="",Input!$O16=""),"",VLOOKUP($R35,pp200,Q22,FALSE))</f>
        <v>#DIV/0!</v>
      </c>
      <c r="Z35" s="140"/>
      <c r="AA35" s="140"/>
      <c r="AB35" s="140"/>
      <c r="AC35" s="140"/>
      <c r="AD35" s="140"/>
      <c r="AE35" s="140"/>
    </row>
    <row r="36" spans="1:13" ht="12.75">
      <c r="A36" s="179" t="s">
        <v>602</v>
      </c>
      <c r="B36" s="124" t="s">
        <v>828</v>
      </c>
      <c r="C36" s="124" t="s">
        <v>852</v>
      </c>
      <c r="D36" s="124" t="s">
        <v>830</v>
      </c>
      <c r="E36" s="124" t="s">
        <v>813</v>
      </c>
      <c r="F36" s="124" t="s">
        <v>821</v>
      </c>
      <c r="G36" s="124" t="s">
        <v>831</v>
      </c>
      <c r="H36" s="124" t="s">
        <v>853</v>
      </c>
      <c r="I36" s="173" t="s">
        <v>815</v>
      </c>
      <c r="J36" s="188" t="s">
        <v>805</v>
      </c>
      <c r="K36" s="188" t="s">
        <v>806</v>
      </c>
      <c r="L36" s="188" t="s">
        <v>854</v>
      </c>
      <c r="M36" s="179"/>
    </row>
    <row r="37" spans="1:13" ht="12.75">
      <c r="A37" s="179" t="s">
        <v>591</v>
      </c>
      <c r="B37" s="124" t="s">
        <v>839</v>
      </c>
      <c r="C37" s="124" t="s">
        <v>829</v>
      </c>
      <c r="D37" s="124" t="s">
        <v>830</v>
      </c>
      <c r="E37" s="124" t="s">
        <v>813</v>
      </c>
      <c r="F37" s="124" t="s">
        <v>821</v>
      </c>
      <c r="G37" s="124" t="s">
        <v>831</v>
      </c>
      <c r="H37" s="124" t="s">
        <v>804</v>
      </c>
      <c r="I37" s="188" t="s">
        <v>815</v>
      </c>
      <c r="J37" s="188" t="s">
        <v>805</v>
      </c>
      <c r="K37" s="188" t="s">
        <v>806</v>
      </c>
      <c r="L37" s="188" t="s">
        <v>854</v>
      </c>
      <c r="M37" s="179"/>
    </row>
    <row r="38" spans="1:13" ht="12.75">
      <c r="A38" s="179" t="s">
        <v>608</v>
      </c>
      <c r="B38" s="124" t="s">
        <v>852</v>
      </c>
      <c r="C38" s="124" t="s">
        <v>855</v>
      </c>
      <c r="D38" s="124" t="s">
        <v>830</v>
      </c>
      <c r="E38" s="124" t="s">
        <v>856</v>
      </c>
      <c r="F38" s="124" t="s">
        <v>821</v>
      </c>
      <c r="G38" s="124" t="s">
        <v>831</v>
      </c>
      <c r="H38" s="124" t="s">
        <v>804</v>
      </c>
      <c r="I38" s="188" t="s">
        <v>815</v>
      </c>
      <c r="J38" s="188" t="s">
        <v>805</v>
      </c>
      <c r="K38" s="188" t="s">
        <v>806</v>
      </c>
      <c r="L38" s="188" t="s">
        <v>854</v>
      </c>
      <c r="M38" s="179"/>
    </row>
    <row r="39" spans="1:13" ht="12.75">
      <c r="A39" s="179" t="s">
        <v>636</v>
      </c>
      <c r="B39" s="124" t="s">
        <v>852</v>
      </c>
      <c r="C39" s="124" t="s">
        <v>855</v>
      </c>
      <c r="D39" s="124" t="s">
        <v>830</v>
      </c>
      <c r="E39" s="124" t="s">
        <v>821</v>
      </c>
      <c r="F39" s="124" t="s">
        <v>831</v>
      </c>
      <c r="G39" s="124" t="s">
        <v>814</v>
      </c>
      <c r="H39" s="124" t="s">
        <v>804</v>
      </c>
      <c r="I39" s="188" t="s">
        <v>815</v>
      </c>
      <c r="J39" s="188" t="s">
        <v>805</v>
      </c>
      <c r="K39" s="188" t="s">
        <v>806</v>
      </c>
      <c r="L39" s="188" t="s">
        <v>854</v>
      </c>
      <c r="M39" s="179"/>
    </row>
    <row r="40" spans="1:12" ht="12.75">
      <c r="A40" s="179" t="s">
        <v>594</v>
      </c>
      <c r="B40" s="124" t="s">
        <v>813</v>
      </c>
      <c r="C40" s="124" t="s">
        <v>821</v>
      </c>
      <c r="D40" s="124" t="s">
        <v>803</v>
      </c>
      <c r="E40" s="124" t="s">
        <v>831</v>
      </c>
      <c r="F40" s="124" t="s">
        <v>853</v>
      </c>
      <c r="G40" s="124" t="s">
        <v>804</v>
      </c>
      <c r="H40" s="188" t="s">
        <v>815</v>
      </c>
      <c r="I40" s="188" t="s">
        <v>815</v>
      </c>
      <c r="J40" s="188" t="s">
        <v>805</v>
      </c>
      <c r="K40" s="188" t="s">
        <v>806</v>
      </c>
      <c r="L40" s="188" t="s">
        <v>854</v>
      </c>
    </row>
    <row r="41" spans="1:12" ht="12.75">
      <c r="A41" s="179" t="s">
        <v>587</v>
      </c>
      <c r="B41" s="124" t="s">
        <v>857</v>
      </c>
      <c r="C41" s="124" t="s">
        <v>831</v>
      </c>
      <c r="D41" s="124" t="s">
        <v>858</v>
      </c>
      <c r="E41" s="124" t="s">
        <v>853</v>
      </c>
      <c r="F41" s="188" t="s">
        <v>859</v>
      </c>
      <c r="G41" s="188" t="s">
        <v>815</v>
      </c>
      <c r="H41" s="188" t="s">
        <v>815</v>
      </c>
      <c r="I41" s="188" t="s">
        <v>805</v>
      </c>
      <c r="J41" s="188" t="s">
        <v>806</v>
      </c>
      <c r="K41" s="188" t="s">
        <v>854</v>
      </c>
      <c r="L41" s="188" t="s">
        <v>854</v>
      </c>
    </row>
    <row r="42" spans="1:12" ht="12.75">
      <c r="A42" s="179" t="s">
        <v>600</v>
      </c>
      <c r="B42" s="124" t="s">
        <v>858</v>
      </c>
      <c r="C42" s="124" t="s">
        <v>853</v>
      </c>
      <c r="D42" s="124" t="s">
        <v>853</v>
      </c>
      <c r="E42" s="173" t="s">
        <v>859</v>
      </c>
      <c r="F42" s="188" t="s">
        <v>859</v>
      </c>
      <c r="G42" s="188" t="s">
        <v>815</v>
      </c>
      <c r="H42" s="188" t="s">
        <v>805</v>
      </c>
      <c r="I42" s="188" t="s">
        <v>805</v>
      </c>
      <c r="J42" s="188" t="s">
        <v>806</v>
      </c>
      <c r="K42" s="188" t="s">
        <v>854</v>
      </c>
      <c r="L42" s="188" t="s">
        <v>854</v>
      </c>
    </row>
    <row r="43" spans="1:12" ht="12.75">
      <c r="A43" s="179" t="s">
        <v>604</v>
      </c>
      <c r="B43" s="173" t="s">
        <v>860</v>
      </c>
      <c r="C43" s="173" t="s">
        <v>860</v>
      </c>
      <c r="D43" s="173" t="s">
        <v>805</v>
      </c>
      <c r="E43" s="188" t="s">
        <v>805</v>
      </c>
      <c r="F43" s="188" t="s">
        <v>805</v>
      </c>
      <c r="G43" s="188" t="s">
        <v>806</v>
      </c>
      <c r="H43" s="188" t="s">
        <v>806</v>
      </c>
      <c r="I43" s="188" t="s">
        <v>806</v>
      </c>
      <c r="J43" s="188" t="s">
        <v>854</v>
      </c>
      <c r="K43" s="188" t="s">
        <v>854</v>
      </c>
      <c r="L43" s="188" t="s">
        <v>854</v>
      </c>
    </row>
    <row r="44" spans="1:12" ht="12.75">
      <c r="A44" s="183" t="s">
        <v>552</v>
      </c>
      <c r="B44" s="173" t="s">
        <v>860</v>
      </c>
      <c r="C44" s="173" t="s">
        <v>860</v>
      </c>
      <c r="D44" s="173" t="s">
        <v>805</v>
      </c>
      <c r="E44" s="188" t="s">
        <v>805</v>
      </c>
      <c r="F44" s="188" t="s">
        <v>805</v>
      </c>
      <c r="G44" s="188" t="s">
        <v>806</v>
      </c>
      <c r="H44" s="188" t="s">
        <v>806</v>
      </c>
      <c r="I44" s="188" t="s">
        <v>806</v>
      </c>
      <c r="J44" s="188" t="s">
        <v>854</v>
      </c>
      <c r="K44" s="188" t="s">
        <v>854</v>
      </c>
      <c r="L44" s="188" t="s">
        <v>854</v>
      </c>
    </row>
    <row r="45" spans="1:12" ht="12.75">
      <c r="A45" s="183" t="s">
        <v>572</v>
      </c>
      <c r="B45" s="124" t="s">
        <v>813</v>
      </c>
      <c r="C45" s="124" t="s">
        <v>821</v>
      </c>
      <c r="D45" s="124" t="s">
        <v>803</v>
      </c>
      <c r="E45" s="124" t="s">
        <v>831</v>
      </c>
      <c r="F45" s="124" t="s">
        <v>853</v>
      </c>
      <c r="G45" s="124" t="s">
        <v>804</v>
      </c>
      <c r="H45" s="188" t="s">
        <v>815</v>
      </c>
      <c r="I45" s="188" t="s">
        <v>815</v>
      </c>
      <c r="J45" s="188" t="s">
        <v>805</v>
      </c>
      <c r="K45" s="188" t="s">
        <v>806</v>
      </c>
      <c r="L45" s="188" t="s">
        <v>854</v>
      </c>
    </row>
    <row r="46" spans="1:12" ht="12.75">
      <c r="A46" s="183" t="s">
        <v>596</v>
      </c>
      <c r="B46" s="124" t="s">
        <v>858</v>
      </c>
      <c r="C46" s="124" t="s">
        <v>853</v>
      </c>
      <c r="D46" s="124" t="s">
        <v>853</v>
      </c>
      <c r="E46" s="173" t="s">
        <v>859</v>
      </c>
      <c r="F46" s="188" t="s">
        <v>859</v>
      </c>
      <c r="G46" s="188" t="s">
        <v>815</v>
      </c>
      <c r="H46" s="188" t="s">
        <v>805</v>
      </c>
      <c r="I46" s="188" t="s">
        <v>805</v>
      </c>
      <c r="J46" s="188" t="s">
        <v>806</v>
      </c>
      <c r="K46" s="188" t="s">
        <v>854</v>
      </c>
      <c r="L46" s="188" t="s">
        <v>854</v>
      </c>
    </row>
    <row r="47" spans="1:12" ht="12.75">
      <c r="A47" s="183" t="s">
        <v>598</v>
      </c>
      <c r="B47" s="124" t="s">
        <v>855</v>
      </c>
      <c r="C47" s="124" t="s">
        <v>856</v>
      </c>
      <c r="D47" s="124" t="s">
        <v>831</v>
      </c>
      <c r="E47" s="124" t="s">
        <v>831</v>
      </c>
      <c r="F47" s="124" t="s">
        <v>853</v>
      </c>
      <c r="G47" s="124" t="s">
        <v>804</v>
      </c>
      <c r="H47" s="173" t="s">
        <v>815</v>
      </c>
      <c r="I47" s="188" t="s">
        <v>805</v>
      </c>
      <c r="J47" s="188" t="s">
        <v>806</v>
      </c>
      <c r="K47" s="188" t="s">
        <v>854</v>
      </c>
      <c r="L47" s="188" t="s">
        <v>854</v>
      </c>
    </row>
  </sheetData>
  <mergeCells count="1">
    <mergeCell ref="O12:Q1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31"/>
  <dimension ref="A1:BJ188"/>
  <sheetViews>
    <sheetView zoomScale="80" zoomScaleNormal="80" workbookViewId="0" topLeftCell="E41">
      <selection activeCell="L37" sqref="L37"/>
    </sheetView>
  </sheetViews>
  <sheetFormatPr defaultColWidth="9.140625" defaultRowHeight="12.75"/>
  <cols>
    <col min="1" max="1" width="19.140625" style="0" customWidth="1"/>
    <col min="2" max="2" width="25.57421875" style="0" customWidth="1"/>
    <col min="3" max="3" width="24.7109375" style="0" customWidth="1"/>
    <col min="4" max="4" width="25.7109375" style="0" customWidth="1"/>
    <col min="5" max="5" width="13.8515625" style="0" customWidth="1"/>
    <col min="6" max="6" width="24.8515625" style="0" customWidth="1"/>
    <col min="7" max="7" width="11.421875" style="0" customWidth="1"/>
    <col min="9" max="9" width="13.7109375" style="0" customWidth="1"/>
    <col min="10" max="10" width="7.421875" style="0" customWidth="1"/>
    <col min="11" max="11" width="10.7109375" style="0" customWidth="1"/>
    <col min="12" max="12" width="11.28125" style="0" customWidth="1"/>
    <col min="13" max="13" width="10.28125" style="0" customWidth="1"/>
    <col min="15" max="15" width="13.140625" style="0" customWidth="1"/>
    <col min="22" max="22" width="11.28125" style="0" customWidth="1"/>
    <col min="28" max="28" width="11.00390625" style="0" customWidth="1"/>
    <col min="29" max="29" width="12.8515625" style="0" customWidth="1"/>
    <col min="30" max="30" width="10.8515625" style="0" customWidth="1"/>
    <col min="33" max="33" width="11.8515625" style="0" customWidth="1"/>
    <col min="38" max="38" width="4.7109375" style="0" customWidth="1"/>
    <col min="39" max="55" width="6.00390625" style="0" customWidth="1"/>
    <col min="56" max="56" width="6.8515625" style="0" customWidth="1"/>
    <col min="57" max="58" width="6.8515625" style="246" customWidth="1"/>
    <col min="59" max="62" width="9.140625" style="246" customWidth="1"/>
  </cols>
  <sheetData>
    <row r="1" spans="1:56" ht="12.7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row>
    <row r="2" spans="1:56" ht="14.25">
      <c r="A2" s="1056" t="s">
        <v>285</v>
      </c>
      <c r="B2" s="1056"/>
      <c r="C2" s="1056"/>
      <c r="D2" s="1056"/>
      <c r="E2" s="246"/>
      <c r="F2" s="246"/>
      <c r="G2" s="246"/>
      <c r="H2" s="246"/>
      <c r="I2" s="1056" t="s">
        <v>311</v>
      </c>
      <c r="J2" s="1056"/>
      <c r="K2" s="1056"/>
      <c r="L2" s="1056"/>
      <c r="M2" s="1056"/>
      <c r="N2" s="246"/>
      <c r="O2" s="1056" t="s">
        <v>328</v>
      </c>
      <c r="P2" s="1056"/>
      <c r="Q2" s="1056"/>
      <c r="R2" s="1056"/>
      <c r="S2" s="1056"/>
      <c r="T2" s="1056"/>
      <c r="U2" s="1056"/>
      <c r="V2" s="1056"/>
      <c r="W2" s="1056"/>
      <c r="X2" s="1056"/>
      <c r="Y2" s="246"/>
      <c r="Z2" s="1056" t="s">
        <v>340</v>
      </c>
      <c r="AA2" s="1056"/>
      <c r="AB2" s="1056"/>
      <c r="AC2" s="1056"/>
      <c r="AD2" s="1056"/>
      <c r="AE2" s="246"/>
      <c r="AF2" s="1056" t="s">
        <v>356</v>
      </c>
      <c r="AG2" s="1056"/>
      <c r="AH2" s="1056"/>
      <c r="AI2" s="1056"/>
      <c r="AJ2" s="1056"/>
      <c r="AK2" s="246"/>
      <c r="AL2" s="246"/>
      <c r="AM2" s="1056" t="s">
        <v>512</v>
      </c>
      <c r="AN2" s="1056"/>
      <c r="AO2" s="1056"/>
      <c r="AP2" s="1056"/>
      <c r="AQ2" s="1056"/>
      <c r="AR2" s="1056"/>
      <c r="AS2" s="1056"/>
      <c r="AT2" s="1056"/>
      <c r="AU2" s="1056"/>
      <c r="AV2" s="1056"/>
      <c r="AW2" s="1056"/>
      <c r="AX2" s="1056"/>
      <c r="AY2" s="1056"/>
      <c r="AZ2" s="1056"/>
      <c r="BA2" s="1056"/>
      <c r="BB2" s="1056"/>
      <c r="BC2" s="1056"/>
      <c r="BD2" s="246"/>
    </row>
    <row r="3" spans="1:56" ht="15" thickBot="1">
      <c r="A3" s="246"/>
      <c r="B3" s="246"/>
      <c r="C3" s="246"/>
      <c r="D3" s="246"/>
      <c r="E3" s="246"/>
      <c r="F3" s="246"/>
      <c r="G3" s="246"/>
      <c r="H3" s="246"/>
      <c r="I3" s="247" t="s">
        <v>320</v>
      </c>
      <c r="J3" s="246"/>
      <c r="K3" s="246"/>
      <c r="L3" s="246"/>
      <c r="M3" s="246"/>
      <c r="N3" s="246"/>
      <c r="O3" s="247" t="s">
        <v>329</v>
      </c>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row>
    <row r="4" spans="1:56" ht="19.5" customHeight="1" thickBot="1">
      <c r="A4" s="246"/>
      <c r="B4" s="1089" t="s">
        <v>861</v>
      </c>
      <c r="C4" s="1090"/>
      <c r="D4" s="1091"/>
      <c r="E4" s="246"/>
      <c r="F4" s="246"/>
      <c r="G4" s="246"/>
      <c r="H4" s="246"/>
      <c r="I4" s="246"/>
      <c r="J4" s="246"/>
      <c r="K4" s="246"/>
      <c r="L4" s="246"/>
      <c r="M4" s="246"/>
      <c r="N4" s="246"/>
      <c r="O4" s="246"/>
      <c r="P4" s="246"/>
      <c r="Q4" s="246"/>
      <c r="R4" s="246"/>
      <c r="S4" s="246"/>
      <c r="T4" s="246"/>
      <c r="U4" s="246"/>
      <c r="V4" s="246"/>
      <c r="W4" s="246"/>
      <c r="X4" s="246"/>
      <c r="Y4" s="246"/>
      <c r="Z4" s="247" t="s">
        <v>341</v>
      </c>
      <c r="AA4" s="246"/>
      <c r="AB4" s="246"/>
      <c r="AC4" s="246"/>
      <c r="AD4" s="246"/>
      <c r="AE4" s="246"/>
      <c r="AF4" s="247" t="s">
        <v>357</v>
      </c>
      <c r="AG4" s="257"/>
      <c r="AH4" s="257"/>
      <c r="AI4" s="257"/>
      <c r="AJ4" s="257"/>
      <c r="AK4" s="246"/>
      <c r="AL4" s="246"/>
      <c r="AM4" s="1122" t="s">
        <v>507</v>
      </c>
      <c r="AN4" s="1121" t="s">
        <v>506</v>
      </c>
      <c r="AO4" s="1121"/>
      <c r="AP4" s="1121"/>
      <c r="AQ4" s="1121"/>
      <c r="AR4" s="1121"/>
      <c r="AS4" s="1121"/>
      <c r="AT4" s="1121"/>
      <c r="AU4" s="1121"/>
      <c r="AV4" s="1121"/>
      <c r="AW4" s="1121"/>
      <c r="AX4" s="1121"/>
      <c r="AY4" s="1121"/>
      <c r="AZ4" s="1121"/>
      <c r="BA4" s="1121"/>
      <c r="BB4" s="1121"/>
      <c r="BC4" s="1121"/>
      <c r="BD4" s="246"/>
    </row>
    <row r="5" spans="1:56" ht="16.5" thickBot="1">
      <c r="A5" s="271" t="s">
        <v>862</v>
      </c>
      <c r="B5" s="336" t="s">
        <v>707</v>
      </c>
      <c r="C5" s="336" t="s">
        <v>863</v>
      </c>
      <c r="D5" s="316" t="s">
        <v>706</v>
      </c>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57"/>
      <c r="AG5" s="246"/>
      <c r="AH5" s="246"/>
      <c r="AI5" s="257"/>
      <c r="AJ5" s="257"/>
      <c r="AK5" s="246"/>
      <c r="AL5" s="246"/>
      <c r="AM5" s="1123"/>
      <c r="AN5" s="265">
        <v>0.5</v>
      </c>
      <c r="AO5" s="265">
        <v>1</v>
      </c>
      <c r="AP5" s="265">
        <v>2</v>
      </c>
      <c r="AQ5" s="265">
        <v>3</v>
      </c>
      <c r="AR5" s="265">
        <v>4</v>
      </c>
      <c r="AS5" s="265">
        <v>5</v>
      </c>
      <c r="AT5" s="265">
        <v>6</v>
      </c>
      <c r="AU5" s="265">
        <v>7</v>
      </c>
      <c r="AV5" s="265">
        <v>8</v>
      </c>
      <c r="AW5" s="265">
        <v>9</v>
      </c>
      <c r="AX5" s="265">
        <v>10</v>
      </c>
      <c r="AY5" s="265">
        <v>12</v>
      </c>
      <c r="AZ5" s="265">
        <v>14</v>
      </c>
      <c r="BA5" s="265">
        <v>16</v>
      </c>
      <c r="BB5" s="265">
        <v>18</v>
      </c>
      <c r="BC5" s="266">
        <v>20</v>
      </c>
      <c r="BD5" s="246"/>
    </row>
    <row r="6" spans="1:56" ht="56.25" customHeight="1" thickBot="1">
      <c r="A6" s="1092" t="s">
        <v>864</v>
      </c>
      <c r="B6" s="339" t="s">
        <v>865</v>
      </c>
      <c r="C6" s="340" t="s">
        <v>866</v>
      </c>
      <c r="D6" s="341" t="s">
        <v>867</v>
      </c>
      <c r="E6" s="246"/>
      <c r="F6" s="246"/>
      <c r="G6" s="246"/>
      <c r="H6" s="246"/>
      <c r="I6" s="246"/>
      <c r="J6" s="246"/>
      <c r="K6" s="246"/>
      <c r="L6" s="246"/>
      <c r="M6" s="246"/>
      <c r="N6" s="246"/>
      <c r="O6" s="246"/>
      <c r="P6" s="246"/>
      <c r="Q6" s="246"/>
      <c r="R6" s="246"/>
      <c r="S6" s="246"/>
      <c r="T6" s="246"/>
      <c r="U6" s="246"/>
      <c r="V6" s="246"/>
      <c r="W6" s="246"/>
      <c r="X6" s="246"/>
      <c r="Y6" s="246"/>
      <c r="Z6" s="1112" t="s">
        <v>342</v>
      </c>
      <c r="AA6" s="1113"/>
      <c r="AB6" s="252" t="s">
        <v>343</v>
      </c>
      <c r="AC6" s="252" t="s">
        <v>344</v>
      </c>
      <c r="AD6" s="258" t="s">
        <v>345</v>
      </c>
      <c r="AE6" s="246"/>
      <c r="AF6" s="259" t="s">
        <v>613</v>
      </c>
      <c r="AG6" s="260" t="s">
        <v>358</v>
      </c>
      <c r="AH6" s="246"/>
      <c r="AI6" s="246"/>
      <c r="AJ6" s="246"/>
      <c r="AK6" s="246"/>
      <c r="AL6" s="246"/>
      <c r="AM6" s="267">
        <v>0.2</v>
      </c>
      <c r="AN6" s="388">
        <v>0.2</v>
      </c>
      <c r="AO6" s="388">
        <v>0.2</v>
      </c>
      <c r="AP6" s="388">
        <v>0.2</v>
      </c>
      <c r="AQ6" s="388">
        <v>0.2</v>
      </c>
      <c r="AR6" s="388">
        <v>0.2</v>
      </c>
      <c r="AS6" s="388">
        <v>0.2</v>
      </c>
      <c r="AT6" s="388">
        <v>0.2</v>
      </c>
      <c r="AU6" s="388">
        <v>0.2</v>
      </c>
      <c r="AV6" s="388">
        <v>0.2</v>
      </c>
      <c r="AW6" s="388">
        <v>0.2</v>
      </c>
      <c r="AX6" s="388">
        <v>0.2</v>
      </c>
      <c r="AY6" s="388">
        <v>0.21</v>
      </c>
      <c r="AZ6" s="388">
        <v>0.21</v>
      </c>
      <c r="BA6" s="388">
        <v>0.21</v>
      </c>
      <c r="BB6" s="388">
        <v>0.21</v>
      </c>
      <c r="BC6" s="388">
        <v>0.21</v>
      </c>
      <c r="BD6" s="246"/>
    </row>
    <row r="7" spans="1:56" ht="41.25" customHeight="1" thickBot="1">
      <c r="A7" s="1093"/>
      <c r="B7" s="342" t="s">
        <v>868</v>
      </c>
      <c r="C7" s="337" t="s">
        <v>869</v>
      </c>
      <c r="D7" s="343" t="s">
        <v>870</v>
      </c>
      <c r="E7" s="246"/>
      <c r="F7" s="246"/>
      <c r="G7" s="246"/>
      <c r="H7" s="246"/>
      <c r="I7" s="246"/>
      <c r="J7" s="1103" t="s">
        <v>319</v>
      </c>
      <c r="K7" s="1096"/>
      <c r="L7" s="1096"/>
      <c r="M7" s="1097"/>
      <c r="N7" s="246"/>
      <c r="O7" s="1108" t="s">
        <v>313</v>
      </c>
      <c r="P7" s="1096" t="s">
        <v>509</v>
      </c>
      <c r="Q7" s="1096"/>
      <c r="R7" s="1096"/>
      <c r="S7" s="1096"/>
      <c r="T7" s="1096"/>
      <c r="U7" s="1096"/>
      <c r="V7" s="1096"/>
      <c r="W7" s="1096"/>
      <c r="X7" s="1097"/>
      <c r="Y7" s="246"/>
      <c r="Z7" s="1114" t="s">
        <v>346</v>
      </c>
      <c r="AA7" s="1115"/>
      <c r="AB7" s="231" t="s">
        <v>349</v>
      </c>
      <c r="AC7" s="232" t="s">
        <v>352</v>
      </c>
      <c r="AD7" s="233" t="s">
        <v>354</v>
      </c>
      <c r="AE7" s="246"/>
      <c r="AF7" s="231">
        <v>35</v>
      </c>
      <c r="AG7" s="233" t="s">
        <v>360</v>
      </c>
      <c r="AH7" s="246"/>
      <c r="AI7" s="246"/>
      <c r="AJ7" s="246"/>
      <c r="AK7" s="246"/>
      <c r="AL7" s="246"/>
      <c r="AM7" s="267">
        <v>0.4</v>
      </c>
      <c r="AN7" s="388">
        <v>0.4</v>
      </c>
      <c r="AO7" s="388">
        <v>0.4</v>
      </c>
      <c r="AP7" s="388">
        <v>0.39</v>
      </c>
      <c r="AQ7" s="388">
        <v>0.39</v>
      </c>
      <c r="AR7" s="388">
        <v>0.38</v>
      </c>
      <c r="AS7" s="388">
        <v>0.38</v>
      </c>
      <c r="AT7" s="388">
        <v>0.37</v>
      </c>
      <c r="AU7" s="388">
        <v>0.37</v>
      </c>
      <c r="AV7" s="388">
        <v>0.36</v>
      </c>
      <c r="AW7" s="388">
        <v>0.36</v>
      </c>
      <c r="AX7" s="388">
        <v>0.36</v>
      </c>
      <c r="AY7" s="388">
        <v>0.35</v>
      </c>
      <c r="AZ7" s="388">
        <v>0.34</v>
      </c>
      <c r="BA7" s="388">
        <v>0.33</v>
      </c>
      <c r="BB7" s="388">
        <v>0.33</v>
      </c>
      <c r="BC7" s="388">
        <v>0.32</v>
      </c>
      <c r="BD7" s="246"/>
    </row>
    <row r="8" spans="1:56" ht="42" customHeight="1" thickBot="1">
      <c r="A8" s="1093"/>
      <c r="B8" s="342" t="s">
        <v>871</v>
      </c>
      <c r="C8" s="337" t="s">
        <v>872</v>
      </c>
      <c r="D8" s="343" t="s">
        <v>873</v>
      </c>
      <c r="E8" s="246"/>
      <c r="F8" s="246"/>
      <c r="G8" s="246"/>
      <c r="H8" s="246"/>
      <c r="I8" s="251" t="s">
        <v>314</v>
      </c>
      <c r="J8" s="249" t="s">
        <v>315</v>
      </c>
      <c r="K8" s="252" t="s">
        <v>316</v>
      </c>
      <c r="L8" s="252" t="s">
        <v>317</v>
      </c>
      <c r="M8" s="250" t="s">
        <v>318</v>
      </c>
      <c r="N8" s="246"/>
      <c r="O8" s="1109"/>
      <c r="P8" s="1096" t="s">
        <v>315</v>
      </c>
      <c r="Q8" s="1096"/>
      <c r="R8" s="1096" t="s">
        <v>333</v>
      </c>
      <c r="S8" s="1096"/>
      <c r="T8" s="1096" t="s">
        <v>335</v>
      </c>
      <c r="U8" s="1096"/>
      <c r="V8" s="958" t="s">
        <v>334</v>
      </c>
      <c r="W8" s="958" t="s">
        <v>336</v>
      </c>
      <c r="X8" s="1074" t="s">
        <v>330</v>
      </c>
      <c r="Y8" s="246"/>
      <c r="Z8" s="1116" t="s">
        <v>347</v>
      </c>
      <c r="AA8" s="1117"/>
      <c r="AB8" s="254" t="s">
        <v>350</v>
      </c>
      <c r="AC8" s="24" t="s">
        <v>353</v>
      </c>
      <c r="AD8" s="255" t="s">
        <v>355</v>
      </c>
      <c r="AE8" s="246"/>
      <c r="AF8" s="254">
        <v>40</v>
      </c>
      <c r="AG8" s="255" t="s">
        <v>361</v>
      </c>
      <c r="AH8" s="246"/>
      <c r="AI8" s="246"/>
      <c r="AJ8" s="246"/>
      <c r="AK8" s="246"/>
      <c r="AL8" s="246"/>
      <c r="AM8" s="267">
        <v>0.6</v>
      </c>
      <c r="AN8" s="388">
        <v>0.59</v>
      </c>
      <c r="AO8" s="388">
        <v>0.58</v>
      </c>
      <c r="AP8" s="388">
        <v>0.57</v>
      </c>
      <c r="AQ8" s="388">
        <v>0.55</v>
      </c>
      <c r="AR8" s="388">
        <v>0.54</v>
      </c>
      <c r="AS8" s="388">
        <v>0.53</v>
      </c>
      <c r="AT8" s="388">
        <v>0.52</v>
      </c>
      <c r="AU8" s="388">
        <v>0.5</v>
      </c>
      <c r="AV8" s="388">
        <v>0.49</v>
      </c>
      <c r="AW8" s="388">
        <v>0.48</v>
      </c>
      <c r="AX8" s="388">
        <v>0.47</v>
      </c>
      <c r="AY8" s="388">
        <v>0.45</v>
      </c>
      <c r="AZ8" s="388">
        <v>0.43</v>
      </c>
      <c r="BA8" s="388">
        <v>0.42</v>
      </c>
      <c r="BB8" s="388">
        <v>0.4</v>
      </c>
      <c r="BC8" s="388">
        <v>0.39</v>
      </c>
      <c r="BD8" s="246"/>
    </row>
    <row r="9" spans="1:56" ht="42" customHeight="1" thickBot="1">
      <c r="A9" s="1093"/>
      <c r="B9" s="344"/>
      <c r="C9" s="345" t="s">
        <v>874</v>
      </c>
      <c r="D9" s="346" t="s">
        <v>0</v>
      </c>
      <c r="E9" s="246"/>
      <c r="F9" s="246"/>
      <c r="G9" s="246"/>
      <c r="H9" s="246"/>
      <c r="I9" s="253" t="s">
        <v>321</v>
      </c>
      <c r="J9" s="231" t="s">
        <v>707</v>
      </c>
      <c r="K9" s="232" t="s">
        <v>707</v>
      </c>
      <c r="L9" s="232" t="s">
        <v>326</v>
      </c>
      <c r="M9" s="233" t="s">
        <v>326</v>
      </c>
      <c r="N9" s="246"/>
      <c r="O9" s="1109"/>
      <c r="P9" s="275" t="s">
        <v>331</v>
      </c>
      <c r="Q9" s="252" t="s">
        <v>332</v>
      </c>
      <c r="R9" s="252" t="s">
        <v>331</v>
      </c>
      <c r="S9" s="252" t="s">
        <v>332</v>
      </c>
      <c r="T9" s="252" t="s">
        <v>331</v>
      </c>
      <c r="U9" s="258" t="s">
        <v>332</v>
      </c>
      <c r="V9" s="1107"/>
      <c r="W9" s="1107"/>
      <c r="X9" s="1106"/>
      <c r="Y9" s="246"/>
      <c r="Z9" s="1118" t="s">
        <v>348</v>
      </c>
      <c r="AA9" s="1119"/>
      <c r="AB9" s="234" t="s">
        <v>351</v>
      </c>
      <c r="AC9" s="235" t="s">
        <v>351</v>
      </c>
      <c r="AD9" s="236" t="s">
        <v>351</v>
      </c>
      <c r="AE9" s="246"/>
      <c r="AF9" s="254">
        <v>45</v>
      </c>
      <c r="AG9" s="255" t="s">
        <v>362</v>
      </c>
      <c r="AH9" s="246"/>
      <c r="AI9" s="246"/>
      <c r="AJ9" s="246"/>
      <c r="AK9" s="246"/>
      <c r="AL9" s="246"/>
      <c r="AM9" s="267">
        <v>0.8</v>
      </c>
      <c r="AN9" s="388">
        <v>0.78</v>
      </c>
      <c r="AO9" s="388">
        <v>0.77</v>
      </c>
      <c r="AP9" s="388">
        <v>0.74</v>
      </c>
      <c r="AQ9" s="388">
        <v>0.71</v>
      </c>
      <c r="AR9" s="388">
        <v>0.68</v>
      </c>
      <c r="AS9" s="388">
        <v>0.66</v>
      </c>
      <c r="AT9" s="388">
        <v>0.64</v>
      </c>
      <c r="AU9" s="388">
        <v>0.62</v>
      </c>
      <c r="AV9" s="388">
        <v>0.6</v>
      </c>
      <c r="AW9" s="388">
        <v>0.58</v>
      </c>
      <c r="AX9" s="388">
        <v>0.56</v>
      </c>
      <c r="AY9" s="388">
        <v>0.53</v>
      </c>
      <c r="AZ9" s="388">
        <v>0.5</v>
      </c>
      <c r="BA9" s="388">
        <v>0.48</v>
      </c>
      <c r="BB9" s="388">
        <v>0.46</v>
      </c>
      <c r="BC9" s="388">
        <v>0.43</v>
      </c>
      <c r="BD9" s="246"/>
    </row>
    <row r="10" spans="1:56" ht="30.75" customHeight="1" thickBot="1">
      <c r="A10" s="335" t="s">
        <v>286</v>
      </c>
      <c r="B10" s="348" t="s">
        <v>1</v>
      </c>
      <c r="C10" s="349" t="s">
        <v>2</v>
      </c>
      <c r="D10" s="350" t="s">
        <v>3</v>
      </c>
      <c r="E10" s="246"/>
      <c r="F10" s="246"/>
      <c r="G10" s="246"/>
      <c r="H10" s="246"/>
      <c r="I10" s="253" t="s">
        <v>322</v>
      </c>
      <c r="J10" s="254" t="s">
        <v>863</v>
      </c>
      <c r="K10" s="24" t="s">
        <v>863</v>
      </c>
      <c r="L10" s="24" t="s">
        <v>707</v>
      </c>
      <c r="M10" s="255" t="s">
        <v>707</v>
      </c>
      <c r="N10" s="246"/>
      <c r="O10" s="1109"/>
      <c r="P10" s="1110" t="s">
        <v>510</v>
      </c>
      <c r="Q10" s="1073"/>
      <c r="R10" s="1073"/>
      <c r="S10" s="1073"/>
      <c r="T10" s="1073"/>
      <c r="U10" s="1073"/>
      <c r="V10" s="1073"/>
      <c r="W10" s="1073"/>
      <c r="X10" s="1074"/>
      <c r="Y10" s="246"/>
      <c r="Z10" s="246"/>
      <c r="AA10" s="246"/>
      <c r="AB10" s="246"/>
      <c r="AC10" s="246"/>
      <c r="AD10" s="246"/>
      <c r="AE10" s="246"/>
      <c r="AF10" s="254">
        <v>50</v>
      </c>
      <c r="AG10" s="255" t="s">
        <v>363</v>
      </c>
      <c r="AH10" s="246"/>
      <c r="AI10" s="246"/>
      <c r="AJ10" s="246"/>
      <c r="AK10" s="246"/>
      <c r="AL10" s="246"/>
      <c r="AM10" s="267">
        <v>1</v>
      </c>
      <c r="AN10" s="388">
        <v>0.97</v>
      </c>
      <c r="AO10" s="388">
        <v>0.95</v>
      </c>
      <c r="AP10" s="388">
        <v>0.9</v>
      </c>
      <c r="AQ10" s="388">
        <v>0.85</v>
      </c>
      <c r="AR10" s="388">
        <v>0.81</v>
      </c>
      <c r="AS10" s="388">
        <v>0.78</v>
      </c>
      <c r="AT10" s="388">
        <v>0.75</v>
      </c>
      <c r="AU10" s="388">
        <v>0.72</v>
      </c>
      <c r="AV10" s="388">
        <v>0.69</v>
      </c>
      <c r="AW10" s="388">
        <v>0.66</v>
      </c>
      <c r="AX10" s="388">
        <v>0.64</v>
      </c>
      <c r="AY10" s="388">
        <v>0.59</v>
      </c>
      <c r="AZ10" s="388">
        <v>0.56</v>
      </c>
      <c r="BA10" s="388">
        <v>0.52</v>
      </c>
      <c r="BB10" s="388">
        <v>0.49</v>
      </c>
      <c r="BC10" s="388">
        <v>0.47</v>
      </c>
      <c r="BD10" s="246"/>
    </row>
    <row r="11" spans="1:56" ht="36.75" customHeight="1" thickBot="1">
      <c r="A11" s="335" t="s">
        <v>287</v>
      </c>
      <c r="B11" s="348" t="s">
        <v>4</v>
      </c>
      <c r="C11" s="354" t="s">
        <v>5</v>
      </c>
      <c r="D11" s="350" t="s">
        <v>6</v>
      </c>
      <c r="E11" s="246"/>
      <c r="F11" s="246"/>
      <c r="G11" s="246"/>
      <c r="H11" s="246"/>
      <c r="I11" s="253" t="s">
        <v>323</v>
      </c>
      <c r="J11" s="254" t="s">
        <v>863</v>
      </c>
      <c r="K11" s="24" t="s">
        <v>863</v>
      </c>
      <c r="L11" s="24" t="s">
        <v>863</v>
      </c>
      <c r="M11" s="255" t="s">
        <v>863</v>
      </c>
      <c r="N11" s="246"/>
      <c r="O11" s="276" t="s">
        <v>60</v>
      </c>
      <c r="P11" s="279">
        <v>2</v>
      </c>
      <c r="Q11" s="279">
        <v>1.9</v>
      </c>
      <c r="R11" s="279">
        <v>1.6</v>
      </c>
      <c r="S11" s="279">
        <v>1.5</v>
      </c>
      <c r="T11" s="279">
        <v>1.5</v>
      </c>
      <c r="U11" s="279">
        <v>1.4</v>
      </c>
      <c r="V11" s="279">
        <v>1.4</v>
      </c>
      <c r="W11" s="279">
        <v>1.4</v>
      </c>
      <c r="X11" s="1124" t="s">
        <v>337</v>
      </c>
      <c r="Y11" s="246"/>
      <c r="Z11" s="246"/>
      <c r="AA11" s="246"/>
      <c r="AB11" s="246"/>
      <c r="AC11" s="246"/>
      <c r="AD11" s="246"/>
      <c r="AE11" s="246"/>
      <c r="AF11" s="254">
        <v>55</v>
      </c>
      <c r="AG11" s="255" t="s">
        <v>364</v>
      </c>
      <c r="AH11" s="246"/>
      <c r="AI11" s="246"/>
      <c r="AJ11" s="246"/>
      <c r="AK11" s="246"/>
      <c r="AL11" s="246"/>
      <c r="AM11" s="267">
        <v>1.05</v>
      </c>
      <c r="AN11" s="388">
        <v>1.02</v>
      </c>
      <c r="AO11" s="388">
        <v>0.99</v>
      </c>
      <c r="AP11" s="388">
        <v>0.94</v>
      </c>
      <c r="AQ11" s="388">
        <v>0.89</v>
      </c>
      <c r="AR11" s="388">
        <v>0.85</v>
      </c>
      <c r="AS11" s="388">
        <v>0.81</v>
      </c>
      <c r="AT11" s="388">
        <v>0.77</v>
      </c>
      <c r="AU11" s="388">
        <v>0.74</v>
      </c>
      <c r="AV11" s="388">
        <v>0.71</v>
      </c>
      <c r="AW11" s="388">
        <v>0.68</v>
      </c>
      <c r="AX11" s="388">
        <v>0.65</v>
      </c>
      <c r="AY11" s="388">
        <v>0.61</v>
      </c>
      <c r="AZ11" s="388">
        <v>0.57</v>
      </c>
      <c r="BA11" s="388">
        <v>0.53</v>
      </c>
      <c r="BB11" s="388">
        <v>0.5</v>
      </c>
      <c r="BC11" s="388">
        <v>0.47</v>
      </c>
      <c r="BD11" s="246"/>
    </row>
    <row r="12" spans="1:56" ht="30.75" customHeight="1" thickBot="1">
      <c r="A12" s="347" t="s">
        <v>288</v>
      </c>
      <c r="B12" s="351" t="s">
        <v>7</v>
      </c>
      <c r="C12" s="352" t="s">
        <v>8</v>
      </c>
      <c r="D12" s="353" t="s">
        <v>9</v>
      </c>
      <c r="E12" s="246"/>
      <c r="F12" s="246"/>
      <c r="G12" s="246"/>
      <c r="H12" s="246"/>
      <c r="I12" s="253" t="s">
        <v>324</v>
      </c>
      <c r="J12" s="254" t="s">
        <v>706</v>
      </c>
      <c r="K12" s="24" t="s">
        <v>706</v>
      </c>
      <c r="L12" s="24" t="s">
        <v>706</v>
      </c>
      <c r="M12" s="255" t="s">
        <v>706</v>
      </c>
      <c r="N12" s="246"/>
      <c r="O12" s="277" t="s">
        <v>706</v>
      </c>
      <c r="P12" s="279">
        <v>1.85</v>
      </c>
      <c r="Q12" s="279">
        <v>1.75</v>
      </c>
      <c r="R12" s="279">
        <v>1.5</v>
      </c>
      <c r="S12" s="279">
        <v>1.45</v>
      </c>
      <c r="T12" s="279">
        <v>1.45</v>
      </c>
      <c r="U12" s="279">
        <v>1.35</v>
      </c>
      <c r="V12" s="279">
        <v>1.35</v>
      </c>
      <c r="W12" s="279">
        <v>1.3</v>
      </c>
      <c r="X12" s="1125"/>
      <c r="Y12" s="246"/>
      <c r="Z12" s="246"/>
      <c r="AA12" s="246"/>
      <c r="AB12" s="246"/>
      <c r="AC12" s="246"/>
      <c r="AD12" s="246"/>
      <c r="AE12" s="246"/>
      <c r="AF12" s="254">
        <v>60</v>
      </c>
      <c r="AG12" s="255" t="s">
        <v>365</v>
      </c>
      <c r="AH12" s="246"/>
      <c r="AI12" s="246"/>
      <c r="AJ12" s="246"/>
      <c r="AK12" s="246"/>
      <c r="AL12" s="246"/>
      <c r="AM12" s="267">
        <v>1.1</v>
      </c>
      <c r="AN12" s="388">
        <v>1.07</v>
      </c>
      <c r="AO12" s="388">
        <v>1.03</v>
      </c>
      <c r="AP12" s="388">
        <v>0.97</v>
      </c>
      <c r="AQ12" s="388">
        <v>0.92</v>
      </c>
      <c r="AR12" s="388">
        <v>0.88</v>
      </c>
      <c r="AS12" s="388">
        <v>0.83</v>
      </c>
      <c r="AT12" s="388">
        <v>0.79</v>
      </c>
      <c r="AU12" s="388">
        <v>0.76</v>
      </c>
      <c r="AV12" s="388">
        <v>0.73</v>
      </c>
      <c r="AW12" s="388">
        <v>0.7</v>
      </c>
      <c r="AX12" s="388">
        <v>0.67</v>
      </c>
      <c r="AY12" s="388">
        <v>0.62</v>
      </c>
      <c r="AZ12" s="388">
        <v>0.58</v>
      </c>
      <c r="BA12" s="388">
        <v>0.54</v>
      </c>
      <c r="BB12" s="388">
        <v>0.51</v>
      </c>
      <c r="BC12" s="388">
        <v>0.48</v>
      </c>
      <c r="BD12" s="246"/>
    </row>
    <row r="13" spans="1:62" s="210" customFormat="1" ht="39.75" customHeight="1" thickBot="1">
      <c r="A13" s="1094" t="s">
        <v>10</v>
      </c>
      <c r="B13" s="1095"/>
      <c r="C13" s="1095"/>
      <c r="D13" s="1095"/>
      <c r="E13" s="257"/>
      <c r="F13" s="257"/>
      <c r="G13" s="257"/>
      <c r="H13" s="257"/>
      <c r="I13" s="256" t="s">
        <v>325</v>
      </c>
      <c r="J13" s="234" t="s">
        <v>60</v>
      </c>
      <c r="K13" s="235" t="s">
        <v>60</v>
      </c>
      <c r="L13" s="235" t="s">
        <v>60</v>
      </c>
      <c r="M13" s="236" t="s">
        <v>60</v>
      </c>
      <c r="N13" s="246"/>
      <c r="O13" s="277" t="s">
        <v>863</v>
      </c>
      <c r="P13" s="279">
        <v>1.75</v>
      </c>
      <c r="Q13" s="279">
        <v>1.65</v>
      </c>
      <c r="R13" s="279">
        <v>1.4</v>
      </c>
      <c r="S13" s="279">
        <v>1.3</v>
      </c>
      <c r="T13" s="279">
        <v>1.3</v>
      </c>
      <c r="U13" s="279">
        <v>1.3</v>
      </c>
      <c r="V13" s="279">
        <v>1.3</v>
      </c>
      <c r="W13" s="279">
        <v>1.25</v>
      </c>
      <c r="X13" s="1125"/>
      <c r="Y13" s="257"/>
      <c r="Z13" s="257"/>
      <c r="AA13" s="257"/>
      <c r="AB13" s="257"/>
      <c r="AC13" s="257"/>
      <c r="AD13" s="257"/>
      <c r="AE13" s="257"/>
      <c r="AF13" s="261">
        <v>65</v>
      </c>
      <c r="AG13" s="262" t="s">
        <v>366</v>
      </c>
      <c r="AH13" s="257"/>
      <c r="AI13" s="257"/>
      <c r="AJ13" s="257"/>
      <c r="AK13" s="257"/>
      <c r="AL13" s="257"/>
      <c r="AM13" s="267">
        <v>1.15</v>
      </c>
      <c r="AN13" s="388">
        <v>1.11</v>
      </c>
      <c r="AO13" s="388">
        <v>1.08</v>
      </c>
      <c r="AP13" s="388">
        <v>1.01</v>
      </c>
      <c r="AQ13" s="388">
        <v>0.96</v>
      </c>
      <c r="AR13" s="388">
        <v>0.9</v>
      </c>
      <c r="AS13" s="388">
        <v>0.86</v>
      </c>
      <c r="AT13" s="388">
        <v>0.82</v>
      </c>
      <c r="AU13" s="388">
        <v>0.78</v>
      </c>
      <c r="AV13" s="388">
        <v>0.74</v>
      </c>
      <c r="AW13" s="388">
        <v>0.71</v>
      </c>
      <c r="AX13" s="388">
        <v>0.68</v>
      </c>
      <c r="AY13" s="388">
        <v>0.63</v>
      </c>
      <c r="AZ13" s="388">
        <v>0.59</v>
      </c>
      <c r="BA13" s="388">
        <v>0.55</v>
      </c>
      <c r="BB13" s="388">
        <v>0.52</v>
      </c>
      <c r="BC13" s="388">
        <v>0.49</v>
      </c>
      <c r="BD13" s="257"/>
      <c r="BE13" s="257"/>
      <c r="BF13" s="257"/>
      <c r="BG13" s="257"/>
      <c r="BH13" s="257"/>
      <c r="BI13" s="257"/>
      <c r="BJ13" s="257"/>
    </row>
    <row r="14" spans="1:62" s="210" customFormat="1" ht="42.75" customHeight="1" thickBot="1">
      <c r="A14" s="1095" t="s">
        <v>11</v>
      </c>
      <c r="B14" s="1095"/>
      <c r="C14" s="1095"/>
      <c r="D14" s="1095"/>
      <c r="E14" s="257"/>
      <c r="F14" s="257"/>
      <c r="G14" s="257"/>
      <c r="H14" s="257"/>
      <c r="I14" s="1086" t="s">
        <v>508</v>
      </c>
      <c r="J14" s="1086"/>
      <c r="K14" s="1086"/>
      <c r="L14" s="1086"/>
      <c r="M14" s="1086"/>
      <c r="N14" s="257"/>
      <c r="O14" s="278" t="s">
        <v>707</v>
      </c>
      <c r="P14" s="279">
        <v>1.6</v>
      </c>
      <c r="Q14" s="279">
        <v>1.5</v>
      </c>
      <c r="R14" s="279">
        <v>1.3</v>
      </c>
      <c r="S14" s="279">
        <v>1.2</v>
      </c>
      <c r="T14" s="279">
        <v>1.15</v>
      </c>
      <c r="U14" s="279">
        <v>1.1</v>
      </c>
      <c r="V14" s="279">
        <v>1.1</v>
      </c>
      <c r="W14" s="279">
        <v>1.05</v>
      </c>
      <c r="X14" s="1126"/>
      <c r="Y14" s="257"/>
      <c r="Z14" s="257"/>
      <c r="AA14" s="257"/>
      <c r="AB14" s="257"/>
      <c r="AC14" s="257"/>
      <c r="AD14" s="257"/>
      <c r="AE14" s="257"/>
      <c r="AF14" s="261">
        <v>70</v>
      </c>
      <c r="AG14" s="262" t="s">
        <v>367</v>
      </c>
      <c r="AH14" s="257"/>
      <c r="AI14" s="257"/>
      <c r="AJ14" s="257"/>
      <c r="AK14" s="257"/>
      <c r="AL14" s="257"/>
      <c r="AM14" s="267">
        <v>1.2</v>
      </c>
      <c r="AN14" s="388">
        <v>1.16</v>
      </c>
      <c r="AO14" s="388">
        <v>1.12</v>
      </c>
      <c r="AP14" s="388">
        <v>1.05</v>
      </c>
      <c r="AQ14" s="388">
        <v>0.99</v>
      </c>
      <c r="AR14" s="388">
        <v>0.93</v>
      </c>
      <c r="AS14" s="388">
        <v>0.88</v>
      </c>
      <c r="AT14" s="388">
        <v>0.84</v>
      </c>
      <c r="AU14" s="388">
        <v>0.8</v>
      </c>
      <c r="AV14" s="388">
        <v>0.76</v>
      </c>
      <c r="AW14" s="388">
        <v>0.73</v>
      </c>
      <c r="AX14" s="388">
        <v>0.7</v>
      </c>
      <c r="AY14" s="388">
        <v>0.65</v>
      </c>
      <c r="AZ14" s="388">
        <v>0.6</v>
      </c>
      <c r="BA14" s="388">
        <v>0.56</v>
      </c>
      <c r="BB14" s="388">
        <v>0.52</v>
      </c>
      <c r="BC14" s="388">
        <v>0.49</v>
      </c>
      <c r="BD14" s="257"/>
      <c r="BE14" s="257"/>
      <c r="BF14" s="257"/>
      <c r="BG14" s="257"/>
      <c r="BH14" s="257"/>
      <c r="BI14" s="257"/>
      <c r="BJ14" s="257"/>
    </row>
    <row r="15" spans="1:56" ht="47.25" customHeight="1">
      <c r="A15" s="1095" t="s">
        <v>304</v>
      </c>
      <c r="B15" s="1095"/>
      <c r="C15" s="1095"/>
      <c r="D15" s="1095"/>
      <c r="E15" s="246"/>
      <c r="F15" s="246"/>
      <c r="G15" s="246"/>
      <c r="H15" s="246"/>
      <c r="I15" s="1111" t="s">
        <v>327</v>
      </c>
      <c r="J15" s="1111"/>
      <c r="K15" s="1111"/>
      <c r="L15" s="1111"/>
      <c r="M15" s="1111"/>
      <c r="N15" s="257"/>
      <c r="O15" s="1120" t="s">
        <v>338</v>
      </c>
      <c r="P15" s="1120"/>
      <c r="Q15" s="1120"/>
      <c r="R15" s="1120"/>
      <c r="S15" s="1120"/>
      <c r="T15" s="1120"/>
      <c r="U15" s="1120"/>
      <c r="V15" s="1120"/>
      <c r="W15" s="1120"/>
      <c r="X15" s="1120"/>
      <c r="Y15" s="246"/>
      <c r="Z15" s="246"/>
      <c r="AA15" s="246"/>
      <c r="AB15" s="246"/>
      <c r="AC15" s="246"/>
      <c r="AD15" s="246"/>
      <c r="AE15" s="246"/>
      <c r="AF15" s="254">
        <v>75</v>
      </c>
      <c r="AG15" s="255" t="s">
        <v>368</v>
      </c>
      <c r="AH15" s="246"/>
      <c r="AI15" s="246"/>
      <c r="AJ15" s="246"/>
      <c r="AK15" s="246"/>
      <c r="AL15" s="246"/>
      <c r="AM15" s="267">
        <v>1.25</v>
      </c>
      <c r="AN15" s="388">
        <v>1.2</v>
      </c>
      <c r="AO15" s="388">
        <v>1.16</v>
      </c>
      <c r="AP15" s="388">
        <v>1.09</v>
      </c>
      <c r="AQ15" s="388">
        <v>1.02</v>
      </c>
      <c r="AR15" s="388">
        <v>0.96</v>
      </c>
      <c r="AS15" s="388">
        <v>0.91</v>
      </c>
      <c r="AT15" s="388">
        <v>0.86</v>
      </c>
      <c r="AU15" s="388">
        <v>0.82</v>
      </c>
      <c r="AV15" s="388">
        <v>0.78</v>
      </c>
      <c r="AW15" s="388">
        <v>0.74</v>
      </c>
      <c r="AX15" s="388">
        <v>0.71</v>
      </c>
      <c r="AY15" s="388">
        <v>0.66</v>
      </c>
      <c r="AZ15" s="388">
        <v>0.61</v>
      </c>
      <c r="BA15" s="388">
        <v>0.57</v>
      </c>
      <c r="BB15" s="388">
        <v>0.53</v>
      </c>
      <c r="BC15" s="388">
        <v>0.5</v>
      </c>
      <c r="BD15" s="246"/>
    </row>
    <row r="16" spans="1:56" ht="46.5" customHeight="1" thickBot="1">
      <c r="A16" s="1095" t="s">
        <v>305</v>
      </c>
      <c r="B16" s="1095"/>
      <c r="C16" s="1095"/>
      <c r="D16" s="1095"/>
      <c r="E16" s="246"/>
      <c r="F16" s="246"/>
      <c r="G16" s="246"/>
      <c r="H16" s="246"/>
      <c r="I16" s="246"/>
      <c r="J16" s="246"/>
      <c r="K16" s="246"/>
      <c r="L16" s="246"/>
      <c r="M16" s="246"/>
      <c r="N16" s="246"/>
      <c r="O16" s="1098" t="s">
        <v>511</v>
      </c>
      <c r="P16" s="1098"/>
      <c r="Q16" s="1098"/>
      <c r="R16" s="1098"/>
      <c r="S16" s="1098"/>
      <c r="T16" s="1098"/>
      <c r="U16" s="1098"/>
      <c r="V16" s="1098"/>
      <c r="W16" s="1098"/>
      <c r="X16" s="1098"/>
      <c r="Y16" s="246"/>
      <c r="Z16" s="246"/>
      <c r="AA16" s="246"/>
      <c r="AB16" s="246"/>
      <c r="AC16" s="246"/>
      <c r="AD16" s="246"/>
      <c r="AE16" s="246"/>
      <c r="AF16" s="234" t="s">
        <v>359</v>
      </c>
      <c r="AG16" s="236" t="s">
        <v>368</v>
      </c>
      <c r="AH16" s="246"/>
      <c r="AI16" s="246"/>
      <c r="AJ16" s="246"/>
      <c r="AK16" s="246"/>
      <c r="AL16" s="246"/>
      <c r="AM16" s="267">
        <v>1.3</v>
      </c>
      <c r="AN16" s="388">
        <v>1.25</v>
      </c>
      <c r="AO16" s="388">
        <v>1.2</v>
      </c>
      <c r="AP16" s="388">
        <v>1.12</v>
      </c>
      <c r="AQ16" s="388">
        <v>1.05</v>
      </c>
      <c r="AR16" s="388">
        <v>0.99</v>
      </c>
      <c r="AS16" s="388">
        <v>0.93</v>
      </c>
      <c r="AT16" s="388">
        <v>0.88</v>
      </c>
      <c r="AU16" s="388">
        <v>0.84</v>
      </c>
      <c r="AV16" s="388">
        <v>0.8</v>
      </c>
      <c r="AW16" s="388">
        <v>0.76</v>
      </c>
      <c r="AX16" s="388">
        <v>0.73</v>
      </c>
      <c r="AY16" s="388">
        <v>0.67</v>
      </c>
      <c r="AZ16" s="388">
        <v>0.62</v>
      </c>
      <c r="BA16" s="388">
        <v>0.57</v>
      </c>
      <c r="BB16" s="388">
        <v>0.54</v>
      </c>
      <c r="BC16" s="388">
        <v>0.5</v>
      </c>
      <c r="BD16" s="246"/>
    </row>
    <row r="17" spans="1:56" ht="15" customHeight="1">
      <c r="A17" s="274"/>
      <c r="B17" s="274"/>
      <c r="C17" s="274"/>
      <c r="D17" s="274"/>
      <c r="E17" s="246"/>
      <c r="F17" s="246"/>
      <c r="G17" s="246"/>
      <c r="H17" s="246"/>
      <c r="I17" s="246"/>
      <c r="J17" s="246"/>
      <c r="K17" s="246"/>
      <c r="L17" s="246"/>
      <c r="M17" s="246"/>
      <c r="N17" s="246"/>
      <c r="O17" s="257" t="s">
        <v>339</v>
      </c>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67">
        <v>1.35</v>
      </c>
      <c r="AN17" s="388">
        <v>1.3</v>
      </c>
      <c r="AO17" s="388">
        <v>1.25</v>
      </c>
      <c r="AP17" s="388">
        <v>1.16</v>
      </c>
      <c r="AQ17" s="388">
        <v>1.08</v>
      </c>
      <c r="AR17" s="388">
        <v>1.01</v>
      </c>
      <c r="AS17" s="388">
        <v>0.95</v>
      </c>
      <c r="AT17" s="388">
        <v>0.9</v>
      </c>
      <c r="AU17" s="388">
        <v>0.85</v>
      </c>
      <c r="AV17" s="388">
        <v>0.81</v>
      </c>
      <c r="AW17" s="388">
        <v>0.77</v>
      </c>
      <c r="AX17" s="388">
        <v>0.74</v>
      </c>
      <c r="AY17" s="388">
        <v>0.68</v>
      </c>
      <c r="AZ17" s="388">
        <v>0.63</v>
      </c>
      <c r="BA17" s="388">
        <v>0.58</v>
      </c>
      <c r="BB17" s="388">
        <v>0.54</v>
      </c>
      <c r="BC17" s="388">
        <v>0.51</v>
      </c>
      <c r="BD17" s="246"/>
    </row>
    <row r="18" spans="1:56" ht="20.25" customHeight="1">
      <c r="A18" s="274"/>
      <c r="B18" s="274"/>
      <c r="C18" s="274"/>
      <c r="D18" s="274"/>
      <c r="E18" s="246"/>
      <c r="F18" s="246"/>
      <c r="G18" s="246"/>
      <c r="AL18" s="246"/>
      <c r="AM18" s="267">
        <v>1.4</v>
      </c>
      <c r="AN18" s="388">
        <v>1.34</v>
      </c>
      <c r="AO18" s="388">
        <v>1.29</v>
      </c>
      <c r="AP18" s="388">
        <v>1.19</v>
      </c>
      <c r="AQ18" s="388">
        <v>1.11</v>
      </c>
      <c r="AR18" s="388">
        <v>1.04</v>
      </c>
      <c r="AS18" s="388">
        <v>0.98</v>
      </c>
      <c r="AT18" s="388">
        <v>0.92</v>
      </c>
      <c r="AU18" s="388">
        <v>0.87</v>
      </c>
      <c r="AV18" s="388">
        <v>0.83</v>
      </c>
      <c r="AW18" s="388">
        <v>0.79</v>
      </c>
      <c r="AX18" s="388">
        <v>0.75</v>
      </c>
      <c r="AY18" s="388">
        <v>0.69</v>
      </c>
      <c r="AZ18" s="388">
        <v>0.63</v>
      </c>
      <c r="BA18" s="388">
        <v>0.59</v>
      </c>
      <c r="BB18" s="388">
        <v>0.55</v>
      </c>
      <c r="BC18" s="388">
        <v>0.51</v>
      </c>
      <c r="BD18" s="246"/>
    </row>
    <row r="19" spans="1:56" ht="15.75">
      <c r="A19" s="246"/>
      <c r="B19" s="246"/>
      <c r="C19" s="246"/>
      <c r="D19" s="246"/>
      <c r="E19" s="246"/>
      <c r="F19" s="246"/>
      <c r="G19" s="246"/>
      <c r="AL19" s="246"/>
      <c r="AM19" s="267">
        <v>1.45</v>
      </c>
      <c r="AN19" s="388">
        <v>1.39</v>
      </c>
      <c r="AO19" s="388">
        <v>1.33</v>
      </c>
      <c r="AP19" s="388">
        <v>1.23</v>
      </c>
      <c r="AQ19" s="388">
        <v>1.14</v>
      </c>
      <c r="AR19" s="388">
        <v>1.07</v>
      </c>
      <c r="AS19" s="388">
        <v>1</v>
      </c>
      <c r="AT19" s="388">
        <v>0.94</v>
      </c>
      <c r="AU19" s="388">
        <v>0.89</v>
      </c>
      <c r="AV19" s="388">
        <v>0.84</v>
      </c>
      <c r="AW19" s="388">
        <v>0.8</v>
      </c>
      <c r="AX19" s="388">
        <v>0.76</v>
      </c>
      <c r="AY19" s="388">
        <v>0.7</v>
      </c>
      <c r="AZ19" s="388">
        <v>0.64</v>
      </c>
      <c r="BA19" s="388">
        <v>0.59</v>
      </c>
      <c r="BB19" s="388">
        <v>0.55</v>
      </c>
      <c r="BC19" s="388">
        <v>0.52</v>
      </c>
      <c r="BD19" s="246"/>
    </row>
    <row r="20" spans="1:56" ht="15.75">
      <c r="A20" s="246"/>
      <c r="B20" s="246"/>
      <c r="C20" s="246"/>
      <c r="D20" s="246"/>
      <c r="E20" s="246"/>
      <c r="F20" s="246"/>
      <c r="G20" s="246"/>
      <c r="H20" s="246"/>
      <c r="I20" s="246"/>
      <c r="J20" s="246"/>
      <c r="K20" s="246"/>
      <c r="L20" s="246"/>
      <c r="M20" s="246"/>
      <c r="N20" s="246"/>
      <c r="O20" s="246"/>
      <c r="P20" s="246"/>
      <c r="Q20" s="246"/>
      <c r="R20" s="246"/>
      <c r="S20" s="246"/>
      <c r="T20" s="246"/>
      <c r="U20" s="246"/>
      <c r="V20" s="246"/>
      <c r="AL20" s="246"/>
      <c r="AM20" s="267">
        <v>1.5</v>
      </c>
      <c r="AN20" s="388">
        <v>1.43</v>
      </c>
      <c r="AO20" s="388">
        <v>1.37</v>
      </c>
      <c r="AP20" s="388">
        <v>1.26</v>
      </c>
      <c r="AQ20" s="388">
        <v>1.17</v>
      </c>
      <c r="AR20" s="388">
        <v>1.09</v>
      </c>
      <c r="AS20" s="388">
        <v>1.02</v>
      </c>
      <c r="AT20" s="388">
        <v>0.96</v>
      </c>
      <c r="AU20" s="388">
        <v>0.91</v>
      </c>
      <c r="AV20" s="388">
        <v>0.86</v>
      </c>
      <c r="AW20" s="388">
        <v>0.81</v>
      </c>
      <c r="AX20" s="388">
        <v>0.77</v>
      </c>
      <c r="AY20" s="388">
        <v>0.71</v>
      </c>
      <c r="AZ20" s="388">
        <v>0.65</v>
      </c>
      <c r="BA20" s="388">
        <v>0.6</v>
      </c>
      <c r="BB20" s="388">
        <v>0.56</v>
      </c>
      <c r="BC20" s="388">
        <v>0.52</v>
      </c>
      <c r="BD20" s="246"/>
    </row>
    <row r="21" spans="1:56" ht="15.75">
      <c r="A21" s="246"/>
      <c r="B21" s="246"/>
      <c r="C21" s="246"/>
      <c r="D21" s="246"/>
      <c r="E21" s="246"/>
      <c r="F21" s="246"/>
      <c r="G21" s="246"/>
      <c r="H21" s="246"/>
      <c r="I21" s="246"/>
      <c r="J21" s="246"/>
      <c r="K21" s="246"/>
      <c r="L21" s="246"/>
      <c r="M21" s="246"/>
      <c r="N21" s="246"/>
      <c r="O21" s="246"/>
      <c r="P21" s="246"/>
      <c r="Q21" s="246"/>
      <c r="R21" s="246"/>
      <c r="S21" s="246"/>
      <c r="T21" s="246"/>
      <c r="U21" s="246"/>
      <c r="V21" s="246"/>
      <c r="AL21" s="246"/>
      <c r="AM21" s="267">
        <v>1.55</v>
      </c>
      <c r="AN21" s="388">
        <v>1.48</v>
      </c>
      <c r="AO21" s="388">
        <v>1.41</v>
      </c>
      <c r="AP21" s="388">
        <v>1.3</v>
      </c>
      <c r="AQ21" s="388">
        <v>1.2</v>
      </c>
      <c r="AR21" s="388">
        <v>1.11</v>
      </c>
      <c r="AS21" s="388">
        <v>1.04</v>
      </c>
      <c r="AT21" s="388">
        <v>0.98</v>
      </c>
      <c r="AU21" s="388">
        <v>0.92</v>
      </c>
      <c r="AV21" s="388">
        <v>0.87</v>
      </c>
      <c r="AW21" s="388">
        <v>0.83</v>
      </c>
      <c r="AX21" s="388">
        <v>0.78</v>
      </c>
      <c r="AY21" s="388">
        <v>0.71</v>
      </c>
      <c r="AZ21" s="388">
        <v>0.66</v>
      </c>
      <c r="BA21" s="388">
        <v>0.61</v>
      </c>
      <c r="BB21" s="388">
        <v>0.56</v>
      </c>
      <c r="BC21" s="388">
        <v>0.53</v>
      </c>
      <c r="BD21" s="246"/>
    </row>
    <row r="22" spans="1:56" ht="15.75">
      <c r="A22" s="246"/>
      <c r="B22" s="246"/>
      <c r="C22" s="246"/>
      <c r="D22" s="246"/>
      <c r="E22" s="246"/>
      <c r="F22" s="246"/>
      <c r="G22" s="246"/>
      <c r="H22" s="296"/>
      <c r="I22" s="296"/>
      <c r="J22" s="296"/>
      <c r="K22" s="296"/>
      <c r="L22" s="296"/>
      <c r="M22" s="296"/>
      <c r="N22" s="296"/>
      <c r="O22" s="246"/>
      <c r="P22" s="246"/>
      <c r="Q22" s="246"/>
      <c r="R22" s="246"/>
      <c r="S22" s="246"/>
      <c r="T22" s="246"/>
      <c r="U22" s="246"/>
      <c r="V22" s="246"/>
      <c r="AL22" s="246"/>
      <c r="AM22" s="267">
        <v>1.6</v>
      </c>
      <c r="AN22" s="388">
        <v>1.52</v>
      </c>
      <c r="AO22" s="388">
        <v>1.45</v>
      </c>
      <c r="AP22" s="388">
        <v>1.33</v>
      </c>
      <c r="AQ22" s="388">
        <v>1.23</v>
      </c>
      <c r="AR22" s="388">
        <v>1.14</v>
      </c>
      <c r="AS22" s="388">
        <v>1.06</v>
      </c>
      <c r="AT22" s="388">
        <v>1</v>
      </c>
      <c r="AU22" s="388">
        <v>0.94</v>
      </c>
      <c r="AV22" s="388">
        <v>0.88</v>
      </c>
      <c r="AW22" s="388">
        <v>0.84</v>
      </c>
      <c r="AX22" s="388">
        <v>0.8</v>
      </c>
      <c r="AY22" s="388">
        <v>0.72</v>
      </c>
      <c r="AZ22" s="388">
        <v>0.66</v>
      </c>
      <c r="BA22" s="388">
        <v>0.61</v>
      </c>
      <c r="BB22" s="388">
        <v>0.57</v>
      </c>
      <c r="BC22" s="388">
        <v>0.53</v>
      </c>
      <c r="BD22" s="246"/>
    </row>
    <row r="23" spans="1:56" ht="15.75">
      <c r="A23" s="246"/>
      <c r="B23" s="246"/>
      <c r="C23" s="246"/>
      <c r="D23" s="246"/>
      <c r="E23" s="246"/>
      <c r="F23" s="246"/>
      <c r="G23" s="246"/>
      <c r="H23" s="121"/>
      <c r="I23" s="121"/>
      <c r="J23" s="121"/>
      <c r="K23" s="121"/>
      <c r="L23" s="121"/>
      <c r="M23" s="121"/>
      <c r="N23" s="296"/>
      <c r="O23" s="246"/>
      <c r="P23" s="246"/>
      <c r="Q23" s="246"/>
      <c r="R23" s="246"/>
      <c r="S23" s="246"/>
      <c r="T23" s="246"/>
      <c r="U23" s="246"/>
      <c r="V23" s="246"/>
      <c r="AL23" s="246"/>
      <c r="AM23" s="267">
        <v>1.65</v>
      </c>
      <c r="AN23" s="388">
        <v>1.57</v>
      </c>
      <c r="AO23" s="388">
        <v>1.49</v>
      </c>
      <c r="AP23" s="388">
        <v>1.36</v>
      </c>
      <c r="AQ23" s="388">
        <v>1.25</v>
      </c>
      <c r="AR23" s="388">
        <v>1.15</v>
      </c>
      <c r="AS23" s="388">
        <v>1.08</v>
      </c>
      <c r="AT23" s="388">
        <v>1.01</v>
      </c>
      <c r="AU23" s="388">
        <v>0.95</v>
      </c>
      <c r="AV23" s="388">
        <v>0.9</v>
      </c>
      <c r="AW23" s="388">
        <v>0.85</v>
      </c>
      <c r="AX23" s="388">
        <v>0.81</v>
      </c>
      <c r="AY23" s="388">
        <v>0.73</v>
      </c>
      <c r="AZ23" s="388">
        <v>0.67</v>
      </c>
      <c r="BA23" s="388">
        <v>0.62</v>
      </c>
      <c r="BB23" s="388">
        <v>0.57</v>
      </c>
      <c r="BC23" s="388">
        <v>0.53</v>
      </c>
      <c r="BD23" s="246"/>
    </row>
    <row r="24" spans="1:56" ht="51" customHeight="1">
      <c r="A24" s="246"/>
      <c r="B24" s="246"/>
      <c r="C24" s="246"/>
      <c r="D24" s="246"/>
      <c r="E24" s="246"/>
      <c r="F24" s="246"/>
      <c r="G24" s="246"/>
      <c r="H24" s="121"/>
      <c r="I24" s="19"/>
      <c r="J24" s="19"/>
      <c r="K24" s="19"/>
      <c r="L24" s="19"/>
      <c r="M24" s="19"/>
      <c r="N24" s="296"/>
      <c r="O24" s="246"/>
      <c r="P24" s="246"/>
      <c r="Q24" s="246"/>
      <c r="R24" s="246"/>
      <c r="S24" s="246"/>
      <c r="T24" s="246"/>
      <c r="U24" s="246"/>
      <c r="V24" s="246"/>
      <c r="AL24" s="246"/>
      <c r="AM24" s="267">
        <v>1.7</v>
      </c>
      <c r="AN24" s="388">
        <v>1.61</v>
      </c>
      <c r="AO24" s="388">
        <v>1.53</v>
      </c>
      <c r="AP24" s="388">
        <v>1.4</v>
      </c>
      <c r="AQ24" s="388">
        <v>1.28</v>
      </c>
      <c r="AR24" s="388">
        <v>1.19</v>
      </c>
      <c r="AS24" s="388">
        <v>1.1</v>
      </c>
      <c r="AT24" s="388">
        <v>1.03</v>
      </c>
      <c r="AU24" s="388">
        <v>0.97</v>
      </c>
      <c r="AV24" s="388">
        <v>0.91</v>
      </c>
      <c r="AW24" s="388">
        <v>0.86</v>
      </c>
      <c r="AX24" s="388">
        <v>0.81</v>
      </c>
      <c r="AY24" s="388">
        <v>0.74</v>
      </c>
      <c r="AZ24" s="388">
        <v>0.67</v>
      </c>
      <c r="BA24" s="388">
        <v>0.62</v>
      </c>
      <c r="BB24" s="388">
        <v>0.58</v>
      </c>
      <c r="BC24" s="388">
        <v>0.54</v>
      </c>
      <c r="BD24" s="246"/>
    </row>
    <row r="25" spans="1:56" ht="29.25" customHeight="1">
      <c r="A25" s="246"/>
      <c r="B25" s="246"/>
      <c r="C25" s="246"/>
      <c r="D25" s="246"/>
      <c r="E25" s="246"/>
      <c r="F25" s="246"/>
      <c r="G25" s="246"/>
      <c r="H25" s="273"/>
      <c r="I25" s="273"/>
      <c r="J25" s="19"/>
      <c r="K25" s="19"/>
      <c r="L25" s="19"/>
      <c r="M25" s="19"/>
      <c r="N25" s="296"/>
      <c r="O25" s="246"/>
      <c r="P25" s="246"/>
      <c r="Q25" s="246"/>
      <c r="R25" s="246"/>
      <c r="S25" s="246"/>
      <c r="T25" s="246"/>
      <c r="U25" s="246"/>
      <c r="V25" s="246"/>
      <c r="AL25" s="246"/>
      <c r="AM25" s="267">
        <v>1.75</v>
      </c>
      <c r="AN25" s="388">
        <v>1.66</v>
      </c>
      <c r="AO25" s="388">
        <v>1.57</v>
      </c>
      <c r="AP25" s="388">
        <v>1.43</v>
      </c>
      <c r="AQ25" s="388">
        <v>1.31</v>
      </c>
      <c r="AR25" s="388">
        <v>1.21</v>
      </c>
      <c r="AS25" s="388">
        <v>1.12</v>
      </c>
      <c r="AT25" s="388">
        <v>1.05</v>
      </c>
      <c r="AU25" s="388">
        <v>0.98</v>
      </c>
      <c r="AV25" s="388">
        <v>0.92</v>
      </c>
      <c r="AW25" s="388">
        <v>0.87</v>
      </c>
      <c r="AX25" s="388">
        <v>0.82</v>
      </c>
      <c r="AY25" s="388">
        <v>0.75</v>
      </c>
      <c r="AZ25" s="388">
        <v>0.68</v>
      </c>
      <c r="BA25" s="388">
        <v>0.63</v>
      </c>
      <c r="BB25" s="388">
        <v>0.58</v>
      </c>
      <c r="BC25" s="388">
        <v>0.54</v>
      </c>
      <c r="BD25" s="246"/>
    </row>
    <row r="26" spans="1:56" ht="15.75" customHeight="1">
      <c r="A26" s="246"/>
      <c r="B26" s="246"/>
      <c r="C26" s="246"/>
      <c r="D26" s="246"/>
      <c r="E26" s="246"/>
      <c r="F26" s="246"/>
      <c r="G26" s="246"/>
      <c r="H26" s="273"/>
      <c r="I26" s="297"/>
      <c r="J26" s="19"/>
      <c r="K26" s="19"/>
      <c r="L26" s="19"/>
      <c r="M26" s="19"/>
      <c r="N26" s="296"/>
      <c r="O26" s="246"/>
      <c r="P26" s="246"/>
      <c r="Q26" s="246"/>
      <c r="R26" s="246"/>
      <c r="S26" s="246"/>
      <c r="T26" s="246"/>
      <c r="U26" s="246"/>
      <c r="V26" s="246"/>
      <c r="AL26" s="246"/>
      <c r="AM26" s="267">
        <v>1.8</v>
      </c>
      <c r="AN26" s="388">
        <v>1.7</v>
      </c>
      <c r="AO26" s="388">
        <v>1.61</v>
      </c>
      <c r="AP26" s="388">
        <v>1.46</v>
      </c>
      <c r="AQ26" s="388">
        <v>1.34</v>
      </c>
      <c r="AR26" s="388">
        <v>1.23</v>
      </c>
      <c r="AS26" s="388">
        <v>1.14</v>
      </c>
      <c r="AT26" s="388">
        <v>1.06</v>
      </c>
      <c r="AU26" s="388">
        <v>0.99</v>
      </c>
      <c r="AV26" s="388">
        <v>0.93</v>
      </c>
      <c r="AW26" s="388">
        <v>0.88</v>
      </c>
      <c r="AX26" s="388">
        <v>0.83</v>
      </c>
      <c r="AY26" s="388">
        <v>0.75</v>
      </c>
      <c r="AZ26" s="388">
        <v>0.69</v>
      </c>
      <c r="BA26" s="388">
        <v>0.63</v>
      </c>
      <c r="BB26" s="388">
        <v>0.58</v>
      </c>
      <c r="BC26" s="388">
        <v>0.54</v>
      </c>
      <c r="BD26" s="246"/>
    </row>
    <row r="27" spans="1:56" ht="15.75">
      <c r="A27" s="246"/>
      <c r="B27" s="246"/>
      <c r="C27" s="246"/>
      <c r="D27" s="246"/>
      <c r="E27" s="246"/>
      <c r="F27" s="246"/>
      <c r="G27" s="246"/>
      <c r="H27" s="273"/>
      <c r="I27" s="297"/>
      <c r="J27" s="19"/>
      <c r="K27" s="19"/>
      <c r="L27" s="19"/>
      <c r="M27" s="19"/>
      <c r="N27" s="296"/>
      <c r="O27" s="246"/>
      <c r="P27" s="246"/>
      <c r="Q27" s="246"/>
      <c r="R27" s="246"/>
      <c r="S27" s="246"/>
      <c r="T27" s="246"/>
      <c r="U27" s="246"/>
      <c r="V27" s="246"/>
      <c r="AL27" s="246"/>
      <c r="AM27" s="267">
        <v>1.85</v>
      </c>
      <c r="AN27" s="388">
        <v>1.75</v>
      </c>
      <c r="AO27" s="388">
        <v>1.65</v>
      </c>
      <c r="AP27" s="388">
        <v>1.49</v>
      </c>
      <c r="AQ27" s="388">
        <v>1.36</v>
      </c>
      <c r="AR27" s="388">
        <v>1.25</v>
      </c>
      <c r="AS27" s="388">
        <v>1.16</v>
      </c>
      <c r="AT27" s="388">
        <v>1.08</v>
      </c>
      <c r="AU27" s="388">
        <v>1.01</v>
      </c>
      <c r="AV27" s="388">
        <v>0.94</v>
      </c>
      <c r="AW27" s="388">
        <v>0.89</v>
      </c>
      <c r="AX27" s="388">
        <v>0.84</v>
      </c>
      <c r="AY27" s="388">
        <v>0.76</v>
      </c>
      <c r="AZ27" s="388">
        <v>0.69</v>
      </c>
      <c r="BA27" s="388">
        <v>0.63</v>
      </c>
      <c r="BB27" s="388">
        <v>0.59</v>
      </c>
      <c r="BC27" s="388">
        <v>0.55</v>
      </c>
      <c r="BD27" s="246"/>
    </row>
    <row r="28" spans="1:56" ht="24.75" customHeight="1">
      <c r="A28" s="246"/>
      <c r="B28" s="246"/>
      <c r="C28" s="246"/>
      <c r="D28" s="246"/>
      <c r="E28" s="246"/>
      <c r="F28" s="246"/>
      <c r="G28" s="246"/>
      <c r="H28" s="273"/>
      <c r="I28" s="273"/>
      <c r="J28" s="19"/>
      <c r="K28" s="19"/>
      <c r="L28" s="19"/>
      <c r="M28" s="19"/>
      <c r="N28" s="296"/>
      <c r="O28" s="246"/>
      <c r="P28" s="246"/>
      <c r="Q28" s="246"/>
      <c r="R28" s="246"/>
      <c r="S28" s="246"/>
      <c r="T28" s="246"/>
      <c r="U28" s="246"/>
      <c r="V28" s="246"/>
      <c r="AL28" s="246"/>
      <c r="AM28" s="267">
        <v>1.9</v>
      </c>
      <c r="AN28" s="388">
        <v>1.79</v>
      </c>
      <c r="AO28" s="388">
        <v>1.69</v>
      </c>
      <c r="AP28" s="388">
        <v>1.52</v>
      </c>
      <c r="AQ28" s="388">
        <v>1.39</v>
      </c>
      <c r="AR28" s="388">
        <v>1.27</v>
      </c>
      <c r="AS28" s="388">
        <v>1.17</v>
      </c>
      <c r="AT28" s="388">
        <v>1.09</v>
      </c>
      <c r="AU28" s="388">
        <v>1.02</v>
      </c>
      <c r="AV28" s="388">
        <v>0.96</v>
      </c>
      <c r="AW28" s="388">
        <v>0.9</v>
      </c>
      <c r="AX28" s="388">
        <v>0.85</v>
      </c>
      <c r="AY28" s="388">
        <v>0.77</v>
      </c>
      <c r="AZ28" s="388">
        <v>0.7</v>
      </c>
      <c r="BA28" s="388">
        <v>0.64</v>
      </c>
      <c r="BB28" s="388">
        <v>0.59</v>
      </c>
      <c r="BC28" s="388">
        <v>0.55</v>
      </c>
      <c r="BD28" s="246"/>
    </row>
    <row r="29" spans="1:56" ht="30.75" customHeight="1">
      <c r="A29" s="246"/>
      <c r="B29" s="246"/>
      <c r="C29" s="246"/>
      <c r="D29" s="246"/>
      <c r="E29" s="246"/>
      <c r="F29" s="246"/>
      <c r="G29" s="246"/>
      <c r="H29" s="26"/>
      <c r="I29" s="273"/>
      <c r="J29" s="19"/>
      <c r="K29" s="19"/>
      <c r="L29" s="19"/>
      <c r="M29" s="19"/>
      <c r="N29" s="296"/>
      <c r="O29" s="246"/>
      <c r="P29" s="246"/>
      <c r="Q29" s="246"/>
      <c r="R29" s="246"/>
      <c r="S29" s="246"/>
      <c r="T29" s="246"/>
      <c r="U29" s="246"/>
      <c r="V29" s="246"/>
      <c r="AL29" s="246"/>
      <c r="AM29" s="267">
        <v>1.95</v>
      </c>
      <c r="AN29" s="388">
        <v>1.83</v>
      </c>
      <c r="AO29" s="388">
        <v>1.73</v>
      </c>
      <c r="AP29" s="388">
        <v>1.55</v>
      </c>
      <c r="AQ29" s="388">
        <v>1.41</v>
      </c>
      <c r="AR29" s="388">
        <v>1.29</v>
      </c>
      <c r="AS29" s="388">
        <v>1.19</v>
      </c>
      <c r="AT29" s="388">
        <v>1.11</v>
      </c>
      <c r="AU29" s="388">
        <v>1.03</v>
      </c>
      <c r="AV29" s="388">
        <v>0.97</v>
      </c>
      <c r="AW29" s="388">
        <v>0.91</v>
      </c>
      <c r="AX29" s="388">
        <v>0.86</v>
      </c>
      <c r="AY29" s="388">
        <v>0.77</v>
      </c>
      <c r="AZ29" s="388">
        <v>0.7</v>
      </c>
      <c r="BA29" s="388">
        <v>0.64</v>
      </c>
      <c r="BB29" s="388">
        <v>0.59</v>
      </c>
      <c r="BC29" s="388">
        <v>0.55</v>
      </c>
      <c r="BD29" s="246"/>
    </row>
    <row r="30" spans="1:56" ht="36.75" customHeight="1">
      <c r="A30" s="1056" t="s">
        <v>12</v>
      </c>
      <c r="B30" s="1056"/>
      <c r="C30" s="1056"/>
      <c r="D30" s="1056"/>
      <c r="E30" s="246"/>
      <c r="F30" s="246"/>
      <c r="G30" s="246"/>
      <c r="H30" s="26"/>
      <c r="I30" s="273"/>
      <c r="J30" s="19"/>
      <c r="K30" s="19"/>
      <c r="L30" s="19"/>
      <c r="M30" s="19"/>
      <c r="N30" s="296"/>
      <c r="O30" s="246"/>
      <c r="P30" s="246"/>
      <c r="Q30" s="246"/>
      <c r="R30" s="246"/>
      <c r="S30" s="246"/>
      <c r="T30" s="246"/>
      <c r="U30" s="246"/>
      <c r="V30" s="246"/>
      <c r="AL30" s="246"/>
      <c r="AM30" s="267">
        <v>2</v>
      </c>
      <c r="AN30" s="388">
        <v>1.94</v>
      </c>
      <c r="AO30" s="388">
        <v>1.77</v>
      </c>
      <c r="AP30" s="388">
        <v>1.59</v>
      </c>
      <c r="AQ30" s="388">
        <v>1.44</v>
      </c>
      <c r="AR30" s="388">
        <v>1.31</v>
      </c>
      <c r="AS30" s="388">
        <v>1.21</v>
      </c>
      <c r="AT30" s="388">
        <v>1.12</v>
      </c>
      <c r="AU30" s="388">
        <v>1.04</v>
      </c>
      <c r="AV30" s="388">
        <v>0.98</v>
      </c>
      <c r="AW30" s="388">
        <v>0.92</v>
      </c>
      <c r="AX30" s="388">
        <v>0.87</v>
      </c>
      <c r="AY30" s="388">
        <v>0.78</v>
      </c>
      <c r="AZ30" s="388">
        <v>0.71</v>
      </c>
      <c r="BA30" s="388">
        <v>0.65</v>
      </c>
      <c r="BB30" s="388">
        <v>0.6</v>
      </c>
      <c r="BC30" s="388">
        <v>0.55</v>
      </c>
      <c r="BD30" s="246"/>
    </row>
    <row r="31" spans="1:56" ht="16.5" thickBot="1">
      <c r="A31" s="246"/>
      <c r="B31" s="246"/>
      <c r="C31" s="246"/>
      <c r="D31" s="246"/>
      <c r="E31" s="246"/>
      <c r="F31" s="246"/>
      <c r="G31" s="246"/>
      <c r="H31" s="121"/>
      <c r="I31" s="121"/>
      <c r="J31" s="19"/>
      <c r="K31" s="19"/>
      <c r="L31" s="19"/>
      <c r="M31" s="19"/>
      <c r="N31" s="296"/>
      <c r="O31" s="246"/>
      <c r="P31" s="246"/>
      <c r="Q31" s="246"/>
      <c r="R31" s="246"/>
      <c r="S31" s="246"/>
      <c r="T31" s="246"/>
      <c r="U31" s="246"/>
      <c r="V31" s="246"/>
      <c r="AL31" s="246"/>
      <c r="AM31" s="267">
        <v>2.2</v>
      </c>
      <c r="AN31" s="388">
        <v>2.05</v>
      </c>
      <c r="AO31" s="388">
        <v>1.92</v>
      </c>
      <c r="AP31" s="388">
        <v>1.7</v>
      </c>
      <c r="AQ31" s="388">
        <v>1.53</v>
      </c>
      <c r="AR31" s="388">
        <v>1.39</v>
      </c>
      <c r="AS31" s="388">
        <v>1.27</v>
      </c>
      <c r="AT31" s="388">
        <v>1.17</v>
      </c>
      <c r="AU31" s="388">
        <v>1.09</v>
      </c>
      <c r="AV31" s="388">
        <v>1.02</v>
      </c>
      <c r="AW31" s="388">
        <v>0.95</v>
      </c>
      <c r="AX31" s="388">
        <v>0.9</v>
      </c>
      <c r="AY31" s="388">
        <v>0.8</v>
      </c>
      <c r="AZ31" s="388">
        <v>0.72</v>
      </c>
      <c r="BA31" s="388">
        <v>0.65</v>
      </c>
      <c r="BB31" s="388">
        <v>0.61</v>
      </c>
      <c r="BC31" s="388">
        <v>0.56</v>
      </c>
      <c r="BD31" s="246"/>
    </row>
    <row r="32" spans="1:56" ht="16.5" thickBot="1">
      <c r="A32" s="246"/>
      <c r="B32" s="1089" t="s">
        <v>13</v>
      </c>
      <c r="C32" s="1090"/>
      <c r="D32" s="1091"/>
      <c r="E32" s="246"/>
      <c r="F32" s="246"/>
      <c r="G32" s="246"/>
      <c r="H32" s="121"/>
      <c r="I32" s="274"/>
      <c r="J32" s="1072" t="s">
        <v>518</v>
      </c>
      <c r="K32" s="1072"/>
      <c r="L32" s="1072"/>
      <c r="M32" s="1072"/>
      <c r="N32" s="1072"/>
      <c r="O32" s="1072"/>
      <c r="P32" s="1072"/>
      <c r="Q32" s="1072"/>
      <c r="R32" s="1072"/>
      <c r="S32" s="1072"/>
      <c r="T32" s="1072"/>
      <c r="U32" s="246"/>
      <c r="V32" s="246"/>
      <c r="AL32" s="246"/>
      <c r="AM32" s="268">
        <v>2.4</v>
      </c>
      <c r="AN32" s="388">
        <v>2.22</v>
      </c>
      <c r="AO32" s="388">
        <v>2.07</v>
      </c>
      <c r="AP32" s="388">
        <v>1.82</v>
      </c>
      <c r="AQ32" s="388">
        <v>1.62</v>
      </c>
      <c r="AR32" s="388">
        <v>1.45</v>
      </c>
      <c r="AS32" s="388">
        <v>1.33</v>
      </c>
      <c r="AT32" s="388">
        <v>1.22</v>
      </c>
      <c r="AU32" s="388">
        <v>1.13</v>
      </c>
      <c r="AV32" s="388">
        <v>1.05</v>
      </c>
      <c r="AW32" s="388">
        <v>0.96</v>
      </c>
      <c r="AX32" s="388">
        <v>0.92</v>
      </c>
      <c r="AY32" s="388">
        <v>0.82</v>
      </c>
      <c r="AZ32" s="388">
        <v>0.74</v>
      </c>
      <c r="BA32" s="388">
        <v>0.67</v>
      </c>
      <c r="BB32" s="388">
        <v>0.62</v>
      </c>
      <c r="BC32" s="388">
        <v>0.57</v>
      </c>
      <c r="BD32" s="246"/>
    </row>
    <row r="33" spans="1:56" ht="13.5" thickBot="1">
      <c r="A33" s="271" t="s">
        <v>862</v>
      </c>
      <c r="B33" s="269" t="s">
        <v>707</v>
      </c>
      <c r="C33" s="269" t="s">
        <v>863</v>
      </c>
      <c r="D33" s="270" t="s">
        <v>706</v>
      </c>
      <c r="E33" s="246"/>
      <c r="F33" s="246"/>
      <c r="G33" s="246"/>
      <c r="H33" s="296"/>
      <c r="I33" s="263"/>
      <c r="J33" s="1130"/>
      <c r="K33" s="1130"/>
      <c r="L33" s="297"/>
      <c r="M33" s="297"/>
      <c r="N33" s="298"/>
      <c r="O33" s="298"/>
      <c r="P33" s="246"/>
      <c r="Q33" s="246"/>
      <c r="R33" s="246"/>
      <c r="S33" s="246"/>
      <c r="T33" s="246"/>
      <c r="U33" s="246"/>
      <c r="V33" s="246"/>
      <c r="AL33" s="246"/>
      <c r="AM33" s="246"/>
      <c r="AN33" s="246"/>
      <c r="AO33" s="246"/>
      <c r="AP33" s="246"/>
      <c r="AQ33" s="246"/>
      <c r="AR33" s="246"/>
      <c r="AS33" s="246"/>
      <c r="AT33" s="246"/>
      <c r="AU33" s="246"/>
      <c r="AV33" s="246"/>
      <c r="AW33" s="246"/>
      <c r="AX33" s="246"/>
      <c r="AY33" s="246"/>
      <c r="AZ33" s="246"/>
      <c r="BA33" s="246"/>
      <c r="BB33" s="246"/>
      <c r="BC33" s="246"/>
      <c r="BD33" s="246"/>
    </row>
    <row r="34" spans="1:56" ht="51.75" thickBot="1">
      <c r="A34" s="272" t="s">
        <v>14</v>
      </c>
      <c r="B34" s="328" t="s">
        <v>15</v>
      </c>
      <c r="C34" s="328" t="s">
        <v>16</v>
      </c>
      <c r="D34" s="329" t="s">
        <v>17</v>
      </c>
      <c r="E34" s="246"/>
      <c r="F34" s="246"/>
      <c r="G34" s="246"/>
      <c r="H34" s="296"/>
      <c r="I34" s="296"/>
      <c r="J34" s="1127" t="s">
        <v>519</v>
      </c>
      <c r="K34" s="1128"/>
      <c r="L34" s="300" t="s">
        <v>707</v>
      </c>
      <c r="M34" s="300" t="s">
        <v>706</v>
      </c>
      <c r="N34" s="1073" t="s">
        <v>520</v>
      </c>
      <c r="O34" s="1073"/>
      <c r="P34" s="1073"/>
      <c r="Q34" s="1073"/>
      <c r="R34" s="1073"/>
      <c r="S34" s="1073"/>
      <c r="T34" s="1074"/>
      <c r="U34" s="246"/>
      <c r="V34" s="246"/>
      <c r="AL34" s="246"/>
      <c r="AM34" s="246"/>
      <c r="AN34" s="246"/>
      <c r="AO34" s="246"/>
      <c r="AP34" s="246"/>
      <c r="AQ34" s="246"/>
      <c r="AR34" s="246"/>
      <c r="AS34" s="246"/>
      <c r="AT34" s="246"/>
      <c r="AU34" s="246"/>
      <c r="AV34" s="246"/>
      <c r="AW34" s="246"/>
      <c r="AX34" s="246"/>
      <c r="AY34" s="246"/>
      <c r="AZ34" s="246"/>
      <c r="BA34" s="246"/>
      <c r="BB34" s="246"/>
      <c r="BC34" s="246"/>
      <c r="BD34" s="246"/>
    </row>
    <row r="35" spans="1:56" ht="28.5" customHeight="1" thickBot="1">
      <c r="A35" s="330" t="s">
        <v>18</v>
      </c>
      <c r="B35" s="331" t="s">
        <v>19</v>
      </c>
      <c r="C35" s="332" t="s">
        <v>20</v>
      </c>
      <c r="D35" s="333" t="s">
        <v>21</v>
      </c>
      <c r="E35" s="246"/>
      <c r="F35" s="246"/>
      <c r="G35" s="246"/>
      <c r="H35" s="246"/>
      <c r="I35" s="246"/>
      <c r="J35" s="1087" t="s">
        <v>521</v>
      </c>
      <c r="K35" s="1087"/>
      <c r="L35" s="302">
        <v>141</v>
      </c>
      <c r="M35" s="303">
        <v>705</v>
      </c>
      <c r="N35" s="1075" t="s">
        <v>488</v>
      </c>
      <c r="O35" s="1076"/>
      <c r="P35" s="1076"/>
      <c r="Q35" s="1076"/>
      <c r="R35" s="1076"/>
      <c r="S35" s="1076"/>
      <c r="T35" s="1077"/>
      <c r="U35" s="246"/>
      <c r="V35" s="246"/>
      <c r="AL35" s="246"/>
      <c r="AM35" s="246"/>
      <c r="AN35" s="246"/>
      <c r="AO35" s="246"/>
      <c r="AP35" s="246"/>
      <c r="AQ35" s="246"/>
      <c r="AR35" s="246"/>
      <c r="AS35" s="246"/>
      <c r="AT35" s="246"/>
      <c r="AU35" s="246"/>
      <c r="AV35" s="246"/>
      <c r="AW35" s="246"/>
      <c r="AX35" s="246"/>
      <c r="AY35" s="246"/>
      <c r="AZ35" s="246"/>
      <c r="BA35" s="246"/>
      <c r="BB35" s="246"/>
      <c r="BC35" s="246"/>
      <c r="BD35" s="246"/>
    </row>
    <row r="36" spans="1:56" ht="31.5" customHeight="1" thickBot="1">
      <c r="A36" s="330" t="s">
        <v>22</v>
      </c>
      <c r="B36" s="331" t="s">
        <v>23</v>
      </c>
      <c r="C36" s="334" t="s">
        <v>24</v>
      </c>
      <c r="D36" s="333" t="s">
        <v>26</v>
      </c>
      <c r="E36" s="246"/>
      <c r="F36" s="246"/>
      <c r="G36" s="246"/>
      <c r="H36" s="246"/>
      <c r="I36" s="246"/>
      <c r="J36" s="1087" t="s">
        <v>522</v>
      </c>
      <c r="K36" s="1087"/>
      <c r="L36" s="302">
        <v>42</v>
      </c>
      <c r="M36" s="303">
        <v>141</v>
      </c>
      <c r="N36" s="1078"/>
      <c r="O36" s="1079"/>
      <c r="P36" s="1079"/>
      <c r="Q36" s="1079"/>
      <c r="R36" s="1079"/>
      <c r="S36" s="1079"/>
      <c r="T36" s="1080"/>
      <c r="U36" s="246"/>
      <c r="V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row>
    <row r="37" spans="1:56" ht="121.5" customHeight="1">
      <c r="A37" s="246" t="s">
        <v>27</v>
      </c>
      <c r="B37" s="246"/>
      <c r="C37" s="246"/>
      <c r="D37" s="246"/>
      <c r="E37" s="246"/>
      <c r="F37" s="246"/>
      <c r="G37" s="246"/>
      <c r="H37" s="246"/>
      <c r="I37" s="246"/>
      <c r="J37" s="1105" t="s">
        <v>523</v>
      </c>
      <c r="K37" s="1105"/>
      <c r="L37" s="304">
        <v>14</v>
      </c>
      <c r="M37" s="304">
        <v>42</v>
      </c>
      <c r="N37" s="1081" t="s">
        <v>487</v>
      </c>
      <c r="O37" s="1082"/>
      <c r="P37" s="1082"/>
      <c r="Q37" s="1082"/>
      <c r="R37" s="1082"/>
      <c r="S37" s="1082"/>
      <c r="T37" s="1083"/>
      <c r="U37" s="246"/>
      <c r="V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row>
    <row r="38" spans="1:56" ht="138" customHeight="1">
      <c r="A38" s="320"/>
      <c r="B38" s="321"/>
      <c r="C38" s="322"/>
      <c r="D38" s="321"/>
      <c r="E38" s="246"/>
      <c r="F38" s="246"/>
      <c r="G38" s="246"/>
      <c r="H38" s="246"/>
      <c r="I38" s="246"/>
      <c r="J38" s="1129" t="s">
        <v>524</v>
      </c>
      <c r="K38" s="1129"/>
      <c r="L38" s="303">
        <v>4</v>
      </c>
      <c r="M38" s="303">
        <v>14</v>
      </c>
      <c r="N38" s="1085" t="s">
        <v>486</v>
      </c>
      <c r="O38" s="1085"/>
      <c r="P38" s="1085"/>
      <c r="Q38" s="1085"/>
      <c r="R38" s="1085"/>
      <c r="S38" s="1085"/>
      <c r="T38" s="1085"/>
      <c r="U38" s="246"/>
      <c r="V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row>
    <row r="39" spans="1:54" ht="141.75" customHeight="1">
      <c r="A39" s="320"/>
      <c r="B39" s="321"/>
      <c r="C39" s="323"/>
      <c r="D39" s="324"/>
      <c r="E39" s="246"/>
      <c r="F39" s="246"/>
      <c r="G39" s="246"/>
      <c r="H39" s="246"/>
      <c r="I39" s="246"/>
      <c r="J39" s="1104" t="s">
        <v>427</v>
      </c>
      <c r="K39" s="1104"/>
      <c r="L39" s="304">
        <v>1.4</v>
      </c>
      <c r="M39" s="304">
        <v>4</v>
      </c>
      <c r="N39" s="1085" t="s">
        <v>489</v>
      </c>
      <c r="O39" s="1085"/>
      <c r="P39" s="1085"/>
      <c r="Q39" s="1085"/>
      <c r="R39" s="1085"/>
      <c r="S39" s="1085"/>
      <c r="T39" s="1085"/>
      <c r="U39" s="246"/>
      <c r="V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row>
    <row r="40" spans="1:54" ht="81.75" customHeight="1">
      <c r="A40" s="26"/>
      <c r="B40" s="26"/>
      <c r="C40" s="26"/>
      <c r="D40" s="26"/>
      <c r="E40" s="246"/>
      <c r="F40" s="246"/>
      <c r="G40" s="246"/>
      <c r="H40" s="246"/>
      <c r="I40" s="246"/>
      <c r="J40" s="1105" t="s">
        <v>525</v>
      </c>
      <c r="K40" s="1105"/>
      <c r="L40" s="304">
        <v>0.42</v>
      </c>
      <c r="M40" s="304">
        <v>1.4</v>
      </c>
      <c r="N40" s="1084" t="s">
        <v>490</v>
      </c>
      <c r="O40" s="1084"/>
      <c r="P40" s="1084"/>
      <c r="Q40" s="1084"/>
      <c r="R40" s="1084"/>
      <c r="S40" s="1084"/>
      <c r="T40" s="1084"/>
      <c r="U40" s="246"/>
      <c r="V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row>
    <row r="41" spans="1:22" ht="53.25" customHeight="1">
      <c r="A41" s="246"/>
      <c r="B41" s="246"/>
      <c r="C41" s="246"/>
      <c r="D41" s="246"/>
      <c r="E41" s="246"/>
      <c r="F41" s="246"/>
      <c r="G41" s="246"/>
      <c r="H41" s="246"/>
      <c r="I41" s="246"/>
      <c r="J41" s="1105" t="s">
        <v>526</v>
      </c>
      <c r="K41" s="1105"/>
      <c r="L41" s="304">
        <v>0.01</v>
      </c>
      <c r="M41" s="304">
        <v>0.42</v>
      </c>
      <c r="N41" s="1084" t="s">
        <v>491</v>
      </c>
      <c r="O41" s="1084"/>
      <c r="P41" s="1084"/>
      <c r="Q41" s="1084"/>
      <c r="R41" s="1084"/>
      <c r="S41" s="1084"/>
      <c r="T41" s="1084"/>
      <c r="U41" s="246"/>
      <c r="V41" s="246"/>
    </row>
    <row r="42" spans="1:22" ht="38.25" customHeight="1">
      <c r="A42" s="246"/>
      <c r="B42" s="246"/>
      <c r="C42" s="246"/>
      <c r="D42" s="246"/>
      <c r="E42" s="246"/>
      <c r="F42" s="246"/>
      <c r="G42" s="246"/>
      <c r="H42" s="246"/>
      <c r="I42" s="246"/>
      <c r="J42" s="1105" t="s">
        <v>527</v>
      </c>
      <c r="K42" s="1105"/>
      <c r="L42" s="304">
        <v>0</v>
      </c>
      <c r="M42" s="304">
        <v>0.01</v>
      </c>
      <c r="N42" s="1087" t="s">
        <v>528</v>
      </c>
      <c r="O42" s="1087"/>
      <c r="P42" s="1087"/>
      <c r="Q42" s="1087"/>
      <c r="R42" s="1087"/>
      <c r="S42" s="1087"/>
      <c r="T42" s="1087"/>
      <c r="U42" s="246"/>
      <c r="V42" s="246"/>
    </row>
    <row r="43" spans="1:22" ht="15" customHeight="1">
      <c r="A43" s="246"/>
      <c r="B43" s="246"/>
      <c r="C43" s="246"/>
      <c r="D43" s="246"/>
      <c r="E43" s="246"/>
      <c r="F43" s="246"/>
      <c r="G43" s="246"/>
      <c r="H43" s="246"/>
      <c r="I43" s="246"/>
      <c r="J43" s="1086" t="s">
        <v>529</v>
      </c>
      <c r="K43" s="1086"/>
      <c r="L43" s="1086"/>
      <c r="M43" s="1086"/>
      <c r="N43" s="1086"/>
      <c r="O43" s="1086"/>
      <c r="P43" s="1086"/>
      <c r="Q43" s="1086"/>
      <c r="R43" s="1086"/>
      <c r="S43" s="1086"/>
      <c r="T43" s="1086"/>
      <c r="U43" s="246"/>
      <c r="V43" s="246"/>
    </row>
    <row r="44" spans="1:22" ht="16.5" customHeight="1">
      <c r="A44" s="246"/>
      <c r="B44" s="246"/>
      <c r="C44" s="246"/>
      <c r="D44" s="246"/>
      <c r="E44" s="246"/>
      <c r="F44" s="246"/>
      <c r="G44" s="246"/>
      <c r="H44" s="246"/>
      <c r="I44" s="246"/>
      <c r="J44" s="1086"/>
      <c r="K44" s="1086"/>
      <c r="L44" s="1086"/>
      <c r="M44" s="1086"/>
      <c r="N44" s="1086"/>
      <c r="O44" s="1086"/>
      <c r="P44" s="1086"/>
      <c r="Q44" s="1086"/>
      <c r="R44" s="1086"/>
      <c r="S44" s="1086"/>
      <c r="T44" s="1086"/>
      <c r="U44" s="246"/>
      <c r="V44" s="246"/>
    </row>
    <row r="45" spans="1:22" ht="12.75">
      <c r="A45" s="1056" t="s">
        <v>43</v>
      </c>
      <c r="B45" s="1056"/>
      <c r="C45" s="1056"/>
      <c r="D45" s="1056"/>
      <c r="E45" s="246"/>
      <c r="F45" s="246"/>
      <c r="G45" s="246"/>
      <c r="H45" s="246"/>
      <c r="I45" s="246"/>
      <c r="J45" s="246"/>
      <c r="K45" s="246"/>
      <c r="L45" s="246"/>
      <c r="M45" s="246"/>
      <c r="N45" s="246"/>
      <c r="O45" s="246"/>
      <c r="P45" s="246"/>
      <c r="Q45" s="246"/>
      <c r="R45" s="246"/>
      <c r="S45" s="246"/>
      <c r="T45" s="246"/>
      <c r="U45" s="246"/>
      <c r="V45" s="246"/>
    </row>
    <row r="46" spans="1:22" ht="13.5" thickBot="1">
      <c r="A46" s="246"/>
      <c r="B46" s="246"/>
      <c r="C46" s="246"/>
      <c r="D46" s="246"/>
      <c r="E46" s="246"/>
      <c r="F46" s="246"/>
      <c r="G46" s="246"/>
      <c r="H46" s="246"/>
      <c r="I46" s="246"/>
      <c r="J46" s="246"/>
      <c r="K46" s="246"/>
      <c r="L46" s="246"/>
      <c r="M46" s="246"/>
      <c r="N46" s="246"/>
      <c r="O46" s="246"/>
      <c r="P46" s="246"/>
      <c r="Q46" s="246"/>
      <c r="R46" s="246"/>
      <c r="S46" s="246"/>
      <c r="T46" s="246"/>
      <c r="U46" s="246"/>
      <c r="V46" s="246"/>
    </row>
    <row r="47" spans="1:22" ht="25.5">
      <c r="A47" s="355" t="s">
        <v>290</v>
      </c>
      <c r="B47" s="310" t="s">
        <v>44</v>
      </c>
      <c r="C47" s="356" t="s">
        <v>45</v>
      </c>
      <c r="D47" s="357" t="s">
        <v>46</v>
      </c>
      <c r="E47" s="308"/>
      <c r="F47" s="308"/>
      <c r="G47" s="308"/>
      <c r="H47" s="308"/>
      <c r="I47" s="246"/>
      <c r="J47" s="246"/>
      <c r="K47" s="246"/>
      <c r="L47" s="246"/>
      <c r="M47" s="246"/>
      <c r="N47" s="246"/>
      <c r="O47" s="246"/>
      <c r="P47" s="246"/>
      <c r="Q47" s="246"/>
      <c r="R47" s="246"/>
      <c r="S47" s="246"/>
      <c r="T47" s="246"/>
      <c r="U47" s="246"/>
      <c r="V47" s="246"/>
    </row>
    <row r="48" spans="1:62" s="220" customFormat="1" ht="63.75">
      <c r="A48" s="290">
        <v>1</v>
      </c>
      <c r="B48" s="301" t="s">
        <v>291</v>
      </c>
      <c r="C48" s="358" t="s">
        <v>47</v>
      </c>
      <c r="D48" s="358" t="s">
        <v>48</v>
      </c>
      <c r="E48" s="325"/>
      <c r="F48" s="325"/>
      <c r="G48" s="325"/>
      <c r="H48" s="325"/>
      <c r="I48" s="246"/>
      <c r="J48" s="246"/>
      <c r="K48" s="246"/>
      <c r="L48" s="246"/>
      <c r="M48" s="246"/>
      <c r="N48" s="246"/>
      <c r="O48" s="246"/>
      <c r="P48" s="246"/>
      <c r="Q48" s="246"/>
      <c r="R48" s="246"/>
      <c r="S48" s="246"/>
      <c r="T48" s="246"/>
      <c r="U48" s="246"/>
      <c r="V48" s="246"/>
      <c r="W48"/>
      <c r="X48"/>
      <c r="BE48" s="299"/>
      <c r="BF48" s="299"/>
      <c r="BG48" s="299"/>
      <c r="BH48" s="299"/>
      <c r="BI48" s="299"/>
      <c r="BJ48" s="299"/>
    </row>
    <row r="49" spans="1:62" s="220" customFormat="1" ht="89.25">
      <c r="A49" s="290">
        <v>2</v>
      </c>
      <c r="B49" s="301" t="s">
        <v>428</v>
      </c>
      <c r="C49" s="301">
        <v>10</v>
      </c>
      <c r="D49" s="301">
        <v>134</v>
      </c>
      <c r="E49" s="326"/>
      <c r="F49" s="326"/>
      <c r="G49" s="326"/>
      <c r="H49" s="326"/>
      <c r="I49" s="299"/>
      <c r="J49" s="246"/>
      <c r="K49" s="246"/>
      <c r="L49" s="246"/>
      <c r="M49" s="246"/>
      <c r="N49" s="246"/>
      <c r="O49" s="246"/>
      <c r="P49" s="246"/>
      <c r="Q49" s="246"/>
      <c r="R49" s="246"/>
      <c r="S49" s="246"/>
      <c r="T49" s="246"/>
      <c r="U49" s="246"/>
      <c r="V49" s="246"/>
      <c r="W49"/>
      <c r="X49"/>
      <c r="BE49" s="299"/>
      <c r="BF49" s="299"/>
      <c r="BG49" s="299"/>
      <c r="BH49" s="299"/>
      <c r="BI49" s="299"/>
      <c r="BJ49" s="299"/>
    </row>
    <row r="50" spans="1:62" s="220" customFormat="1" ht="51">
      <c r="A50" s="290">
        <v>3</v>
      </c>
      <c r="B50" s="301" t="s">
        <v>49</v>
      </c>
      <c r="C50" s="301">
        <v>25</v>
      </c>
      <c r="D50" s="301">
        <v>86</v>
      </c>
      <c r="E50" s="326"/>
      <c r="F50" s="326"/>
      <c r="G50" s="326"/>
      <c r="H50" s="326"/>
      <c r="I50" s="299"/>
      <c r="J50" s="246"/>
      <c r="K50" s="246"/>
      <c r="L50" s="246"/>
      <c r="M50" s="246"/>
      <c r="N50" s="246"/>
      <c r="O50" s="246"/>
      <c r="P50" s="246"/>
      <c r="Q50" s="246"/>
      <c r="R50" s="246"/>
      <c r="S50" s="299"/>
      <c r="T50" s="299"/>
      <c r="U50" s="299"/>
      <c r="V50" s="299"/>
      <c r="BE50" s="299"/>
      <c r="BF50" s="299"/>
      <c r="BG50" s="299"/>
      <c r="BH50" s="299"/>
      <c r="BI50" s="299"/>
      <c r="BJ50" s="299"/>
    </row>
    <row r="51" spans="1:62" s="220" customFormat="1" ht="89.25">
      <c r="A51" s="290">
        <v>4</v>
      </c>
      <c r="B51" s="301" t="s">
        <v>429</v>
      </c>
      <c r="C51" s="301">
        <v>25</v>
      </c>
      <c r="D51" s="301">
        <v>86</v>
      </c>
      <c r="E51" s="326"/>
      <c r="F51" s="326"/>
      <c r="G51" s="326"/>
      <c r="H51" s="326"/>
      <c r="I51" s="299"/>
      <c r="J51" s="246"/>
      <c r="K51" s="246"/>
      <c r="L51" s="246"/>
      <c r="M51" s="246"/>
      <c r="N51" s="246"/>
      <c r="O51" s="246"/>
      <c r="P51" s="246"/>
      <c r="Q51" s="246"/>
      <c r="R51" s="246"/>
      <c r="S51" s="299"/>
      <c r="T51" s="299"/>
      <c r="U51" s="299"/>
      <c r="V51" s="299"/>
      <c r="BE51" s="299"/>
      <c r="BF51" s="299"/>
      <c r="BG51" s="299"/>
      <c r="BH51" s="299"/>
      <c r="BI51" s="299"/>
      <c r="BJ51" s="299"/>
    </row>
    <row r="52" spans="1:62" s="220" customFormat="1" ht="39.75">
      <c r="A52" s="290" t="s">
        <v>50</v>
      </c>
      <c r="B52" s="301" t="s">
        <v>292</v>
      </c>
      <c r="C52" s="301">
        <v>25</v>
      </c>
      <c r="D52" s="301">
        <v>86</v>
      </c>
      <c r="E52" s="326"/>
      <c r="F52" s="326"/>
      <c r="G52" s="326"/>
      <c r="H52" s="326"/>
      <c r="I52" s="299"/>
      <c r="J52" s="246"/>
      <c r="K52" s="246"/>
      <c r="L52" s="246"/>
      <c r="M52" s="246"/>
      <c r="N52" s="246"/>
      <c r="O52" s="246"/>
      <c r="P52" s="246"/>
      <c r="Q52" s="246"/>
      <c r="R52" s="246"/>
      <c r="S52" s="299"/>
      <c r="T52" s="299"/>
      <c r="U52" s="299"/>
      <c r="V52" s="299"/>
      <c r="BE52" s="299"/>
      <c r="BF52" s="299"/>
      <c r="BG52" s="299"/>
      <c r="BH52" s="299"/>
      <c r="BI52" s="299"/>
      <c r="BJ52" s="299"/>
    </row>
    <row r="53" spans="1:62" s="220" customFormat="1" ht="102">
      <c r="A53" s="290">
        <v>5</v>
      </c>
      <c r="B53" s="301" t="s">
        <v>51</v>
      </c>
      <c r="C53" s="301">
        <v>40</v>
      </c>
      <c r="D53" s="301">
        <v>56</v>
      </c>
      <c r="E53" s="326"/>
      <c r="F53" s="326"/>
      <c r="G53" s="326"/>
      <c r="H53" s="326"/>
      <c r="I53" s="299"/>
      <c r="J53" s="246"/>
      <c r="K53" s="246"/>
      <c r="L53" s="246"/>
      <c r="M53" s="246"/>
      <c r="N53" s="246"/>
      <c r="O53" s="246"/>
      <c r="P53" s="246"/>
      <c r="Q53" s="246"/>
      <c r="R53" s="246"/>
      <c r="S53" s="299"/>
      <c r="T53" s="299"/>
      <c r="U53" s="299"/>
      <c r="V53" s="299"/>
      <c r="BE53" s="299"/>
      <c r="BF53" s="299"/>
      <c r="BG53" s="299"/>
      <c r="BH53" s="299"/>
      <c r="BI53" s="299"/>
      <c r="BJ53" s="299"/>
    </row>
    <row r="54" spans="1:62" s="220" customFormat="1" ht="102">
      <c r="A54" s="290">
        <v>6</v>
      </c>
      <c r="B54" s="301" t="s">
        <v>52</v>
      </c>
      <c r="C54" s="301">
        <v>45</v>
      </c>
      <c r="D54" s="301">
        <v>48</v>
      </c>
      <c r="E54" s="326"/>
      <c r="F54" s="326"/>
      <c r="G54" s="326"/>
      <c r="H54" s="326"/>
      <c r="I54" s="299"/>
      <c r="J54" s="246"/>
      <c r="K54" s="246"/>
      <c r="L54" s="246"/>
      <c r="M54" s="246"/>
      <c r="N54" s="246"/>
      <c r="O54" s="246"/>
      <c r="P54" s="246"/>
      <c r="Q54" s="246"/>
      <c r="R54" s="246"/>
      <c r="S54" s="299"/>
      <c r="T54" s="299"/>
      <c r="U54" s="299"/>
      <c r="V54" s="299"/>
      <c r="BE54" s="299"/>
      <c r="BF54" s="299"/>
      <c r="BG54" s="299"/>
      <c r="BH54" s="387"/>
      <c r="BI54" s="387"/>
      <c r="BJ54" s="387"/>
    </row>
    <row r="55" spans="1:62" s="220" customFormat="1" ht="153">
      <c r="A55" s="290">
        <v>7</v>
      </c>
      <c r="B55" s="301" t="s">
        <v>431</v>
      </c>
      <c r="C55" s="301">
        <v>50</v>
      </c>
      <c r="D55" s="301">
        <v>38</v>
      </c>
      <c r="E55" s="326"/>
      <c r="F55" s="326"/>
      <c r="G55" s="326"/>
      <c r="H55" s="326"/>
      <c r="I55" s="299"/>
      <c r="J55" s="299"/>
      <c r="K55" s="246"/>
      <c r="L55" s="246"/>
      <c r="M55" s="246"/>
      <c r="N55" s="246"/>
      <c r="O55" s="246"/>
      <c r="P55" s="246"/>
      <c r="Q55" s="246"/>
      <c r="R55" s="246"/>
      <c r="S55" s="299"/>
      <c r="T55" s="299"/>
      <c r="U55" s="299"/>
      <c r="V55" s="299"/>
      <c r="BE55" s="299"/>
      <c r="BF55" s="299"/>
      <c r="BG55" s="299"/>
      <c r="BH55" s="299"/>
      <c r="BI55" s="299"/>
      <c r="BJ55" s="299"/>
    </row>
    <row r="56" spans="1:62" s="220" customFormat="1" ht="71.25" customHeight="1">
      <c r="A56" s="290">
        <v>8</v>
      </c>
      <c r="B56" s="301" t="s">
        <v>53</v>
      </c>
      <c r="C56" s="359" t="s">
        <v>577</v>
      </c>
      <c r="D56" s="301">
        <v>0</v>
      </c>
      <c r="E56" s="325"/>
      <c r="F56" s="325"/>
      <c r="G56" s="325"/>
      <c r="H56" s="325"/>
      <c r="I56" s="299"/>
      <c r="J56" s="299"/>
      <c r="K56" s="246"/>
      <c r="L56" s="246"/>
      <c r="M56" s="246"/>
      <c r="N56" s="246"/>
      <c r="O56" s="246"/>
      <c r="P56" s="246"/>
      <c r="Q56" s="246"/>
      <c r="R56" s="246"/>
      <c r="S56" s="299"/>
      <c r="T56" s="299"/>
      <c r="U56" s="299"/>
      <c r="V56" s="299"/>
      <c r="BE56" s="299"/>
      <c r="BF56" s="299"/>
      <c r="BG56" s="299"/>
      <c r="BH56" s="299"/>
      <c r="BI56" s="299"/>
      <c r="BJ56" s="299"/>
    </row>
    <row r="57" spans="1:24" ht="68.25" customHeight="1">
      <c r="A57" s="1071" t="s">
        <v>300</v>
      </c>
      <c r="B57" s="1071"/>
      <c r="C57" s="1071"/>
      <c r="D57" s="1071"/>
      <c r="E57" s="274"/>
      <c r="F57" s="274"/>
      <c r="G57" s="274"/>
      <c r="H57" s="274"/>
      <c r="I57" s="299"/>
      <c r="J57" s="299"/>
      <c r="K57" s="246"/>
      <c r="L57" s="246"/>
      <c r="M57" s="246"/>
      <c r="N57" s="246"/>
      <c r="O57" s="246"/>
      <c r="P57" s="246"/>
      <c r="Q57" s="246"/>
      <c r="R57" s="246"/>
      <c r="S57" s="299"/>
      <c r="T57" s="299"/>
      <c r="U57" s="299"/>
      <c r="V57" s="299"/>
      <c r="W57" s="299"/>
      <c r="X57" s="299"/>
    </row>
    <row r="58" spans="1:24" ht="15" customHeight="1">
      <c r="A58" s="1088" t="s">
        <v>54</v>
      </c>
      <c r="B58" s="1088"/>
      <c r="C58" s="1088"/>
      <c r="D58" s="1088"/>
      <c r="E58" s="264"/>
      <c r="F58" s="264"/>
      <c r="G58" s="264"/>
      <c r="H58" s="264"/>
      <c r="I58" s="274"/>
      <c r="J58" s="299"/>
      <c r="K58" s="1056" t="s">
        <v>125</v>
      </c>
      <c r="L58" s="1056"/>
      <c r="M58" s="1056"/>
      <c r="N58" s="1056"/>
      <c r="O58" s="1056"/>
      <c r="P58" s="1056"/>
      <c r="Q58" s="1056"/>
      <c r="R58" s="1056"/>
      <c r="S58" s="1056"/>
      <c r="T58" s="1056"/>
      <c r="U58" s="1056"/>
      <c r="V58" s="1056"/>
      <c r="W58" s="299"/>
      <c r="X58" s="299"/>
    </row>
    <row r="59" spans="1:24" ht="23.25" customHeight="1" thickBot="1">
      <c r="A59" s="1088" t="s">
        <v>55</v>
      </c>
      <c r="B59" s="1088"/>
      <c r="C59" s="1088"/>
      <c r="D59" s="1088"/>
      <c r="E59" s="264"/>
      <c r="F59" s="264"/>
      <c r="G59" s="264"/>
      <c r="H59" s="264"/>
      <c r="I59" s="264"/>
      <c r="J59" s="299"/>
      <c r="K59" s="1056" t="s">
        <v>126</v>
      </c>
      <c r="L59" s="1056"/>
      <c r="M59" s="1056"/>
      <c r="N59" s="1056"/>
      <c r="O59" s="1056"/>
      <c r="P59" s="1056"/>
      <c r="Q59" s="1056"/>
      <c r="R59" s="1056"/>
      <c r="S59" s="1056"/>
      <c r="T59" s="1056"/>
      <c r="U59" s="1056"/>
      <c r="V59" s="1056"/>
      <c r="W59" s="246"/>
      <c r="X59" s="246"/>
    </row>
    <row r="60" spans="1:24" ht="27.75" customHeight="1" thickBot="1">
      <c r="A60" s="1088" t="s">
        <v>485</v>
      </c>
      <c r="B60" s="1088"/>
      <c r="C60" s="1088"/>
      <c r="D60" s="1088"/>
      <c r="E60" s="264"/>
      <c r="F60" s="264"/>
      <c r="G60" s="264"/>
      <c r="H60" s="264"/>
      <c r="I60" s="264"/>
      <c r="J60" s="299"/>
      <c r="K60" s="246"/>
      <c r="L60" s="1065"/>
      <c r="M60" s="1065"/>
      <c r="N60" s="1065"/>
      <c r="O60" s="1065"/>
      <c r="P60" s="1065"/>
      <c r="Q60" s="1137" t="s">
        <v>127</v>
      </c>
      <c r="R60" s="958"/>
      <c r="S60" s="958"/>
      <c r="T60" s="1137" t="s">
        <v>128</v>
      </c>
      <c r="U60" s="958"/>
      <c r="V60" s="1138"/>
      <c r="W60" s="246"/>
      <c r="X60" s="246"/>
    </row>
    <row r="61" spans="1:24" ht="25.5" customHeight="1">
      <c r="A61" s="1071" t="s">
        <v>56</v>
      </c>
      <c r="B61" s="1071"/>
      <c r="C61" s="1071"/>
      <c r="D61" s="1071"/>
      <c r="E61" s="274"/>
      <c r="F61" s="274"/>
      <c r="G61" s="274"/>
      <c r="H61" s="274"/>
      <c r="I61" s="264"/>
      <c r="J61" s="299"/>
      <c r="K61" s="381" t="s">
        <v>129</v>
      </c>
      <c r="L61" s="1137" t="s">
        <v>130</v>
      </c>
      <c r="M61" s="958"/>
      <c r="N61" s="958"/>
      <c r="O61" s="958"/>
      <c r="P61" s="1138"/>
      <c r="Q61" s="1069" t="s">
        <v>131</v>
      </c>
      <c r="R61" s="928"/>
      <c r="S61" s="928"/>
      <c r="T61" s="1069" t="s">
        <v>132</v>
      </c>
      <c r="U61" s="928"/>
      <c r="V61" s="1070"/>
      <c r="W61" s="246"/>
      <c r="X61" s="246"/>
    </row>
    <row r="62" spans="1:24" ht="39.75" customHeight="1">
      <c r="A62" s="1088" t="s">
        <v>303</v>
      </c>
      <c r="B62" s="1088"/>
      <c r="C62" s="1088"/>
      <c r="D62" s="1088"/>
      <c r="E62" s="264"/>
      <c r="F62" s="264"/>
      <c r="G62" s="264"/>
      <c r="H62" s="264"/>
      <c r="I62" s="274"/>
      <c r="J62" s="299"/>
      <c r="K62" s="338" t="s">
        <v>133</v>
      </c>
      <c r="L62" s="1066" t="s">
        <v>134</v>
      </c>
      <c r="M62" s="1067"/>
      <c r="N62" s="1067"/>
      <c r="O62" s="1067"/>
      <c r="P62" s="1067"/>
      <c r="Q62" s="1068" t="s">
        <v>135</v>
      </c>
      <c r="R62" s="970"/>
      <c r="S62" s="970"/>
      <c r="T62" s="1068" t="s">
        <v>136</v>
      </c>
      <c r="U62" s="970"/>
      <c r="V62" s="970"/>
      <c r="W62" s="246"/>
      <c r="X62" s="246"/>
    </row>
    <row r="63" spans="1:24" ht="39" customHeight="1">
      <c r="A63" s="246"/>
      <c r="B63" s="246"/>
      <c r="C63" s="246"/>
      <c r="D63" s="246"/>
      <c r="E63" s="246"/>
      <c r="F63" s="246"/>
      <c r="G63" s="246"/>
      <c r="H63" s="246"/>
      <c r="I63" s="264"/>
      <c r="J63" s="299"/>
      <c r="K63" s="338" t="s">
        <v>137</v>
      </c>
      <c r="L63" s="1066" t="s">
        <v>138</v>
      </c>
      <c r="M63" s="1067"/>
      <c r="N63" s="1067"/>
      <c r="O63" s="1067"/>
      <c r="P63" s="1067"/>
      <c r="Q63" s="1068" t="s">
        <v>139</v>
      </c>
      <c r="R63" s="970"/>
      <c r="S63" s="970"/>
      <c r="T63" s="1068" t="s">
        <v>136</v>
      </c>
      <c r="U63" s="970"/>
      <c r="V63" s="970"/>
      <c r="W63" s="246"/>
      <c r="X63" s="246"/>
    </row>
    <row r="64" spans="1:24" ht="38.25" customHeight="1">
      <c r="A64" s="246"/>
      <c r="B64" s="246"/>
      <c r="C64" s="246"/>
      <c r="D64" s="246"/>
      <c r="E64" s="246"/>
      <c r="F64" s="246"/>
      <c r="G64" s="246"/>
      <c r="H64" s="246"/>
      <c r="I64" s="246"/>
      <c r="J64" s="274"/>
      <c r="K64" s="338" t="s">
        <v>140</v>
      </c>
      <c r="L64" s="1066" t="s">
        <v>138</v>
      </c>
      <c r="M64" s="1067"/>
      <c r="N64" s="1067"/>
      <c r="O64" s="1067"/>
      <c r="P64" s="1067"/>
      <c r="Q64" s="1068" t="s">
        <v>136</v>
      </c>
      <c r="R64" s="970"/>
      <c r="S64" s="970"/>
      <c r="T64" s="1068" t="s">
        <v>141</v>
      </c>
      <c r="U64" s="970"/>
      <c r="V64" s="970"/>
      <c r="W64" s="246"/>
      <c r="X64" s="246"/>
    </row>
    <row r="65" spans="1:24" ht="40.5" customHeight="1">
      <c r="A65" s="246"/>
      <c r="B65" s="246"/>
      <c r="C65" s="246"/>
      <c r="D65" s="246"/>
      <c r="E65" s="246"/>
      <c r="F65" s="246"/>
      <c r="G65" s="246"/>
      <c r="H65" s="246"/>
      <c r="I65" s="246"/>
      <c r="J65" s="264"/>
      <c r="K65" s="338" t="s">
        <v>140</v>
      </c>
      <c r="L65" s="1066" t="s">
        <v>142</v>
      </c>
      <c r="M65" s="1067"/>
      <c r="N65" s="1067"/>
      <c r="O65" s="1067"/>
      <c r="P65" s="1067"/>
      <c r="Q65" s="1068" t="s">
        <v>141</v>
      </c>
      <c r="R65" s="970"/>
      <c r="S65" s="970"/>
      <c r="T65" s="1068" t="s">
        <v>143</v>
      </c>
      <c r="U65" s="970"/>
      <c r="V65" s="970"/>
      <c r="W65" s="246"/>
      <c r="X65" s="246"/>
    </row>
    <row r="66" spans="1:24" ht="53.25" customHeight="1">
      <c r="A66" s="246"/>
      <c r="B66" s="246"/>
      <c r="C66" s="246"/>
      <c r="D66" s="246"/>
      <c r="E66" s="246"/>
      <c r="F66" s="246"/>
      <c r="G66" s="246"/>
      <c r="H66" s="246"/>
      <c r="I66" s="246"/>
      <c r="J66" s="264"/>
      <c r="K66" s="338" t="s">
        <v>144</v>
      </c>
      <c r="L66" s="1066" t="s">
        <v>145</v>
      </c>
      <c r="M66" s="1067"/>
      <c r="N66" s="1067"/>
      <c r="O66" s="1067"/>
      <c r="P66" s="1067"/>
      <c r="Q66" s="1068" t="s">
        <v>135</v>
      </c>
      <c r="R66" s="970"/>
      <c r="S66" s="970"/>
      <c r="T66" s="1068" t="s">
        <v>139</v>
      </c>
      <c r="U66" s="970"/>
      <c r="V66" s="970"/>
      <c r="W66" s="246"/>
      <c r="X66" s="246"/>
    </row>
    <row r="67" spans="1:24" ht="39.75" customHeight="1">
      <c r="A67" s="327"/>
      <c r="B67" s="327"/>
      <c r="C67" s="327"/>
      <c r="D67" s="327"/>
      <c r="E67" s="327"/>
      <c r="F67" s="296"/>
      <c r="G67" s="246"/>
      <c r="H67" s="246"/>
      <c r="I67" s="246"/>
      <c r="J67" s="264"/>
      <c r="K67" s="338" t="s">
        <v>146</v>
      </c>
      <c r="L67" s="1066" t="s">
        <v>147</v>
      </c>
      <c r="M67" s="1067"/>
      <c r="N67" s="1067"/>
      <c r="O67" s="1067"/>
      <c r="P67" s="1067"/>
      <c r="Q67" s="1068" t="s">
        <v>148</v>
      </c>
      <c r="R67" s="970"/>
      <c r="S67" s="970"/>
      <c r="T67" s="1068" t="s">
        <v>148</v>
      </c>
      <c r="U67" s="970"/>
      <c r="V67" s="970"/>
      <c r="W67" s="246"/>
      <c r="X67" s="246"/>
    </row>
    <row r="68" spans="1:24" ht="27" customHeight="1">
      <c r="A68" s="121"/>
      <c r="B68" s="121"/>
      <c r="C68" s="121"/>
      <c r="D68" s="121"/>
      <c r="E68" s="121"/>
      <c r="F68" s="121"/>
      <c r="G68" s="246"/>
      <c r="H68" s="246"/>
      <c r="I68" s="246"/>
      <c r="J68" s="274"/>
      <c r="K68" s="338" t="s">
        <v>149</v>
      </c>
      <c r="L68" s="1066" t="s">
        <v>150</v>
      </c>
      <c r="M68" s="1067"/>
      <c r="N68" s="1067"/>
      <c r="O68" s="1067"/>
      <c r="P68" s="1067"/>
      <c r="Q68" s="1068" t="s">
        <v>151</v>
      </c>
      <c r="R68" s="970"/>
      <c r="S68" s="970"/>
      <c r="T68" s="1068" t="s">
        <v>151</v>
      </c>
      <c r="U68" s="970"/>
      <c r="V68" s="970"/>
      <c r="W68" s="246"/>
      <c r="X68" s="246"/>
    </row>
    <row r="69" spans="1:24" ht="30.75" customHeight="1">
      <c r="A69" s="297"/>
      <c r="B69" s="24"/>
      <c r="C69" s="24"/>
      <c r="D69" s="24"/>
      <c r="E69" s="24"/>
      <c r="F69" s="121"/>
      <c r="G69" s="246"/>
      <c r="H69" s="246"/>
      <c r="I69" s="246"/>
      <c r="J69" s="264"/>
      <c r="K69" s="338" t="s">
        <v>149</v>
      </c>
      <c r="L69" s="1066" t="s">
        <v>152</v>
      </c>
      <c r="M69" s="1067"/>
      <c r="N69" s="1067"/>
      <c r="O69" s="1067"/>
      <c r="P69" s="1067"/>
      <c r="Q69" s="1068" t="s">
        <v>153</v>
      </c>
      <c r="R69" s="970"/>
      <c r="S69" s="970"/>
      <c r="T69" s="1068" t="s">
        <v>153</v>
      </c>
      <c r="U69" s="970"/>
      <c r="V69" s="970"/>
      <c r="W69" s="246"/>
      <c r="X69" s="246"/>
    </row>
    <row r="70" spans="1:24" ht="12.75">
      <c r="A70" s="297"/>
      <c r="B70" s="24"/>
      <c r="C70" s="24"/>
      <c r="D70" s="24"/>
      <c r="E70" s="24"/>
      <c r="F70" s="121"/>
      <c r="G70" s="246"/>
      <c r="H70" s="246"/>
      <c r="I70" s="246"/>
      <c r="J70" s="246"/>
      <c r="K70" s="246"/>
      <c r="L70" s="1065"/>
      <c r="M70" s="1065"/>
      <c r="N70" s="1065"/>
      <c r="O70" s="1065"/>
      <c r="P70" s="1065"/>
      <c r="Q70" s="1065"/>
      <c r="R70" s="1065"/>
      <c r="S70" s="1065"/>
      <c r="T70" s="1065"/>
      <c r="U70" s="1065"/>
      <c r="V70" s="1065"/>
      <c r="W70" s="246"/>
      <c r="X70" s="246"/>
    </row>
    <row r="71" spans="1:24" ht="12.75">
      <c r="A71" s="273"/>
      <c r="B71" s="306"/>
      <c r="C71" s="306"/>
      <c r="D71" s="306"/>
      <c r="E71" s="306"/>
      <c r="F71" s="121"/>
      <c r="G71" s="246"/>
      <c r="H71" s="246"/>
      <c r="I71" s="246"/>
      <c r="J71" s="246"/>
      <c r="K71" s="246"/>
      <c r="L71" s="1065"/>
      <c r="M71" s="1065"/>
      <c r="N71" s="1065"/>
      <c r="O71" s="1065"/>
      <c r="P71" s="1065"/>
      <c r="Q71" s="1065"/>
      <c r="R71" s="1065"/>
      <c r="S71" s="1065"/>
      <c r="T71" s="1065"/>
      <c r="U71" s="1065"/>
      <c r="V71" s="1065"/>
      <c r="W71" s="246"/>
      <c r="X71" s="246"/>
    </row>
    <row r="72" spans="1:24" ht="12.75">
      <c r="A72" s="273"/>
      <c r="B72" s="306"/>
      <c r="C72" s="306"/>
      <c r="D72" s="306"/>
      <c r="E72" s="306"/>
      <c r="F72" s="121"/>
      <c r="G72" s="246"/>
      <c r="H72" s="246"/>
      <c r="I72" s="246"/>
      <c r="J72" s="246"/>
      <c r="K72" s="246"/>
      <c r="L72" s="1065"/>
      <c r="M72" s="1065"/>
      <c r="N72" s="1065"/>
      <c r="O72" s="1065"/>
      <c r="P72" s="1065"/>
      <c r="Q72" s="1065"/>
      <c r="R72" s="1065"/>
      <c r="S72" s="1065"/>
      <c r="T72" s="1065"/>
      <c r="U72" s="1065"/>
      <c r="V72" s="1065"/>
      <c r="W72" s="246"/>
      <c r="X72" s="246"/>
    </row>
    <row r="73" spans="1:24" ht="12.75">
      <c r="A73" s="273"/>
      <c r="B73" s="306"/>
      <c r="C73" s="306"/>
      <c r="D73" s="306"/>
      <c r="E73" s="306"/>
      <c r="F73" s="121"/>
      <c r="G73" s="246"/>
      <c r="H73" s="246"/>
      <c r="I73" s="246"/>
      <c r="J73" s="246"/>
      <c r="K73" s="246"/>
      <c r="L73" s="246"/>
      <c r="M73" s="246"/>
      <c r="N73" s="246"/>
      <c r="O73" s="246"/>
      <c r="P73" s="246"/>
      <c r="Q73" s="246"/>
      <c r="R73" s="246"/>
      <c r="S73" s="246"/>
      <c r="T73" s="246"/>
      <c r="U73" s="246"/>
      <c r="V73" s="246"/>
      <c r="W73" s="246"/>
      <c r="X73" s="246"/>
    </row>
    <row r="74" spans="1:24" ht="12.75">
      <c r="A74" s="121"/>
      <c r="B74" s="24"/>
      <c r="C74" s="24"/>
      <c r="D74" s="24"/>
      <c r="E74" s="24"/>
      <c r="F74" s="121"/>
      <c r="G74" s="246"/>
      <c r="H74" s="246"/>
      <c r="I74" s="246"/>
      <c r="J74" s="246"/>
      <c r="K74" s="246"/>
      <c r="L74" s="246"/>
      <c r="M74" s="246"/>
      <c r="N74" s="246"/>
      <c r="O74" s="246"/>
      <c r="P74" s="246"/>
      <c r="Q74" s="246"/>
      <c r="R74" s="246"/>
      <c r="S74" s="246"/>
      <c r="T74" s="246"/>
      <c r="U74" s="246"/>
      <c r="V74" s="246"/>
      <c r="W74" s="246"/>
      <c r="X74" s="246"/>
    </row>
    <row r="75" spans="1:24" ht="24.75" customHeight="1">
      <c r="A75" s="274"/>
      <c r="B75" s="274"/>
      <c r="C75" s="274"/>
      <c r="D75" s="274"/>
      <c r="E75" s="274"/>
      <c r="F75" s="121"/>
      <c r="G75" s="246"/>
      <c r="H75" s="246"/>
      <c r="I75" s="246"/>
      <c r="J75" s="246"/>
      <c r="K75" s="246"/>
      <c r="L75" s="246"/>
      <c r="M75" s="246"/>
      <c r="N75" s="246"/>
      <c r="O75" s="246"/>
      <c r="P75" s="246"/>
      <c r="Q75" s="246"/>
      <c r="R75" s="246"/>
      <c r="S75" s="246"/>
      <c r="T75" s="246"/>
      <c r="U75" s="246"/>
      <c r="V75" s="246"/>
      <c r="W75" s="246"/>
      <c r="X75" s="246"/>
    </row>
    <row r="76" spans="1:24" ht="12.75">
      <c r="A76" s="307"/>
      <c r="B76" s="307"/>
      <c r="C76" s="307"/>
      <c r="D76" s="307"/>
      <c r="E76" s="307"/>
      <c r="F76" s="121"/>
      <c r="G76" s="246"/>
      <c r="H76" s="246"/>
      <c r="I76" s="246"/>
      <c r="J76" s="246"/>
      <c r="K76" s="246"/>
      <c r="L76" s="246"/>
      <c r="M76" s="246"/>
      <c r="N76" s="246"/>
      <c r="O76" s="246"/>
      <c r="P76" s="246"/>
      <c r="Q76" s="246"/>
      <c r="R76" s="246"/>
      <c r="S76" s="246"/>
      <c r="T76" s="246"/>
      <c r="U76" s="246"/>
      <c r="V76" s="246"/>
      <c r="W76" s="246"/>
      <c r="X76" s="246"/>
    </row>
    <row r="77" spans="1:24" ht="12.75">
      <c r="A77" s="121"/>
      <c r="B77" s="121"/>
      <c r="C77" s="121"/>
      <c r="D77" s="121"/>
      <c r="E77" s="121"/>
      <c r="F77" s="121"/>
      <c r="G77" s="246"/>
      <c r="H77" s="246"/>
      <c r="I77" s="246"/>
      <c r="J77" s="246"/>
      <c r="K77" s="246"/>
      <c r="L77" s="246"/>
      <c r="M77" s="246"/>
      <c r="N77" s="246"/>
      <c r="O77" s="246"/>
      <c r="P77" s="246"/>
      <c r="Q77" s="246"/>
      <c r="R77" s="246"/>
      <c r="S77" s="246"/>
      <c r="T77" s="246"/>
      <c r="U77" s="246"/>
      <c r="V77" s="246"/>
      <c r="W77" s="246"/>
      <c r="X77" s="246"/>
    </row>
    <row r="78" spans="1:24" ht="12.75">
      <c r="A78" s="246"/>
      <c r="B78" s="246"/>
      <c r="C78" s="246"/>
      <c r="D78" s="246"/>
      <c r="E78" s="246"/>
      <c r="F78" s="246"/>
      <c r="G78" s="246"/>
      <c r="H78" s="246"/>
      <c r="I78" s="246"/>
      <c r="J78" s="246"/>
      <c r="K78" s="246"/>
      <c r="L78" s="246"/>
      <c r="M78" s="246"/>
      <c r="N78" s="246"/>
      <c r="O78" s="246"/>
      <c r="P78" s="246"/>
      <c r="Q78" s="246"/>
      <c r="R78" s="246"/>
      <c r="S78" s="246"/>
      <c r="T78" s="246"/>
      <c r="U78" s="246"/>
      <c r="V78" s="246"/>
      <c r="W78" s="246"/>
      <c r="X78" s="246"/>
    </row>
    <row r="79" spans="1:10" ht="12.75">
      <c r="A79" s="246"/>
      <c r="B79" s="246"/>
      <c r="C79" s="246"/>
      <c r="D79" s="246"/>
      <c r="E79" s="246"/>
      <c r="F79" s="246"/>
      <c r="G79" s="246"/>
      <c r="H79" s="246"/>
      <c r="I79" s="246"/>
      <c r="J79" s="246"/>
    </row>
    <row r="80" spans="1:10" ht="12.75">
      <c r="A80" s="1056" t="s">
        <v>79</v>
      </c>
      <c r="B80" s="1056"/>
      <c r="C80" s="1056"/>
      <c r="D80" s="1056"/>
      <c r="E80" s="1056"/>
      <c r="F80" s="1056"/>
      <c r="G80" s="1056"/>
      <c r="H80" s="246"/>
      <c r="I80" s="246"/>
      <c r="J80" s="246"/>
    </row>
    <row r="81" spans="1:10" ht="13.5" thickBot="1">
      <c r="A81" s="246"/>
      <c r="B81" s="246"/>
      <c r="C81" s="246"/>
      <c r="D81" s="246"/>
      <c r="E81" s="246"/>
      <c r="F81" s="246"/>
      <c r="G81" s="246"/>
      <c r="H81" s="246"/>
      <c r="I81" s="246"/>
      <c r="J81" s="246"/>
    </row>
    <row r="82" spans="1:10" ht="15" thickBot="1">
      <c r="A82" s="1101" t="s">
        <v>80</v>
      </c>
      <c r="B82" s="1089" t="s">
        <v>296</v>
      </c>
      <c r="C82" s="1091"/>
      <c r="D82" s="1099" t="s">
        <v>81</v>
      </c>
      <c r="E82" s="1099" t="s">
        <v>299</v>
      </c>
      <c r="F82" s="1131" t="s">
        <v>82</v>
      </c>
      <c r="G82" s="1132"/>
      <c r="H82" s="246"/>
      <c r="I82" s="246"/>
      <c r="J82" s="246"/>
    </row>
    <row r="83" spans="1:10" ht="13.5" thickBot="1">
      <c r="A83" s="1102"/>
      <c r="B83" s="309" t="s">
        <v>83</v>
      </c>
      <c r="C83" s="316" t="s">
        <v>83</v>
      </c>
      <c r="D83" s="1100"/>
      <c r="E83" s="1100"/>
      <c r="F83" s="916"/>
      <c r="G83" s="1133"/>
      <c r="H83" s="246"/>
      <c r="I83" s="246"/>
      <c r="J83" s="246"/>
    </row>
    <row r="84" spans="1:10" ht="39" thickBot="1">
      <c r="A84" s="1102"/>
      <c r="B84" s="318" t="s">
        <v>84</v>
      </c>
      <c r="C84" s="319" t="s">
        <v>85</v>
      </c>
      <c r="D84" s="1100"/>
      <c r="E84" s="1100"/>
      <c r="F84" s="916"/>
      <c r="G84" s="1133"/>
      <c r="H84" s="246"/>
      <c r="I84" s="246"/>
      <c r="J84" s="246"/>
    </row>
    <row r="85" spans="1:10" ht="107.25" customHeight="1">
      <c r="A85" s="311" t="s">
        <v>86</v>
      </c>
      <c r="B85" s="317" t="s">
        <v>87</v>
      </c>
      <c r="C85" s="317" t="s">
        <v>87</v>
      </c>
      <c r="D85" s="312" t="s">
        <v>88</v>
      </c>
      <c r="E85" s="313" t="s">
        <v>89</v>
      </c>
      <c r="F85" s="1066" t="s">
        <v>90</v>
      </c>
      <c r="G85" s="1066"/>
      <c r="H85" s="246"/>
      <c r="I85" s="246"/>
      <c r="J85" s="246"/>
    </row>
    <row r="86" spans="1:10" ht="92.25" customHeight="1">
      <c r="A86" s="314" t="s">
        <v>91</v>
      </c>
      <c r="B86" s="311" t="s">
        <v>87</v>
      </c>
      <c r="C86" s="311" t="s">
        <v>87</v>
      </c>
      <c r="D86" s="312" t="s">
        <v>88</v>
      </c>
      <c r="E86" s="313" t="s">
        <v>89</v>
      </c>
      <c r="F86" s="1066" t="s">
        <v>92</v>
      </c>
      <c r="G86" s="1066"/>
      <c r="H86" s="246"/>
      <c r="I86" s="246"/>
      <c r="J86" s="246"/>
    </row>
    <row r="87" spans="1:10" ht="120" customHeight="1">
      <c r="A87" s="311" t="s">
        <v>93</v>
      </c>
      <c r="B87" s="311" t="s">
        <v>94</v>
      </c>
      <c r="C87" s="311" t="s">
        <v>87</v>
      </c>
      <c r="D87" s="312" t="s">
        <v>88</v>
      </c>
      <c r="E87" s="312" t="s">
        <v>95</v>
      </c>
      <c r="F87" s="1066" t="s">
        <v>301</v>
      </c>
      <c r="G87" s="1066"/>
      <c r="H87" s="246"/>
      <c r="I87" s="246"/>
      <c r="J87" s="246"/>
    </row>
    <row r="88" spans="1:10" ht="124.5" customHeight="1">
      <c r="A88" s="314" t="s">
        <v>96</v>
      </c>
      <c r="B88" s="311" t="s">
        <v>97</v>
      </c>
      <c r="C88" s="311" t="s">
        <v>94</v>
      </c>
      <c r="D88" s="312" t="s">
        <v>98</v>
      </c>
      <c r="E88" s="312" t="s">
        <v>99</v>
      </c>
      <c r="F88" s="1066" t="s">
        <v>306</v>
      </c>
      <c r="G88" s="1066"/>
      <c r="H88" s="246"/>
      <c r="I88" s="246"/>
      <c r="J88" s="246"/>
    </row>
    <row r="89" spans="1:10" ht="105" customHeight="1">
      <c r="A89" s="314" t="s">
        <v>100</v>
      </c>
      <c r="B89" s="311" t="s">
        <v>101</v>
      </c>
      <c r="C89" s="311" t="s">
        <v>102</v>
      </c>
      <c r="D89" s="312" t="s">
        <v>103</v>
      </c>
      <c r="E89" s="312" t="s">
        <v>104</v>
      </c>
      <c r="F89" s="1066" t="s">
        <v>302</v>
      </c>
      <c r="G89" s="1066"/>
      <c r="H89" s="246"/>
      <c r="I89" s="246"/>
      <c r="J89" s="246"/>
    </row>
    <row r="90" spans="1:10" ht="130.5" customHeight="1">
      <c r="A90" s="311" t="s">
        <v>105</v>
      </c>
      <c r="B90" s="311" t="s">
        <v>106</v>
      </c>
      <c r="C90" s="311" t="s">
        <v>101</v>
      </c>
      <c r="D90" s="312" t="s">
        <v>107</v>
      </c>
      <c r="E90" s="312" t="s">
        <v>108</v>
      </c>
      <c r="F90" s="1066" t="s">
        <v>307</v>
      </c>
      <c r="G90" s="1066"/>
      <c r="H90" s="246"/>
      <c r="I90" s="246"/>
      <c r="J90" s="246"/>
    </row>
    <row r="91" spans="1:10" ht="93" customHeight="1">
      <c r="A91" s="311" t="s">
        <v>109</v>
      </c>
      <c r="B91" s="315" t="s">
        <v>110</v>
      </c>
      <c r="C91" s="315" t="s">
        <v>111</v>
      </c>
      <c r="D91" s="312" t="s">
        <v>107</v>
      </c>
      <c r="E91" s="312" t="s">
        <v>112</v>
      </c>
      <c r="F91" s="1066" t="s">
        <v>113</v>
      </c>
      <c r="G91" s="1066"/>
      <c r="H91" s="246"/>
      <c r="I91" s="246"/>
      <c r="J91" s="246"/>
    </row>
    <row r="92" spans="1:10" ht="40.5" customHeight="1">
      <c r="A92" s="1086" t="s">
        <v>308</v>
      </c>
      <c r="B92" s="1086"/>
      <c r="C92" s="1086"/>
      <c r="D92" s="1086"/>
      <c r="E92" s="1086"/>
      <c r="F92" s="1086"/>
      <c r="G92" s="1086"/>
      <c r="H92" s="246"/>
      <c r="I92" s="246"/>
      <c r="J92" s="246"/>
    </row>
    <row r="93" spans="1:10" ht="12.75">
      <c r="A93" s="1086" t="s">
        <v>114</v>
      </c>
      <c r="B93" s="1086"/>
      <c r="C93" s="1086"/>
      <c r="D93" s="1086"/>
      <c r="E93" s="1086"/>
      <c r="F93" s="1086"/>
      <c r="G93" s="1086"/>
      <c r="H93" s="246"/>
      <c r="I93" s="246"/>
      <c r="J93" s="246"/>
    </row>
    <row r="94" spans="1:10" ht="12.75">
      <c r="A94" s="246"/>
      <c r="B94" s="246"/>
      <c r="C94" s="246"/>
      <c r="D94" s="246"/>
      <c r="E94" s="246"/>
      <c r="F94" s="246"/>
      <c r="G94" s="246"/>
      <c r="H94" s="246"/>
      <c r="I94" s="246"/>
      <c r="J94" s="246"/>
    </row>
    <row r="95" spans="1:10" ht="12.75">
      <c r="A95" s="246"/>
      <c r="B95" s="246"/>
      <c r="C95" s="246"/>
      <c r="D95" s="246"/>
      <c r="E95" s="246"/>
      <c r="F95" s="246"/>
      <c r="G95" s="246"/>
      <c r="H95" s="246"/>
      <c r="I95" s="246"/>
      <c r="J95" s="246"/>
    </row>
    <row r="96" spans="1:10" ht="12.75">
      <c r="A96" s="246"/>
      <c r="B96" s="246"/>
      <c r="C96" s="246"/>
      <c r="D96" s="246"/>
      <c r="E96" s="246"/>
      <c r="F96" s="246"/>
      <c r="G96" s="246"/>
      <c r="H96" s="246"/>
      <c r="I96" s="246"/>
      <c r="J96" s="246"/>
    </row>
    <row r="97" spans="1:10" ht="12.75">
      <c r="A97" s="246"/>
      <c r="B97" s="246"/>
      <c r="C97" s="246"/>
      <c r="D97" s="246"/>
      <c r="E97" s="246"/>
      <c r="F97" s="246"/>
      <c r="G97" s="246"/>
      <c r="H97" s="246"/>
      <c r="I97" s="246"/>
      <c r="J97" s="246"/>
    </row>
    <row r="98" spans="1:10" ht="12.75">
      <c r="A98" s="246"/>
      <c r="B98" s="246"/>
      <c r="C98" s="246"/>
      <c r="D98" s="246"/>
      <c r="E98" s="246"/>
      <c r="F98" s="246"/>
      <c r="G98" s="246"/>
      <c r="H98" s="246"/>
      <c r="I98" s="246"/>
      <c r="J98" s="246"/>
    </row>
    <row r="99" spans="1:10" ht="12.75">
      <c r="A99" s="246"/>
      <c r="B99" s="246"/>
      <c r="C99" s="246"/>
      <c r="D99" s="246"/>
      <c r="E99" s="246"/>
      <c r="F99" s="246"/>
      <c r="G99" s="246"/>
      <c r="H99" s="246"/>
      <c r="I99" s="246"/>
      <c r="J99" s="246"/>
    </row>
    <row r="100" spans="1:10" ht="12.75">
      <c r="A100" s="246"/>
      <c r="B100" s="246"/>
      <c r="C100" s="246"/>
      <c r="D100" s="246"/>
      <c r="E100" s="246"/>
      <c r="F100" s="246"/>
      <c r="G100" s="246"/>
      <c r="H100" s="246"/>
      <c r="I100" s="246"/>
      <c r="J100" s="246"/>
    </row>
    <row r="101" spans="1:10" ht="12.75">
      <c r="A101" s="246"/>
      <c r="B101" s="246"/>
      <c r="C101" s="246"/>
      <c r="D101" s="246"/>
      <c r="E101" s="246"/>
      <c r="F101" s="246"/>
      <c r="G101" s="246"/>
      <c r="H101" s="246"/>
      <c r="I101" s="246"/>
      <c r="J101" s="246"/>
    </row>
    <row r="102" spans="1:10" ht="12.75">
      <c r="A102" s="246"/>
      <c r="B102" s="246"/>
      <c r="C102" s="246"/>
      <c r="D102" s="246"/>
      <c r="E102" s="246"/>
      <c r="F102" s="246"/>
      <c r="G102" s="246"/>
      <c r="H102" s="246"/>
      <c r="I102" s="246"/>
      <c r="J102" s="246"/>
    </row>
    <row r="103" spans="1:10" ht="12.75">
      <c r="A103" s="246"/>
      <c r="B103" s="246"/>
      <c r="C103" s="246"/>
      <c r="D103" s="246"/>
      <c r="E103" s="246"/>
      <c r="F103" s="246"/>
      <c r="G103" s="246"/>
      <c r="H103" s="246"/>
      <c r="I103" s="246"/>
      <c r="J103" s="246"/>
    </row>
    <row r="104" spans="1:10" ht="12.75">
      <c r="A104" s="246"/>
      <c r="B104" s="246"/>
      <c r="C104" s="246"/>
      <c r="D104" s="246"/>
      <c r="E104" s="246"/>
      <c r="F104" s="246"/>
      <c r="G104" s="246"/>
      <c r="H104" s="246"/>
      <c r="I104" s="246"/>
      <c r="J104" s="246"/>
    </row>
    <row r="105" spans="1:10" ht="12.75">
      <c r="A105" s="246"/>
      <c r="B105" s="246"/>
      <c r="C105" s="246"/>
      <c r="D105" s="246"/>
      <c r="E105" s="246"/>
      <c r="F105" s="246"/>
      <c r="G105" s="246"/>
      <c r="H105" s="246"/>
      <c r="I105" s="246"/>
      <c r="J105" s="246"/>
    </row>
    <row r="106" spans="1:7" ht="12.75">
      <c r="A106" s="246"/>
      <c r="B106" s="246"/>
      <c r="C106" s="246"/>
      <c r="D106" s="246"/>
      <c r="E106" s="246"/>
      <c r="F106" s="246"/>
      <c r="G106" s="246"/>
    </row>
    <row r="107" spans="1:7" ht="12.75">
      <c r="A107" s="246"/>
      <c r="B107" s="246"/>
      <c r="C107" s="246"/>
      <c r="D107" s="246"/>
      <c r="E107" s="246"/>
      <c r="F107" s="246"/>
      <c r="G107" s="246"/>
    </row>
    <row r="108" spans="1:7" ht="12.75">
      <c r="A108" s="246"/>
      <c r="B108" s="246"/>
      <c r="C108" s="246"/>
      <c r="D108" s="246"/>
      <c r="E108" s="246"/>
      <c r="F108" s="246"/>
      <c r="G108" s="246"/>
    </row>
    <row r="109" spans="1:7" ht="25.5" customHeight="1">
      <c r="A109" s="246"/>
      <c r="B109" s="246"/>
      <c r="C109" s="246"/>
      <c r="D109" s="246"/>
      <c r="E109" s="246"/>
      <c r="F109" s="246"/>
      <c r="G109" s="246"/>
    </row>
    <row r="110" spans="1:7" ht="12.75">
      <c r="A110" s="246"/>
      <c r="B110" s="246"/>
      <c r="C110" s="246"/>
      <c r="D110" s="246"/>
      <c r="E110" s="246"/>
      <c r="F110" s="246"/>
      <c r="G110" s="246"/>
    </row>
    <row r="111" spans="1:7" ht="12.75">
      <c r="A111" s="1056" t="s">
        <v>57</v>
      </c>
      <c r="B111" s="1056"/>
      <c r="C111" s="1056"/>
      <c r="D111" s="1056"/>
      <c r="E111" s="1056"/>
      <c r="F111" s="246"/>
      <c r="G111" s="246"/>
    </row>
    <row r="112" spans="1:7" ht="13.5" thickBot="1">
      <c r="A112" s="246"/>
      <c r="B112" s="246"/>
      <c r="C112" s="246"/>
      <c r="D112" s="246"/>
      <c r="E112" s="246"/>
      <c r="F112" s="246"/>
      <c r="G112" s="246"/>
    </row>
    <row r="113" spans="1:7" ht="13.5" thickBot="1">
      <c r="A113" s="1108" t="s">
        <v>58</v>
      </c>
      <c r="B113" s="1096" t="s">
        <v>59</v>
      </c>
      <c r="C113" s="1096"/>
      <c r="D113" s="1096"/>
      <c r="E113" s="1097"/>
      <c r="F113" s="246"/>
      <c r="G113" s="246"/>
    </row>
    <row r="114" spans="1:7" ht="15" thickBot="1">
      <c r="A114" s="1109"/>
      <c r="B114" s="248" t="s">
        <v>707</v>
      </c>
      <c r="C114" s="249" t="s">
        <v>293</v>
      </c>
      <c r="D114" s="249" t="s">
        <v>294</v>
      </c>
      <c r="E114" s="250" t="s">
        <v>60</v>
      </c>
      <c r="F114" s="246"/>
      <c r="G114" s="246"/>
    </row>
    <row r="115" spans="1:7" ht="51">
      <c r="A115" s="292" t="s">
        <v>61</v>
      </c>
      <c r="B115" s="294" t="s">
        <v>62</v>
      </c>
      <c r="C115" s="295" t="s">
        <v>63</v>
      </c>
      <c r="D115" s="295" t="s">
        <v>64</v>
      </c>
      <c r="E115" s="295" t="s">
        <v>65</v>
      </c>
      <c r="F115" s="246"/>
      <c r="G115" s="246"/>
    </row>
    <row r="116" spans="1:7" ht="38.25">
      <c r="A116" s="292" t="s">
        <v>66</v>
      </c>
      <c r="B116" s="291" t="s">
        <v>69</v>
      </c>
      <c r="C116" s="290" t="s">
        <v>70</v>
      </c>
      <c r="D116" s="290" t="s">
        <v>71</v>
      </c>
      <c r="E116" s="290" t="s">
        <v>72</v>
      </c>
      <c r="F116" s="246"/>
      <c r="G116" s="246"/>
    </row>
    <row r="117" spans="1:7" ht="14.25">
      <c r="A117" s="292" t="s">
        <v>295</v>
      </c>
      <c r="B117" s="291" t="s">
        <v>73</v>
      </c>
      <c r="C117" s="290" t="s">
        <v>74</v>
      </c>
      <c r="D117" s="290" t="s">
        <v>75</v>
      </c>
      <c r="E117" s="290"/>
      <c r="F117" s="246"/>
      <c r="G117" s="246"/>
    </row>
    <row r="118" spans="1:7" ht="13.5" thickBot="1">
      <c r="A118" s="293" t="s">
        <v>76</v>
      </c>
      <c r="B118" s="76" t="s">
        <v>77</v>
      </c>
      <c r="C118" s="75" t="s">
        <v>78</v>
      </c>
      <c r="D118" s="75" t="s">
        <v>397</v>
      </c>
      <c r="E118" s="75" t="s">
        <v>398</v>
      </c>
      <c r="F118" s="246"/>
      <c r="G118" s="246"/>
    </row>
    <row r="119" spans="1:7" ht="26.25" customHeight="1">
      <c r="A119" s="1098" t="s">
        <v>516</v>
      </c>
      <c r="B119" s="1098"/>
      <c r="C119" s="1098"/>
      <c r="D119" s="1098"/>
      <c r="E119" s="1098"/>
      <c r="F119" s="246"/>
      <c r="G119" s="246"/>
    </row>
    <row r="120" spans="1:7" ht="12.75">
      <c r="A120" s="1120" t="s">
        <v>517</v>
      </c>
      <c r="B120" s="1120"/>
      <c r="C120" s="1120"/>
      <c r="D120" s="1120"/>
      <c r="E120" s="1120"/>
      <c r="F120" s="246"/>
      <c r="G120" s="246"/>
    </row>
    <row r="121" spans="1:7" ht="12.75">
      <c r="A121" s="246"/>
      <c r="B121" s="246"/>
      <c r="C121" s="246"/>
      <c r="D121" s="246"/>
      <c r="E121" s="246"/>
      <c r="F121" s="246"/>
      <c r="G121" s="246"/>
    </row>
    <row r="122" spans="1:7" ht="12.75">
      <c r="A122" s="246"/>
      <c r="B122" s="246"/>
      <c r="C122" s="246"/>
      <c r="D122" s="246"/>
      <c r="E122" s="246"/>
      <c r="F122" s="246"/>
      <c r="G122" s="246"/>
    </row>
    <row r="123" spans="1:7" ht="12.75">
      <c r="A123" s="246"/>
      <c r="B123" s="246"/>
      <c r="C123" s="246"/>
      <c r="D123" s="246"/>
      <c r="E123" s="246"/>
      <c r="F123" s="246"/>
      <c r="G123" s="246"/>
    </row>
    <row r="124" spans="1:7" ht="12.75">
      <c r="A124" s="246"/>
      <c r="B124" s="246"/>
      <c r="C124" s="246"/>
      <c r="D124" s="246"/>
      <c r="E124" s="246"/>
      <c r="F124" s="246"/>
      <c r="G124" s="246"/>
    </row>
    <row r="125" spans="1:7" ht="12.75">
      <c r="A125" s="246"/>
      <c r="B125" s="246"/>
      <c r="C125" s="246"/>
      <c r="D125" s="246"/>
      <c r="E125" s="246"/>
      <c r="F125" s="246"/>
      <c r="G125" s="246"/>
    </row>
    <row r="126" spans="1:7" ht="12.75">
      <c r="A126" s="246"/>
      <c r="B126" s="246"/>
      <c r="C126" s="246"/>
      <c r="D126" s="246"/>
      <c r="E126" s="246"/>
      <c r="F126" s="246"/>
      <c r="G126" s="246"/>
    </row>
    <row r="127" spans="1:7" ht="12.75">
      <c r="A127" s="246"/>
      <c r="B127" s="246"/>
      <c r="C127" s="246"/>
      <c r="D127" s="246"/>
      <c r="E127" s="246"/>
      <c r="F127" s="246"/>
      <c r="G127" s="246"/>
    </row>
    <row r="128" spans="1:7" ht="12.75">
      <c r="A128" s="246"/>
      <c r="B128" s="246"/>
      <c r="C128" s="246"/>
      <c r="D128" s="246"/>
      <c r="E128" s="246"/>
      <c r="F128" s="246"/>
      <c r="G128" s="246"/>
    </row>
    <row r="129" spans="1:7" ht="12.75">
      <c r="A129" s="246"/>
      <c r="B129" s="246"/>
      <c r="C129" s="246"/>
      <c r="D129" s="246"/>
      <c r="E129" s="246"/>
      <c r="F129" s="246"/>
      <c r="G129" s="246"/>
    </row>
    <row r="130" spans="1:7" ht="12.75">
      <c r="A130" s="246"/>
      <c r="B130" s="246"/>
      <c r="C130" s="246"/>
      <c r="D130" s="246"/>
      <c r="E130" s="246"/>
      <c r="F130" s="246"/>
      <c r="G130" s="246"/>
    </row>
    <row r="131" spans="1:7" ht="12.75">
      <c r="A131" s="246"/>
      <c r="B131" s="246"/>
      <c r="C131" s="246"/>
      <c r="D131" s="246"/>
      <c r="E131" s="246"/>
      <c r="F131" s="246"/>
      <c r="G131" s="246"/>
    </row>
    <row r="132" spans="1:7" ht="12.75">
      <c r="A132" s="246"/>
      <c r="B132" s="246"/>
      <c r="C132" s="246"/>
      <c r="D132" s="246"/>
      <c r="E132" s="246"/>
      <c r="F132" s="246"/>
      <c r="G132" s="246"/>
    </row>
    <row r="133" spans="1:7" ht="12.75">
      <c r="A133" s="246"/>
      <c r="B133" s="246"/>
      <c r="C133" s="246"/>
      <c r="D133" s="246"/>
      <c r="E133" s="246"/>
      <c r="F133" s="246"/>
      <c r="G133" s="246"/>
    </row>
    <row r="134" spans="1:7" ht="12.75">
      <c r="A134" s="246"/>
      <c r="B134" s="246"/>
      <c r="C134" s="246"/>
      <c r="D134" s="246"/>
      <c r="E134" s="246"/>
      <c r="F134" s="246"/>
      <c r="G134" s="246"/>
    </row>
    <row r="135" spans="1:7" ht="12.75">
      <c r="A135" s="246"/>
      <c r="B135" s="246"/>
      <c r="C135" s="246"/>
      <c r="D135" s="246"/>
      <c r="E135" s="246"/>
      <c r="F135" s="246"/>
      <c r="G135" s="246"/>
    </row>
    <row r="136" spans="1:7" ht="12.75">
      <c r="A136" s="246"/>
      <c r="B136" s="246"/>
      <c r="C136" s="246"/>
      <c r="D136" s="246"/>
      <c r="E136" s="246"/>
      <c r="F136" s="246"/>
      <c r="G136" s="246"/>
    </row>
    <row r="137" spans="1:7" ht="12.75">
      <c r="A137" s="246"/>
      <c r="B137" s="246"/>
      <c r="C137" s="246"/>
      <c r="D137" s="246"/>
      <c r="E137" s="246"/>
      <c r="F137" s="246"/>
      <c r="G137" s="246"/>
    </row>
    <row r="138" spans="1:7" ht="12.75">
      <c r="A138" s="246"/>
      <c r="B138" s="246"/>
      <c r="C138" s="246"/>
      <c r="D138" s="246"/>
      <c r="E138" s="246"/>
      <c r="F138" s="246"/>
      <c r="G138" s="246"/>
    </row>
    <row r="139" spans="1:7" ht="12.75">
      <c r="A139" s="246"/>
      <c r="B139" s="246"/>
      <c r="C139" s="246"/>
      <c r="D139" s="246"/>
      <c r="E139" s="246"/>
      <c r="F139" s="246"/>
      <c r="G139" s="246"/>
    </row>
    <row r="140" spans="1:7" ht="12.75">
      <c r="A140" s="246"/>
      <c r="B140" s="246"/>
      <c r="C140" s="246"/>
      <c r="D140" s="246"/>
      <c r="E140" s="246"/>
      <c r="F140" s="246"/>
      <c r="G140" s="246"/>
    </row>
    <row r="141" spans="1:7" ht="12.75">
      <c r="A141" s="246"/>
      <c r="B141" s="246"/>
      <c r="C141" s="246"/>
      <c r="D141" s="246"/>
      <c r="E141" s="246"/>
      <c r="F141" s="246"/>
      <c r="G141" s="246"/>
    </row>
    <row r="142" spans="1:7" ht="12.75">
      <c r="A142" s="246"/>
      <c r="B142" s="246"/>
      <c r="C142" s="246"/>
      <c r="D142" s="246"/>
      <c r="E142" s="246"/>
      <c r="F142" s="246"/>
      <c r="G142" s="246"/>
    </row>
    <row r="143" spans="1:7" ht="12.75">
      <c r="A143" s="246"/>
      <c r="B143" s="246"/>
      <c r="C143" s="246"/>
      <c r="D143" s="246"/>
      <c r="E143" s="246"/>
      <c r="F143" s="246"/>
      <c r="G143" s="246"/>
    </row>
    <row r="144" spans="1:7" ht="12.75">
      <c r="A144" s="246"/>
      <c r="B144" s="246"/>
      <c r="C144" s="246"/>
      <c r="D144" s="246"/>
      <c r="E144" s="246"/>
      <c r="F144" s="246"/>
      <c r="G144" s="246"/>
    </row>
    <row r="145" spans="1:7" ht="12.75">
      <c r="A145" s="246"/>
      <c r="B145" s="246"/>
      <c r="C145" s="246"/>
      <c r="D145" s="246"/>
      <c r="E145" s="246"/>
      <c r="F145" s="246"/>
      <c r="G145" s="246"/>
    </row>
    <row r="146" spans="1:7" ht="12.75">
      <c r="A146" s="246"/>
      <c r="B146" s="246"/>
      <c r="C146" s="246"/>
      <c r="D146" s="246"/>
      <c r="E146" s="246"/>
      <c r="F146" s="246"/>
      <c r="G146" s="246"/>
    </row>
    <row r="147" spans="1:7" ht="12.75">
      <c r="A147" s="246"/>
      <c r="B147" s="246"/>
      <c r="C147" s="246"/>
      <c r="D147" s="246"/>
      <c r="E147" s="246"/>
      <c r="F147" s="246"/>
      <c r="G147" s="246"/>
    </row>
    <row r="148" spans="1:7" ht="12.75">
      <c r="A148" s="246"/>
      <c r="B148" s="246"/>
      <c r="C148" s="246"/>
      <c r="D148" s="246"/>
      <c r="E148" s="246"/>
      <c r="F148" s="246"/>
      <c r="G148" s="246"/>
    </row>
    <row r="149" spans="1:7" ht="12.75">
      <c r="A149" s="246"/>
      <c r="B149" s="246"/>
      <c r="C149" s="246"/>
      <c r="D149" s="246"/>
      <c r="E149" s="246"/>
      <c r="F149" s="246"/>
      <c r="G149" s="246"/>
    </row>
    <row r="150" spans="1:7" ht="12.75">
      <c r="A150" s="246"/>
      <c r="B150" s="246"/>
      <c r="C150" s="246"/>
      <c r="D150" s="246"/>
      <c r="E150" s="246"/>
      <c r="F150" s="246"/>
      <c r="G150" s="246"/>
    </row>
    <row r="151" spans="1:7" ht="12.75">
      <c r="A151" s="246"/>
      <c r="B151" s="246"/>
      <c r="C151" s="246"/>
      <c r="D151" s="246"/>
      <c r="E151" s="246"/>
      <c r="F151" s="246"/>
      <c r="G151" s="246"/>
    </row>
    <row r="152" spans="1:7" ht="12.75">
      <c r="A152" s="246"/>
      <c r="B152" s="246"/>
      <c r="C152" s="246"/>
      <c r="D152" s="246"/>
      <c r="E152" s="246"/>
      <c r="F152" s="246"/>
      <c r="G152" s="246"/>
    </row>
    <row r="153" spans="1:7" ht="12.75">
      <c r="A153" s="1056" t="s">
        <v>28</v>
      </c>
      <c r="B153" s="1056"/>
      <c r="C153" s="1056"/>
      <c r="D153" s="1056"/>
      <c r="E153" s="246"/>
      <c r="F153" s="246"/>
      <c r="G153" s="246"/>
    </row>
    <row r="154" spans="1:7" ht="13.5" thickBot="1">
      <c r="A154" s="246"/>
      <c r="B154" s="246"/>
      <c r="C154" s="246"/>
      <c r="D154" s="246"/>
      <c r="E154" s="246"/>
      <c r="F154" s="246"/>
      <c r="G154" s="246"/>
    </row>
    <row r="155" spans="2:7" ht="15" thickBot="1">
      <c r="B155" s="1134" t="s">
        <v>289</v>
      </c>
      <c r="C155" s="1135"/>
      <c r="D155" s="1136"/>
      <c r="E155" s="246"/>
      <c r="F155" s="246"/>
      <c r="G155" s="246"/>
    </row>
    <row r="156" spans="1:7" ht="26.25" thickBot="1">
      <c r="A156" s="305" t="s">
        <v>29</v>
      </c>
      <c r="B156" s="207" t="s">
        <v>707</v>
      </c>
      <c r="C156" s="208" t="s">
        <v>863</v>
      </c>
      <c r="D156" s="209" t="s">
        <v>706</v>
      </c>
      <c r="E156" s="246"/>
      <c r="F156" s="246"/>
      <c r="G156" s="246"/>
    </row>
    <row r="157" spans="1:7" ht="179.25" thickBot="1">
      <c r="A157" s="211" t="s">
        <v>30</v>
      </c>
      <c r="B157" s="212" t="s">
        <v>31</v>
      </c>
      <c r="C157" s="212" t="s">
        <v>32</v>
      </c>
      <c r="D157" s="213" t="s">
        <v>33</v>
      </c>
      <c r="E157" s="246"/>
      <c r="F157" s="246"/>
      <c r="G157" s="246"/>
    </row>
    <row r="158" spans="1:7" ht="128.25" thickBot="1">
      <c r="A158" s="214" t="s">
        <v>34</v>
      </c>
      <c r="B158" s="215" t="s">
        <v>35</v>
      </c>
      <c r="C158" s="216" t="s">
        <v>36</v>
      </c>
      <c r="D158" s="217" t="s">
        <v>37</v>
      </c>
      <c r="E158" s="246"/>
      <c r="F158" s="246"/>
      <c r="G158" s="246"/>
    </row>
    <row r="159" spans="1:7" ht="128.25" thickBot="1">
      <c r="A159" s="214" t="s">
        <v>38</v>
      </c>
      <c r="B159" s="215" t="s">
        <v>39</v>
      </c>
      <c r="C159" s="218" t="s">
        <v>41</v>
      </c>
      <c r="D159" s="219"/>
      <c r="E159" s="246"/>
      <c r="F159" s="246"/>
      <c r="G159" s="246"/>
    </row>
    <row r="160" spans="1:7" ht="12.75">
      <c r="A160" t="s">
        <v>42</v>
      </c>
      <c r="D160" s="246"/>
      <c r="E160" s="246"/>
      <c r="F160" s="246"/>
      <c r="G160" s="246"/>
    </row>
    <row r="161" spans="1:7" ht="12.75">
      <c r="A161" s="246"/>
      <c r="B161" s="246"/>
      <c r="C161" s="246"/>
      <c r="D161" s="246"/>
      <c r="E161" s="246"/>
      <c r="F161" s="246"/>
      <c r="G161" s="246"/>
    </row>
    <row r="162" spans="1:7" ht="12.75">
      <c r="A162" s="246"/>
      <c r="B162" s="246"/>
      <c r="C162" s="246"/>
      <c r="D162" s="246"/>
      <c r="E162" s="246"/>
      <c r="F162" s="246"/>
      <c r="G162" s="246"/>
    </row>
    <row r="163" spans="1:7" ht="12.75">
      <c r="A163" s="246"/>
      <c r="B163" s="246"/>
      <c r="C163" s="246"/>
      <c r="D163" s="246"/>
      <c r="E163" s="246"/>
      <c r="F163" s="246"/>
      <c r="G163" s="246"/>
    </row>
    <row r="164" spans="1:7" ht="12.75">
      <c r="A164" s="246"/>
      <c r="B164" s="246"/>
      <c r="C164" s="246"/>
      <c r="D164" s="246"/>
      <c r="E164" s="246"/>
      <c r="F164" s="246"/>
      <c r="G164" s="246"/>
    </row>
    <row r="165" spans="1:7" ht="12.75">
      <c r="A165" s="246"/>
      <c r="B165" s="246"/>
      <c r="C165" s="246"/>
      <c r="D165" s="246"/>
      <c r="E165" s="246"/>
      <c r="F165" s="246"/>
      <c r="G165" s="246"/>
    </row>
    <row r="166" spans="1:7" ht="12.75">
      <c r="A166" s="246"/>
      <c r="B166" s="246"/>
      <c r="C166" s="246"/>
      <c r="D166" s="246"/>
      <c r="E166" s="246"/>
      <c r="F166" s="246"/>
      <c r="G166" s="246"/>
    </row>
    <row r="167" spans="1:7" ht="12.75">
      <c r="A167" s="246"/>
      <c r="B167" s="246"/>
      <c r="C167" s="246"/>
      <c r="D167" s="246"/>
      <c r="E167" s="246"/>
      <c r="F167" s="246"/>
      <c r="G167" s="246"/>
    </row>
    <row r="168" spans="1:7" ht="12.75">
      <c r="A168" s="246"/>
      <c r="B168" s="246"/>
      <c r="C168" s="246"/>
      <c r="D168" s="246"/>
      <c r="E168" s="246"/>
      <c r="F168" s="246"/>
      <c r="G168" s="246"/>
    </row>
    <row r="169" spans="1:7" ht="12.75">
      <c r="A169" s="246"/>
      <c r="B169" s="246"/>
      <c r="C169" s="246"/>
      <c r="D169" s="246"/>
      <c r="E169" s="246"/>
      <c r="F169" s="246"/>
      <c r="G169" s="246"/>
    </row>
    <row r="170" spans="1:7" ht="12.75">
      <c r="A170" s="246"/>
      <c r="B170" s="246"/>
      <c r="C170" s="246"/>
      <c r="D170" s="246"/>
      <c r="E170" s="246"/>
      <c r="F170" s="246"/>
      <c r="G170" s="246"/>
    </row>
    <row r="171" spans="1:7" ht="12.75">
      <c r="A171" s="246"/>
      <c r="B171" s="246"/>
      <c r="C171" s="246"/>
      <c r="D171" s="246"/>
      <c r="E171" s="246"/>
      <c r="F171" s="246"/>
      <c r="G171" s="246"/>
    </row>
    <row r="172" spans="1:7" ht="12.75">
      <c r="A172" s="246"/>
      <c r="B172" s="246"/>
      <c r="C172" s="246"/>
      <c r="D172" s="246"/>
      <c r="E172" s="246"/>
      <c r="F172" s="246"/>
      <c r="G172" s="246"/>
    </row>
    <row r="173" spans="1:7" ht="12.75">
      <c r="A173" s="246"/>
      <c r="B173" s="246"/>
      <c r="C173" s="246"/>
      <c r="D173" s="246"/>
      <c r="E173" s="246"/>
      <c r="F173" s="246"/>
      <c r="G173" s="246"/>
    </row>
    <row r="174" spans="1:7" ht="12.75">
      <c r="A174" s="246"/>
      <c r="B174" s="246"/>
      <c r="C174" s="246"/>
      <c r="D174" s="246"/>
      <c r="E174" s="246"/>
      <c r="F174" s="246"/>
      <c r="G174" s="246"/>
    </row>
    <row r="175" spans="1:7" ht="12.75">
      <c r="A175" s="246"/>
      <c r="B175" s="246"/>
      <c r="C175" s="246"/>
      <c r="D175" s="246"/>
      <c r="E175" s="246"/>
      <c r="F175" s="246"/>
      <c r="G175" s="246"/>
    </row>
    <row r="176" spans="1:7" ht="12.75">
      <c r="A176" s="246"/>
      <c r="B176" s="246"/>
      <c r="C176" s="246"/>
      <c r="D176" s="246"/>
      <c r="E176" s="246"/>
      <c r="F176" s="246"/>
      <c r="G176" s="246"/>
    </row>
    <row r="177" spans="1:7" ht="12.75">
      <c r="A177" s="246"/>
      <c r="B177" s="246"/>
      <c r="C177" s="246"/>
      <c r="D177" s="246"/>
      <c r="E177" s="246"/>
      <c r="F177" s="246"/>
      <c r="G177" s="246"/>
    </row>
    <row r="178" spans="1:7" ht="12.75">
      <c r="A178" s="246"/>
      <c r="B178" s="246"/>
      <c r="C178" s="246"/>
      <c r="D178" s="246"/>
      <c r="E178" s="246"/>
      <c r="F178" s="246"/>
      <c r="G178" s="246"/>
    </row>
    <row r="179" spans="1:7" ht="12.75">
      <c r="A179" s="246"/>
      <c r="B179" s="246"/>
      <c r="C179" s="246"/>
      <c r="D179" s="246"/>
      <c r="E179" s="246"/>
      <c r="F179" s="246"/>
      <c r="G179" s="246"/>
    </row>
    <row r="180" spans="1:7" ht="12.75">
      <c r="A180" s="246"/>
      <c r="B180" s="246"/>
      <c r="C180" s="246"/>
      <c r="D180" s="246"/>
      <c r="E180" s="246"/>
      <c r="F180" s="246"/>
      <c r="G180" s="246"/>
    </row>
    <row r="181" spans="1:7" ht="12.75">
      <c r="A181" s="246"/>
      <c r="B181" s="246"/>
      <c r="C181" s="246"/>
      <c r="D181" s="246"/>
      <c r="E181" s="246"/>
      <c r="F181" s="246"/>
      <c r="G181" s="246"/>
    </row>
    <row r="182" spans="4:7" ht="12.75">
      <c r="D182" s="246"/>
      <c r="E182" s="246"/>
      <c r="F182" s="246"/>
      <c r="G182" s="246"/>
    </row>
    <row r="183" spans="4:7" ht="12.75">
      <c r="D183" s="246"/>
      <c r="E183" s="246"/>
      <c r="F183" s="246"/>
      <c r="G183" s="246"/>
    </row>
    <row r="184" spans="4:7" ht="12.75">
      <c r="D184" s="246"/>
      <c r="E184" s="246"/>
      <c r="F184" s="246"/>
      <c r="G184" s="246"/>
    </row>
    <row r="185" spans="4:7" ht="12.75">
      <c r="D185" s="246"/>
      <c r="E185" s="246"/>
      <c r="F185" s="246"/>
      <c r="G185" s="246"/>
    </row>
    <row r="186" spans="4:7" ht="12.75">
      <c r="D186" s="246"/>
      <c r="E186" s="246"/>
      <c r="F186" s="246"/>
      <c r="G186" s="246"/>
    </row>
    <row r="187" spans="4:7" ht="12.75">
      <c r="D187" s="246"/>
      <c r="E187" s="246"/>
      <c r="F187" s="246"/>
      <c r="G187" s="246"/>
    </row>
    <row r="188" spans="4:7" ht="12.75">
      <c r="D188" s="246"/>
      <c r="E188" s="246"/>
      <c r="F188" s="246"/>
      <c r="G188" s="246"/>
    </row>
  </sheetData>
  <sheetProtection sheet="1" objects="1" scenarios="1"/>
  <mergeCells count="125">
    <mergeCell ref="N38:T38"/>
    <mergeCell ref="B155:D155"/>
    <mergeCell ref="F89:G89"/>
    <mergeCell ref="F90:G90"/>
    <mergeCell ref="F91:G91"/>
    <mergeCell ref="L60:P60"/>
    <mergeCell ref="Q60:S60"/>
    <mergeCell ref="T60:V60"/>
    <mergeCell ref="L61:P61"/>
    <mergeCell ref="Q61:S61"/>
    <mergeCell ref="J33:K33"/>
    <mergeCell ref="A153:D153"/>
    <mergeCell ref="F85:G85"/>
    <mergeCell ref="A80:G80"/>
    <mergeCell ref="F82:G84"/>
    <mergeCell ref="F86:G86"/>
    <mergeCell ref="F87:G87"/>
    <mergeCell ref="F88:G88"/>
    <mergeCell ref="K58:V58"/>
    <mergeCell ref="K59:V59"/>
    <mergeCell ref="A120:E120"/>
    <mergeCell ref="J34:K34"/>
    <mergeCell ref="J35:K35"/>
    <mergeCell ref="J36:K36"/>
    <mergeCell ref="J37:K37"/>
    <mergeCell ref="J38:K38"/>
    <mergeCell ref="J41:K41"/>
    <mergeCell ref="J42:K42"/>
    <mergeCell ref="A111:E111"/>
    <mergeCell ref="A113:A114"/>
    <mergeCell ref="AN4:BC4"/>
    <mergeCell ref="AM4:AM5"/>
    <mergeCell ref="AM2:BC2"/>
    <mergeCell ref="X11:X14"/>
    <mergeCell ref="Z2:AD2"/>
    <mergeCell ref="AF2:AJ2"/>
    <mergeCell ref="I15:M15"/>
    <mergeCell ref="Z6:AA6"/>
    <mergeCell ref="Z7:AA7"/>
    <mergeCell ref="Z8:AA8"/>
    <mergeCell ref="Z9:AA9"/>
    <mergeCell ref="O15:X15"/>
    <mergeCell ref="R8:S8"/>
    <mergeCell ref="T8:U8"/>
    <mergeCell ref="O16:X16"/>
    <mergeCell ref="O2:X2"/>
    <mergeCell ref="J39:K39"/>
    <mergeCell ref="J40:K40"/>
    <mergeCell ref="X8:X9"/>
    <mergeCell ref="W8:W9"/>
    <mergeCell ref="V8:V9"/>
    <mergeCell ref="P7:X7"/>
    <mergeCell ref="O7:O10"/>
    <mergeCell ref="P10:X10"/>
    <mergeCell ref="I2:M2"/>
    <mergeCell ref="J7:M7"/>
    <mergeCell ref="I14:M14"/>
    <mergeCell ref="P8:Q8"/>
    <mergeCell ref="A62:D62"/>
    <mergeCell ref="A45:D45"/>
    <mergeCell ref="B113:E113"/>
    <mergeCell ref="A119:E119"/>
    <mergeCell ref="A92:G92"/>
    <mergeCell ref="A93:G93"/>
    <mergeCell ref="B82:C82"/>
    <mergeCell ref="E82:E84"/>
    <mergeCell ref="A82:A84"/>
    <mergeCell ref="D82:D84"/>
    <mergeCell ref="B4:D4"/>
    <mergeCell ref="A2:D2"/>
    <mergeCell ref="A30:D30"/>
    <mergeCell ref="B32:D32"/>
    <mergeCell ref="A6:A9"/>
    <mergeCell ref="A13:D13"/>
    <mergeCell ref="A14:D14"/>
    <mergeCell ref="A15:D15"/>
    <mergeCell ref="A16:D16"/>
    <mergeCell ref="A58:D58"/>
    <mergeCell ref="A59:D59"/>
    <mergeCell ref="A60:D60"/>
    <mergeCell ref="A61:D61"/>
    <mergeCell ref="A57:D57"/>
    <mergeCell ref="J32:T32"/>
    <mergeCell ref="N34:T34"/>
    <mergeCell ref="N35:T36"/>
    <mergeCell ref="N37:T37"/>
    <mergeCell ref="N40:T40"/>
    <mergeCell ref="N41:T41"/>
    <mergeCell ref="N39:T39"/>
    <mergeCell ref="J43:T44"/>
    <mergeCell ref="N42:T42"/>
    <mergeCell ref="T61:V61"/>
    <mergeCell ref="L62:P62"/>
    <mergeCell ref="Q62:S62"/>
    <mergeCell ref="T62:V62"/>
    <mergeCell ref="L63:P63"/>
    <mergeCell ref="Q63:S63"/>
    <mergeCell ref="T63:V63"/>
    <mergeCell ref="L64:P64"/>
    <mergeCell ref="Q64:S64"/>
    <mergeCell ref="T64:V64"/>
    <mergeCell ref="L65:P65"/>
    <mergeCell ref="Q65:S65"/>
    <mergeCell ref="T65:V65"/>
    <mergeCell ref="L66:P66"/>
    <mergeCell ref="Q66:S66"/>
    <mergeCell ref="T66:V66"/>
    <mergeCell ref="L67:P67"/>
    <mergeCell ref="Q67:S67"/>
    <mergeCell ref="T67:V67"/>
    <mergeCell ref="L68:P68"/>
    <mergeCell ref="Q68:S68"/>
    <mergeCell ref="T68:V68"/>
    <mergeCell ref="L69:P69"/>
    <mergeCell ref="Q69:S69"/>
    <mergeCell ref="T69:V69"/>
    <mergeCell ref="L70:P70"/>
    <mergeCell ref="Q70:S70"/>
    <mergeCell ref="T70:V70"/>
    <mergeCell ref="L71:P71"/>
    <mergeCell ref="Q71:S71"/>
    <mergeCell ref="T71:V71"/>
    <mergeCell ref="L72:P72"/>
    <mergeCell ref="Q72:S72"/>
    <mergeCell ref="T72:V72"/>
  </mergeCells>
  <printOptions/>
  <pageMargins left="0.75" right="0.75" top="1" bottom="1" header="0.5" footer="0.5"/>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sheetPr codeName="Sheet5"/>
  <dimension ref="A1:BE92"/>
  <sheetViews>
    <sheetView workbookViewId="0" topLeftCell="A1">
      <pane ySplit="3" topLeftCell="BM26" activePane="bottomLeft" state="frozen"/>
      <selection pane="topLeft" activeCell="A51" sqref="A51:B51"/>
      <selection pane="bottomLeft" activeCell="N48" sqref="N48"/>
    </sheetView>
  </sheetViews>
  <sheetFormatPr defaultColWidth="9.140625" defaultRowHeight="12.75"/>
  <cols>
    <col min="1" max="1" width="16.140625" style="0" customWidth="1"/>
    <col min="2" max="2" width="5.28125" style="0" customWidth="1"/>
    <col min="3" max="3" width="3.7109375" style="0" customWidth="1"/>
    <col min="4" max="4" width="3.421875" style="0" customWidth="1"/>
    <col min="5" max="5" width="3.7109375" style="0" customWidth="1"/>
    <col min="6" max="6" width="3.8515625" style="0" customWidth="1"/>
    <col min="7" max="12" width="3.00390625" style="0" bestFit="1" customWidth="1"/>
    <col min="13" max="13" width="4.28125" style="0" customWidth="1"/>
    <col min="14" max="14" width="12.140625" style="0" bestFit="1" customWidth="1"/>
    <col min="15" max="25" width="3.00390625" style="0" bestFit="1" customWidth="1"/>
    <col min="26" max="26" width="3.421875" style="0" customWidth="1"/>
    <col min="27" max="27" width="11.7109375" style="0" bestFit="1" customWidth="1"/>
    <col min="28" max="38" width="3.00390625" style="0" bestFit="1" customWidth="1"/>
    <col min="39" max="39" width="5.140625" style="0" customWidth="1"/>
    <col min="40" max="40" width="12.7109375" style="0" bestFit="1" customWidth="1"/>
    <col min="41" max="45" width="3.00390625" style="0" bestFit="1" customWidth="1"/>
    <col min="46" max="46" width="3.8515625" style="0" customWidth="1"/>
    <col min="47" max="47" width="4.00390625" style="0" customWidth="1"/>
    <col min="48" max="48" width="3.8515625" style="0" customWidth="1"/>
    <col min="49" max="50" width="3.7109375" style="0" customWidth="1"/>
    <col min="51" max="51" width="4.57421875" style="0" customWidth="1"/>
    <col min="53" max="53" width="7.57421875" style="0" customWidth="1"/>
    <col min="54" max="54" width="12.57421875" style="0" customWidth="1"/>
    <col min="55" max="55" width="12.421875" style="0" customWidth="1"/>
  </cols>
  <sheetData>
    <row r="1" spans="1:40" ht="12.75">
      <c r="A1" t="s">
        <v>116</v>
      </c>
      <c r="N1" t="s">
        <v>117</v>
      </c>
      <c r="AA1" t="s">
        <v>118</v>
      </c>
      <c r="AN1" t="s">
        <v>119</v>
      </c>
    </row>
    <row r="2" spans="2:55" ht="12.75">
      <c r="B2" s="1049" t="s">
        <v>120</v>
      </c>
      <c r="C2" s="1049"/>
      <c r="D2" s="1049"/>
      <c r="E2" s="1049"/>
      <c r="F2" s="1049"/>
      <c r="G2" s="1049"/>
      <c r="H2" s="1049"/>
      <c r="I2" s="1049"/>
      <c r="J2" s="1049"/>
      <c r="K2" s="1049"/>
      <c r="L2" s="1049"/>
      <c r="O2" s="1049" t="s">
        <v>120</v>
      </c>
      <c r="P2" s="1049"/>
      <c r="Q2" s="1049"/>
      <c r="R2" s="1049"/>
      <c r="S2" s="1049"/>
      <c r="T2" s="1049"/>
      <c r="U2" s="1049"/>
      <c r="V2" s="1049"/>
      <c r="W2" s="1049"/>
      <c r="X2" s="1049"/>
      <c r="Y2" s="1049"/>
      <c r="AB2" s="1049" t="s">
        <v>120</v>
      </c>
      <c r="AC2" s="1049"/>
      <c r="AD2" s="1049"/>
      <c r="AE2" s="1049"/>
      <c r="AF2" s="1049"/>
      <c r="AG2" s="1049"/>
      <c r="AH2" s="1049"/>
      <c r="AI2" s="1049"/>
      <c r="AJ2" s="1049"/>
      <c r="AK2" s="1049"/>
      <c r="AL2" s="1049"/>
      <c r="AO2" s="1049" t="s">
        <v>120</v>
      </c>
      <c r="AP2" s="1049"/>
      <c r="AQ2" s="1049"/>
      <c r="AR2" s="1049"/>
      <c r="AS2" s="1049"/>
      <c r="AT2" s="1049"/>
      <c r="AU2" s="1049"/>
      <c r="AV2" s="1049"/>
      <c r="AW2" s="1049"/>
      <c r="AX2" s="1049"/>
      <c r="AY2" s="1049"/>
      <c r="BA2" s="222" t="s">
        <v>121</v>
      </c>
      <c r="BB2" s="193" t="s">
        <v>122</v>
      </c>
      <c r="BC2" s="194" t="s">
        <v>123</v>
      </c>
    </row>
    <row r="3" spans="1:57" ht="12.75">
      <c r="A3" t="s">
        <v>124</v>
      </c>
      <c r="B3" s="223">
        <v>0</v>
      </c>
      <c r="C3" s="223">
        <v>1</v>
      </c>
      <c r="D3" s="223">
        <v>2</v>
      </c>
      <c r="E3" s="223">
        <v>3</v>
      </c>
      <c r="F3" s="223">
        <v>4</v>
      </c>
      <c r="G3" s="223">
        <v>5</v>
      </c>
      <c r="H3" s="223">
        <v>6</v>
      </c>
      <c r="I3" s="223">
        <v>7</v>
      </c>
      <c r="J3" s="223">
        <v>8</v>
      </c>
      <c r="K3" s="223">
        <v>9</v>
      </c>
      <c r="L3" s="223">
        <v>10</v>
      </c>
      <c r="N3" t="s">
        <v>124</v>
      </c>
      <c r="O3" s="223">
        <v>0</v>
      </c>
      <c r="P3" s="223">
        <v>1</v>
      </c>
      <c r="Q3" s="223">
        <v>2</v>
      </c>
      <c r="R3" s="223">
        <v>3</v>
      </c>
      <c r="S3" s="223">
        <v>4</v>
      </c>
      <c r="T3" s="223">
        <v>5</v>
      </c>
      <c r="U3" s="223">
        <v>6</v>
      </c>
      <c r="V3" s="223">
        <v>7</v>
      </c>
      <c r="W3" s="223">
        <v>8</v>
      </c>
      <c r="X3" s="223">
        <v>9</v>
      </c>
      <c r="Y3" s="223">
        <v>10</v>
      </c>
      <c r="AA3" t="s">
        <v>124</v>
      </c>
      <c r="AB3" s="223">
        <v>0</v>
      </c>
      <c r="AC3" s="223">
        <v>1</v>
      </c>
      <c r="AD3" s="223">
        <v>2</v>
      </c>
      <c r="AE3" s="223">
        <v>3</v>
      </c>
      <c r="AF3" s="223">
        <v>4</v>
      </c>
      <c r="AG3" s="223">
        <v>5</v>
      </c>
      <c r="AH3" s="223">
        <v>6</v>
      </c>
      <c r="AI3" s="223">
        <v>7</v>
      </c>
      <c r="AJ3" s="223">
        <v>8</v>
      </c>
      <c r="AK3" s="223">
        <v>9</v>
      </c>
      <c r="AL3" s="223">
        <v>10</v>
      </c>
      <c r="AN3" t="s">
        <v>124</v>
      </c>
      <c r="AO3" s="223">
        <v>0</v>
      </c>
      <c r="AP3" s="223">
        <v>1</v>
      </c>
      <c r="AQ3" s="223">
        <v>2</v>
      </c>
      <c r="AR3" s="223">
        <v>3</v>
      </c>
      <c r="AS3" s="223">
        <v>4</v>
      </c>
      <c r="AT3" s="223">
        <v>5</v>
      </c>
      <c r="AU3" s="223">
        <v>6</v>
      </c>
      <c r="AV3" s="223">
        <v>7</v>
      </c>
      <c r="AW3" s="223">
        <v>8</v>
      </c>
      <c r="AX3" s="223">
        <v>9</v>
      </c>
      <c r="AY3" s="223">
        <v>10</v>
      </c>
      <c r="BA3" s="224">
        <f>IF(Input!A8="","",Input!A8)</f>
      </c>
      <c r="BB3" s="126">
        <f>IF(Input!O21="","",Input!O21)</f>
      </c>
      <c r="BC3" s="225">
        <f aca="true" t="shared" si="0" ref="BC3:BC11">IF(BB3="Subactive, 3",0.3,IF(BB3="Semiactive, 5",0.5,IF(BB3="Active, 7",0.7,IF(BB3="Superactive, 9",0.9,""))))</f>
      </c>
      <c r="BE3" s="226"/>
    </row>
    <row r="4" spans="1:57" ht="12.75">
      <c r="A4" s="225">
        <v>0</v>
      </c>
      <c r="B4">
        <v>0</v>
      </c>
      <c r="C4">
        <v>0</v>
      </c>
      <c r="D4">
        <v>2</v>
      </c>
      <c r="E4">
        <v>4</v>
      </c>
      <c r="F4">
        <v>6</v>
      </c>
      <c r="G4">
        <v>8</v>
      </c>
      <c r="H4">
        <v>10</v>
      </c>
      <c r="I4">
        <v>12</v>
      </c>
      <c r="J4">
        <v>14</v>
      </c>
      <c r="K4">
        <v>16</v>
      </c>
      <c r="L4">
        <v>18</v>
      </c>
      <c r="N4" s="225">
        <v>0</v>
      </c>
      <c r="O4">
        <v>0</v>
      </c>
      <c r="P4">
        <v>0</v>
      </c>
      <c r="Q4">
        <v>2</v>
      </c>
      <c r="R4">
        <v>4</v>
      </c>
      <c r="S4">
        <v>6</v>
      </c>
      <c r="T4">
        <v>8</v>
      </c>
      <c r="U4">
        <v>10</v>
      </c>
      <c r="V4">
        <v>12</v>
      </c>
      <c r="W4">
        <v>14</v>
      </c>
      <c r="X4">
        <v>16</v>
      </c>
      <c r="Y4">
        <v>18</v>
      </c>
      <c r="AA4" s="225">
        <v>0</v>
      </c>
      <c r="AB4">
        <v>0</v>
      </c>
      <c r="AC4">
        <v>0</v>
      </c>
      <c r="AD4">
        <v>2</v>
      </c>
      <c r="AE4">
        <v>4</v>
      </c>
      <c r="AF4">
        <v>6</v>
      </c>
      <c r="AG4">
        <v>8</v>
      </c>
      <c r="AH4">
        <v>10</v>
      </c>
      <c r="AI4">
        <v>12</v>
      </c>
      <c r="AJ4">
        <v>14</v>
      </c>
      <c r="AK4">
        <v>16</v>
      </c>
      <c r="AL4">
        <v>18</v>
      </c>
      <c r="AN4" s="225">
        <v>0</v>
      </c>
      <c r="AO4">
        <v>0</v>
      </c>
      <c r="AP4">
        <v>0</v>
      </c>
      <c r="AQ4">
        <v>2</v>
      </c>
      <c r="AR4">
        <v>4</v>
      </c>
      <c r="AS4">
        <v>6</v>
      </c>
      <c r="AT4">
        <v>8</v>
      </c>
      <c r="AU4">
        <v>10</v>
      </c>
      <c r="AV4">
        <v>12</v>
      </c>
      <c r="AW4">
        <v>14</v>
      </c>
      <c r="AX4">
        <v>16</v>
      </c>
      <c r="AY4">
        <v>18</v>
      </c>
      <c r="BA4" s="224">
        <f>IF(Input!A9="","",Input!A9)</f>
      </c>
      <c r="BB4" s="126">
        <f>IF(Input!O22="","",Input!O22)</f>
      </c>
      <c r="BC4" s="225">
        <f t="shared" si="0"/>
      </c>
      <c r="BE4" s="227"/>
    </row>
    <row r="5" spans="1:57" ht="12.75">
      <c r="A5" s="225">
        <v>2</v>
      </c>
      <c r="B5">
        <v>1</v>
      </c>
      <c r="C5">
        <v>1</v>
      </c>
      <c r="D5">
        <v>3</v>
      </c>
      <c r="E5">
        <v>5</v>
      </c>
      <c r="F5">
        <v>7</v>
      </c>
      <c r="G5">
        <v>9</v>
      </c>
      <c r="H5">
        <v>11</v>
      </c>
      <c r="I5">
        <v>13</v>
      </c>
      <c r="J5">
        <v>15</v>
      </c>
      <c r="K5">
        <v>17</v>
      </c>
      <c r="L5">
        <v>19</v>
      </c>
      <c r="N5" s="225">
        <v>2</v>
      </c>
      <c r="O5">
        <v>1</v>
      </c>
      <c r="P5">
        <v>1</v>
      </c>
      <c r="Q5">
        <v>3</v>
      </c>
      <c r="R5">
        <v>5</v>
      </c>
      <c r="S5">
        <v>7</v>
      </c>
      <c r="T5">
        <v>9</v>
      </c>
      <c r="U5">
        <v>11</v>
      </c>
      <c r="V5">
        <v>13</v>
      </c>
      <c r="W5">
        <v>15</v>
      </c>
      <c r="X5">
        <v>17</v>
      </c>
      <c r="Y5">
        <v>19</v>
      </c>
      <c r="AA5" s="225">
        <v>2</v>
      </c>
      <c r="AB5">
        <v>1</v>
      </c>
      <c r="AC5">
        <v>1</v>
      </c>
      <c r="AD5">
        <v>3</v>
      </c>
      <c r="AE5">
        <v>5</v>
      </c>
      <c r="AF5">
        <v>7</v>
      </c>
      <c r="AG5">
        <v>9</v>
      </c>
      <c r="AH5">
        <v>11</v>
      </c>
      <c r="AI5">
        <v>13</v>
      </c>
      <c r="AJ5">
        <v>15</v>
      </c>
      <c r="AK5">
        <v>17</v>
      </c>
      <c r="AL5">
        <v>19</v>
      </c>
      <c r="AN5" s="225">
        <v>2</v>
      </c>
      <c r="AO5">
        <v>2</v>
      </c>
      <c r="AP5">
        <v>2</v>
      </c>
      <c r="AQ5">
        <v>4</v>
      </c>
      <c r="AR5">
        <v>6</v>
      </c>
      <c r="AS5">
        <v>8</v>
      </c>
      <c r="AT5">
        <v>10</v>
      </c>
      <c r="AU5">
        <v>12</v>
      </c>
      <c r="AV5">
        <v>14</v>
      </c>
      <c r="AW5">
        <v>16</v>
      </c>
      <c r="AX5">
        <v>18</v>
      </c>
      <c r="AY5">
        <v>20</v>
      </c>
      <c r="BA5" s="224">
        <f>IF(Input!A10="","",Input!A10)</f>
      </c>
      <c r="BB5" s="126">
        <f>IF(Input!O23="","",Input!O23)</f>
      </c>
      <c r="BC5" s="225">
        <f t="shared" si="0"/>
      </c>
      <c r="BE5" s="227"/>
    </row>
    <row r="6" spans="1:57" ht="12.75">
      <c r="A6" s="225">
        <v>4</v>
      </c>
      <c r="B6">
        <v>1</v>
      </c>
      <c r="C6">
        <v>1</v>
      </c>
      <c r="D6">
        <v>3</v>
      </c>
      <c r="E6">
        <v>5</v>
      </c>
      <c r="F6">
        <v>7</v>
      </c>
      <c r="G6">
        <v>9</v>
      </c>
      <c r="H6">
        <v>11</v>
      </c>
      <c r="I6">
        <v>13</v>
      </c>
      <c r="J6">
        <v>15</v>
      </c>
      <c r="K6">
        <v>17</v>
      </c>
      <c r="L6">
        <v>19</v>
      </c>
      <c r="N6" s="225">
        <v>4</v>
      </c>
      <c r="O6">
        <v>2</v>
      </c>
      <c r="P6">
        <v>2</v>
      </c>
      <c r="Q6">
        <v>4</v>
      </c>
      <c r="R6">
        <v>6</v>
      </c>
      <c r="S6">
        <v>8</v>
      </c>
      <c r="T6">
        <v>10</v>
      </c>
      <c r="U6">
        <v>12</v>
      </c>
      <c r="V6">
        <v>14</v>
      </c>
      <c r="W6">
        <v>16</v>
      </c>
      <c r="X6">
        <v>18</v>
      </c>
      <c r="Y6">
        <v>20</v>
      </c>
      <c r="AA6" s="225">
        <v>4</v>
      </c>
      <c r="AB6">
        <v>3</v>
      </c>
      <c r="AC6">
        <v>3</v>
      </c>
      <c r="AD6">
        <v>5</v>
      </c>
      <c r="AE6">
        <v>7</v>
      </c>
      <c r="AF6">
        <v>9</v>
      </c>
      <c r="AG6">
        <v>11</v>
      </c>
      <c r="AH6">
        <v>13</v>
      </c>
      <c r="AI6">
        <v>15</v>
      </c>
      <c r="AJ6">
        <v>17</v>
      </c>
      <c r="AK6">
        <v>19</v>
      </c>
      <c r="AL6">
        <v>21</v>
      </c>
      <c r="AN6" s="225">
        <v>4</v>
      </c>
      <c r="AO6">
        <v>4</v>
      </c>
      <c r="AP6">
        <v>4</v>
      </c>
      <c r="AQ6">
        <v>6</v>
      </c>
      <c r="AR6">
        <v>8</v>
      </c>
      <c r="AS6">
        <v>10</v>
      </c>
      <c r="AT6">
        <v>12</v>
      </c>
      <c r="AU6">
        <v>14</v>
      </c>
      <c r="AV6">
        <v>16</v>
      </c>
      <c r="AW6">
        <v>18</v>
      </c>
      <c r="AX6">
        <v>20</v>
      </c>
      <c r="AY6">
        <v>22</v>
      </c>
      <c r="BA6" s="224">
        <f>IF(Input!A11="","",Input!A11)</f>
      </c>
      <c r="BB6" s="126">
        <f>IF(Input!O24="","",Input!O24)</f>
      </c>
      <c r="BC6" s="225">
        <f t="shared" si="0"/>
      </c>
      <c r="BE6" s="226"/>
    </row>
    <row r="7" spans="1:57" ht="12.75">
      <c r="A7" s="225">
        <v>6</v>
      </c>
      <c r="B7">
        <v>2</v>
      </c>
      <c r="C7">
        <v>2</v>
      </c>
      <c r="D7">
        <v>4</v>
      </c>
      <c r="E7">
        <v>6</v>
      </c>
      <c r="F7">
        <v>8</v>
      </c>
      <c r="G7">
        <v>10</v>
      </c>
      <c r="H7">
        <v>12</v>
      </c>
      <c r="I7">
        <v>14</v>
      </c>
      <c r="J7">
        <v>16</v>
      </c>
      <c r="K7">
        <v>18</v>
      </c>
      <c r="L7">
        <v>20</v>
      </c>
      <c r="N7" s="225">
        <v>6</v>
      </c>
      <c r="O7">
        <v>3</v>
      </c>
      <c r="P7">
        <v>3</v>
      </c>
      <c r="Q7">
        <v>5</v>
      </c>
      <c r="R7">
        <v>7</v>
      </c>
      <c r="S7">
        <v>9</v>
      </c>
      <c r="T7">
        <v>11</v>
      </c>
      <c r="U7">
        <v>13</v>
      </c>
      <c r="V7">
        <v>15</v>
      </c>
      <c r="W7">
        <v>17</v>
      </c>
      <c r="X7">
        <v>19</v>
      </c>
      <c r="Y7">
        <v>21</v>
      </c>
      <c r="AA7" s="225">
        <v>6</v>
      </c>
      <c r="AB7">
        <v>4</v>
      </c>
      <c r="AC7">
        <v>4</v>
      </c>
      <c r="AD7">
        <v>6</v>
      </c>
      <c r="AE7">
        <v>8</v>
      </c>
      <c r="AF7">
        <v>10</v>
      </c>
      <c r="AG7">
        <v>12</v>
      </c>
      <c r="AH7">
        <v>14</v>
      </c>
      <c r="AI7">
        <v>16</v>
      </c>
      <c r="AJ7">
        <v>18</v>
      </c>
      <c r="AK7">
        <v>20</v>
      </c>
      <c r="AL7">
        <v>22</v>
      </c>
      <c r="AN7" s="225">
        <v>6</v>
      </c>
      <c r="AO7">
        <v>5</v>
      </c>
      <c r="AP7">
        <v>5</v>
      </c>
      <c r="AQ7">
        <v>7</v>
      </c>
      <c r="AR7">
        <v>9</v>
      </c>
      <c r="AS7">
        <v>11</v>
      </c>
      <c r="AT7">
        <v>13</v>
      </c>
      <c r="AU7">
        <v>15</v>
      </c>
      <c r="AV7">
        <v>17</v>
      </c>
      <c r="AW7">
        <v>19</v>
      </c>
      <c r="AX7">
        <v>21</v>
      </c>
      <c r="AY7">
        <v>23</v>
      </c>
      <c r="BA7" s="224">
        <f>IF(Input!A12="","",Input!A12)</f>
      </c>
      <c r="BB7" s="126">
        <f>IF(Input!O25="","",Input!O25)</f>
      </c>
      <c r="BC7" s="225">
        <f t="shared" si="0"/>
      </c>
      <c r="BE7" s="145"/>
    </row>
    <row r="8" spans="1:55" ht="12.75">
      <c r="A8" s="225">
        <v>8</v>
      </c>
      <c r="B8">
        <v>2</v>
      </c>
      <c r="C8">
        <v>2</v>
      </c>
      <c r="D8">
        <v>4</v>
      </c>
      <c r="E8">
        <v>6</v>
      </c>
      <c r="F8">
        <v>8</v>
      </c>
      <c r="G8">
        <v>10</v>
      </c>
      <c r="H8">
        <v>12</v>
      </c>
      <c r="I8">
        <v>14</v>
      </c>
      <c r="J8">
        <v>16</v>
      </c>
      <c r="K8">
        <v>18</v>
      </c>
      <c r="L8">
        <v>20</v>
      </c>
      <c r="N8" s="225">
        <v>8</v>
      </c>
      <c r="O8">
        <v>4</v>
      </c>
      <c r="P8">
        <v>4</v>
      </c>
      <c r="Q8">
        <v>6</v>
      </c>
      <c r="R8">
        <v>8</v>
      </c>
      <c r="S8">
        <v>10</v>
      </c>
      <c r="T8">
        <v>12</v>
      </c>
      <c r="U8">
        <v>14</v>
      </c>
      <c r="V8">
        <v>16</v>
      </c>
      <c r="W8">
        <v>18</v>
      </c>
      <c r="X8">
        <v>20</v>
      </c>
      <c r="Y8">
        <v>22</v>
      </c>
      <c r="AA8" s="225">
        <v>8</v>
      </c>
      <c r="AB8">
        <v>6</v>
      </c>
      <c r="AC8">
        <v>6</v>
      </c>
      <c r="AD8">
        <v>8</v>
      </c>
      <c r="AE8">
        <v>10</v>
      </c>
      <c r="AF8">
        <v>12</v>
      </c>
      <c r="AG8">
        <v>14</v>
      </c>
      <c r="AH8">
        <v>16</v>
      </c>
      <c r="AI8">
        <v>18</v>
      </c>
      <c r="AJ8">
        <v>20</v>
      </c>
      <c r="AK8">
        <v>22</v>
      </c>
      <c r="AL8">
        <v>24</v>
      </c>
      <c r="AN8" s="225">
        <v>8</v>
      </c>
      <c r="AO8">
        <v>7</v>
      </c>
      <c r="AP8">
        <v>7</v>
      </c>
      <c r="AQ8">
        <v>9</v>
      </c>
      <c r="AR8">
        <v>11</v>
      </c>
      <c r="AS8">
        <v>13</v>
      </c>
      <c r="AT8">
        <v>15</v>
      </c>
      <c r="AU8">
        <v>17</v>
      </c>
      <c r="AV8">
        <v>19</v>
      </c>
      <c r="AW8">
        <v>21</v>
      </c>
      <c r="AX8">
        <v>23</v>
      </c>
      <c r="AY8">
        <v>25</v>
      </c>
      <c r="BA8" s="224">
        <f>IF(Input!A13="","",Input!A13)</f>
      </c>
      <c r="BB8" s="126">
        <f>IF(Input!O26="","",Input!O26)</f>
      </c>
      <c r="BC8" s="225">
        <f t="shared" si="0"/>
      </c>
    </row>
    <row r="9" spans="1:55" ht="12.75">
      <c r="A9" s="225">
        <v>10</v>
      </c>
      <c r="B9">
        <v>3</v>
      </c>
      <c r="C9">
        <v>3</v>
      </c>
      <c r="D9">
        <v>5</v>
      </c>
      <c r="E9">
        <v>7</v>
      </c>
      <c r="F9">
        <v>9</v>
      </c>
      <c r="G9">
        <v>11</v>
      </c>
      <c r="H9">
        <v>13</v>
      </c>
      <c r="I9">
        <v>15</v>
      </c>
      <c r="J9">
        <v>17</v>
      </c>
      <c r="K9">
        <v>19</v>
      </c>
      <c r="L9">
        <v>21</v>
      </c>
      <c r="N9" s="225">
        <v>10</v>
      </c>
      <c r="O9">
        <v>5</v>
      </c>
      <c r="P9">
        <v>5</v>
      </c>
      <c r="Q9">
        <v>7</v>
      </c>
      <c r="R9">
        <v>9</v>
      </c>
      <c r="S9">
        <v>11</v>
      </c>
      <c r="T9">
        <v>13</v>
      </c>
      <c r="U9">
        <v>15</v>
      </c>
      <c r="V9">
        <v>17</v>
      </c>
      <c r="W9">
        <v>19</v>
      </c>
      <c r="X9">
        <v>21</v>
      </c>
      <c r="Y9">
        <v>23</v>
      </c>
      <c r="AA9" s="225">
        <v>10</v>
      </c>
      <c r="AB9">
        <v>7</v>
      </c>
      <c r="AC9">
        <v>7</v>
      </c>
      <c r="AD9">
        <v>9</v>
      </c>
      <c r="AE9">
        <v>11</v>
      </c>
      <c r="AF9">
        <v>13</v>
      </c>
      <c r="AG9">
        <v>15</v>
      </c>
      <c r="AH9">
        <v>17</v>
      </c>
      <c r="AI9">
        <v>19</v>
      </c>
      <c r="AJ9">
        <v>21</v>
      </c>
      <c r="AK9">
        <v>23</v>
      </c>
      <c r="AL9">
        <v>25</v>
      </c>
      <c r="AN9" s="225">
        <v>10</v>
      </c>
      <c r="AO9">
        <v>9</v>
      </c>
      <c r="AP9">
        <v>9</v>
      </c>
      <c r="AQ9">
        <v>11</v>
      </c>
      <c r="AR9">
        <v>13</v>
      </c>
      <c r="AS9">
        <v>15</v>
      </c>
      <c r="AT9">
        <v>17</v>
      </c>
      <c r="AU9">
        <v>19</v>
      </c>
      <c r="AV9">
        <v>21</v>
      </c>
      <c r="AW9">
        <v>23</v>
      </c>
      <c r="AX9">
        <v>25</v>
      </c>
      <c r="AY9">
        <v>27</v>
      </c>
      <c r="BA9" s="224">
        <f>IF(Input!A14="","",Input!A14)</f>
      </c>
      <c r="BB9" s="126">
        <f>IF(Input!O27="","",Input!O27)</f>
      </c>
      <c r="BC9" s="225">
        <f t="shared" si="0"/>
      </c>
    </row>
    <row r="10" spans="1:55" ht="12.75">
      <c r="A10">
        <v>12</v>
      </c>
      <c r="B10">
        <v>4</v>
      </c>
      <c r="C10">
        <v>4</v>
      </c>
      <c r="D10">
        <v>6</v>
      </c>
      <c r="E10">
        <v>8</v>
      </c>
      <c r="F10">
        <v>10</v>
      </c>
      <c r="G10">
        <v>12</v>
      </c>
      <c r="H10">
        <v>14</v>
      </c>
      <c r="I10">
        <v>16</v>
      </c>
      <c r="J10">
        <v>18</v>
      </c>
      <c r="K10">
        <v>20</v>
      </c>
      <c r="L10">
        <v>22</v>
      </c>
      <c r="N10">
        <v>12</v>
      </c>
      <c r="O10">
        <v>6</v>
      </c>
      <c r="P10">
        <v>6</v>
      </c>
      <c r="Q10">
        <v>8</v>
      </c>
      <c r="R10">
        <v>10</v>
      </c>
      <c r="S10">
        <v>12</v>
      </c>
      <c r="T10">
        <v>14</v>
      </c>
      <c r="U10">
        <v>16</v>
      </c>
      <c r="V10">
        <v>18</v>
      </c>
      <c r="W10">
        <v>20</v>
      </c>
      <c r="X10">
        <v>22</v>
      </c>
      <c r="Y10">
        <v>24</v>
      </c>
      <c r="AA10">
        <v>12</v>
      </c>
      <c r="AB10">
        <v>8</v>
      </c>
      <c r="AC10">
        <v>8</v>
      </c>
      <c r="AD10">
        <v>10</v>
      </c>
      <c r="AE10">
        <v>12</v>
      </c>
      <c r="AF10">
        <v>14</v>
      </c>
      <c r="AG10">
        <v>16</v>
      </c>
      <c r="AH10">
        <v>18</v>
      </c>
      <c r="AI10">
        <v>20</v>
      </c>
      <c r="AJ10">
        <v>22</v>
      </c>
      <c r="AK10">
        <v>24</v>
      </c>
      <c r="AL10">
        <v>26</v>
      </c>
      <c r="AN10">
        <v>12</v>
      </c>
      <c r="AO10">
        <v>11</v>
      </c>
      <c r="AP10">
        <v>11</v>
      </c>
      <c r="AQ10">
        <v>13</v>
      </c>
      <c r="AR10">
        <v>15</v>
      </c>
      <c r="AS10">
        <v>17</v>
      </c>
      <c r="AT10">
        <v>19</v>
      </c>
      <c r="AU10">
        <v>21</v>
      </c>
      <c r="AV10">
        <v>23</v>
      </c>
      <c r="AW10">
        <v>25</v>
      </c>
      <c r="AX10">
        <v>27</v>
      </c>
      <c r="AY10">
        <v>29</v>
      </c>
      <c r="BA10" s="224">
        <f>IF(Input!A15="","",Input!A15)</f>
      </c>
      <c r="BB10" s="126">
        <f>IF(Input!O28="","",Input!O28)</f>
      </c>
      <c r="BC10" s="225">
        <f t="shared" si="0"/>
      </c>
    </row>
    <row r="11" spans="1:55" ht="12.75">
      <c r="A11">
        <v>14</v>
      </c>
      <c r="B11">
        <v>4</v>
      </c>
      <c r="C11">
        <v>4</v>
      </c>
      <c r="D11">
        <v>6</v>
      </c>
      <c r="E11">
        <v>8</v>
      </c>
      <c r="F11">
        <v>10</v>
      </c>
      <c r="G11">
        <v>12</v>
      </c>
      <c r="H11">
        <v>14</v>
      </c>
      <c r="I11">
        <v>16</v>
      </c>
      <c r="J11">
        <v>18</v>
      </c>
      <c r="K11">
        <v>20</v>
      </c>
      <c r="L11">
        <v>22</v>
      </c>
      <c r="N11">
        <v>14</v>
      </c>
      <c r="O11">
        <v>7</v>
      </c>
      <c r="P11">
        <v>7</v>
      </c>
      <c r="Q11">
        <v>9</v>
      </c>
      <c r="R11">
        <v>11</v>
      </c>
      <c r="S11">
        <v>13</v>
      </c>
      <c r="T11">
        <v>15</v>
      </c>
      <c r="U11">
        <v>17</v>
      </c>
      <c r="V11">
        <v>19</v>
      </c>
      <c r="W11">
        <v>21</v>
      </c>
      <c r="X11">
        <v>23</v>
      </c>
      <c r="Y11">
        <v>25</v>
      </c>
      <c r="AA11">
        <v>14</v>
      </c>
      <c r="AB11">
        <v>10</v>
      </c>
      <c r="AC11">
        <v>10</v>
      </c>
      <c r="AD11">
        <v>12</v>
      </c>
      <c r="AE11">
        <v>14</v>
      </c>
      <c r="AF11">
        <v>16</v>
      </c>
      <c r="AG11">
        <v>18</v>
      </c>
      <c r="AH11">
        <v>20</v>
      </c>
      <c r="AI11">
        <v>22</v>
      </c>
      <c r="AJ11">
        <v>24</v>
      </c>
      <c r="AK11">
        <v>26</v>
      </c>
      <c r="AL11">
        <v>28</v>
      </c>
      <c r="AN11">
        <v>14</v>
      </c>
      <c r="AO11">
        <v>13</v>
      </c>
      <c r="AP11">
        <v>13</v>
      </c>
      <c r="AQ11">
        <v>15</v>
      </c>
      <c r="AR11">
        <v>17</v>
      </c>
      <c r="AS11">
        <v>19</v>
      </c>
      <c r="AT11">
        <v>21</v>
      </c>
      <c r="AU11">
        <v>23</v>
      </c>
      <c r="AV11">
        <v>25</v>
      </c>
      <c r="AW11">
        <v>27</v>
      </c>
      <c r="AX11">
        <v>29</v>
      </c>
      <c r="AY11">
        <v>31</v>
      </c>
      <c r="BA11" s="228">
        <f>IF(Input!A16="","",Input!A16)</f>
      </c>
      <c r="BB11" s="164">
        <f>IF(Input!O29="","",Input!O29)</f>
      </c>
      <c r="BC11" s="229">
        <f t="shared" si="0"/>
      </c>
    </row>
    <row r="12" spans="1:51" ht="12.75">
      <c r="A12">
        <v>16</v>
      </c>
      <c r="B12">
        <v>5</v>
      </c>
      <c r="C12">
        <v>5</v>
      </c>
      <c r="D12">
        <v>7</v>
      </c>
      <c r="E12">
        <v>9</v>
      </c>
      <c r="F12">
        <v>11</v>
      </c>
      <c r="G12">
        <v>13</v>
      </c>
      <c r="H12">
        <v>15</v>
      </c>
      <c r="I12">
        <v>17</v>
      </c>
      <c r="J12">
        <v>19</v>
      </c>
      <c r="K12">
        <v>21</v>
      </c>
      <c r="L12">
        <v>23</v>
      </c>
      <c r="N12">
        <v>16</v>
      </c>
      <c r="O12">
        <v>8</v>
      </c>
      <c r="P12">
        <v>8</v>
      </c>
      <c r="Q12">
        <v>10</v>
      </c>
      <c r="R12">
        <v>12</v>
      </c>
      <c r="S12">
        <v>14</v>
      </c>
      <c r="T12">
        <v>16</v>
      </c>
      <c r="U12">
        <v>18</v>
      </c>
      <c r="V12">
        <v>20</v>
      </c>
      <c r="W12">
        <v>22</v>
      </c>
      <c r="X12">
        <v>24</v>
      </c>
      <c r="Y12">
        <v>26</v>
      </c>
      <c r="AA12">
        <v>16</v>
      </c>
      <c r="AB12">
        <v>11</v>
      </c>
      <c r="AC12">
        <v>11</v>
      </c>
      <c r="AD12">
        <v>13</v>
      </c>
      <c r="AE12">
        <v>15</v>
      </c>
      <c r="AF12">
        <v>17</v>
      </c>
      <c r="AG12">
        <v>19</v>
      </c>
      <c r="AH12">
        <v>21</v>
      </c>
      <c r="AI12">
        <v>23</v>
      </c>
      <c r="AJ12">
        <v>25</v>
      </c>
      <c r="AK12">
        <v>27</v>
      </c>
      <c r="AL12">
        <v>29</v>
      </c>
      <c r="AN12">
        <v>16</v>
      </c>
      <c r="AO12">
        <v>14</v>
      </c>
      <c r="AP12">
        <v>14</v>
      </c>
      <c r="AQ12">
        <v>16</v>
      </c>
      <c r="AR12">
        <v>18</v>
      </c>
      <c r="AS12">
        <v>20</v>
      </c>
      <c r="AT12">
        <v>22</v>
      </c>
      <c r="AU12">
        <v>24</v>
      </c>
      <c r="AV12">
        <v>26</v>
      </c>
      <c r="AW12">
        <v>28</v>
      </c>
      <c r="AX12">
        <v>30</v>
      </c>
      <c r="AY12">
        <v>32</v>
      </c>
    </row>
    <row r="13" spans="1:51" ht="12.75">
      <c r="A13">
        <v>18</v>
      </c>
      <c r="B13">
        <v>5</v>
      </c>
      <c r="C13">
        <v>5</v>
      </c>
      <c r="D13">
        <v>7</v>
      </c>
      <c r="E13">
        <v>9</v>
      </c>
      <c r="F13">
        <v>11</v>
      </c>
      <c r="G13">
        <v>13</v>
      </c>
      <c r="H13">
        <v>15</v>
      </c>
      <c r="I13">
        <v>17</v>
      </c>
      <c r="J13">
        <v>19</v>
      </c>
      <c r="K13">
        <v>21</v>
      </c>
      <c r="L13">
        <v>23</v>
      </c>
      <c r="N13">
        <v>18</v>
      </c>
      <c r="O13">
        <v>9</v>
      </c>
      <c r="P13">
        <v>9</v>
      </c>
      <c r="Q13">
        <v>11</v>
      </c>
      <c r="R13">
        <v>13</v>
      </c>
      <c r="S13">
        <v>15</v>
      </c>
      <c r="T13">
        <v>17</v>
      </c>
      <c r="U13">
        <v>19</v>
      </c>
      <c r="V13">
        <v>21</v>
      </c>
      <c r="W13">
        <v>23</v>
      </c>
      <c r="X13">
        <v>25</v>
      </c>
      <c r="Y13">
        <v>27</v>
      </c>
      <c r="AA13">
        <v>18</v>
      </c>
      <c r="AB13">
        <v>13</v>
      </c>
      <c r="AC13">
        <v>13</v>
      </c>
      <c r="AD13">
        <v>15</v>
      </c>
      <c r="AE13">
        <v>17</v>
      </c>
      <c r="AF13">
        <v>19</v>
      </c>
      <c r="AG13">
        <v>21</v>
      </c>
      <c r="AH13">
        <v>23</v>
      </c>
      <c r="AI13">
        <v>25</v>
      </c>
      <c r="AJ13">
        <v>27</v>
      </c>
      <c r="AK13">
        <v>29</v>
      </c>
      <c r="AL13">
        <v>31</v>
      </c>
      <c r="AN13">
        <v>18</v>
      </c>
      <c r="AO13">
        <v>16</v>
      </c>
      <c r="AP13">
        <v>16</v>
      </c>
      <c r="AQ13">
        <v>18</v>
      </c>
      <c r="AR13">
        <v>20</v>
      </c>
      <c r="AS13">
        <v>22</v>
      </c>
      <c r="AT13">
        <v>24</v>
      </c>
      <c r="AU13">
        <v>26</v>
      </c>
      <c r="AV13">
        <v>28</v>
      </c>
      <c r="AW13">
        <v>30</v>
      </c>
      <c r="AX13">
        <v>32</v>
      </c>
      <c r="AY13">
        <v>34</v>
      </c>
    </row>
    <row r="14" spans="1:51" ht="12.75">
      <c r="A14">
        <v>20</v>
      </c>
      <c r="B14">
        <v>6</v>
      </c>
      <c r="C14">
        <v>6</v>
      </c>
      <c r="D14">
        <v>8</v>
      </c>
      <c r="E14">
        <v>10</v>
      </c>
      <c r="F14">
        <v>12</v>
      </c>
      <c r="G14">
        <v>14</v>
      </c>
      <c r="H14">
        <v>16</v>
      </c>
      <c r="I14">
        <v>18</v>
      </c>
      <c r="J14">
        <v>20</v>
      </c>
      <c r="K14">
        <v>22</v>
      </c>
      <c r="L14">
        <v>24</v>
      </c>
      <c r="N14">
        <v>20</v>
      </c>
      <c r="O14">
        <v>10</v>
      </c>
      <c r="P14">
        <v>10</v>
      </c>
      <c r="Q14">
        <v>12</v>
      </c>
      <c r="R14">
        <v>14</v>
      </c>
      <c r="S14">
        <v>16</v>
      </c>
      <c r="T14">
        <v>18</v>
      </c>
      <c r="U14">
        <v>20</v>
      </c>
      <c r="V14">
        <v>22</v>
      </c>
      <c r="W14">
        <v>24</v>
      </c>
      <c r="X14">
        <v>26</v>
      </c>
      <c r="Y14">
        <v>28</v>
      </c>
      <c r="AA14">
        <v>20</v>
      </c>
      <c r="AB14">
        <v>14</v>
      </c>
      <c r="AC14">
        <v>14</v>
      </c>
      <c r="AD14">
        <v>16</v>
      </c>
      <c r="AE14">
        <v>18</v>
      </c>
      <c r="AF14">
        <v>20</v>
      </c>
      <c r="AG14">
        <v>22</v>
      </c>
      <c r="AH14">
        <v>24</v>
      </c>
      <c r="AI14">
        <v>26</v>
      </c>
      <c r="AJ14">
        <v>28</v>
      </c>
      <c r="AK14">
        <v>30</v>
      </c>
      <c r="AL14">
        <v>32</v>
      </c>
      <c r="AN14">
        <v>20</v>
      </c>
      <c r="AO14">
        <v>18</v>
      </c>
      <c r="AP14">
        <v>18</v>
      </c>
      <c r="AQ14">
        <v>20</v>
      </c>
      <c r="AR14">
        <v>22</v>
      </c>
      <c r="AS14">
        <v>24</v>
      </c>
      <c r="AT14">
        <v>26</v>
      </c>
      <c r="AU14">
        <v>28</v>
      </c>
      <c r="AV14">
        <v>30</v>
      </c>
      <c r="AW14">
        <v>32</v>
      </c>
      <c r="AX14">
        <v>34</v>
      </c>
      <c r="AY14">
        <v>36</v>
      </c>
    </row>
    <row r="15" spans="1:51" ht="12.75">
      <c r="A15">
        <v>22</v>
      </c>
      <c r="B15">
        <v>7</v>
      </c>
      <c r="C15">
        <v>7</v>
      </c>
      <c r="D15">
        <v>9</v>
      </c>
      <c r="E15">
        <v>11</v>
      </c>
      <c r="F15">
        <v>13</v>
      </c>
      <c r="G15">
        <v>15</v>
      </c>
      <c r="H15">
        <v>17</v>
      </c>
      <c r="I15">
        <v>19</v>
      </c>
      <c r="J15">
        <v>21</v>
      </c>
      <c r="K15">
        <v>23</v>
      </c>
      <c r="L15">
        <v>25</v>
      </c>
      <c r="N15">
        <v>22</v>
      </c>
      <c r="O15">
        <v>11</v>
      </c>
      <c r="P15">
        <v>11</v>
      </c>
      <c r="Q15">
        <v>13</v>
      </c>
      <c r="R15">
        <v>15</v>
      </c>
      <c r="S15">
        <v>17</v>
      </c>
      <c r="T15">
        <v>19</v>
      </c>
      <c r="U15">
        <v>21</v>
      </c>
      <c r="V15">
        <v>23</v>
      </c>
      <c r="W15">
        <v>25</v>
      </c>
      <c r="X15">
        <v>27</v>
      </c>
      <c r="Y15">
        <v>29</v>
      </c>
      <c r="AA15">
        <v>22</v>
      </c>
      <c r="AB15">
        <v>15</v>
      </c>
      <c r="AC15">
        <v>15</v>
      </c>
      <c r="AD15">
        <v>17</v>
      </c>
      <c r="AE15">
        <v>19</v>
      </c>
      <c r="AF15">
        <v>21</v>
      </c>
      <c r="AG15">
        <v>23</v>
      </c>
      <c r="AH15">
        <v>25</v>
      </c>
      <c r="AI15">
        <v>27</v>
      </c>
      <c r="AJ15">
        <v>29</v>
      </c>
      <c r="AK15">
        <v>31</v>
      </c>
      <c r="AL15">
        <v>33</v>
      </c>
      <c r="AN15">
        <v>22</v>
      </c>
      <c r="AO15">
        <v>20</v>
      </c>
      <c r="AP15">
        <v>20</v>
      </c>
      <c r="AQ15">
        <v>22</v>
      </c>
      <c r="AR15">
        <v>24</v>
      </c>
      <c r="AS15">
        <v>26</v>
      </c>
      <c r="AT15">
        <v>28</v>
      </c>
      <c r="AU15">
        <v>30</v>
      </c>
      <c r="AV15">
        <v>32</v>
      </c>
      <c r="AW15">
        <v>34</v>
      </c>
      <c r="AX15">
        <v>36</v>
      </c>
      <c r="AY15">
        <v>38</v>
      </c>
    </row>
    <row r="16" spans="1:51" ht="12.75">
      <c r="A16">
        <v>24</v>
      </c>
      <c r="B16">
        <v>7</v>
      </c>
      <c r="C16">
        <v>7</v>
      </c>
      <c r="D16">
        <v>9</v>
      </c>
      <c r="E16">
        <v>11</v>
      </c>
      <c r="F16">
        <v>13</v>
      </c>
      <c r="G16">
        <v>15</v>
      </c>
      <c r="H16">
        <v>17</v>
      </c>
      <c r="I16">
        <v>19</v>
      </c>
      <c r="J16">
        <v>21</v>
      </c>
      <c r="K16">
        <v>23</v>
      </c>
      <c r="L16">
        <v>25</v>
      </c>
      <c r="N16">
        <v>24</v>
      </c>
      <c r="O16">
        <v>12</v>
      </c>
      <c r="P16">
        <v>12</v>
      </c>
      <c r="Q16">
        <v>14</v>
      </c>
      <c r="R16">
        <v>16</v>
      </c>
      <c r="S16">
        <v>18</v>
      </c>
      <c r="T16">
        <v>20</v>
      </c>
      <c r="U16">
        <v>22</v>
      </c>
      <c r="V16">
        <v>24</v>
      </c>
      <c r="W16">
        <v>26</v>
      </c>
      <c r="X16">
        <v>28</v>
      </c>
      <c r="Y16">
        <v>30</v>
      </c>
      <c r="AA16">
        <v>24</v>
      </c>
      <c r="AB16">
        <v>17</v>
      </c>
      <c r="AC16">
        <v>17</v>
      </c>
      <c r="AD16">
        <v>19</v>
      </c>
      <c r="AE16">
        <v>21</v>
      </c>
      <c r="AF16">
        <v>23</v>
      </c>
      <c r="AG16">
        <v>25</v>
      </c>
      <c r="AH16">
        <v>27</v>
      </c>
      <c r="AI16">
        <v>29</v>
      </c>
      <c r="AJ16">
        <v>31</v>
      </c>
      <c r="AK16">
        <v>33</v>
      </c>
      <c r="AL16">
        <v>35</v>
      </c>
      <c r="AN16">
        <v>24</v>
      </c>
      <c r="AO16">
        <v>22</v>
      </c>
      <c r="AP16">
        <v>22</v>
      </c>
      <c r="AQ16">
        <v>24</v>
      </c>
      <c r="AR16">
        <v>26</v>
      </c>
      <c r="AS16">
        <v>28</v>
      </c>
      <c r="AT16">
        <v>30</v>
      </c>
      <c r="AU16">
        <v>32</v>
      </c>
      <c r="AV16">
        <v>34</v>
      </c>
      <c r="AW16">
        <v>36</v>
      </c>
      <c r="AX16">
        <v>38</v>
      </c>
      <c r="AY16">
        <v>40</v>
      </c>
    </row>
    <row r="17" spans="1:51" ht="12.75">
      <c r="A17">
        <v>26</v>
      </c>
      <c r="B17">
        <v>8</v>
      </c>
      <c r="C17">
        <v>8</v>
      </c>
      <c r="D17">
        <v>10</v>
      </c>
      <c r="E17">
        <v>12</v>
      </c>
      <c r="F17">
        <v>14</v>
      </c>
      <c r="G17">
        <v>16</v>
      </c>
      <c r="H17">
        <v>18</v>
      </c>
      <c r="I17">
        <v>20</v>
      </c>
      <c r="J17">
        <v>22</v>
      </c>
      <c r="K17">
        <v>24</v>
      </c>
      <c r="L17">
        <v>26</v>
      </c>
      <c r="N17">
        <v>26</v>
      </c>
      <c r="O17">
        <v>13</v>
      </c>
      <c r="P17">
        <v>13</v>
      </c>
      <c r="Q17">
        <v>15</v>
      </c>
      <c r="R17">
        <v>17</v>
      </c>
      <c r="S17">
        <v>19</v>
      </c>
      <c r="T17">
        <v>21</v>
      </c>
      <c r="U17">
        <v>23</v>
      </c>
      <c r="V17">
        <v>25</v>
      </c>
      <c r="W17">
        <v>27</v>
      </c>
      <c r="X17">
        <v>29</v>
      </c>
      <c r="Y17">
        <v>31</v>
      </c>
      <c r="AA17">
        <v>26</v>
      </c>
      <c r="AB17">
        <v>18</v>
      </c>
      <c r="AC17">
        <v>18</v>
      </c>
      <c r="AD17">
        <v>20</v>
      </c>
      <c r="AE17">
        <v>22</v>
      </c>
      <c r="AF17">
        <v>24</v>
      </c>
      <c r="AG17">
        <v>26</v>
      </c>
      <c r="AH17">
        <v>28</v>
      </c>
      <c r="AI17">
        <v>30</v>
      </c>
      <c r="AJ17">
        <v>32</v>
      </c>
      <c r="AK17">
        <v>34</v>
      </c>
      <c r="AL17">
        <v>36</v>
      </c>
      <c r="AN17">
        <v>26</v>
      </c>
      <c r="AO17">
        <v>23</v>
      </c>
      <c r="AP17">
        <v>23</v>
      </c>
      <c r="AQ17">
        <v>25</v>
      </c>
      <c r="AR17">
        <v>27</v>
      </c>
      <c r="AS17">
        <v>29</v>
      </c>
      <c r="AT17">
        <v>31</v>
      </c>
      <c r="AU17">
        <v>33</v>
      </c>
      <c r="AV17">
        <v>35</v>
      </c>
      <c r="AW17">
        <v>37</v>
      </c>
      <c r="AX17">
        <v>39</v>
      </c>
      <c r="AY17">
        <v>41</v>
      </c>
    </row>
    <row r="18" spans="1:51" ht="12.75">
      <c r="A18">
        <v>28</v>
      </c>
      <c r="B18">
        <v>8</v>
      </c>
      <c r="C18">
        <v>8</v>
      </c>
      <c r="D18">
        <v>10</v>
      </c>
      <c r="E18">
        <v>12</v>
      </c>
      <c r="F18">
        <v>14</v>
      </c>
      <c r="G18">
        <v>16</v>
      </c>
      <c r="H18">
        <v>18</v>
      </c>
      <c r="I18">
        <v>20</v>
      </c>
      <c r="J18">
        <v>22</v>
      </c>
      <c r="K18">
        <v>24</v>
      </c>
      <c r="L18">
        <v>26</v>
      </c>
      <c r="N18">
        <v>28</v>
      </c>
      <c r="O18">
        <v>14</v>
      </c>
      <c r="P18">
        <v>14</v>
      </c>
      <c r="Q18">
        <v>16</v>
      </c>
      <c r="R18">
        <v>18</v>
      </c>
      <c r="S18">
        <v>20</v>
      </c>
      <c r="T18">
        <v>22</v>
      </c>
      <c r="U18">
        <v>24</v>
      </c>
      <c r="V18">
        <v>26</v>
      </c>
      <c r="W18">
        <v>28</v>
      </c>
      <c r="X18">
        <v>30</v>
      </c>
      <c r="Y18">
        <v>32</v>
      </c>
      <c r="AA18">
        <v>28</v>
      </c>
      <c r="AB18">
        <v>20</v>
      </c>
      <c r="AC18">
        <v>20</v>
      </c>
      <c r="AD18">
        <v>22</v>
      </c>
      <c r="AE18">
        <v>24</v>
      </c>
      <c r="AF18">
        <v>26</v>
      </c>
      <c r="AG18">
        <v>28</v>
      </c>
      <c r="AH18">
        <v>30</v>
      </c>
      <c r="AI18">
        <v>32</v>
      </c>
      <c r="AJ18">
        <v>34</v>
      </c>
      <c r="AK18">
        <v>36</v>
      </c>
      <c r="AL18">
        <v>38</v>
      </c>
      <c r="AN18">
        <v>28</v>
      </c>
      <c r="AO18">
        <v>25</v>
      </c>
      <c r="AP18">
        <v>25</v>
      </c>
      <c r="AQ18">
        <v>27</v>
      </c>
      <c r="AR18">
        <v>29</v>
      </c>
      <c r="AS18">
        <v>31</v>
      </c>
      <c r="AT18">
        <v>33</v>
      </c>
      <c r="AU18">
        <v>35</v>
      </c>
      <c r="AV18">
        <v>37</v>
      </c>
      <c r="AW18">
        <v>39</v>
      </c>
      <c r="AX18">
        <v>41</v>
      </c>
      <c r="AY18">
        <v>43</v>
      </c>
    </row>
    <row r="19" spans="1:51" ht="12.75">
      <c r="A19">
        <v>30</v>
      </c>
      <c r="B19">
        <v>9</v>
      </c>
      <c r="C19">
        <v>9</v>
      </c>
      <c r="D19">
        <v>11</v>
      </c>
      <c r="E19">
        <v>13</v>
      </c>
      <c r="F19">
        <v>15</v>
      </c>
      <c r="G19">
        <v>17</v>
      </c>
      <c r="H19">
        <v>19</v>
      </c>
      <c r="I19">
        <v>21</v>
      </c>
      <c r="J19">
        <v>23</v>
      </c>
      <c r="K19">
        <v>25</v>
      </c>
      <c r="L19">
        <v>27</v>
      </c>
      <c r="N19">
        <v>30</v>
      </c>
      <c r="O19">
        <v>15</v>
      </c>
      <c r="P19">
        <v>15</v>
      </c>
      <c r="Q19">
        <v>17</v>
      </c>
      <c r="R19">
        <v>19</v>
      </c>
      <c r="S19">
        <v>21</v>
      </c>
      <c r="T19">
        <v>23</v>
      </c>
      <c r="U19">
        <v>25</v>
      </c>
      <c r="V19">
        <v>27</v>
      </c>
      <c r="W19">
        <v>29</v>
      </c>
      <c r="X19">
        <v>31</v>
      </c>
      <c r="Y19">
        <v>33</v>
      </c>
      <c r="AA19">
        <v>30</v>
      </c>
      <c r="AB19">
        <v>21</v>
      </c>
      <c r="AC19">
        <v>21</v>
      </c>
      <c r="AD19">
        <v>23</v>
      </c>
      <c r="AE19">
        <v>25</v>
      </c>
      <c r="AF19">
        <v>27</v>
      </c>
      <c r="AG19">
        <v>29</v>
      </c>
      <c r="AH19">
        <v>31</v>
      </c>
      <c r="AI19">
        <v>33</v>
      </c>
      <c r="AJ19">
        <v>35</v>
      </c>
      <c r="AK19">
        <v>37</v>
      </c>
      <c r="AL19">
        <v>39</v>
      </c>
      <c r="AN19">
        <v>30</v>
      </c>
      <c r="AO19">
        <v>27</v>
      </c>
      <c r="AP19">
        <v>27</v>
      </c>
      <c r="AQ19">
        <v>29</v>
      </c>
      <c r="AR19">
        <v>31</v>
      </c>
      <c r="AS19">
        <v>33</v>
      </c>
      <c r="AT19">
        <v>35</v>
      </c>
      <c r="AU19">
        <v>37</v>
      </c>
      <c r="AV19">
        <v>39</v>
      </c>
      <c r="AW19">
        <v>41</v>
      </c>
      <c r="AX19">
        <v>43</v>
      </c>
      <c r="AY19">
        <v>45</v>
      </c>
    </row>
    <row r="20" spans="1:51" ht="12.75">
      <c r="A20">
        <v>32</v>
      </c>
      <c r="B20">
        <v>10</v>
      </c>
      <c r="C20">
        <v>10</v>
      </c>
      <c r="D20">
        <v>12</v>
      </c>
      <c r="E20">
        <v>14</v>
      </c>
      <c r="F20">
        <v>16</v>
      </c>
      <c r="G20">
        <v>18</v>
      </c>
      <c r="H20">
        <v>20</v>
      </c>
      <c r="I20">
        <v>22</v>
      </c>
      <c r="J20">
        <v>24</v>
      </c>
      <c r="K20">
        <v>26</v>
      </c>
      <c r="L20">
        <v>28</v>
      </c>
      <c r="N20">
        <v>32</v>
      </c>
      <c r="O20">
        <v>16</v>
      </c>
      <c r="P20">
        <v>16</v>
      </c>
      <c r="Q20">
        <v>18</v>
      </c>
      <c r="R20">
        <v>20</v>
      </c>
      <c r="S20">
        <v>22</v>
      </c>
      <c r="T20">
        <v>24</v>
      </c>
      <c r="U20">
        <v>26</v>
      </c>
      <c r="V20">
        <v>28</v>
      </c>
      <c r="W20">
        <v>30</v>
      </c>
      <c r="X20">
        <v>32</v>
      </c>
      <c r="Y20">
        <v>34</v>
      </c>
      <c r="AA20">
        <v>32</v>
      </c>
      <c r="AB20">
        <v>22</v>
      </c>
      <c r="AC20">
        <v>22</v>
      </c>
      <c r="AD20">
        <v>24</v>
      </c>
      <c r="AE20">
        <v>26</v>
      </c>
      <c r="AF20">
        <v>28</v>
      </c>
      <c r="AG20">
        <v>30</v>
      </c>
      <c r="AH20">
        <v>32</v>
      </c>
      <c r="AI20">
        <v>34</v>
      </c>
      <c r="AJ20">
        <v>36</v>
      </c>
      <c r="AK20">
        <v>38</v>
      </c>
      <c r="AL20">
        <v>40</v>
      </c>
      <c r="AN20">
        <v>32</v>
      </c>
      <c r="AO20">
        <v>29</v>
      </c>
      <c r="AP20">
        <v>29</v>
      </c>
      <c r="AQ20">
        <v>31</v>
      </c>
      <c r="AR20">
        <v>33</v>
      </c>
      <c r="AS20">
        <v>35</v>
      </c>
      <c r="AT20">
        <v>37</v>
      </c>
      <c r="AU20">
        <v>39</v>
      </c>
      <c r="AV20">
        <v>41</v>
      </c>
      <c r="AW20">
        <v>43</v>
      </c>
      <c r="AX20">
        <v>45</v>
      </c>
      <c r="AY20">
        <v>47</v>
      </c>
    </row>
    <row r="21" spans="1:51" ht="12.75">
      <c r="A21">
        <v>34</v>
      </c>
      <c r="B21">
        <v>10</v>
      </c>
      <c r="C21">
        <v>10</v>
      </c>
      <c r="D21">
        <v>12</v>
      </c>
      <c r="E21">
        <v>14</v>
      </c>
      <c r="F21">
        <v>16</v>
      </c>
      <c r="G21">
        <v>18</v>
      </c>
      <c r="H21">
        <v>20</v>
      </c>
      <c r="I21">
        <v>22</v>
      </c>
      <c r="J21">
        <v>24</v>
      </c>
      <c r="K21">
        <v>26</v>
      </c>
      <c r="L21">
        <v>28</v>
      </c>
      <c r="N21">
        <v>34</v>
      </c>
      <c r="O21">
        <v>17</v>
      </c>
      <c r="P21">
        <v>17</v>
      </c>
      <c r="Q21">
        <v>19</v>
      </c>
      <c r="R21">
        <v>21</v>
      </c>
      <c r="S21">
        <v>23</v>
      </c>
      <c r="T21">
        <v>25</v>
      </c>
      <c r="U21">
        <v>27</v>
      </c>
      <c r="V21">
        <v>29</v>
      </c>
      <c r="W21">
        <v>31</v>
      </c>
      <c r="X21">
        <v>33</v>
      </c>
      <c r="Y21">
        <v>35</v>
      </c>
      <c r="AA21">
        <v>34</v>
      </c>
      <c r="AB21">
        <v>24</v>
      </c>
      <c r="AC21">
        <v>24</v>
      </c>
      <c r="AD21">
        <v>26</v>
      </c>
      <c r="AE21">
        <v>28</v>
      </c>
      <c r="AF21">
        <v>30</v>
      </c>
      <c r="AG21">
        <v>32</v>
      </c>
      <c r="AH21">
        <v>34</v>
      </c>
      <c r="AI21">
        <v>36</v>
      </c>
      <c r="AJ21">
        <v>38</v>
      </c>
      <c r="AK21">
        <v>40</v>
      </c>
      <c r="AL21">
        <v>42</v>
      </c>
      <c r="AN21">
        <v>34</v>
      </c>
      <c r="AO21">
        <v>31</v>
      </c>
      <c r="AP21">
        <v>31</v>
      </c>
      <c r="AQ21">
        <v>33</v>
      </c>
      <c r="AR21">
        <v>35</v>
      </c>
      <c r="AS21">
        <v>37</v>
      </c>
      <c r="AT21">
        <v>39</v>
      </c>
      <c r="AU21">
        <v>41</v>
      </c>
      <c r="AV21">
        <v>43</v>
      </c>
      <c r="AW21">
        <v>45</v>
      </c>
      <c r="AX21">
        <v>47</v>
      </c>
      <c r="AY21">
        <v>49</v>
      </c>
    </row>
    <row r="22" spans="1:51" ht="12.75">
      <c r="A22">
        <v>36</v>
      </c>
      <c r="B22">
        <v>11</v>
      </c>
      <c r="C22">
        <v>11</v>
      </c>
      <c r="D22">
        <v>13</v>
      </c>
      <c r="E22">
        <v>15</v>
      </c>
      <c r="F22">
        <v>17</v>
      </c>
      <c r="G22">
        <v>19</v>
      </c>
      <c r="H22">
        <v>21</v>
      </c>
      <c r="I22">
        <v>23</v>
      </c>
      <c r="J22">
        <v>25</v>
      </c>
      <c r="K22">
        <v>27</v>
      </c>
      <c r="L22">
        <v>29</v>
      </c>
      <c r="N22">
        <v>36</v>
      </c>
      <c r="O22">
        <v>18</v>
      </c>
      <c r="P22">
        <v>18</v>
      </c>
      <c r="Q22">
        <v>20</v>
      </c>
      <c r="R22">
        <v>22</v>
      </c>
      <c r="S22">
        <v>24</v>
      </c>
      <c r="T22">
        <v>26</v>
      </c>
      <c r="U22">
        <v>28</v>
      </c>
      <c r="V22">
        <v>30</v>
      </c>
      <c r="W22">
        <v>32</v>
      </c>
      <c r="X22">
        <v>34</v>
      </c>
      <c r="Y22">
        <v>36</v>
      </c>
      <c r="AA22">
        <v>36</v>
      </c>
      <c r="AB22">
        <v>25</v>
      </c>
      <c r="AC22">
        <v>25</v>
      </c>
      <c r="AD22">
        <v>27</v>
      </c>
      <c r="AE22">
        <v>29</v>
      </c>
      <c r="AF22">
        <v>31</v>
      </c>
      <c r="AG22">
        <v>33</v>
      </c>
      <c r="AH22">
        <v>35</v>
      </c>
      <c r="AI22">
        <v>37</v>
      </c>
      <c r="AJ22">
        <v>39</v>
      </c>
      <c r="AK22">
        <v>41</v>
      </c>
      <c r="AL22">
        <v>43</v>
      </c>
      <c r="AN22">
        <v>36</v>
      </c>
      <c r="AO22">
        <v>32</v>
      </c>
      <c r="AP22">
        <v>32</v>
      </c>
      <c r="AQ22">
        <v>34</v>
      </c>
      <c r="AR22">
        <v>36</v>
      </c>
      <c r="AS22">
        <v>38</v>
      </c>
      <c r="AT22">
        <v>40</v>
      </c>
      <c r="AU22">
        <v>42</v>
      </c>
      <c r="AV22">
        <v>44</v>
      </c>
      <c r="AW22">
        <v>46</v>
      </c>
      <c r="AX22">
        <v>48</v>
      </c>
      <c r="AY22">
        <v>50</v>
      </c>
    </row>
    <row r="23" spans="1:51" ht="12.75">
      <c r="A23">
        <v>38</v>
      </c>
      <c r="B23">
        <v>11</v>
      </c>
      <c r="C23">
        <v>11</v>
      </c>
      <c r="D23">
        <v>13</v>
      </c>
      <c r="E23">
        <v>15</v>
      </c>
      <c r="F23">
        <v>17</v>
      </c>
      <c r="G23">
        <v>19</v>
      </c>
      <c r="H23">
        <v>21</v>
      </c>
      <c r="I23">
        <v>23</v>
      </c>
      <c r="J23">
        <v>25</v>
      </c>
      <c r="K23">
        <v>27</v>
      </c>
      <c r="L23">
        <v>29</v>
      </c>
      <c r="N23">
        <v>38</v>
      </c>
      <c r="O23">
        <v>19</v>
      </c>
      <c r="P23">
        <v>19</v>
      </c>
      <c r="Q23">
        <v>21</v>
      </c>
      <c r="R23">
        <v>23</v>
      </c>
      <c r="S23">
        <v>25</v>
      </c>
      <c r="T23">
        <v>27</v>
      </c>
      <c r="U23">
        <v>29</v>
      </c>
      <c r="V23">
        <v>31</v>
      </c>
      <c r="W23">
        <v>33</v>
      </c>
      <c r="X23">
        <v>35</v>
      </c>
      <c r="Y23">
        <v>37</v>
      </c>
      <c r="AA23">
        <v>38</v>
      </c>
      <c r="AB23">
        <v>27</v>
      </c>
      <c r="AC23">
        <v>27</v>
      </c>
      <c r="AD23">
        <v>29</v>
      </c>
      <c r="AE23">
        <v>31</v>
      </c>
      <c r="AF23">
        <v>33</v>
      </c>
      <c r="AG23">
        <v>35</v>
      </c>
      <c r="AH23">
        <v>37</v>
      </c>
      <c r="AI23">
        <v>39</v>
      </c>
      <c r="AJ23">
        <v>41</v>
      </c>
      <c r="AK23">
        <v>43</v>
      </c>
      <c r="AL23">
        <v>45</v>
      </c>
      <c r="AN23">
        <v>38</v>
      </c>
      <c r="AO23">
        <v>34</v>
      </c>
      <c r="AP23">
        <v>34</v>
      </c>
      <c r="AQ23">
        <v>36</v>
      </c>
      <c r="AR23">
        <v>38</v>
      </c>
      <c r="AS23">
        <v>40</v>
      </c>
      <c r="AT23">
        <v>42</v>
      </c>
      <c r="AU23">
        <v>44</v>
      </c>
      <c r="AV23">
        <v>46</v>
      </c>
      <c r="AW23">
        <v>48</v>
      </c>
      <c r="AX23">
        <v>50</v>
      </c>
      <c r="AY23">
        <v>52</v>
      </c>
    </row>
    <row r="24" spans="1:51" ht="12.75">
      <c r="A24">
        <v>40</v>
      </c>
      <c r="B24">
        <v>12</v>
      </c>
      <c r="C24">
        <v>12</v>
      </c>
      <c r="D24">
        <v>14</v>
      </c>
      <c r="E24">
        <v>16</v>
      </c>
      <c r="F24">
        <v>18</v>
      </c>
      <c r="G24">
        <v>20</v>
      </c>
      <c r="H24">
        <v>22</v>
      </c>
      <c r="I24">
        <v>24</v>
      </c>
      <c r="J24">
        <v>26</v>
      </c>
      <c r="K24">
        <v>28</v>
      </c>
      <c r="L24">
        <v>30</v>
      </c>
      <c r="N24">
        <v>40</v>
      </c>
      <c r="O24">
        <v>20</v>
      </c>
      <c r="P24">
        <v>20</v>
      </c>
      <c r="Q24">
        <v>22</v>
      </c>
      <c r="R24">
        <v>24</v>
      </c>
      <c r="S24">
        <v>26</v>
      </c>
      <c r="T24">
        <v>28</v>
      </c>
      <c r="U24">
        <v>30</v>
      </c>
      <c r="V24">
        <v>32</v>
      </c>
      <c r="W24">
        <v>34</v>
      </c>
      <c r="X24">
        <v>36</v>
      </c>
      <c r="Y24">
        <v>38</v>
      </c>
      <c r="AA24">
        <v>40</v>
      </c>
      <c r="AB24">
        <v>28</v>
      </c>
      <c r="AC24">
        <v>28</v>
      </c>
      <c r="AD24">
        <v>30</v>
      </c>
      <c r="AE24">
        <v>32</v>
      </c>
      <c r="AF24">
        <v>34</v>
      </c>
      <c r="AG24">
        <v>36</v>
      </c>
      <c r="AH24">
        <v>38</v>
      </c>
      <c r="AI24">
        <v>40</v>
      </c>
      <c r="AJ24">
        <v>42</v>
      </c>
      <c r="AK24">
        <v>44</v>
      </c>
      <c r="AL24">
        <v>46</v>
      </c>
      <c r="AN24">
        <v>40</v>
      </c>
      <c r="AO24">
        <v>36</v>
      </c>
      <c r="AP24">
        <v>36</v>
      </c>
      <c r="AQ24">
        <v>38</v>
      </c>
      <c r="AR24">
        <v>40</v>
      </c>
      <c r="AS24">
        <v>42</v>
      </c>
      <c r="AT24">
        <v>44</v>
      </c>
      <c r="AU24">
        <v>46</v>
      </c>
      <c r="AV24">
        <v>48</v>
      </c>
      <c r="AW24">
        <v>50</v>
      </c>
      <c r="AX24">
        <v>52</v>
      </c>
      <c r="AY24">
        <v>54</v>
      </c>
    </row>
    <row r="25" spans="1:51" ht="12.75">
      <c r="A25">
        <v>42</v>
      </c>
      <c r="B25">
        <v>13</v>
      </c>
      <c r="C25">
        <v>13</v>
      </c>
      <c r="D25">
        <v>15</v>
      </c>
      <c r="E25">
        <v>17</v>
      </c>
      <c r="F25">
        <v>19</v>
      </c>
      <c r="G25">
        <v>21</v>
      </c>
      <c r="H25">
        <v>23</v>
      </c>
      <c r="I25">
        <v>25</v>
      </c>
      <c r="J25">
        <v>27</v>
      </c>
      <c r="K25">
        <v>29</v>
      </c>
      <c r="L25">
        <v>31</v>
      </c>
      <c r="N25">
        <v>42</v>
      </c>
      <c r="O25">
        <v>21</v>
      </c>
      <c r="P25">
        <v>21</v>
      </c>
      <c r="Q25">
        <v>23</v>
      </c>
      <c r="R25">
        <v>25</v>
      </c>
      <c r="S25">
        <v>27</v>
      </c>
      <c r="T25">
        <v>29</v>
      </c>
      <c r="U25">
        <v>31</v>
      </c>
      <c r="V25">
        <v>33</v>
      </c>
      <c r="W25">
        <v>35</v>
      </c>
      <c r="X25">
        <v>37</v>
      </c>
      <c r="Y25">
        <v>39</v>
      </c>
      <c r="AA25">
        <v>42</v>
      </c>
      <c r="AB25">
        <v>29</v>
      </c>
      <c r="AC25">
        <v>29</v>
      </c>
      <c r="AD25">
        <v>31</v>
      </c>
      <c r="AE25">
        <v>33</v>
      </c>
      <c r="AF25">
        <v>35</v>
      </c>
      <c r="AG25">
        <v>37</v>
      </c>
      <c r="AH25">
        <v>39</v>
      </c>
      <c r="AI25">
        <v>41</v>
      </c>
      <c r="AJ25">
        <v>43</v>
      </c>
      <c r="AK25">
        <v>45</v>
      </c>
      <c r="AL25">
        <v>47</v>
      </c>
      <c r="AN25">
        <v>42</v>
      </c>
      <c r="AO25">
        <v>38</v>
      </c>
      <c r="AP25">
        <v>38</v>
      </c>
      <c r="AQ25">
        <v>40</v>
      </c>
      <c r="AR25">
        <v>42</v>
      </c>
      <c r="AS25">
        <v>44</v>
      </c>
      <c r="AT25">
        <v>46</v>
      </c>
      <c r="AU25">
        <v>48</v>
      </c>
      <c r="AV25">
        <v>50</v>
      </c>
      <c r="AW25">
        <v>52</v>
      </c>
      <c r="AX25">
        <v>54</v>
      </c>
      <c r="AY25">
        <v>56</v>
      </c>
    </row>
    <row r="26" spans="1:51" ht="12.75">
      <c r="A26">
        <v>44</v>
      </c>
      <c r="B26">
        <v>13</v>
      </c>
      <c r="C26">
        <v>13</v>
      </c>
      <c r="D26">
        <v>15</v>
      </c>
      <c r="E26">
        <v>17</v>
      </c>
      <c r="F26">
        <v>19</v>
      </c>
      <c r="G26">
        <v>21</v>
      </c>
      <c r="H26">
        <v>23</v>
      </c>
      <c r="I26">
        <v>25</v>
      </c>
      <c r="J26">
        <v>27</v>
      </c>
      <c r="K26">
        <v>29</v>
      </c>
      <c r="L26">
        <v>31</v>
      </c>
      <c r="N26">
        <v>44</v>
      </c>
      <c r="O26">
        <v>22</v>
      </c>
      <c r="P26">
        <v>22</v>
      </c>
      <c r="Q26">
        <v>24</v>
      </c>
      <c r="R26">
        <v>26</v>
      </c>
      <c r="S26">
        <v>28</v>
      </c>
      <c r="T26">
        <v>30</v>
      </c>
      <c r="U26">
        <v>32</v>
      </c>
      <c r="V26">
        <v>34</v>
      </c>
      <c r="W26">
        <v>36</v>
      </c>
      <c r="X26">
        <v>38</v>
      </c>
      <c r="Y26">
        <v>40</v>
      </c>
      <c r="AA26">
        <v>44</v>
      </c>
      <c r="AB26">
        <v>31</v>
      </c>
      <c r="AC26">
        <v>31</v>
      </c>
      <c r="AD26">
        <v>33</v>
      </c>
      <c r="AE26">
        <v>35</v>
      </c>
      <c r="AF26">
        <v>37</v>
      </c>
      <c r="AG26">
        <v>39</v>
      </c>
      <c r="AH26">
        <v>41</v>
      </c>
      <c r="AI26">
        <v>43</v>
      </c>
      <c r="AJ26">
        <v>45</v>
      </c>
      <c r="AK26">
        <v>47</v>
      </c>
      <c r="AL26">
        <v>49</v>
      </c>
      <c r="AN26">
        <v>44</v>
      </c>
      <c r="AO26">
        <v>40</v>
      </c>
      <c r="AP26">
        <v>40</v>
      </c>
      <c r="AQ26">
        <v>42</v>
      </c>
      <c r="AR26">
        <v>44</v>
      </c>
      <c r="AS26">
        <v>46</v>
      </c>
      <c r="AT26">
        <v>48</v>
      </c>
      <c r="AU26">
        <v>50</v>
      </c>
      <c r="AV26">
        <v>52</v>
      </c>
      <c r="AW26">
        <v>54</v>
      </c>
      <c r="AX26">
        <v>56</v>
      </c>
      <c r="AY26">
        <v>58</v>
      </c>
    </row>
    <row r="27" spans="1:51" ht="12.75">
      <c r="A27">
        <v>46</v>
      </c>
      <c r="B27">
        <v>14</v>
      </c>
      <c r="C27">
        <v>14</v>
      </c>
      <c r="D27">
        <v>16</v>
      </c>
      <c r="E27">
        <v>18</v>
      </c>
      <c r="F27">
        <v>20</v>
      </c>
      <c r="G27">
        <v>22</v>
      </c>
      <c r="H27">
        <v>24</v>
      </c>
      <c r="I27">
        <v>26</v>
      </c>
      <c r="J27">
        <v>28</v>
      </c>
      <c r="K27">
        <v>30</v>
      </c>
      <c r="L27">
        <v>32</v>
      </c>
      <c r="N27">
        <v>46</v>
      </c>
      <c r="O27">
        <v>23</v>
      </c>
      <c r="P27">
        <v>23</v>
      </c>
      <c r="Q27">
        <v>25</v>
      </c>
      <c r="R27">
        <v>27</v>
      </c>
      <c r="S27">
        <v>29</v>
      </c>
      <c r="T27">
        <v>31</v>
      </c>
      <c r="U27">
        <v>33</v>
      </c>
      <c r="V27">
        <v>35</v>
      </c>
      <c r="W27">
        <v>37</v>
      </c>
      <c r="X27">
        <v>39</v>
      </c>
      <c r="Y27">
        <v>41</v>
      </c>
      <c r="AA27">
        <v>46</v>
      </c>
      <c r="AB27">
        <v>32</v>
      </c>
      <c r="AC27">
        <v>32</v>
      </c>
      <c r="AD27">
        <v>34</v>
      </c>
      <c r="AE27">
        <v>36</v>
      </c>
      <c r="AF27">
        <v>38</v>
      </c>
      <c r="AG27">
        <v>40</v>
      </c>
      <c r="AH27">
        <v>42</v>
      </c>
      <c r="AI27">
        <v>44</v>
      </c>
      <c r="AJ27">
        <v>46</v>
      </c>
      <c r="AK27">
        <v>48</v>
      </c>
      <c r="AL27">
        <v>50</v>
      </c>
      <c r="AN27">
        <v>46</v>
      </c>
      <c r="AO27">
        <v>41</v>
      </c>
      <c r="AP27">
        <v>41</v>
      </c>
      <c r="AQ27">
        <v>43</v>
      </c>
      <c r="AR27">
        <v>45</v>
      </c>
      <c r="AS27">
        <v>47</v>
      </c>
      <c r="AT27">
        <v>49</v>
      </c>
      <c r="AU27">
        <v>51</v>
      </c>
      <c r="AV27">
        <v>53</v>
      </c>
      <c r="AW27">
        <v>55</v>
      </c>
      <c r="AX27">
        <v>57</v>
      </c>
      <c r="AY27">
        <v>59</v>
      </c>
    </row>
    <row r="28" spans="1:51" ht="12.75">
      <c r="A28">
        <v>48</v>
      </c>
      <c r="B28">
        <v>14</v>
      </c>
      <c r="C28">
        <v>14</v>
      </c>
      <c r="D28">
        <v>16</v>
      </c>
      <c r="E28">
        <v>18</v>
      </c>
      <c r="F28">
        <v>20</v>
      </c>
      <c r="G28">
        <v>22</v>
      </c>
      <c r="H28">
        <v>24</v>
      </c>
      <c r="I28">
        <v>26</v>
      </c>
      <c r="J28">
        <v>28</v>
      </c>
      <c r="K28">
        <v>30</v>
      </c>
      <c r="L28">
        <v>32</v>
      </c>
      <c r="N28">
        <v>48</v>
      </c>
      <c r="O28">
        <v>24</v>
      </c>
      <c r="P28">
        <v>24</v>
      </c>
      <c r="Q28">
        <v>26</v>
      </c>
      <c r="R28">
        <v>28</v>
      </c>
      <c r="S28">
        <v>30</v>
      </c>
      <c r="T28">
        <v>32</v>
      </c>
      <c r="U28">
        <v>34</v>
      </c>
      <c r="V28">
        <v>36</v>
      </c>
      <c r="W28">
        <v>38</v>
      </c>
      <c r="X28">
        <v>40</v>
      </c>
      <c r="Y28">
        <v>42</v>
      </c>
      <c r="AA28">
        <v>48</v>
      </c>
      <c r="AB28">
        <v>34</v>
      </c>
      <c r="AC28">
        <v>34</v>
      </c>
      <c r="AD28">
        <v>36</v>
      </c>
      <c r="AE28">
        <v>38</v>
      </c>
      <c r="AF28">
        <v>40</v>
      </c>
      <c r="AG28">
        <v>42</v>
      </c>
      <c r="AH28">
        <v>44</v>
      </c>
      <c r="AI28">
        <v>46</v>
      </c>
      <c r="AJ28">
        <v>48</v>
      </c>
      <c r="AK28">
        <v>50</v>
      </c>
      <c r="AL28">
        <v>52</v>
      </c>
      <c r="AN28">
        <v>48</v>
      </c>
      <c r="AO28">
        <v>43</v>
      </c>
      <c r="AP28">
        <v>43</v>
      </c>
      <c r="AQ28">
        <v>45</v>
      </c>
      <c r="AR28">
        <v>47</v>
      </c>
      <c r="AS28">
        <v>49</v>
      </c>
      <c r="AT28">
        <v>51</v>
      </c>
      <c r="AU28">
        <v>53</v>
      </c>
      <c r="AV28">
        <v>55</v>
      </c>
      <c r="AW28">
        <v>57</v>
      </c>
      <c r="AX28">
        <v>59</v>
      </c>
      <c r="AY28">
        <v>61</v>
      </c>
    </row>
    <row r="29" spans="1:51" ht="12.75">
      <c r="A29">
        <v>50</v>
      </c>
      <c r="B29">
        <v>15</v>
      </c>
      <c r="C29">
        <v>15</v>
      </c>
      <c r="D29">
        <v>17</v>
      </c>
      <c r="E29">
        <v>19</v>
      </c>
      <c r="F29">
        <v>21</v>
      </c>
      <c r="G29">
        <v>23</v>
      </c>
      <c r="H29">
        <v>25</v>
      </c>
      <c r="I29">
        <v>27</v>
      </c>
      <c r="J29">
        <v>29</v>
      </c>
      <c r="K29">
        <v>31</v>
      </c>
      <c r="L29">
        <v>33</v>
      </c>
      <c r="N29">
        <v>50</v>
      </c>
      <c r="O29">
        <v>25</v>
      </c>
      <c r="P29">
        <v>25</v>
      </c>
      <c r="Q29">
        <v>27</v>
      </c>
      <c r="R29">
        <v>29</v>
      </c>
      <c r="S29">
        <v>31</v>
      </c>
      <c r="T29">
        <v>33</v>
      </c>
      <c r="U29">
        <v>35</v>
      </c>
      <c r="V29">
        <v>37</v>
      </c>
      <c r="W29">
        <v>39</v>
      </c>
      <c r="X29">
        <v>41</v>
      </c>
      <c r="Y29">
        <v>43</v>
      </c>
      <c r="AA29">
        <v>50</v>
      </c>
      <c r="AB29">
        <v>35</v>
      </c>
      <c r="AC29">
        <v>35</v>
      </c>
      <c r="AD29">
        <v>37</v>
      </c>
      <c r="AE29">
        <v>39</v>
      </c>
      <c r="AF29">
        <v>41</v>
      </c>
      <c r="AG29">
        <v>43</v>
      </c>
      <c r="AH29">
        <v>45</v>
      </c>
      <c r="AI29">
        <v>47</v>
      </c>
      <c r="AJ29">
        <v>49</v>
      </c>
      <c r="AK29">
        <v>51</v>
      </c>
      <c r="AL29">
        <v>53</v>
      </c>
      <c r="AN29">
        <v>50</v>
      </c>
      <c r="AO29">
        <v>45</v>
      </c>
      <c r="AP29">
        <v>45</v>
      </c>
      <c r="AQ29">
        <v>47</v>
      </c>
      <c r="AR29">
        <v>49</v>
      </c>
      <c r="AS29">
        <v>51</v>
      </c>
      <c r="AT29">
        <v>53</v>
      </c>
      <c r="AU29">
        <v>55</v>
      </c>
      <c r="AV29">
        <v>57</v>
      </c>
      <c r="AW29">
        <v>59</v>
      </c>
      <c r="AX29">
        <v>61</v>
      </c>
      <c r="AY29">
        <v>63</v>
      </c>
    </row>
    <row r="30" spans="1:51" ht="12.75">
      <c r="A30">
        <v>52</v>
      </c>
      <c r="B30">
        <v>16</v>
      </c>
      <c r="C30">
        <v>16</v>
      </c>
      <c r="D30">
        <v>18</v>
      </c>
      <c r="E30">
        <v>20</v>
      </c>
      <c r="F30">
        <v>22</v>
      </c>
      <c r="G30">
        <v>24</v>
      </c>
      <c r="H30">
        <v>26</v>
      </c>
      <c r="I30">
        <v>28</v>
      </c>
      <c r="J30">
        <v>30</v>
      </c>
      <c r="K30">
        <v>32</v>
      </c>
      <c r="L30">
        <v>34</v>
      </c>
      <c r="N30">
        <v>52</v>
      </c>
      <c r="O30">
        <v>26</v>
      </c>
      <c r="P30">
        <v>26</v>
      </c>
      <c r="Q30">
        <v>28</v>
      </c>
      <c r="R30">
        <v>30</v>
      </c>
      <c r="S30">
        <v>32</v>
      </c>
      <c r="T30">
        <v>34</v>
      </c>
      <c r="U30">
        <v>36</v>
      </c>
      <c r="V30">
        <v>38</v>
      </c>
      <c r="W30">
        <v>40</v>
      </c>
      <c r="X30">
        <v>42</v>
      </c>
      <c r="Y30">
        <v>44</v>
      </c>
      <c r="AA30">
        <v>52</v>
      </c>
      <c r="AB30">
        <v>36</v>
      </c>
      <c r="AC30">
        <v>36</v>
      </c>
      <c r="AD30">
        <v>38</v>
      </c>
      <c r="AE30">
        <v>40</v>
      </c>
      <c r="AF30">
        <v>42</v>
      </c>
      <c r="AG30">
        <v>44</v>
      </c>
      <c r="AH30">
        <v>46</v>
      </c>
      <c r="AI30">
        <v>48</v>
      </c>
      <c r="AJ30">
        <v>50</v>
      </c>
      <c r="AK30">
        <v>52</v>
      </c>
      <c r="AL30">
        <v>54</v>
      </c>
      <c r="AN30">
        <v>52</v>
      </c>
      <c r="AO30">
        <v>47</v>
      </c>
      <c r="AP30">
        <v>47</v>
      </c>
      <c r="AQ30">
        <v>49</v>
      </c>
      <c r="AR30">
        <v>51</v>
      </c>
      <c r="AS30">
        <v>53</v>
      </c>
      <c r="AT30">
        <v>55</v>
      </c>
      <c r="AU30">
        <v>57</v>
      </c>
      <c r="AV30">
        <v>59</v>
      </c>
      <c r="AW30">
        <v>61</v>
      </c>
      <c r="AX30">
        <v>63</v>
      </c>
      <c r="AY30">
        <v>65</v>
      </c>
    </row>
    <row r="31" spans="1:51" ht="12.75">
      <c r="A31">
        <v>54</v>
      </c>
      <c r="B31">
        <v>16</v>
      </c>
      <c r="C31">
        <v>16</v>
      </c>
      <c r="D31">
        <v>18</v>
      </c>
      <c r="E31">
        <v>20</v>
      </c>
      <c r="F31">
        <v>22</v>
      </c>
      <c r="G31">
        <v>24</v>
      </c>
      <c r="H31">
        <v>26</v>
      </c>
      <c r="I31">
        <v>28</v>
      </c>
      <c r="J31">
        <v>30</v>
      </c>
      <c r="K31">
        <v>32</v>
      </c>
      <c r="L31">
        <v>34</v>
      </c>
      <c r="N31">
        <v>54</v>
      </c>
      <c r="O31">
        <v>27</v>
      </c>
      <c r="P31">
        <v>27</v>
      </c>
      <c r="Q31">
        <v>29</v>
      </c>
      <c r="R31">
        <v>31</v>
      </c>
      <c r="S31">
        <v>33</v>
      </c>
      <c r="T31">
        <v>35</v>
      </c>
      <c r="U31">
        <v>37</v>
      </c>
      <c r="V31">
        <v>39</v>
      </c>
      <c r="W31">
        <v>41</v>
      </c>
      <c r="X31">
        <v>43</v>
      </c>
      <c r="Y31">
        <v>45</v>
      </c>
      <c r="AA31">
        <v>54</v>
      </c>
      <c r="AB31">
        <v>38</v>
      </c>
      <c r="AC31">
        <v>38</v>
      </c>
      <c r="AD31">
        <v>40</v>
      </c>
      <c r="AE31">
        <v>42</v>
      </c>
      <c r="AF31">
        <v>44</v>
      </c>
      <c r="AG31">
        <v>46</v>
      </c>
      <c r="AH31">
        <v>48</v>
      </c>
      <c r="AI31">
        <v>50</v>
      </c>
      <c r="AJ31">
        <v>52</v>
      </c>
      <c r="AK31">
        <v>54</v>
      </c>
      <c r="AL31">
        <v>56</v>
      </c>
      <c r="AN31">
        <v>54</v>
      </c>
      <c r="AO31">
        <v>49</v>
      </c>
      <c r="AP31">
        <v>49</v>
      </c>
      <c r="AQ31">
        <v>51</v>
      </c>
      <c r="AR31">
        <v>53</v>
      </c>
      <c r="AS31">
        <v>55</v>
      </c>
      <c r="AT31">
        <v>57</v>
      </c>
      <c r="AU31">
        <v>59</v>
      </c>
      <c r="AV31">
        <v>61</v>
      </c>
      <c r="AW31">
        <v>63</v>
      </c>
      <c r="AX31">
        <v>65</v>
      </c>
      <c r="AY31">
        <v>67</v>
      </c>
    </row>
    <row r="32" spans="1:51" ht="12.75">
      <c r="A32">
        <v>56</v>
      </c>
      <c r="B32">
        <v>17</v>
      </c>
      <c r="C32">
        <v>17</v>
      </c>
      <c r="D32">
        <v>19</v>
      </c>
      <c r="E32">
        <v>21</v>
      </c>
      <c r="F32">
        <v>23</v>
      </c>
      <c r="G32">
        <v>25</v>
      </c>
      <c r="H32">
        <v>27</v>
      </c>
      <c r="I32">
        <v>29</v>
      </c>
      <c r="J32">
        <v>31</v>
      </c>
      <c r="K32">
        <v>33</v>
      </c>
      <c r="L32">
        <v>35</v>
      </c>
      <c r="N32">
        <v>56</v>
      </c>
      <c r="O32">
        <v>28</v>
      </c>
      <c r="P32">
        <v>28</v>
      </c>
      <c r="Q32">
        <v>30</v>
      </c>
      <c r="R32">
        <v>32</v>
      </c>
      <c r="S32">
        <v>34</v>
      </c>
      <c r="T32">
        <v>36</v>
      </c>
      <c r="U32">
        <v>38</v>
      </c>
      <c r="V32">
        <v>40</v>
      </c>
      <c r="W32">
        <v>42</v>
      </c>
      <c r="X32">
        <v>44</v>
      </c>
      <c r="Y32">
        <v>46</v>
      </c>
      <c r="AA32">
        <v>56</v>
      </c>
      <c r="AB32">
        <v>39</v>
      </c>
      <c r="AC32">
        <v>39</v>
      </c>
      <c r="AD32">
        <v>41</v>
      </c>
      <c r="AE32">
        <v>43</v>
      </c>
      <c r="AF32">
        <v>45</v>
      </c>
      <c r="AG32">
        <v>47</v>
      </c>
      <c r="AH32">
        <v>49</v>
      </c>
      <c r="AI32">
        <v>51</v>
      </c>
      <c r="AJ32">
        <v>53</v>
      </c>
      <c r="AK32">
        <v>55</v>
      </c>
      <c r="AL32">
        <v>57</v>
      </c>
      <c r="AN32">
        <v>56</v>
      </c>
      <c r="AO32">
        <v>50</v>
      </c>
      <c r="AP32">
        <v>50</v>
      </c>
      <c r="AQ32">
        <v>52</v>
      </c>
      <c r="AR32">
        <v>54</v>
      </c>
      <c r="AS32">
        <v>56</v>
      </c>
      <c r="AT32">
        <v>58</v>
      </c>
      <c r="AU32">
        <v>60</v>
      </c>
      <c r="AV32">
        <v>62</v>
      </c>
      <c r="AW32">
        <v>64</v>
      </c>
      <c r="AX32">
        <v>66</v>
      </c>
      <c r="AY32">
        <v>68</v>
      </c>
    </row>
    <row r="33" spans="1:51" ht="12.75">
      <c r="A33">
        <v>58</v>
      </c>
      <c r="B33">
        <v>17</v>
      </c>
      <c r="C33">
        <v>17</v>
      </c>
      <c r="D33">
        <v>19</v>
      </c>
      <c r="E33">
        <v>21</v>
      </c>
      <c r="F33">
        <v>23</v>
      </c>
      <c r="G33">
        <v>25</v>
      </c>
      <c r="H33">
        <v>27</v>
      </c>
      <c r="I33">
        <v>29</v>
      </c>
      <c r="J33">
        <v>31</v>
      </c>
      <c r="K33">
        <v>33</v>
      </c>
      <c r="L33">
        <v>35</v>
      </c>
      <c r="N33">
        <v>58</v>
      </c>
      <c r="O33">
        <v>29</v>
      </c>
      <c r="P33">
        <v>29</v>
      </c>
      <c r="Q33">
        <v>31</v>
      </c>
      <c r="R33">
        <v>33</v>
      </c>
      <c r="S33">
        <v>35</v>
      </c>
      <c r="T33">
        <v>37</v>
      </c>
      <c r="U33">
        <v>39</v>
      </c>
      <c r="V33">
        <v>41</v>
      </c>
      <c r="W33">
        <v>43</v>
      </c>
      <c r="X33">
        <v>45</v>
      </c>
      <c r="Y33">
        <v>47</v>
      </c>
      <c r="AA33">
        <v>58</v>
      </c>
      <c r="AB33">
        <v>41</v>
      </c>
      <c r="AC33">
        <v>41</v>
      </c>
      <c r="AD33">
        <v>43</v>
      </c>
      <c r="AE33">
        <v>45</v>
      </c>
      <c r="AF33">
        <v>47</v>
      </c>
      <c r="AG33">
        <v>49</v>
      </c>
      <c r="AH33">
        <v>51</v>
      </c>
      <c r="AI33">
        <v>53</v>
      </c>
      <c r="AJ33">
        <v>55</v>
      </c>
      <c r="AK33">
        <v>57</v>
      </c>
      <c r="AL33">
        <v>59</v>
      </c>
      <c r="AN33">
        <v>58</v>
      </c>
      <c r="AO33">
        <v>52</v>
      </c>
      <c r="AP33">
        <v>52</v>
      </c>
      <c r="AQ33">
        <v>54</v>
      </c>
      <c r="AR33">
        <v>56</v>
      </c>
      <c r="AS33">
        <v>58</v>
      </c>
      <c r="AT33">
        <v>60</v>
      </c>
      <c r="AU33">
        <v>62</v>
      </c>
      <c r="AV33">
        <v>64</v>
      </c>
      <c r="AW33">
        <v>66</v>
      </c>
      <c r="AX33">
        <v>68</v>
      </c>
      <c r="AY33">
        <v>70</v>
      </c>
    </row>
    <row r="34" spans="1:51" ht="12.75">
      <c r="A34">
        <v>60</v>
      </c>
      <c r="B34">
        <v>18</v>
      </c>
      <c r="C34">
        <v>18</v>
      </c>
      <c r="D34">
        <v>20</v>
      </c>
      <c r="E34">
        <v>22</v>
      </c>
      <c r="F34">
        <v>24</v>
      </c>
      <c r="G34">
        <v>26</v>
      </c>
      <c r="H34">
        <v>28</v>
      </c>
      <c r="I34">
        <v>30</v>
      </c>
      <c r="J34">
        <v>32</v>
      </c>
      <c r="K34">
        <v>34</v>
      </c>
      <c r="L34">
        <v>36</v>
      </c>
      <c r="N34">
        <v>60</v>
      </c>
      <c r="O34">
        <v>30</v>
      </c>
      <c r="P34">
        <v>30</v>
      </c>
      <c r="Q34">
        <v>32</v>
      </c>
      <c r="R34">
        <v>34</v>
      </c>
      <c r="S34">
        <v>36</v>
      </c>
      <c r="T34">
        <v>38</v>
      </c>
      <c r="U34">
        <v>40</v>
      </c>
      <c r="V34">
        <v>42</v>
      </c>
      <c r="W34">
        <v>44</v>
      </c>
      <c r="X34">
        <v>46</v>
      </c>
      <c r="Y34">
        <v>48</v>
      </c>
      <c r="AA34">
        <v>60</v>
      </c>
      <c r="AB34">
        <v>42</v>
      </c>
      <c r="AC34">
        <v>42</v>
      </c>
      <c r="AD34">
        <v>44</v>
      </c>
      <c r="AE34">
        <v>46</v>
      </c>
      <c r="AF34">
        <v>48</v>
      </c>
      <c r="AG34">
        <v>50</v>
      </c>
      <c r="AH34">
        <v>52</v>
      </c>
      <c r="AI34">
        <v>54</v>
      </c>
      <c r="AJ34">
        <v>56</v>
      </c>
      <c r="AK34">
        <v>58</v>
      </c>
      <c r="AL34">
        <v>60</v>
      </c>
      <c r="AN34">
        <v>60</v>
      </c>
      <c r="AO34">
        <v>54</v>
      </c>
      <c r="AP34">
        <v>54</v>
      </c>
      <c r="AQ34">
        <v>56</v>
      </c>
      <c r="AR34">
        <v>58</v>
      </c>
      <c r="AS34">
        <v>60</v>
      </c>
      <c r="AT34">
        <v>62</v>
      </c>
      <c r="AU34">
        <v>64</v>
      </c>
      <c r="AV34">
        <v>66</v>
      </c>
      <c r="AW34">
        <v>68</v>
      </c>
      <c r="AX34">
        <v>70</v>
      </c>
      <c r="AY34">
        <v>72</v>
      </c>
    </row>
    <row r="35" spans="1:51" ht="12.75">
      <c r="A35">
        <v>62</v>
      </c>
      <c r="B35">
        <v>19</v>
      </c>
      <c r="C35">
        <v>19</v>
      </c>
      <c r="D35">
        <v>21</v>
      </c>
      <c r="E35">
        <v>23</v>
      </c>
      <c r="F35">
        <v>25</v>
      </c>
      <c r="G35">
        <v>27</v>
      </c>
      <c r="H35">
        <v>29</v>
      </c>
      <c r="I35">
        <v>31</v>
      </c>
      <c r="J35">
        <v>33</v>
      </c>
      <c r="K35">
        <v>35</v>
      </c>
      <c r="L35">
        <v>37</v>
      </c>
      <c r="N35">
        <v>62</v>
      </c>
      <c r="O35" s="230">
        <v>31</v>
      </c>
      <c r="P35" s="145">
        <v>31</v>
      </c>
      <c r="Q35">
        <v>33</v>
      </c>
      <c r="R35">
        <v>35</v>
      </c>
      <c r="S35">
        <v>37</v>
      </c>
      <c r="T35">
        <v>39</v>
      </c>
      <c r="U35">
        <v>41</v>
      </c>
      <c r="V35">
        <v>43</v>
      </c>
      <c r="W35">
        <v>45</v>
      </c>
      <c r="X35">
        <v>47</v>
      </c>
      <c r="Y35">
        <v>49</v>
      </c>
      <c r="AA35">
        <v>62</v>
      </c>
      <c r="AB35">
        <v>43</v>
      </c>
      <c r="AC35">
        <v>43</v>
      </c>
      <c r="AD35">
        <v>45</v>
      </c>
      <c r="AE35">
        <v>47</v>
      </c>
      <c r="AF35">
        <v>49</v>
      </c>
      <c r="AG35">
        <v>51</v>
      </c>
      <c r="AH35">
        <v>53</v>
      </c>
      <c r="AI35">
        <v>55</v>
      </c>
      <c r="AJ35">
        <v>57</v>
      </c>
      <c r="AK35">
        <v>59</v>
      </c>
      <c r="AL35">
        <v>61</v>
      </c>
      <c r="AN35">
        <v>62</v>
      </c>
      <c r="AO35">
        <v>56</v>
      </c>
      <c r="AP35">
        <v>56</v>
      </c>
      <c r="AQ35">
        <v>58</v>
      </c>
      <c r="AR35">
        <v>60</v>
      </c>
      <c r="AS35">
        <v>62</v>
      </c>
      <c r="AT35">
        <v>64</v>
      </c>
      <c r="AU35">
        <v>66</v>
      </c>
      <c r="AV35">
        <v>68</v>
      </c>
      <c r="AW35">
        <v>70</v>
      </c>
      <c r="AX35">
        <v>72</v>
      </c>
      <c r="AY35">
        <v>74</v>
      </c>
    </row>
    <row r="36" spans="1:51" ht="12.75">
      <c r="A36">
        <v>64</v>
      </c>
      <c r="B36">
        <v>19</v>
      </c>
      <c r="C36">
        <v>19</v>
      </c>
      <c r="D36">
        <v>21</v>
      </c>
      <c r="E36">
        <v>23</v>
      </c>
      <c r="F36">
        <v>25</v>
      </c>
      <c r="G36">
        <v>27</v>
      </c>
      <c r="H36">
        <v>29</v>
      </c>
      <c r="I36">
        <v>31</v>
      </c>
      <c r="J36">
        <v>33</v>
      </c>
      <c r="K36">
        <v>35</v>
      </c>
      <c r="L36">
        <v>37</v>
      </c>
      <c r="N36">
        <v>64</v>
      </c>
      <c r="O36" s="230">
        <v>32</v>
      </c>
      <c r="P36" s="145">
        <v>32</v>
      </c>
      <c r="Q36">
        <v>34</v>
      </c>
      <c r="R36">
        <v>36</v>
      </c>
      <c r="S36">
        <v>38</v>
      </c>
      <c r="T36">
        <v>40</v>
      </c>
      <c r="U36">
        <v>42</v>
      </c>
      <c r="V36">
        <v>44</v>
      </c>
      <c r="W36">
        <v>46</v>
      </c>
      <c r="X36">
        <v>48</v>
      </c>
      <c r="Y36">
        <v>50</v>
      </c>
      <c r="AA36">
        <v>64</v>
      </c>
      <c r="AB36">
        <v>45</v>
      </c>
      <c r="AC36">
        <v>45</v>
      </c>
      <c r="AD36">
        <v>47</v>
      </c>
      <c r="AE36">
        <v>49</v>
      </c>
      <c r="AF36">
        <v>51</v>
      </c>
      <c r="AG36">
        <v>53</v>
      </c>
      <c r="AH36">
        <v>55</v>
      </c>
      <c r="AI36">
        <v>57</v>
      </c>
      <c r="AJ36">
        <v>59</v>
      </c>
      <c r="AK36">
        <v>61</v>
      </c>
      <c r="AL36">
        <v>63</v>
      </c>
      <c r="AN36">
        <v>64</v>
      </c>
      <c r="AO36">
        <v>58</v>
      </c>
      <c r="AP36">
        <v>58</v>
      </c>
      <c r="AQ36">
        <v>60</v>
      </c>
      <c r="AR36">
        <v>62</v>
      </c>
      <c r="AS36">
        <v>64</v>
      </c>
      <c r="AT36">
        <v>66</v>
      </c>
      <c r="AU36">
        <v>68</v>
      </c>
      <c r="AV36">
        <v>70</v>
      </c>
      <c r="AW36">
        <v>72</v>
      </c>
      <c r="AX36">
        <v>74</v>
      </c>
      <c r="AY36">
        <v>76</v>
      </c>
    </row>
    <row r="37" spans="1:51" ht="12.75">
      <c r="A37">
        <v>65</v>
      </c>
      <c r="B37">
        <f aca="true" t="shared" si="1" ref="B37:L46">ROUND(($A37*0.3)+(B$3*2),0)</f>
        <v>20</v>
      </c>
      <c r="C37">
        <f t="shared" si="1"/>
        <v>22</v>
      </c>
      <c r="D37">
        <f t="shared" si="1"/>
        <v>24</v>
      </c>
      <c r="E37">
        <f t="shared" si="1"/>
        <v>26</v>
      </c>
      <c r="F37">
        <f t="shared" si="1"/>
        <v>28</v>
      </c>
      <c r="G37">
        <f t="shared" si="1"/>
        <v>30</v>
      </c>
      <c r="H37">
        <f t="shared" si="1"/>
        <v>32</v>
      </c>
      <c r="I37">
        <f t="shared" si="1"/>
        <v>34</v>
      </c>
      <c r="J37">
        <f t="shared" si="1"/>
        <v>36</v>
      </c>
      <c r="K37">
        <f t="shared" si="1"/>
        <v>38</v>
      </c>
      <c r="L37">
        <f t="shared" si="1"/>
        <v>40</v>
      </c>
      <c r="N37">
        <v>65</v>
      </c>
      <c r="O37">
        <f aca="true" t="shared" si="2" ref="O37:Y46">ROUND(($N37*0.5)+(O$3*2),0)</f>
        <v>33</v>
      </c>
      <c r="P37">
        <f t="shared" si="2"/>
        <v>35</v>
      </c>
      <c r="Q37">
        <f t="shared" si="2"/>
        <v>37</v>
      </c>
      <c r="R37">
        <f t="shared" si="2"/>
        <v>39</v>
      </c>
      <c r="S37">
        <f t="shared" si="2"/>
        <v>41</v>
      </c>
      <c r="T37">
        <f t="shared" si="2"/>
        <v>43</v>
      </c>
      <c r="U37">
        <f t="shared" si="2"/>
        <v>45</v>
      </c>
      <c r="V37">
        <f t="shared" si="2"/>
        <v>47</v>
      </c>
      <c r="W37">
        <f t="shared" si="2"/>
        <v>49</v>
      </c>
      <c r="X37">
        <f t="shared" si="2"/>
        <v>51</v>
      </c>
      <c r="Y37">
        <f t="shared" si="2"/>
        <v>53</v>
      </c>
      <c r="AA37">
        <v>65</v>
      </c>
      <c r="AB37">
        <f aca="true" t="shared" si="3" ref="AB37:AL46">ROUND(($AA37*0.7)+(AB$3*2),0)</f>
        <v>46</v>
      </c>
      <c r="AC37">
        <f t="shared" si="3"/>
        <v>48</v>
      </c>
      <c r="AD37">
        <f t="shared" si="3"/>
        <v>50</v>
      </c>
      <c r="AE37">
        <f t="shared" si="3"/>
        <v>52</v>
      </c>
      <c r="AF37">
        <f t="shared" si="3"/>
        <v>54</v>
      </c>
      <c r="AG37">
        <f t="shared" si="3"/>
        <v>56</v>
      </c>
      <c r="AH37">
        <f t="shared" si="3"/>
        <v>58</v>
      </c>
      <c r="AI37">
        <f t="shared" si="3"/>
        <v>60</v>
      </c>
      <c r="AJ37">
        <f t="shared" si="3"/>
        <v>62</v>
      </c>
      <c r="AK37">
        <f t="shared" si="3"/>
        <v>64</v>
      </c>
      <c r="AL37">
        <f t="shared" si="3"/>
        <v>66</v>
      </c>
      <c r="AN37">
        <v>65</v>
      </c>
      <c r="AO37">
        <f aca="true" t="shared" si="4" ref="AO37:AY46">ROUND(($AN37*0.9)+(AO$3*2),0)</f>
        <v>59</v>
      </c>
      <c r="AP37">
        <f t="shared" si="4"/>
        <v>61</v>
      </c>
      <c r="AQ37">
        <f t="shared" si="4"/>
        <v>63</v>
      </c>
      <c r="AR37">
        <f t="shared" si="4"/>
        <v>65</v>
      </c>
      <c r="AS37">
        <f t="shared" si="4"/>
        <v>67</v>
      </c>
      <c r="AT37">
        <f t="shared" si="4"/>
        <v>69</v>
      </c>
      <c r="AU37">
        <f t="shared" si="4"/>
        <v>71</v>
      </c>
      <c r="AV37">
        <f t="shared" si="4"/>
        <v>73</v>
      </c>
      <c r="AW37">
        <f t="shared" si="4"/>
        <v>75</v>
      </c>
      <c r="AX37">
        <f t="shared" si="4"/>
        <v>77</v>
      </c>
      <c r="AY37">
        <f t="shared" si="4"/>
        <v>79</v>
      </c>
    </row>
    <row r="38" spans="1:51" ht="12.75">
      <c r="A38">
        <v>66</v>
      </c>
      <c r="B38">
        <f t="shared" si="1"/>
        <v>20</v>
      </c>
      <c r="C38">
        <f t="shared" si="1"/>
        <v>22</v>
      </c>
      <c r="D38">
        <f t="shared" si="1"/>
        <v>24</v>
      </c>
      <c r="E38">
        <f t="shared" si="1"/>
        <v>26</v>
      </c>
      <c r="F38">
        <f t="shared" si="1"/>
        <v>28</v>
      </c>
      <c r="G38">
        <f t="shared" si="1"/>
        <v>30</v>
      </c>
      <c r="H38">
        <f t="shared" si="1"/>
        <v>32</v>
      </c>
      <c r="I38">
        <f t="shared" si="1"/>
        <v>34</v>
      </c>
      <c r="J38">
        <f t="shared" si="1"/>
        <v>36</v>
      </c>
      <c r="K38">
        <f t="shared" si="1"/>
        <v>38</v>
      </c>
      <c r="L38">
        <f t="shared" si="1"/>
        <v>40</v>
      </c>
      <c r="N38">
        <v>66</v>
      </c>
      <c r="O38">
        <f t="shared" si="2"/>
        <v>33</v>
      </c>
      <c r="P38">
        <f t="shared" si="2"/>
        <v>35</v>
      </c>
      <c r="Q38">
        <f t="shared" si="2"/>
        <v>37</v>
      </c>
      <c r="R38">
        <f t="shared" si="2"/>
        <v>39</v>
      </c>
      <c r="S38">
        <f t="shared" si="2"/>
        <v>41</v>
      </c>
      <c r="T38">
        <f t="shared" si="2"/>
        <v>43</v>
      </c>
      <c r="U38">
        <f t="shared" si="2"/>
        <v>45</v>
      </c>
      <c r="V38">
        <f t="shared" si="2"/>
        <v>47</v>
      </c>
      <c r="W38">
        <f t="shared" si="2"/>
        <v>49</v>
      </c>
      <c r="X38">
        <f t="shared" si="2"/>
        <v>51</v>
      </c>
      <c r="Y38">
        <f t="shared" si="2"/>
        <v>53</v>
      </c>
      <c r="AA38">
        <v>66</v>
      </c>
      <c r="AB38">
        <f t="shared" si="3"/>
        <v>46</v>
      </c>
      <c r="AC38">
        <f t="shared" si="3"/>
        <v>48</v>
      </c>
      <c r="AD38">
        <f t="shared" si="3"/>
        <v>50</v>
      </c>
      <c r="AE38">
        <f t="shared" si="3"/>
        <v>52</v>
      </c>
      <c r="AF38">
        <f t="shared" si="3"/>
        <v>54</v>
      </c>
      <c r="AG38">
        <f t="shared" si="3"/>
        <v>56</v>
      </c>
      <c r="AH38">
        <f t="shared" si="3"/>
        <v>58</v>
      </c>
      <c r="AI38">
        <f t="shared" si="3"/>
        <v>60</v>
      </c>
      <c r="AJ38">
        <f t="shared" si="3"/>
        <v>62</v>
      </c>
      <c r="AK38">
        <f t="shared" si="3"/>
        <v>64</v>
      </c>
      <c r="AL38">
        <f t="shared" si="3"/>
        <v>66</v>
      </c>
      <c r="AN38">
        <v>66</v>
      </c>
      <c r="AO38">
        <f t="shared" si="4"/>
        <v>59</v>
      </c>
      <c r="AP38">
        <f t="shared" si="4"/>
        <v>61</v>
      </c>
      <c r="AQ38">
        <f t="shared" si="4"/>
        <v>63</v>
      </c>
      <c r="AR38">
        <f t="shared" si="4"/>
        <v>65</v>
      </c>
      <c r="AS38">
        <f t="shared" si="4"/>
        <v>67</v>
      </c>
      <c r="AT38">
        <f t="shared" si="4"/>
        <v>69</v>
      </c>
      <c r="AU38">
        <f t="shared" si="4"/>
        <v>71</v>
      </c>
      <c r="AV38">
        <f t="shared" si="4"/>
        <v>73</v>
      </c>
      <c r="AW38">
        <f t="shared" si="4"/>
        <v>75</v>
      </c>
      <c r="AX38">
        <f t="shared" si="4"/>
        <v>77</v>
      </c>
      <c r="AY38">
        <f t="shared" si="4"/>
        <v>79</v>
      </c>
    </row>
    <row r="39" spans="1:51" ht="12.75">
      <c r="A39">
        <v>67</v>
      </c>
      <c r="B39">
        <f t="shared" si="1"/>
        <v>20</v>
      </c>
      <c r="C39">
        <f t="shared" si="1"/>
        <v>22</v>
      </c>
      <c r="D39">
        <f t="shared" si="1"/>
        <v>24</v>
      </c>
      <c r="E39">
        <f t="shared" si="1"/>
        <v>26</v>
      </c>
      <c r="F39">
        <f t="shared" si="1"/>
        <v>28</v>
      </c>
      <c r="G39">
        <f t="shared" si="1"/>
        <v>30</v>
      </c>
      <c r="H39">
        <f t="shared" si="1"/>
        <v>32</v>
      </c>
      <c r="I39">
        <f t="shared" si="1"/>
        <v>34</v>
      </c>
      <c r="J39">
        <f t="shared" si="1"/>
        <v>36</v>
      </c>
      <c r="K39">
        <f t="shared" si="1"/>
        <v>38</v>
      </c>
      <c r="L39">
        <f t="shared" si="1"/>
        <v>40</v>
      </c>
      <c r="N39">
        <v>67</v>
      </c>
      <c r="O39">
        <f t="shared" si="2"/>
        <v>34</v>
      </c>
      <c r="P39">
        <f t="shared" si="2"/>
        <v>36</v>
      </c>
      <c r="Q39">
        <f t="shared" si="2"/>
        <v>38</v>
      </c>
      <c r="R39">
        <f t="shared" si="2"/>
        <v>40</v>
      </c>
      <c r="S39">
        <f t="shared" si="2"/>
        <v>42</v>
      </c>
      <c r="T39">
        <f t="shared" si="2"/>
        <v>44</v>
      </c>
      <c r="U39">
        <f t="shared" si="2"/>
        <v>46</v>
      </c>
      <c r="V39">
        <f t="shared" si="2"/>
        <v>48</v>
      </c>
      <c r="W39">
        <f t="shared" si="2"/>
        <v>50</v>
      </c>
      <c r="X39">
        <f t="shared" si="2"/>
        <v>52</v>
      </c>
      <c r="Y39">
        <f t="shared" si="2"/>
        <v>54</v>
      </c>
      <c r="AA39">
        <v>67</v>
      </c>
      <c r="AB39">
        <f t="shared" si="3"/>
        <v>47</v>
      </c>
      <c r="AC39">
        <f t="shared" si="3"/>
        <v>49</v>
      </c>
      <c r="AD39">
        <f t="shared" si="3"/>
        <v>51</v>
      </c>
      <c r="AE39">
        <f t="shared" si="3"/>
        <v>53</v>
      </c>
      <c r="AF39">
        <f t="shared" si="3"/>
        <v>55</v>
      </c>
      <c r="AG39">
        <f t="shared" si="3"/>
        <v>57</v>
      </c>
      <c r="AH39">
        <f t="shared" si="3"/>
        <v>59</v>
      </c>
      <c r="AI39">
        <f t="shared" si="3"/>
        <v>61</v>
      </c>
      <c r="AJ39">
        <f t="shared" si="3"/>
        <v>63</v>
      </c>
      <c r="AK39">
        <f t="shared" si="3"/>
        <v>65</v>
      </c>
      <c r="AL39">
        <f t="shared" si="3"/>
        <v>67</v>
      </c>
      <c r="AN39">
        <v>67</v>
      </c>
      <c r="AO39">
        <f t="shared" si="4"/>
        <v>60</v>
      </c>
      <c r="AP39">
        <f t="shared" si="4"/>
        <v>62</v>
      </c>
      <c r="AQ39">
        <f t="shared" si="4"/>
        <v>64</v>
      </c>
      <c r="AR39">
        <f t="shared" si="4"/>
        <v>66</v>
      </c>
      <c r="AS39">
        <f t="shared" si="4"/>
        <v>68</v>
      </c>
      <c r="AT39">
        <f t="shared" si="4"/>
        <v>70</v>
      </c>
      <c r="AU39">
        <f t="shared" si="4"/>
        <v>72</v>
      </c>
      <c r="AV39">
        <f t="shared" si="4"/>
        <v>74</v>
      </c>
      <c r="AW39">
        <f t="shared" si="4"/>
        <v>76</v>
      </c>
      <c r="AX39">
        <f t="shared" si="4"/>
        <v>78</v>
      </c>
      <c r="AY39">
        <f t="shared" si="4"/>
        <v>80</v>
      </c>
    </row>
    <row r="40" spans="1:51" ht="12.75">
      <c r="A40">
        <v>68</v>
      </c>
      <c r="B40">
        <f t="shared" si="1"/>
        <v>20</v>
      </c>
      <c r="C40">
        <f t="shared" si="1"/>
        <v>22</v>
      </c>
      <c r="D40">
        <f t="shared" si="1"/>
        <v>24</v>
      </c>
      <c r="E40">
        <f t="shared" si="1"/>
        <v>26</v>
      </c>
      <c r="F40">
        <f t="shared" si="1"/>
        <v>28</v>
      </c>
      <c r="G40">
        <f t="shared" si="1"/>
        <v>30</v>
      </c>
      <c r="H40">
        <f t="shared" si="1"/>
        <v>32</v>
      </c>
      <c r="I40">
        <f t="shared" si="1"/>
        <v>34</v>
      </c>
      <c r="J40">
        <f t="shared" si="1"/>
        <v>36</v>
      </c>
      <c r="K40">
        <f t="shared" si="1"/>
        <v>38</v>
      </c>
      <c r="L40">
        <f t="shared" si="1"/>
        <v>40</v>
      </c>
      <c r="N40">
        <v>68</v>
      </c>
      <c r="O40">
        <f t="shared" si="2"/>
        <v>34</v>
      </c>
      <c r="P40">
        <f t="shared" si="2"/>
        <v>36</v>
      </c>
      <c r="Q40">
        <f t="shared" si="2"/>
        <v>38</v>
      </c>
      <c r="R40">
        <f t="shared" si="2"/>
        <v>40</v>
      </c>
      <c r="S40">
        <f t="shared" si="2"/>
        <v>42</v>
      </c>
      <c r="T40">
        <f t="shared" si="2"/>
        <v>44</v>
      </c>
      <c r="U40">
        <f t="shared" si="2"/>
        <v>46</v>
      </c>
      <c r="V40">
        <f t="shared" si="2"/>
        <v>48</v>
      </c>
      <c r="W40">
        <f t="shared" si="2"/>
        <v>50</v>
      </c>
      <c r="X40">
        <f t="shared" si="2"/>
        <v>52</v>
      </c>
      <c r="Y40">
        <f t="shared" si="2"/>
        <v>54</v>
      </c>
      <c r="AA40">
        <v>68</v>
      </c>
      <c r="AB40">
        <f t="shared" si="3"/>
        <v>48</v>
      </c>
      <c r="AC40">
        <f t="shared" si="3"/>
        <v>50</v>
      </c>
      <c r="AD40">
        <f t="shared" si="3"/>
        <v>52</v>
      </c>
      <c r="AE40">
        <f t="shared" si="3"/>
        <v>54</v>
      </c>
      <c r="AF40">
        <f t="shared" si="3"/>
        <v>56</v>
      </c>
      <c r="AG40">
        <f t="shared" si="3"/>
        <v>58</v>
      </c>
      <c r="AH40">
        <f t="shared" si="3"/>
        <v>60</v>
      </c>
      <c r="AI40">
        <f t="shared" si="3"/>
        <v>62</v>
      </c>
      <c r="AJ40">
        <f t="shared" si="3"/>
        <v>64</v>
      </c>
      <c r="AK40">
        <f t="shared" si="3"/>
        <v>66</v>
      </c>
      <c r="AL40">
        <f t="shared" si="3"/>
        <v>68</v>
      </c>
      <c r="AN40">
        <v>68</v>
      </c>
      <c r="AO40">
        <f t="shared" si="4"/>
        <v>61</v>
      </c>
      <c r="AP40">
        <f t="shared" si="4"/>
        <v>63</v>
      </c>
      <c r="AQ40">
        <f t="shared" si="4"/>
        <v>65</v>
      </c>
      <c r="AR40">
        <f t="shared" si="4"/>
        <v>67</v>
      </c>
      <c r="AS40">
        <f t="shared" si="4"/>
        <v>69</v>
      </c>
      <c r="AT40">
        <f t="shared" si="4"/>
        <v>71</v>
      </c>
      <c r="AU40">
        <f t="shared" si="4"/>
        <v>73</v>
      </c>
      <c r="AV40">
        <f t="shared" si="4"/>
        <v>75</v>
      </c>
      <c r="AW40">
        <f t="shared" si="4"/>
        <v>77</v>
      </c>
      <c r="AX40">
        <f t="shared" si="4"/>
        <v>79</v>
      </c>
      <c r="AY40">
        <f t="shared" si="4"/>
        <v>81</v>
      </c>
    </row>
    <row r="41" spans="1:51" ht="12.75">
      <c r="A41">
        <v>69</v>
      </c>
      <c r="B41">
        <f t="shared" si="1"/>
        <v>21</v>
      </c>
      <c r="C41">
        <f t="shared" si="1"/>
        <v>23</v>
      </c>
      <c r="D41">
        <f t="shared" si="1"/>
        <v>25</v>
      </c>
      <c r="E41">
        <f t="shared" si="1"/>
        <v>27</v>
      </c>
      <c r="F41">
        <f t="shared" si="1"/>
        <v>29</v>
      </c>
      <c r="G41">
        <f t="shared" si="1"/>
        <v>31</v>
      </c>
      <c r="H41">
        <f t="shared" si="1"/>
        <v>33</v>
      </c>
      <c r="I41">
        <f t="shared" si="1"/>
        <v>35</v>
      </c>
      <c r="J41">
        <f t="shared" si="1"/>
        <v>37</v>
      </c>
      <c r="K41">
        <f t="shared" si="1"/>
        <v>39</v>
      </c>
      <c r="L41">
        <f t="shared" si="1"/>
        <v>41</v>
      </c>
      <c r="N41">
        <v>69</v>
      </c>
      <c r="O41">
        <f t="shared" si="2"/>
        <v>35</v>
      </c>
      <c r="P41">
        <f t="shared" si="2"/>
        <v>37</v>
      </c>
      <c r="Q41">
        <f t="shared" si="2"/>
        <v>39</v>
      </c>
      <c r="R41">
        <f t="shared" si="2"/>
        <v>41</v>
      </c>
      <c r="S41">
        <f t="shared" si="2"/>
        <v>43</v>
      </c>
      <c r="T41">
        <f t="shared" si="2"/>
        <v>45</v>
      </c>
      <c r="U41">
        <f t="shared" si="2"/>
        <v>47</v>
      </c>
      <c r="V41">
        <f t="shared" si="2"/>
        <v>49</v>
      </c>
      <c r="W41">
        <f t="shared" si="2"/>
        <v>51</v>
      </c>
      <c r="X41">
        <f t="shared" si="2"/>
        <v>53</v>
      </c>
      <c r="Y41">
        <f t="shared" si="2"/>
        <v>55</v>
      </c>
      <c r="AA41">
        <v>69</v>
      </c>
      <c r="AB41">
        <f t="shared" si="3"/>
        <v>48</v>
      </c>
      <c r="AC41">
        <f t="shared" si="3"/>
        <v>50</v>
      </c>
      <c r="AD41">
        <f t="shared" si="3"/>
        <v>52</v>
      </c>
      <c r="AE41">
        <f t="shared" si="3"/>
        <v>54</v>
      </c>
      <c r="AF41">
        <f t="shared" si="3"/>
        <v>56</v>
      </c>
      <c r="AG41">
        <f t="shared" si="3"/>
        <v>58</v>
      </c>
      <c r="AH41">
        <f t="shared" si="3"/>
        <v>60</v>
      </c>
      <c r="AI41">
        <f t="shared" si="3"/>
        <v>62</v>
      </c>
      <c r="AJ41">
        <f t="shared" si="3"/>
        <v>64</v>
      </c>
      <c r="AK41">
        <f t="shared" si="3"/>
        <v>66</v>
      </c>
      <c r="AL41">
        <f t="shared" si="3"/>
        <v>68</v>
      </c>
      <c r="AN41">
        <v>69</v>
      </c>
      <c r="AO41">
        <f t="shared" si="4"/>
        <v>62</v>
      </c>
      <c r="AP41">
        <f t="shared" si="4"/>
        <v>64</v>
      </c>
      <c r="AQ41">
        <f t="shared" si="4"/>
        <v>66</v>
      </c>
      <c r="AR41">
        <f t="shared" si="4"/>
        <v>68</v>
      </c>
      <c r="AS41">
        <f t="shared" si="4"/>
        <v>70</v>
      </c>
      <c r="AT41">
        <f t="shared" si="4"/>
        <v>72</v>
      </c>
      <c r="AU41">
        <f t="shared" si="4"/>
        <v>74</v>
      </c>
      <c r="AV41">
        <f t="shared" si="4"/>
        <v>76</v>
      </c>
      <c r="AW41">
        <f t="shared" si="4"/>
        <v>78</v>
      </c>
      <c r="AX41">
        <f t="shared" si="4"/>
        <v>80</v>
      </c>
      <c r="AY41">
        <f t="shared" si="4"/>
        <v>82</v>
      </c>
    </row>
    <row r="42" spans="1:51" ht="12.75">
      <c r="A42">
        <v>70</v>
      </c>
      <c r="B42">
        <f t="shared" si="1"/>
        <v>21</v>
      </c>
      <c r="C42">
        <f t="shared" si="1"/>
        <v>23</v>
      </c>
      <c r="D42">
        <f t="shared" si="1"/>
        <v>25</v>
      </c>
      <c r="E42">
        <f t="shared" si="1"/>
        <v>27</v>
      </c>
      <c r="F42">
        <f t="shared" si="1"/>
        <v>29</v>
      </c>
      <c r="G42">
        <f t="shared" si="1"/>
        <v>31</v>
      </c>
      <c r="H42">
        <f t="shared" si="1"/>
        <v>33</v>
      </c>
      <c r="I42">
        <f t="shared" si="1"/>
        <v>35</v>
      </c>
      <c r="J42">
        <f t="shared" si="1"/>
        <v>37</v>
      </c>
      <c r="K42">
        <f t="shared" si="1"/>
        <v>39</v>
      </c>
      <c r="L42">
        <f t="shared" si="1"/>
        <v>41</v>
      </c>
      <c r="N42">
        <v>70</v>
      </c>
      <c r="O42">
        <f t="shared" si="2"/>
        <v>35</v>
      </c>
      <c r="P42">
        <f t="shared" si="2"/>
        <v>37</v>
      </c>
      <c r="Q42">
        <f t="shared" si="2"/>
        <v>39</v>
      </c>
      <c r="R42">
        <f t="shared" si="2"/>
        <v>41</v>
      </c>
      <c r="S42">
        <f t="shared" si="2"/>
        <v>43</v>
      </c>
      <c r="T42">
        <f t="shared" si="2"/>
        <v>45</v>
      </c>
      <c r="U42">
        <f t="shared" si="2"/>
        <v>47</v>
      </c>
      <c r="V42">
        <f t="shared" si="2"/>
        <v>49</v>
      </c>
      <c r="W42">
        <f t="shared" si="2"/>
        <v>51</v>
      </c>
      <c r="X42">
        <f t="shared" si="2"/>
        <v>53</v>
      </c>
      <c r="Y42">
        <f t="shared" si="2"/>
        <v>55</v>
      </c>
      <c r="AA42">
        <v>70</v>
      </c>
      <c r="AB42">
        <f t="shared" si="3"/>
        <v>49</v>
      </c>
      <c r="AC42">
        <f t="shared" si="3"/>
        <v>51</v>
      </c>
      <c r="AD42">
        <f t="shared" si="3"/>
        <v>53</v>
      </c>
      <c r="AE42">
        <f t="shared" si="3"/>
        <v>55</v>
      </c>
      <c r="AF42">
        <f t="shared" si="3"/>
        <v>57</v>
      </c>
      <c r="AG42">
        <f t="shared" si="3"/>
        <v>59</v>
      </c>
      <c r="AH42">
        <f t="shared" si="3"/>
        <v>61</v>
      </c>
      <c r="AI42">
        <f t="shared" si="3"/>
        <v>63</v>
      </c>
      <c r="AJ42">
        <f t="shared" si="3"/>
        <v>65</v>
      </c>
      <c r="AK42">
        <f t="shared" si="3"/>
        <v>67</v>
      </c>
      <c r="AL42">
        <f t="shared" si="3"/>
        <v>69</v>
      </c>
      <c r="AN42">
        <v>70</v>
      </c>
      <c r="AO42">
        <f t="shared" si="4"/>
        <v>63</v>
      </c>
      <c r="AP42">
        <f t="shared" si="4"/>
        <v>65</v>
      </c>
      <c r="AQ42">
        <f t="shared" si="4"/>
        <v>67</v>
      </c>
      <c r="AR42">
        <f t="shared" si="4"/>
        <v>69</v>
      </c>
      <c r="AS42">
        <f t="shared" si="4"/>
        <v>71</v>
      </c>
      <c r="AT42">
        <f t="shared" si="4"/>
        <v>73</v>
      </c>
      <c r="AU42">
        <f t="shared" si="4"/>
        <v>75</v>
      </c>
      <c r="AV42">
        <f t="shared" si="4"/>
        <v>77</v>
      </c>
      <c r="AW42">
        <f t="shared" si="4"/>
        <v>79</v>
      </c>
      <c r="AX42">
        <f t="shared" si="4"/>
        <v>81</v>
      </c>
      <c r="AY42">
        <f t="shared" si="4"/>
        <v>83</v>
      </c>
    </row>
    <row r="43" spans="1:51" ht="12.75">
      <c r="A43">
        <v>71</v>
      </c>
      <c r="B43">
        <f t="shared" si="1"/>
        <v>21</v>
      </c>
      <c r="C43">
        <f t="shared" si="1"/>
        <v>23</v>
      </c>
      <c r="D43">
        <f t="shared" si="1"/>
        <v>25</v>
      </c>
      <c r="E43">
        <f t="shared" si="1"/>
        <v>27</v>
      </c>
      <c r="F43">
        <f t="shared" si="1"/>
        <v>29</v>
      </c>
      <c r="G43">
        <f t="shared" si="1"/>
        <v>31</v>
      </c>
      <c r="H43">
        <f t="shared" si="1"/>
        <v>33</v>
      </c>
      <c r="I43">
        <f t="shared" si="1"/>
        <v>35</v>
      </c>
      <c r="J43">
        <f t="shared" si="1"/>
        <v>37</v>
      </c>
      <c r="K43">
        <f t="shared" si="1"/>
        <v>39</v>
      </c>
      <c r="L43">
        <f t="shared" si="1"/>
        <v>41</v>
      </c>
      <c r="N43">
        <v>71</v>
      </c>
      <c r="O43">
        <f t="shared" si="2"/>
        <v>36</v>
      </c>
      <c r="P43">
        <f t="shared" si="2"/>
        <v>38</v>
      </c>
      <c r="Q43">
        <f t="shared" si="2"/>
        <v>40</v>
      </c>
      <c r="R43">
        <f t="shared" si="2"/>
        <v>42</v>
      </c>
      <c r="S43">
        <f t="shared" si="2"/>
        <v>44</v>
      </c>
      <c r="T43">
        <f t="shared" si="2"/>
        <v>46</v>
      </c>
      <c r="U43">
        <f t="shared" si="2"/>
        <v>48</v>
      </c>
      <c r="V43">
        <f t="shared" si="2"/>
        <v>50</v>
      </c>
      <c r="W43">
        <f t="shared" si="2"/>
        <v>52</v>
      </c>
      <c r="X43">
        <f t="shared" si="2"/>
        <v>54</v>
      </c>
      <c r="Y43">
        <f t="shared" si="2"/>
        <v>56</v>
      </c>
      <c r="AA43">
        <v>71</v>
      </c>
      <c r="AB43">
        <f t="shared" si="3"/>
        <v>50</v>
      </c>
      <c r="AC43">
        <f t="shared" si="3"/>
        <v>52</v>
      </c>
      <c r="AD43">
        <f t="shared" si="3"/>
        <v>54</v>
      </c>
      <c r="AE43">
        <f t="shared" si="3"/>
        <v>56</v>
      </c>
      <c r="AF43">
        <f t="shared" si="3"/>
        <v>58</v>
      </c>
      <c r="AG43">
        <f t="shared" si="3"/>
        <v>60</v>
      </c>
      <c r="AH43">
        <f t="shared" si="3"/>
        <v>62</v>
      </c>
      <c r="AI43">
        <f t="shared" si="3"/>
        <v>64</v>
      </c>
      <c r="AJ43">
        <f t="shared" si="3"/>
        <v>66</v>
      </c>
      <c r="AK43">
        <f t="shared" si="3"/>
        <v>68</v>
      </c>
      <c r="AL43">
        <f t="shared" si="3"/>
        <v>70</v>
      </c>
      <c r="AN43">
        <v>71</v>
      </c>
      <c r="AO43">
        <f t="shared" si="4"/>
        <v>64</v>
      </c>
      <c r="AP43">
        <f t="shared" si="4"/>
        <v>66</v>
      </c>
      <c r="AQ43">
        <f t="shared" si="4"/>
        <v>68</v>
      </c>
      <c r="AR43">
        <f t="shared" si="4"/>
        <v>70</v>
      </c>
      <c r="AS43">
        <f t="shared" si="4"/>
        <v>72</v>
      </c>
      <c r="AT43">
        <f t="shared" si="4"/>
        <v>74</v>
      </c>
      <c r="AU43">
        <f t="shared" si="4"/>
        <v>76</v>
      </c>
      <c r="AV43">
        <f t="shared" si="4"/>
        <v>78</v>
      </c>
      <c r="AW43">
        <f t="shared" si="4"/>
        <v>80</v>
      </c>
      <c r="AX43">
        <f t="shared" si="4"/>
        <v>82</v>
      </c>
      <c r="AY43">
        <f t="shared" si="4"/>
        <v>84</v>
      </c>
    </row>
    <row r="44" spans="1:51" ht="12.75">
      <c r="A44">
        <v>72</v>
      </c>
      <c r="B44">
        <f t="shared" si="1"/>
        <v>22</v>
      </c>
      <c r="C44">
        <f t="shared" si="1"/>
        <v>24</v>
      </c>
      <c r="D44">
        <f t="shared" si="1"/>
        <v>26</v>
      </c>
      <c r="E44">
        <f t="shared" si="1"/>
        <v>28</v>
      </c>
      <c r="F44">
        <f t="shared" si="1"/>
        <v>30</v>
      </c>
      <c r="G44">
        <f t="shared" si="1"/>
        <v>32</v>
      </c>
      <c r="H44">
        <f t="shared" si="1"/>
        <v>34</v>
      </c>
      <c r="I44">
        <f t="shared" si="1"/>
        <v>36</v>
      </c>
      <c r="J44">
        <f t="shared" si="1"/>
        <v>38</v>
      </c>
      <c r="K44">
        <f t="shared" si="1"/>
        <v>40</v>
      </c>
      <c r="L44">
        <f t="shared" si="1"/>
        <v>42</v>
      </c>
      <c r="N44">
        <v>72</v>
      </c>
      <c r="O44">
        <f t="shared" si="2"/>
        <v>36</v>
      </c>
      <c r="P44">
        <f t="shared" si="2"/>
        <v>38</v>
      </c>
      <c r="Q44">
        <f t="shared" si="2"/>
        <v>40</v>
      </c>
      <c r="R44">
        <f t="shared" si="2"/>
        <v>42</v>
      </c>
      <c r="S44">
        <f t="shared" si="2"/>
        <v>44</v>
      </c>
      <c r="T44">
        <f t="shared" si="2"/>
        <v>46</v>
      </c>
      <c r="U44">
        <f t="shared" si="2"/>
        <v>48</v>
      </c>
      <c r="V44">
        <f t="shared" si="2"/>
        <v>50</v>
      </c>
      <c r="W44">
        <f t="shared" si="2"/>
        <v>52</v>
      </c>
      <c r="X44">
        <f t="shared" si="2"/>
        <v>54</v>
      </c>
      <c r="Y44">
        <f t="shared" si="2"/>
        <v>56</v>
      </c>
      <c r="AA44">
        <v>72</v>
      </c>
      <c r="AB44">
        <f t="shared" si="3"/>
        <v>50</v>
      </c>
      <c r="AC44">
        <f t="shared" si="3"/>
        <v>52</v>
      </c>
      <c r="AD44">
        <f t="shared" si="3"/>
        <v>54</v>
      </c>
      <c r="AE44">
        <f t="shared" si="3"/>
        <v>56</v>
      </c>
      <c r="AF44">
        <f t="shared" si="3"/>
        <v>58</v>
      </c>
      <c r="AG44">
        <f t="shared" si="3"/>
        <v>60</v>
      </c>
      <c r="AH44">
        <f t="shared" si="3"/>
        <v>62</v>
      </c>
      <c r="AI44">
        <f t="shared" si="3"/>
        <v>64</v>
      </c>
      <c r="AJ44">
        <f t="shared" si="3"/>
        <v>66</v>
      </c>
      <c r="AK44">
        <f t="shared" si="3"/>
        <v>68</v>
      </c>
      <c r="AL44">
        <f t="shared" si="3"/>
        <v>70</v>
      </c>
      <c r="AN44">
        <v>72</v>
      </c>
      <c r="AO44">
        <f t="shared" si="4"/>
        <v>65</v>
      </c>
      <c r="AP44">
        <f t="shared" si="4"/>
        <v>67</v>
      </c>
      <c r="AQ44">
        <f t="shared" si="4"/>
        <v>69</v>
      </c>
      <c r="AR44">
        <f t="shared" si="4"/>
        <v>71</v>
      </c>
      <c r="AS44">
        <f t="shared" si="4"/>
        <v>73</v>
      </c>
      <c r="AT44">
        <f t="shared" si="4"/>
        <v>75</v>
      </c>
      <c r="AU44">
        <f t="shared" si="4"/>
        <v>77</v>
      </c>
      <c r="AV44">
        <f t="shared" si="4"/>
        <v>79</v>
      </c>
      <c r="AW44">
        <f t="shared" si="4"/>
        <v>81</v>
      </c>
      <c r="AX44">
        <f t="shared" si="4"/>
        <v>83</v>
      </c>
      <c r="AY44">
        <f t="shared" si="4"/>
        <v>85</v>
      </c>
    </row>
    <row r="45" spans="1:51" ht="12.75">
      <c r="A45">
        <v>73</v>
      </c>
      <c r="B45">
        <f t="shared" si="1"/>
        <v>22</v>
      </c>
      <c r="C45">
        <f t="shared" si="1"/>
        <v>24</v>
      </c>
      <c r="D45">
        <f t="shared" si="1"/>
        <v>26</v>
      </c>
      <c r="E45">
        <f t="shared" si="1"/>
        <v>28</v>
      </c>
      <c r="F45">
        <f t="shared" si="1"/>
        <v>30</v>
      </c>
      <c r="G45">
        <f t="shared" si="1"/>
        <v>32</v>
      </c>
      <c r="H45">
        <f t="shared" si="1"/>
        <v>34</v>
      </c>
      <c r="I45">
        <f t="shared" si="1"/>
        <v>36</v>
      </c>
      <c r="J45">
        <f t="shared" si="1"/>
        <v>38</v>
      </c>
      <c r="K45">
        <f t="shared" si="1"/>
        <v>40</v>
      </c>
      <c r="L45">
        <f t="shared" si="1"/>
        <v>42</v>
      </c>
      <c r="N45">
        <v>73</v>
      </c>
      <c r="O45">
        <f t="shared" si="2"/>
        <v>37</v>
      </c>
      <c r="P45">
        <f t="shared" si="2"/>
        <v>39</v>
      </c>
      <c r="Q45">
        <f t="shared" si="2"/>
        <v>41</v>
      </c>
      <c r="R45">
        <f t="shared" si="2"/>
        <v>43</v>
      </c>
      <c r="S45">
        <f t="shared" si="2"/>
        <v>45</v>
      </c>
      <c r="T45">
        <f t="shared" si="2"/>
        <v>47</v>
      </c>
      <c r="U45">
        <f t="shared" si="2"/>
        <v>49</v>
      </c>
      <c r="V45">
        <f t="shared" si="2"/>
        <v>51</v>
      </c>
      <c r="W45">
        <f t="shared" si="2"/>
        <v>53</v>
      </c>
      <c r="X45">
        <f t="shared" si="2"/>
        <v>55</v>
      </c>
      <c r="Y45">
        <f t="shared" si="2"/>
        <v>57</v>
      </c>
      <c r="AA45">
        <v>73</v>
      </c>
      <c r="AB45">
        <f t="shared" si="3"/>
        <v>51</v>
      </c>
      <c r="AC45">
        <f t="shared" si="3"/>
        <v>53</v>
      </c>
      <c r="AD45">
        <f t="shared" si="3"/>
        <v>55</v>
      </c>
      <c r="AE45">
        <f t="shared" si="3"/>
        <v>57</v>
      </c>
      <c r="AF45">
        <f t="shared" si="3"/>
        <v>59</v>
      </c>
      <c r="AG45">
        <f t="shared" si="3"/>
        <v>61</v>
      </c>
      <c r="AH45">
        <f t="shared" si="3"/>
        <v>63</v>
      </c>
      <c r="AI45">
        <f t="shared" si="3"/>
        <v>65</v>
      </c>
      <c r="AJ45">
        <f t="shared" si="3"/>
        <v>67</v>
      </c>
      <c r="AK45">
        <f t="shared" si="3"/>
        <v>69</v>
      </c>
      <c r="AL45">
        <f t="shared" si="3"/>
        <v>71</v>
      </c>
      <c r="AN45">
        <v>73</v>
      </c>
      <c r="AO45">
        <f t="shared" si="4"/>
        <v>66</v>
      </c>
      <c r="AP45">
        <f t="shared" si="4"/>
        <v>68</v>
      </c>
      <c r="AQ45">
        <f t="shared" si="4"/>
        <v>70</v>
      </c>
      <c r="AR45">
        <f t="shared" si="4"/>
        <v>72</v>
      </c>
      <c r="AS45">
        <f t="shared" si="4"/>
        <v>74</v>
      </c>
      <c r="AT45">
        <f t="shared" si="4"/>
        <v>76</v>
      </c>
      <c r="AU45">
        <f t="shared" si="4"/>
        <v>78</v>
      </c>
      <c r="AV45">
        <f t="shared" si="4"/>
        <v>80</v>
      </c>
      <c r="AW45">
        <f t="shared" si="4"/>
        <v>82</v>
      </c>
      <c r="AX45">
        <f t="shared" si="4"/>
        <v>84</v>
      </c>
      <c r="AY45">
        <f t="shared" si="4"/>
        <v>86</v>
      </c>
    </row>
    <row r="46" spans="1:51" ht="12.75">
      <c r="A46">
        <v>74</v>
      </c>
      <c r="B46">
        <f t="shared" si="1"/>
        <v>22</v>
      </c>
      <c r="C46">
        <f t="shared" si="1"/>
        <v>24</v>
      </c>
      <c r="D46">
        <f t="shared" si="1"/>
        <v>26</v>
      </c>
      <c r="E46">
        <f t="shared" si="1"/>
        <v>28</v>
      </c>
      <c r="F46">
        <f t="shared" si="1"/>
        <v>30</v>
      </c>
      <c r="G46">
        <f t="shared" si="1"/>
        <v>32</v>
      </c>
      <c r="H46">
        <f t="shared" si="1"/>
        <v>34</v>
      </c>
      <c r="I46">
        <f t="shared" si="1"/>
        <v>36</v>
      </c>
      <c r="J46">
        <f t="shared" si="1"/>
        <v>38</v>
      </c>
      <c r="K46">
        <f t="shared" si="1"/>
        <v>40</v>
      </c>
      <c r="L46">
        <f t="shared" si="1"/>
        <v>42</v>
      </c>
      <c r="N46">
        <v>74</v>
      </c>
      <c r="O46">
        <f t="shared" si="2"/>
        <v>37</v>
      </c>
      <c r="P46">
        <f t="shared" si="2"/>
        <v>39</v>
      </c>
      <c r="Q46">
        <f t="shared" si="2"/>
        <v>41</v>
      </c>
      <c r="R46">
        <f t="shared" si="2"/>
        <v>43</v>
      </c>
      <c r="S46">
        <f t="shared" si="2"/>
        <v>45</v>
      </c>
      <c r="T46">
        <f t="shared" si="2"/>
        <v>47</v>
      </c>
      <c r="U46">
        <f t="shared" si="2"/>
        <v>49</v>
      </c>
      <c r="V46">
        <f t="shared" si="2"/>
        <v>51</v>
      </c>
      <c r="W46">
        <f t="shared" si="2"/>
        <v>53</v>
      </c>
      <c r="X46">
        <f t="shared" si="2"/>
        <v>55</v>
      </c>
      <c r="Y46">
        <f t="shared" si="2"/>
        <v>57</v>
      </c>
      <c r="AA46">
        <v>74</v>
      </c>
      <c r="AB46">
        <f t="shared" si="3"/>
        <v>52</v>
      </c>
      <c r="AC46">
        <f t="shared" si="3"/>
        <v>54</v>
      </c>
      <c r="AD46">
        <f t="shared" si="3"/>
        <v>56</v>
      </c>
      <c r="AE46">
        <f t="shared" si="3"/>
        <v>58</v>
      </c>
      <c r="AF46">
        <f t="shared" si="3"/>
        <v>60</v>
      </c>
      <c r="AG46">
        <f t="shared" si="3"/>
        <v>62</v>
      </c>
      <c r="AH46">
        <f t="shared" si="3"/>
        <v>64</v>
      </c>
      <c r="AI46">
        <f t="shared" si="3"/>
        <v>66</v>
      </c>
      <c r="AJ46">
        <f t="shared" si="3"/>
        <v>68</v>
      </c>
      <c r="AK46">
        <f t="shared" si="3"/>
        <v>70</v>
      </c>
      <c r="AL46">
        <f t="shared" si="3"/>
        <v>72</v>
      </c>
      <c r="AN46">
        <v>74</v>
      </c>
      <c r="AO46">
        <f t="shared" si="4"/>
        <v>67</v>
      </c>
      <c r="AP46">
        <f t="shared" si="4"/>
        <v>69</v>
      </c>
      <c r="AQ46">
        <f t="shared" si="4"/>
        <v>71</v>
      </c>
      <c r="AR46">
        <f t="shared" si="4"/>
        <v>73</v>
      </c>
      <c r="AS46">
        <f t="shared" si="4"/>
        <v>75</v>
      </c>
      <c r="AT46">
        <f t="shared" si="4"/>
        <v>77</v>
      </c>
      <c r="AU46">
        <f t="shared" si="4"/>
        <v>79</v>
      </c>
      <c r="AV46">
        <f t="shared" si="4"/>
        <v>81</v>
      </c>
      <c r="AW46">
        <f t="shared" si="4"/>
        <v>83</v>
      </c>
      <c r="AX46">
        <f t="shared" si="4"/>
        <v>85</v>
      </c>
      <c r="AY46">
        <f t="shared" si="4"/>
        <v>87</v>
      </c>
    </row>
    <row r="47" spans="1:51" ht="12.75">
      <c r="A47">
        <v>75</v>
      </c>
      <c r="B47">
        <f aca="true" t="shared" si="5" ref="B47:L56">ROUND(($A47*0.3)+(B$3*2),0)</f>
        <v>23</v>
      </c>
      <c r="C47">
        <f t="shared" si="5"/>
        <v>25</v>
      </c>
      <c r="D47">
        <f t="shared" si="5"/>
        <v>27</v>
      </c>
      <c r="E47">
        <f t="shared" si="5"/>
        <v>29</v>
      </c>
      <c r="F47">
        <f t="shared" si="5"/>
        <v>31</v>
      </c>
      <c r="G47">
        <f t="shared" si="5"/>
        <v>33</v>
      </c>
      <c r="H47">
        <f t="shared" si="5"/>
        <v>35</v>
      </c>
      <c r="I47">
        <f t="shared" si="5"/>
        <v>37</v>
      </c>
      <c r="J47">
        <f t="shared" si="5"/>
        <v>39</v>
      </c>
      <c r="K47">
        <f t="shared" si="5"/>
        <v>41</v>
      </c>
      <c r="L47">
        <f t="shared" si="5"/>
        <v>43</v>
      </c>
      <c r="N47">
        <v>75</v>
      </c>
      <c r="O47">
        <f aca="true" t="shared" si="6" ref="O47:Y56">ROUND(($N47*0.5)+(O$3*2),0)</f>
        <v>38</v>
      </c>
      <c r="P47">
        <f t="shared" si="6"/>
        <v>40</v>
      </c>
      <c r="Q47">
        <f t="shared" si="6"/>
        <v>42</v>
      </c>
      <c r="R47">
        <f t="shared" si="6"/>
        <v>44</v>
      </c>
      <c r="S47">
        <f t="shared" si="6"/>
        <v>46</v>
      </c>
      <c r="T47">
        <f t="shared" si="6"/>
        <v>48</v>
      </c>
      <c r="U47">
        <f t="shared" si="6"/>
        <v>50</v>
      </c>
      <c r="V47">
        <f t="shared" si="6"/>
        <v>52</v>
      </c>
      <c r="W47">
        <f t="shared" si="6"/>
        <v>54</v>
      </c>
      <c r="X47">
        <f t="shared" si="6"/>
        <v>56</v>
      </c>
      <c r="Y47">
        <f t="shared" si="6"/>
        <v>58</v>
      </c>
      <c r="AA47">
        <v>75</v>
      </c>
      <c r="AB47">
        <f aca="true" t="shared" si="7" ref="AB47:AL56">ROUND(($AA47*0.7)+(AB$3*2),0)</f>
        <v>53</v>
      </c>
      <c r="AC47">
        <f t="shared" si="7"/>
        <v>55</v>
      </c>
      <c r="AD47">
        <f t="shared" si="7"/>
        <v>57</v>
      </c>
      <c r="AE47">
        <f t="shared" si="7"/>
        <v>59</v>
      </c>
      <c r="AF47">
        <f t="shared" si="7"/>
        <v>61</v>
      </c>
      <c r="AG47">
        <f t="shared" si="7"/>
        <v>63</v>
      </c>
      <c r="AH47">
        <f t="shared" si="7"/>
        <v>65</v>
      </c>
      <c r="AI47">
        <f t="shared" si="7"/>
        <v>67</v>
      </c>
      <c r="AJ47">
        <f t="shared" si="7"/>
        <v>69</v>
      </c>
      <c r="AK47">
        <f t="shared" si="7"/>
        <v>71</v>
      </c>
      <c r="AL47">
        <f t="shared" si="7"/>
        <v>73</v>
      </c>
      <c r="AN47">
        <v>75</v>
      </c>
      <c r="AO47">
        <f aca="true" t="shared" si="8" ref="AO47:AY56">ROUND(($AN47*0.9)+(AO$3*2),0)</f>
        <v>68</v>
      </c>
      <c r="AP47">
        <f t="shared" si="8"/>
        <v>70</v>
      </c>
      <c r="AQ47">
        <f t="shared" si="8"/>
        <v>72</v>
      </c>
      <c r="AR47">
        <f t="shared" si="8"/>
        <v>74</v>
      </c>
      <c r="AS47">
        <f t="shared" si="8"/>
        <v>76</v>
      </c>
      <c r="AT47">
        <f t="shared" si="8"/>
        <v>78</v>
      </c>
      <c r="AU47">
        <f t="shared" si="8"/>
        <v>80</v>
      </c>
      <c r="AV47">
        <f t="shared" si="8"/>
        <v>82</v>
      </c>
      <c r="AW47">
        <f t="shared" si="8"/>
        <v>84</v>
      </c>
      <c r="AX47">
        <f t="shared" si="8"/>
        <v>86</v>
      </c>
      <c r="AY47">
        <f t="shared" si="8"/>
        <v>88</v>
      </c>
    </row>
    <row r="48" spans="1:51" ht="12.75">
      <c r="A48">
        <v>76</v>
      </c>
      <c r="B48">
        <f t="shared" si="5"/>
        <v>23</v>
      </c>
      <c r="C48">
        <f t="shared" si="5"/>
        <v>25</v>
      </c>
      <c r="D48">
        <f t="shared" si="5"/>
        <v>27</v>
      </c>
      <c r="E48">
        <f t="shared" si="5"/>
        <v>29</v>
      </c>
      <c r="F48">
        <f t="shared" si="5"/>
        <v>31</v>
      </c>
      <c r="G48">
        <f t="shared" si="5"/>
        <v>33</v>
      </c>
      <c r="H48">
        <f t="shared" si="5"/>
        <v>35</v>
      </c>
      <c r="I48">
        <f t="shared" si="5"/>
        <v>37</v>
      </c>
      <c r="J48">
        <f t="shared" si="5"/>
        <v>39</v>
      </c>
      <c r="K48">
        <f t="shared" si="5"/>
        <v>41</v>
      </c>
      <c r="L48">
        <f t="shared" si="5"/>
        <v>43</v>
      </c>
      <c r="N48">
        <v>76</v>
      </c>
      <c r="O48">
        <f t="shared" si="6"/>
        <v>38</v>
      </c>
      <c r="P48">
        <f t="shared" si="6"/>
        <v>40</v>
      </c>
      <c r="Q48">
        <f t="shared" si="6"/>
        <v>42</v>
      </c>
      <c r="R48">
        <f t="shared" si="6"/>
        <v>44</v>
      </c>
      <c r="S48">
        <f t="shared" si="6"/>
        <v>46</v>
      </c>
      <c r="T48">
        <f t="shared" si="6"/>
        <v>48</v>
      </c>
      <c r="U48">
        <f t="shared" si="6"/>
        <v>50</v>
      </c>
      <c r="V48">
        <f t="shared" si="6"/>
        <v>52</v>
      </c>
      <c r="W48">
        <f t="shared" si="6"/>
        <v>54</v>
      </c>
      <c r="X48">
        <f t="shared" si="6"/>
        <v>56</v>
      </c>
      <c r="Y48">
        <f t="shared" si="6"/>
        <v>58</v>
      </c>
      <c r="AA48">
        <v>76</v>
      </c>
      <c r="AB48">
        <f t="shared" si="7"/>
        <v>53</v>
      </c>
      <c r="AC48">
        <f t="shared" si="7"/>
        <v>55</v>
      </c>
      <c r="AD48">
        <f t="shared" si="7"/>
        <v>57</v>
      </c>
      <c r="AE48">
        <f t="shared" si="7"/>
        <v>59</v>
      </c>
      <c r="AF48">
        <f t="shared" si="7"/>
        <v>61</v>
      </c>
      <c r="AG48">
        <f t="shared" si="7"/>
        <v>63</v>
      </c>
      <c r="AH48">
        <f t="shared" si="7"/>
        <v>65</v>
      </c>
      <c r="AI48">
        <f t="shared" si="7"/>
        <v>67</v>
      </c>
      <c r="AJ48">
        <f t="shared" si="7"/>
        <v>69</v>
      </c>
      <c r="AK48">
        <f t="shared" si="7"/>
        <v>71</v>
      </c>
      <c r="AL48">
        <f t="shared" si="7"/>
        <v>73</v>
      </c>
      <c r="AN48">
        <v>76</v>
      </c>
      <c r="AO48">
        <f t="shared" si="8"/>
        <v>68</v>
      </c>
      <c r="AP48">
        <f t="shared" si="8"/>
        <v>70</v>
      </c>
      <c r="AQ48">
        <f t="shared" si="8"/>
        <v>72</v>
      </c>
      <c r="AR48">
        <f t="shared" si="8"/>
        <v>74</v>
      </c>
      <c r="AS48">
        <f t="shared" si="8"/>
        <v>76</v>
      </c>
      <c r="AT48">
        <f t="shared" si="8"/>
        <v>78</v>
      </c>
      <c r="AU48">
        <f t="shared" si="8"/>
        <v>80</v>
      </c>
      <c r="AV48">
        <f t="shared" si="8"/>
        <v>82</v>
      </c>
      <c r="AW48">
        <f t="shared" si="8"/>
        <v>84</v>
      </c>
      <c r="AX48">
        <f t="shared" si="8"/>
        <v>86</v>
      </c>
      <c r="AY48">
        <f t="shared" si="8"/>
        <v>88</v>
      </c>
    </row>
    <row r="49" spans="1:51" ht="12.75">
      <c r="A49">
        <v>77</v>
      </c>
      <c r="B49">
        <f t="shared" si="5"/>
        <v>23</v>
      </c>
      <c r="C49">
        <f t="shared" si="5"/>
        <v>25</v>
      </c>
      <c r="D49">
        <f t="shared" si="5"/>
        <v>27</v>
      </c>
      <c r="E49">
        <f t="shared" si="5"/>
        <v>29</v>
      </c>
      <c r="F49">
        <f t="shared" si="5"/>
        <v>31</v>
      </c>
      <c r="G49">
        <f t="shared" si="5"/>
        <v>33</v>
      </c>
      <c r="H49">
        <f t="shared" si="5"/>
        <v>35</v>
      </c>
      <c r="I49">
        <f t="shared" si="5"/>
        <v>37</v>
      </c>
      <c r="J49">
        <f t="shared" si="5"/>
        <v>39</v>
      </c>
      <c r="K49">
        <f t="shared" si="5"/>
        <v>41</v>
      </c>
      <c r="L49">
        <f t="shared" si="5"/>
        <v>43</v>
      </c>
      <c r="N49">
        <v>77</v>
      </c>
      <c r="O49">
        <f t="shared" si="6"/>
        <v>39</v>
      </c>
      <c r="P49">
        <f t="shared" si="6"/>
        <v>41</v>
      </c>
      <c r="Q49">
        <f t="shared" si="6"/>
        <v>43</v>
      </c>
      <c r="R49">
        <f t="shared" si="6"/>
        <v>45</v>
      </c>
      <c r="S49">
        <f t="shared" si="6"/>
        <v>47</v>
      </c>
      <c r="T49">
        <f t="shared" si="6"/>
        <v>49</v>
      </c>
      <c r="U49">
        <f t="shared" si="6"/>
        <v>51</v>
      </c>
      <c r="V49">
        <f t="shared" si="6"/>
        <v>53</v>
      </c>
      <c r="W49">
        <f t="shared" si="6"/>
        <v>55</v>
      </c>
      <c r="X49">
        <f t="shared" si="6"/>
        <v>57</v>
      </c>
      <c r="Y49">
        <f t="shared" si="6"/>
        <v>59</v>
      </c>
      <c r="AA49">
        <v>77</v>
      </c>
      <c r="AB49">
        <f t="shared" si="7"/>
        <v>54</v>
      </c>
      <c r="AC49">
        <f t="shared" si="7"/>
        <v>56</v>
      </c>
      <c r="AD49">
        <f t="shared" si="7"/>
        <v>58</v>
      </c>
      <c r="AE49">
        <f t="shared" si="7"/>
        <v>60</v>
      </c>
      <c r="AF49">
        <f t="shared" si="7"/>
        <v>62</v>
      </c>
      <c r="AG49">
        <f t="shared" si="7"/>
        <v>64</v>
      </c>
      <c r="AH49">
        <f t="shared" si="7"/>
        <v>66</v>
      </c>
      <c r="AI49">
        <f t="shared" si="7"/>
        <v>68</v>
      </c>
      <c r="AJ49">
        <f t="shared" si="7"/>
        <v>70</v>
      </c>
      <c r="AK49">
        <f t="shared" si="7"/>
        <v>72</v>
      </c>
      <c r="AL49">
        <f t="shared" si="7"/>
        <v>74</v>
      </c>
      <c r="AN49">
        <v>77</v>
      </c>
      <c r="AO49">
        <f t="shared" si="8"/>
        <v>69</v>
      </c>
      <c r="AP49">
        <f t="shared" si="8"/>
        <v>71</v>
      </c>
      <c r="AQ49">
        <f t="shared" si="8"/>
        <v>73</v>
      </c>
      <c r="AR49">
        <f t="shared" si="8"/>
        <v>75</v>
      </c>
      <c r="AS49">
        <f t="shared" si="8"/>
        <v>77</v>
      </c>
      <c r="AT49">
        <f t="shared" si="8"/>
        <v>79</v>
      </c>
      <c r="AU49">
        <f t="shared" si="8"/>
        <v>81</v>
      </c>
      <c r="AV49">
        <f t="shared" si="8"/>
        <v>83</v>
      </c>
      <c r="AW49">
        <f t="shared" si="8"/>
        <v>85</v>
      </c>
      <c r="AX49">
        <f t="shared" si="8"/>
        <v>87</v>
      </c>
      <c r="AY49">
        <f t="shared" si="8"/>
        <v>89</v>
      </c>
    </row>
    <row r="50" spans="1:51" ht="12.75">
      <c r="A50">
        <v>78</v>
      </c>
      <c r="B50">
        <f t="shared" si="5"/>
        <v>23</v>
      </c>
      <c r="C50">
        <f t="shared" si="5"/>
        <v>25</v>
      </c>
      <c r="D50">
        <f t="shared" si="5"/>
        <v>27</v>
      </c>
      <c r="E50">
        <f t="shared" si="5"/>
        <v>29</v>
      </c>
      <c r="F50">
        <f t="shared" si="5"/>
        <v>31</v>
      </c>
      <c r="G50">
        <f t="shared" si="5"/>
        <v>33</v>
      </c>
      <c r="H50">
        <f t="shared" si="5"/>
        <v>35</v>
      </c>
      <c r="I50">
        <f t="shared" si="5"/>
        <v>37</v>
      </c>
      <c r="J50">
        <f t="shared" si="5"/>
        <v>39</v>
      </c>
      <c r="K50">
        <f t="shared" si="5"/>
        <v>41</v>
      </c>
      <c r="L50">
        <f t="shared" si="5"/>
        <v>43</v>
      </c>
      <c r="N50">
        <v>78</v>
      </c>
      <c r="O50">
        <f t="shared" si="6"/>
        <v>39</v>
      </c>
      <c r="P50">
        <f t="shared" si="6"/>
        <v>41</v>
      </c>
      <c r="Q50">
        <f t="shared" si="6"/>
        <v>43</v>
      </c>
      <c r="R50">
        <f t="shared" si="6"/>
        <v>45</v>
      </c>
      <c r="S50">
        <f t="shared" si="6"/>
        <v>47</v>
      </c>
      <c r="T50">
        <f t="shared" si="6"/>
        <v>49</v>
      </c>
      <c r="U50">
        <f t="shared" si="6"/>
        <v>51</v>
      </c>
      <c r="V50">
        <f t="shared" si="6"/>
        <v>53</v>
      </c>
      <c r="W50">
        <f t="shared" si="6"/>
        <v>55</v>
      </c>
      <c r="X50">
        <f t="shared" si="6"/>
        <v>57</v>
      </c>
      <c r="Y50">
        <f t="shared" si="6"/>
        <v>59</v>
      </c>
      <c r="AA50">
        <v>78</v>
      </c>
      <c r="AB50">
        <f t="shared" si="7"/>
        <v>55</v>
      </c>
      <c r="AC50">
        <f t="shared" si="7"/>
        <v>57</v>
      </c>
      <c r="AD50">
        <f t="shared" si="7"/>
        <v>59</v>
      </c>
      <c r="AE50">
        <f t="shared" si="7"/>
        <v>61</v>
      </c>
      <c r="AF50">
        <f t="shared" si="7"/>
        <v>63</v>
      </c>
      <c r="AG50">
        <f t="shared" si="7"/>
        <v>65</v>
      </c>
      <c r="AH50">
        <f t="shared" si="7"/>
        <v>67</v>
      </c>
      <c r="AI50">
        <f t="shared" si="7"/>
        <v>69</v>
      </c>
      <c r="AJ50">
        <f t="shared" si="7"/>
        <v>71</v>
      </c>
      <c r="AK50">
        <f t="shared" si="7"/>
        <v>73</v>
      </c>
      <c r="AL50">
        <f t="shared" si="7"/>
        <v>75</v>
      </c>
      <c r="AN50">
        <v>78</v>
      </c>
      <c r="AO50">
        <f t="shared" si="8"/>
        <v>70</v>
      </c>
      <c r="AP50">
        <f t="shared" si="8"/>
        <v>72</v>
      </c>
      <c r="AQ50">
        <f t="shared" si="8"/>
        <v>74</v>
      </c>
      <c r="AR50">
        <f t="shared" si="8"/>
        <v>76</v>
      </c>
      <c r="AS50">
        <f t="shared" si="8"/>
        <v>78</v>
      </c>
      <c r="AT50">
        <f t="shared" si="8"/>
        <v>80</v>
      </c>
      <c r="AU50">
        <f t="shared" si="8"/>
        <v>82</v>
      </c>
      <c r="AV50">
        <f t="shared" si="8"/>
        <v>84</v>
      </c>
      <c r="AW50">
        <f t="shared" si="8"/>
        <v>86</v>
      </c>
      <c r="AX50">
        <f t="shared" si="8"/>
        <v>88</v>
      </c>
      <c r="AY50">
        <f t="shared" si="8"/>
        <v>90</v>
      </c>
    </row>
    <row r="51" spans="1:51" ht="12.75">
      <c r="A51">
        <v>79</v>
      </c>
      <c r="B51">
        <f t="shared" si="5"/>
        <v>24</v>
      </c>
      <c r="C51">
        <f t="shared" si="5"/>
        <v>26</v>
      </c>
      <c r="D51">
        <f t="shared" si="5"/>
        <v>28</v>
      </c>
      <c r="E51">
        <f t="shared" si="5"/>
        <v>30</v>
      </c>
      <c r="F51">
        <f t="shared" si="5"/>
        <v>32</v>
      </c>
      <c r="G51">
        <f t="shared" si="5"/>
        <v>34</v>
      </c>
      <c r="H51">
        <f t="shared" si="5"/>
        <v>36</v>
      </c>
      <c r="I51">
        <f t="shared" si="5"/>
        <v>38</v>
      </c>
      <c r="J51">
        <f t="shared" si="5"/>
        <v>40</v>
      </c>
      <c r="K51">
        <f t="shared" si="5"/>
        <v>42</v>
      </c>
      <c r="L51">
        <f t="shared" si="5"/>
        <v>44</v>
      </c>
      <c r="N51">
        <v>79</v>
      </c>
      <c r="O51">
        <f t="shared" si="6"/>
        <v>40</v>
      </c>
      <c r="P51">
        <f t="shared" si="6"/>
        <v>42</v>
      </c>
      <c r="Q51">
        <f t="shared" si="6"/>
        <v>44</v>
      </c>
      <c r="R51">
        <f t="shared" si="6"/>
        <v>46</v>
      </c>
      <c r="S51">
        <f t="shared" si="6"/>
        <v>48</v>
      </c>
      <c r="T51">
        <f t="shared" si="6"/>
        <v>50</v>
      </c>
      <c r="U51">
        <f t="shared" si="6"/>
        <v>52</v>
      </c>
      <c r="V51">
        <f t="shared" si="6"/>
        <v>54</v>
      </c>
      <c r="W51">
        <f t="shared" si="6"/>
        <v>56</v>
      </c>
      <c r="X51">
        <f t="shared" si="6"/>
        <v>58</v>
      </c>
      <c r="Y51">
        <f t="shared" si="6"/>
        <v>60</v>
      </c>
      <c r="AA51">
        <v>79</v>
      </c>
      <c r="AB51">
        <f t="shared" si="7"/>
        <v>55</v>
      </c>
      <c r="AC51">
        <f t="shared" si="7"/>
        <v>57</v>
      </c>
      <c r="AD51">
        <f t="shared" si="7"/>
        <v>59</v>
      </c>
      <c r="AE51">
        <f t="shared" si="7"/>
        <v>61</v>
      </c>
      <c r="AF51">
        <f t="shared" si="7"/>
        <v>63</v>
      </c>
      <c r="AG51">
        <f t="shared" si="7"/>
        <v>65</v>
      </c>
      <c r="AH51">
        <f t="shared" si="7"/>
        <v>67</v>
      </c>
      <c r="AI51">
        <f t="shared" si="7"/>
        <v>69</v>
      </c>
      <c r="AJ51">
        <f t="shared" si="7"/>
        <v>71</v>
      </c>
      <c r="AK51">
        <f t="shared" si="7"/>
        <v>73</v>
      </c>
      <c r="AL51">
        <f t="shared" si="7"/>
        <v>75</v>
      </c>
      <c r="AN51">
        <v>79</v>
      </c>
      <c r="AO51">
        <f t="shared" si="8"/>
        <v>71</v>
      </c>
      <c r="AP51">
        <f t="shared" si="8"/>
        <v>73</v>
      </c>
      <c r="AQ51">
        <f t="shared" si="8"/>
        <v>75</v>
      </c>
      <c r="AR51">
        <f t="shared" si="8"/>
        <v>77</v>
      </c>
      <c r="AS51">
        <f t="shared" si="8"/>
        <v>79</v>
      </c>
      <c r="AT51">
        <f t="shared" si="8"/>
        <v>81</v>
      </c>
      <c r="AU51">
        <f t="shared" si="8"/>
        <v>83</v>
      </c>
      <c r="AV51">
        <f t="shared" si="8"/>
        <v>85</v>
      </c>
      <c r="AW51">
        <f t="shared" si="8"/>
        <v>87</v>
      </c>
      <c r="AX51">
        <f t="shared" si="8"/>
        <v>89</v>
      </c>
      <c r="AY51">
        <f t="shared" si="8"/>
        <v>91</v>
      </c>
    </row>
    <row r="52" spans="1:51" ht="12.75">
      <c r="A52">
        <v>80</v>
      </c>
      <c r="B52">
        <f t="shared" si="5"/>
        <v>24</v>
      </c>
      <c r="C52">
        <f t="shared" si="5"/>
        <v>26</v>
      </c>
      <c r="D52">
        <f t="shared" si="5"/>
        <v>28</v>
      </c>
      <c r="E52">
        <f t="shared" si="5"/>
        <v>30</v>
      </c>
      <c r="F52">
        <f t="shared" si="5"/>
        <v>32</v>
      </c>
      <c r="G52">
        <f t="shared" si="5"/>
        <v>34</v>
      </c>
      <c r="H52">
        <f t="shared" si="5"/>
        <v>36</v>
      </c>
      <c r="I52">
        <f t="shared" si="5"/>
        <v>38</v>
      </c>
      <c r="J52">
        <f t="shared" si="5"/>
        <v>40</v>
      </c>
      <c r="K52">
        <f t="shared" si="5"/>
        <v>42</v>
      </c>
      <c r="L52">
        <f t="shared" si="5"/>
        <v>44</v>
      </c>
      <c r="N52">
        <v>80</v>
      </c>
      <c r="O52">
        <f t="shared" si="6"/>
        <v>40</v>
      </c>
      <c r="P52">
        <f t="shared" si="6"/>
        <v>42</v>
      </c>
      <c r="Q52">
        <f t="shared" si="6"/>
        <v>44</v>
      </c>
      <c r="R52">
        <f t="shared" si="6"/>
        <v>46</v>
      </c>
      <c r="S52">
        <f t="shared" si="6"/>
        <v>48</v>
      </c>
      <c r="T52">
        <f t="shared" si="6"/>
        <v>50</v>
      </c>
      <c r="U52">
        <f t="shared" si="6"/>
        <v>52</v>
      </c>
      <c r="V52">
        <f t="shared" si="6"/>
        <v>54</v>
      </c>
      <c r="W52">
        <f t="shared" si="6"/>
        <v>56</v>
      </c>
      <c r="X52">
        <f t="shared" si="6"/>
        <v>58</v>
      </c>
      <c r="Y52">
        <f t="shared" si="6"/>
        <v>60</v>
      </c>
      <c r="AA52">
        <v>80</v>
      </c>
      <c r="AB52">
        <f t="shared" si="7"/>
        <v>56</v>
      </c>
      <c r="AC52">
        <f t="shared" si="7"/>
        <v>58</v>
      </c>
      <c r="AD52">
        <f t="shared" si="7"/>
        <v>60</v>
      </c>
      <c r="AE52">
        <f t="shared" si="7"/>
        <v>62</v>
      </c>
      <c r="AF52">
        <f t="shared" si="7"/>
        <v>64</v>
      </c>
      <c r="AG52">
        <f t="shared" si="7"/>
        <v>66</v>
      </c>
      <c r="AH52">
        <f t="shared" si="7"/>
        <v>68</v>
      </c>
      <c r="AI52">
        <f t="shared" si="7"/>
        <v>70</v>
      </c>
      <c r="AJ52">
        <f t="shared" si="7"/>
        <v>72</v>
      </c>
      <c r="AK52">
        <f t="shared" si="7"/>
        <v>74</v>
      </c>
      <c r="AL52">
        <f t="shared" si="7"/>
        <v>76</v>
      </c>
      <c r="AN52">
        <v>80</v>
      </c>
      <c r="AO52">
        <f t="shared" si="8"/>
        <v>72</v>
      </c>
      <c r="AP52">
        <f t="shared" si="8"/>
        <v>74</v>
      </c>
      <c r="AQ52">
        <f t="shared" si="8"/>
        <v>76</v>
      </c>
      <c r="AR52">
        <f t="shared" si="8"/>
        <v>78</v>
      </c>
      <c r="AS52">
        <f t="shared" si="8"/>
        <v>80</v>
      </c>
      <c r="AT52">
        <f t="shared" si="8"/>
        <v>82</v>
      </c>
      <c r="AU52">
        <f t="shared" si="8"/>
        <v>84</v>
      </c>
      <c r="AV52">
        <f t="shared" si="8"/>
        <v>86</v>
      </c>
      <c r="AW52">
        <f t="shared" si="8"/>
        <v>88</v>
      </c>
      <c r="AX52">
        <f t="shared" si="8"/>
        <v>90</v>
      </c>
      <c r="AY52">
        <f t="shared" si="8"/>
        <v>92</v>
      </c>
    </row>
    <row r="53" spans="1:51" ht="12.75">
      <c r="A53">
        <v>81</v>
      </c>
      <c r="B53">
        <f t="shared" si="5"/>
        <v>24</v>
      </c>
      <c r="C53">
        <f t="shared" si="5"/>
        <v>26</v>
      </c>
      <c r="D53">
        <f t="shared" si="5"/>
        <v>28</v>
      </c>
      <c r="E53">
        <f t="shared" si="5"/>
        <v>30</v>
      </c>
      <c r="F53">
        <f t="shared" si="5"/>
        <v>32</v>
      </c>
      <c r="G53">
        <f t="shared" si="5"/>
        <v>34</v>
      </c>
      <c r="H53">
        <f t="shared" si="5"/>
        <v>36</v>
      </c>
      <c r="I53">
        <f t="shared" si="5"/>
        <v>38</v>
      </c>
      <c r="J53">
        <f t="shared" si="5"/>
        <v>40</v>
      </c>
      <c r="K53">
        <f t="shared" si="5"/>
        <v>42</v>
      </c>
      <c r="L53">
        <f t="shared" si="5"/>
        <v>44</v>
      </c>
      <c r="N53">
        <v>81</v>
      </c>
      <c r="O53">
        <f t="shared" si="6"/>
        <v>41</v>
      </c>
      <c r="P53">
        <f t="shared" si="6"/>
        <v>43</v>
      </c>
      <c r="Q53">
        <f t="shared" si="6"/>
        <v>45</v>
      </c>
      <c r="R53">
        <f t="shared" si="6"/>
        <v>47</v>
      </c>
      <c r="S53">
        <f t="shared" si="6"/>
        <v>49</v>
      </c>
      <c r="T53">
        <f t="shared" si="6"/>
        <v>51</v>
      </c>
      <c r="U53">
        <f t="shared" si="6"/>
        <v>53</v>
      </c>
      <c r="V53">
        <f t="shared" si="6"/>
        <v>55</v>
      </c>
      <c r="W53">
        <f t="shared" si="6"/>
        <v>57</v>
      </c>
      <c r="X53">
        <f t="shared" si="6"/>
        <v>59</v>
      </c>
      <c r="Y53">
        <f t="shared" si="6"/>
        <v>61</v>
      </c>
      <c r="AA53">
        <v>81</v>
      </c>
      <c r="AB53">
        <f t="shared" si="7"/>
        <v>57</v>
      </c>
      <c r="AC53">
        <f t="shared" si="7"/>
        <v>59</v>
      </c>
      <c r="AD53">
        <f t="shared" si="7"/>
        <v>61</v>
      </c>
      <c r="AE53">
        <f t="shared" si="7"/>
        <v>63</v>
      </c>
      <c r="AF53">
        <f t="shared" si="7"/>
        <v>65</v>
      </c>
      <c r="AG53">
        <f t="shared" si="7"/>
        <v>67</v>
      </c>
      <c r="AH53">
        <f t="shared" si="7"/>
        <v>69</v>
      </c>
      <c r="AI53">
        <f t="shared" si="7"/>
        <v>71</v>
      </c>
      <c r="AJ53">
        <f t="shared" si="7"/>
        <v>73</v>
      </c>
      <c r="AK53">
        <f t="shared" si="7"/>
        <v>75</v>
      </c>
      <c r="AL53">
        <f t="shared" si="7"/>
        <v>77</v>
      </c>
      <c r="AN53">
        <v>81</v>
      </c>
      <c r="AO53">
        <f t="shared" si="8"/>
        <v>73</v>
      </c>
      <c r="AP53">
        <f t="shared" si="8"/>
        <v>75</v>
      </c>
      <c r="AQ53">
        <f t="shared" si="8"/>
        <v>77</v>
      </c>
      <c r="AR53">
        <f t="shared" si="8"/>
        <v>79</v>
      </c>
      <c r="AS53">
        <f t="shared" si="8"/>
        <v>81</v>
      </c>
      <c r="AT53">
        <f t="shared" si="8"/>
        <v>83</v>
      </c>
      <c r="AU53">
        <f t="shared" si="8"/>
        <v>85</v>
      </c>
      <c r="AV53">
        <f t="shared" si="8"/>
        <v>87</v>
      </c>
      <c r="AW53">
        <f t="shared" si="8"/>
        <v>89</v>
      </c>
      <c r="AX53">
        <f t="shared" si="8"/>
        <v>91</v>
      </c>
      <c r="AY53">
        <f t="shared" si="8"/>
        <v>93</v>
      </c>
    </row>
    <row r="54" spans="1:51" ht="12.75">
      <c r="A54">
        <v>82</v>
      </c>
      <c r="B54">
        <f t="shared" si="5"/>
        <v>25</v>
      </c>
      <c r="C54">
        <f t="shared" si="5"/>
        <v>27</v>
      </c>
      <c r="D54">
        <f t="shared" si="5"/>
        <v>29</v>
      </c>
      <c r="E54">
        <f t="shared" si="5"/>
        <v>31</v>
      </c>
      <c r="F54">
        <f t="shared" si="5"/>
        <v>33</v>
      </c>
      <c r="G54">
        <f t="shared" si="5"/>
        <v>35</v>
      </c>
      <c r="H54">
        <f t="shared" si="5"/>
        <v>37</v>
      </c>
      <c r="I54">
        <f t="shared" si="5"/>
        <v>39</v>
      </c>
      <c r="J54">
        <f t="shared" si="5"/>
        <v>41</v>
      </c>
      <c r="K54">
        <f t="shared" si="5"/>
        <v>43</v>
      </c>
      <c r="L54">
        <f t="shared" si="5"/>
        <v>45</v>
      </c>
      <c r="N54">
        <v>82</v>
      </c>
      <c r="O54">
        <f t="shared" si="6"/>
        <v>41</v>
      </c>
      <c r="P54">
        <f t="shared" si="6"/>
        <v>43</v>
      </c>
      <c r="Q54">
        <f t="shared" si="6"/>
        <v>45</v>
      </c>
      <c r="R54">
        <f t="shared" si="6"/>
        <v>47</v>
      </c>
      <c r="S54">
        <f t="shared" si="6"/>
        <v>49</v>
      </c>
      <c r="T54">
        <f t="shared" si="6"/>
        <v>51</v>
      </c>
      <c r="U54">
        <f t="shared" si="6"/>
        <v>53</v>
      </c>
      <c r="V54">
        <f t="shared" si="6"/>
        <v>55</v>
      </c>
      <c r="W54">
        <f t="shared" si="6"/>
        <v>57</v>
      </c>
      <c r="X54">
        <f t="shared" si="6"/>
        <v>59</v>
      </c>
      <c r="Y54">
        <f t="shared" si="6"/>
        <v>61</v>
      </c>
      <c r="AA54">
        <v>82</v>
      </c>
      <c r="AB54">
        <f t="shared" si="7"/>
        <v>57</v>
      </c>
      <c r="AC54">
        <f t="shared" si="7"/>
        <v>59</v>
      </c>
      <c r="AD54">
        <f t="shared" si="7"/>
        <v>61</v>
      </c>
      <c r="AE54">
        <f t="shared" si="7"/>
        <v>63</v>
      </c>
      <c r="AF54">
        <f t="shared" si="7"/>
        <v>65</v>
      </c>
      <c r="AG54">
        <f t="shared" si="7"/>
        <v>67</v>
      </c>
      <c r="AH54">
        <f t="shared" si="7"/>
        <v>69</v>
      </c>
      <c r="AI54">
        <f t="shared" si="7"/>
        <v>71</v>
      </c>
      <c r="AJ54">
        <f t="shared" si="7"/>
        <v>73</v>
      </c>
      <c r="AK54">
        <f t="shared" si="7"/>
        <v>75</v>
      </c>
      <c r="AL54">
        <f t="shared" si="7"/>
        <v>77</v>
      </c>
      <c r="AN54">
        <v>82</v>
      </c>
      <c r="AO54">
        <f t="shared" si="8"/>
        <v>74</v>
      </c>
      <c r="AP54">
        <f t="shared" si="8"/>
        <v>76</v>
      </c>
      <c r="AQ54">
        <f t="shared" si="8"/>
        <v>78</v>
      </c>
      <c r="AR54">
        <f t="shared" si="8"/>
        <v>80</v>
      </c>
      <c r="AS54">
        <f t="shared" si="8"/>
        <v>82</v>
      </c>
      <c r="AT54">
        <f t="shared" si="8"/>
        <v>84</v>
      </c>
      <c r="AU54">
        <f t="shared" si="8"/>
        <v>86</v>
      </c>
      <c r="AV54">
        <f t="shared" si="8"/>
        <v>88</v>
      </c>
      <c r="AW54">
        <f t="shared" si="8"/>
        <v>90</v>
      </c>
      <c r="AX54">
        <f t="shared" si="8"/>
        <v>92</v>
      </c>
      <c r="AY54">
        <f t="shared" si="8"/>
        <v>94</v>
      </c>
    </row>
    <row r="55" spans="1:51" ht="12.75">
      <c r="A55">
        <v>83</v>
      </c>
      <c r="B55">
        <f t="shared" si="5"/>
        <v>25</v>
      </c>
      <c r="C55">
        <f t="shared" si="5"/>
        <v>27</v>
      </c>
      <c r="D55">
        <f t="shared" si="5"/>
        <v>29</v>
      </c>
      <c r="E55">
        <f t="shared" si="5"/>
        <v>31</v>
      </c>
      <c r="F55">
        <f t="shared" si="5"/>
        <v>33</v>
      </c>
      <c r="G55">
        <f t="shared" si="5"/>
        <v>35</v>
      </c>
      <c r="H55">
        <f t="shared" si="5"/>
        <v>37</v>
      </c>
      <c r="I55">
        <f t="shared" si="5"/>
        <v>39</v>
      </c>
      <c r="J55">
        <f t="shared" si="5"/>
        <v>41</v>
      </c>
      <c r="K55">
        <f t="shared" si="5"/>
        <v>43</v>
      </c>
      <c r="L55">
        <f t="shared" si="5"/>
        <v>45</v>
      </c>
      <c r="N55">
        <v>83</v>
      </c>
      <c r="O55">
        <f t="shared" si="6"/>
        <v>42</v>
      </c>
      <c r="P55">
        <f t="shared" si="6"/>
        <v>44</v>
      </c>
      <c r="Q55">
        <f t="shared" si="6"/>
        <v>46</v>
      </c>
      <c r="R55">
        <f t="shared" si="6"/>
        <v>48</v>
      </c>
      <c r="S55">
        <f t="shared" si="6"/>
        <v>50</v>
      </c>
      <c r="T55">
        <f t="shared" si="6"/>
        <v>52</v>
      </c>
      <c r="U55">
        <f t="shared" si="6"/>
        <v>54</v>
      </c>
      <c r="V55">
        <f t="shared" si="6"/>
        <v>56</v>
      </c>
      <c r="W55">
        <f t="shared" si="6"/>
        <v>58</v>
      </c>
      <c r="X55">
        <f t="shared" si="6"/>
        <v>60</v>
      </c>
      <c r="Y55">
        <f t="shared" si="6"/>
        <v>62</v>
      </c>
      <c r="AA55">
        <v>83</v>
      </c>
      <c r="AB55">
        <f t="shared" si="7"/>
        <v>58</v>
      </c>
      <c r="AC55">
        <f t="shared" si="7"/>
        <v>60</v>
      </c>
      <c r="AD55">
        <f t="shared" si="7"/>
        <v>62</v>
      </c>
      <c r="AE55">
        <f t="shared" si="7"/>
        <v>64</v>
      </c>
      <c r="AF55">
        <f t="shared" si="7"/>
        <v>66</v>
      </c>
      <c r="AG55">
        <f t="shared" si="7"/>
        <v>68</v>
      </c>
      <c r="AH55">
        <f t="shared" si="7"/>
        <v>70</v>
      </c>
      <c r="AI55">
        <f t="shared" si="7"/>
        <v>72</v>
      </c>
      <c r="AJ55">
        <f t="shared" si="7"/>
        <v>74</v>
      </c>
      <c r="AK55">
        <f t="shared" si="7"/>
        <v>76</v>
      </c>
      <c r="AL55">
        <f t="shared" si="7"/>
        <v>78</v>
      </c>
      <c r="AN55">
        <v>83</v>
      </c>
      <c r="AO55">
        <f t="shared" si="8"/>
        <v>75</v>
      </c>
      <c r="AP55">
        <f t="shared" si="8"/>
        <v>77</v>
      </c>
      <c r="AQ55">
        <f t="shared" si="8"/>
        <v>79</v>
      </c>
      <c r="AR55">
        <f t="shared" si="8"/>
        <v>81</v>
      </c>
      <c r="AS55">
        <f t="shared" si="8"/>
        <v>83</v>
      </c>
      <c r="AT55">
        <f t="shared" si="8"/>
        <v>85</v>
      </c>
      <c r="AU55">
        <f t="shared" si="8"/>
        <v>87</v>
      </c>
      <c r="AV55">
        <f t="shared" si="8"/>
        <v>89</v>
      </c>
      <c r="AW55">
        <f t="shared" si="8"/>
        <v>91</v>
      </c>
      <c r="AX55">
        <f t="shared" si="8"/>
        <v>93</v>
      </c>
      <c r="AY55">
        <f t="shared" si="8"/>
        <v>95</v>
      </c>
    </row>
    <row r="56" spans="1:51" ht="12.75">
      <c r="A56">
        <v>84</v>
      </c>
      <c r="B56">
        <f t="shared" si="5"/>
        <v>25</v>
      </c>
      <c r="C56">
        <f t="shared" si="5"/>
        <v>27</v>
      </c>
      <c r="D56">
        <f t="shared" si="5"/>
        <v>29</v>
      </c>
      <c r="E56">
        <f t="shared" si="5"/>
        <v>31</v>
      </c>
      <c r="F56">
        <f t="shared" si="5"/>
        <v>33</v>
      </c>
      <c r="G56">
        <f t="shared" si="5"/>
        <v>35</v>
      </c>
      <c r="H56">
        <f t="shared" si="5"/>
        <v>37</v>
      </c>
      <c r="I56">
        <f t="shared" si="5"/>
        <v>39</v>
      </c>
      <c r="J56">
        <f t="shared" si="5"/>
        <v>41</v>
      </c>
      <c r="K56">
        <f t="shared" si="5"/>
        <v>43</v>
      </c>
      <c r="L56">
        <f t="shared" si="5"/>
        <v>45</v>
      </c>
      <c r="N56">
        <v>84</v>
      </c>
      <c r="O56">
        <f t="shared" si="6"/>
        <v>42</v>
      </c>
      <c r="P56">
        <f t="shared" si="6"/>
        <v>44</v>
      </c>
      <c r="Q56">
        <f t="shared" si="6"/>
        <v>46</v>
      </c>
      <c r="R56">
        <f t="shared" si="6"/>
        <v>48</v>
      </c>
      <c r="S56">
        <f t="shared" si="6"/>
        <v>50</v>
      </c>
      <c r="T56">
        <f t="shared" si="6"/>
        <v>52</v>
      </c>
      <c r="U56">
        <f t="shared" si="6"/>
        <v>54</v>
      </c>
      <c r="V56">
        <f t="shared" si="6"/>
        <v>56</v>
      </c>
      <c r="W56">
        <f t="shared" si="6"/>
        <v>58</v>
      </c>
      <c r="X56">
        <f t="shared" si="6"/>
        <v>60</v>
      </c>
      <c r="Y56">
        <f t="shared" si="6"/>
        <v>62</v>
      </c>
      <c r="AA56">
        <v>84</v>
      </c>
      <c r="AB56">
        <f t="shared" si="7"/>
        <v>59</v>
      </c>
      <c r="AC56">
        <f t="shared" si="7"/>
        <v>61</v>
      </c>
      <c r="AD56">
        <f t="shared" si="7"/>
        <v>63</v>
      </c>
      <c r="AE56">
        <f t="shared" si="7"/>
        <v>65</v>
      </c>
      <c r="AF56">
        <f t="shared" si="7"/>
        <v>67</v>
      </c>
      <c r="AG56">
        <f t="shared" si="7"/>
        <v>69</v>
      </c>
      <c r="AH56">
        <f t="shared" si="7"/>
        <v>71</v>
      </c>
      <c r="AI56">
        <f t="shared" si="7"/>
        <v>73</v>
      </c>
      <c r="AJ56">
        <f t="shared" si="7"/>
        <v>75</v>
      </c>
      <c r="AK56">
        <f t="shared" si="7"/>
        <v>77</v>
      </c>
      <c r="AL56">
        <f t="shared" si="7"/>
        <v>79</v>
      </c>
      <c r="AN56">
        <v>84</v>
      </c>
      <c r="AO56">
        <f t="shared" si="8"/>
        <v>76</v>
      </c>
      <c r="AP56">
        <f t="shared" si="8"/>
        <v>78</v>
      </c>
      <c r="AQ56">
        <f t="shared" si="8"/>
        <v>80</v>
      </c>
      <c r="AR56">
        <f t="shared" si="8"/>
        <v>82</v>
      </c>
      <c r="AS56">
        <f t="shared" si="8"/>
        <v>84</v>
      </c>
      <c r="AT56">
        <f t="shared" si="8"/>
        <v>86</v>
      </c>
      <c r="AU56">
        <f t="shared" si="8"/>
        <v>88</v>
      </c>
      <c r="AV56">
        <f t="shared" si="8"/>
        <v>90</v>
      </c>
      <c r="AW56">
        <f t="shared" si="8"/>
        <v>92</v>
      </c>
      <c r="AX56">
        <f t="shared" si="8"/>
        <v>94</v>
      </c>
      <c r="AY56">
        <f t="shared" si="8"/>
        <v>96</v>
      </c>
    </row>
    <row r="57" spans="1:51" ht="12.75">
      <c r="A57">
        <v>85</v>
      </c>
      <c r="B57">
        <f aca="true" t="shared" si="9" ref="B57:L66">ROUND(($A57*0.3)+(B$3*2),0)</f>
        <v>26</v>
      </c>
      <c r="C57">
        <f t="shared" si="9"/>
        <v>28</v>
      </c>
      <c r="D57">
        <f t="shared" si="9"/>
        <v>30</v>
      </c>
      <c r="E57">
        <f t="shared" si="9"/>
        <v>32</v>
      </c>
      <c r="F57">
        <f t="shared" si="9"/>
        <v>34</v>
      </c>
      <c r="G57">
        <f t="shared" si="9"/>
        <v>36</v>
      </c>
      <c r="H57">
        <f t="shared" si="9"/>
        <v>38</v>
      </c>
      <c r="I57">
        <f t="shared" si="9"/>
        <v>40</v>
      </c>
      <c r="J57">
        <f t="shared" si="9"/>
        <v>42</v>
      </c>
      <c r="K57">
        <f t="shared" si="9"/>
        <v>44</v>
      </c>
      <c r="L57">
        <f t="shared" si="9"/>
        <v>46</v>
      </c>
      <c r="N57">
        <v>85</v>
      </c>
      <c r="O57">
        <f aca="true" t="shared" si="10" ref="O57:Y66">ROUND(($N57*0.5)+(O$3*2),0)</f>
        <v>43</v>
      </c>
      <c r="P57">
        <f t="shared" si="10"/>
        <v>45</v>
      </c>
      <c r="Q57">
        <f t="shared" si="10"/>
        <v>47</v>
      </c>
      <c r="R57">
        <f t="shared" si="10"/>
        <v>49</v>
      </c>
      <c r="S57">
        <f t="shared" si="10"/>
        <v>51</v>
      </c>
      <c r="T57">
        <f t="shared" si="10"/>
        <v>53</v>
      </c>
      <c r="U57">
        <f t="shared" si="10"/>
        <v>55</v>
      </c>
      <c r="V57">
        <f t="shared" si="10"/>
        <v>57</v>
      </c>
      <c r="W57">
        <f t="shared" si="10"/>
        <v>59</v>
      </c>
      <c r="X57">
        <f t="shared" si="10"/>
        <v>61</v>
      </c>
      <c r="Y57">
        <f t="shared" si="10"/>
        <v>63</v>
      </c>
      <c r="AA57">
        <v>85</v>
      </c>
      <c r="AB57">
        <f aca="true" t="shared" si="11" ref="AB57:AL66">ROUND(($AA57*0.7)+(AB$3*2),0)</f>
        <v>60</v>
      </c>
      <c r="AC57">
        <f t="shared" si="11"/>
        <v>62</v>
      </c>
      <c r="AD57">
        <f t="shared" si="11"/>
        <v>64</v>
      </c>
      <c r="AE57">
        <f t="shared" si="11"/>
        <v>66</v>
      </c>
      <c r="AF57">
        <f t="shared" si="11"/>
        <v>68</v>
      </c>
      <c r="AG57">
        <f t="shared" si="11"/>
        <v>70</v>
      </c>
      <c r="AH57">
        <f t="shared" si="11"/>
        <v>72</v>
      </c>
      <c r="AI57">
        <f t="shared" si="11"/>
        <v>74</v>
      </c>
      <c r="AJ57">
        <f t="shared" si="11"/>
        <v>76</v>
      </c>
      <c r="AK57">
        <f t="shared" si="11"/>
        <v>78</v>
      </c>
      <c r="AL57">
        <f t="shared" si="11"/>
        <v>80</v>
      </c>
      <c r="AN57">
        <v>85</v>
      </c>
      <c r="AO57">
        <f aca="true" t="shared" si="12" ref="AO57:AY66">ROUND(($AN57*0.9)+(AO$3*2),0)</f>
        <v>77</v>
      </c>
      <c r="AP57">
        <f t="shared" si="12"/>
        <v>79</v>
      </c>
      <c r="AQ57">
        <f t="shared" si="12"/>
        <v>81</v>
      </c>
      <c r="AR57">
        <f t="shared" si="12"/>
        <v>83</v>
      </c>
      <c r="AS57">
        <f t="shared" si="12"/>
        <v>85</v>
      </c>
      <c r="AT57">
        <f t="shared" si="12"/>
        <v>87</v>
      </c>
      <c r="AU57">
        <f t="shared" si="12"/>
        <v>89</v>
      </c>
      <c r="AV57">
        <f t="shared" si="12"/>
        <v>91</v>
      </c>
      <c r="AW57">
        <f t="shared" si="12"/>
        <v>93</v>
      </c>
      <c r="AX57">
        <f t="shared" si="12"/>
        <v>95</v>
      </c>
      <c r="AY57">
        <f t="shared" si="12"/>
        <v>97</v>
      </c>
    </row>
    <row r="58" spans="1:51" ht="12.75">
      <c r="A58">
        <v>86</v>
      </c>
      <c r="B58">
        <f t="shared" si="9"/>
        <v>26</v>
      </c>
      <c r="C58">
        <f t="shared" si="9"/>
        <v>28</v>
      </c>
      <c r="D58">
        <f t="shared" si="9"/>
        <v>30</v>
      </c>
      <c r="E58">
        <f t="shared" si="9"/>
        <v>32</v>
      </c>
      <c r="F58">
        <f t="shared" si="9"/>
        <v>34</v>
      </c>
      <c r="G58">
        <f t="shared" si="9"/>
        <v>36</v>
      </c>
      <c r="H58">
        <f t="shared" si="9"/>
        <v>38</v>
      </c>
      <c r="I58">
        <f t="shared" si="9"/>
        <v>40</v>
      </c>
      <c r="J58">
        <f t="shared" si="9"/>
        <v>42</v>
      </c>
      <c r="K58">
        <f t="shared" si="9"/>
        <v>44</v>
      </c>
      <c r="L58">
        <f t="shared" si="9"/>
        <v>46</v>
      </c>
      <c r="N58">
        <v>86</v>
      </c>
      <c r="O58">
        <f t="shared" si="10"/>
        <v>43</v>
      </c>
      <c r="P58">
        <f t="shared" si="10"/>
        <v>45</v>
      </c>
      <c r="Q58">
        <f t="shared" si="10"/>
        <v>47</v>
      </c>
      <c r="R58">
        <f t="shared" si="10"/>
        <v>49</v>
      </c>
      <c r="S58">
        <f t="shared" si="10"/>
        <v>51</v>
      </c>
      <c r="T58">
        <f t="shared" si="10"/>
        <v>53</v>
      </c>
      <c r="U58">
        <f t="shared" si="10"/>
        <v>55</v>
      </c>
      <c r="V58">
        <f t="shared" si="10"/>
        <v>57</v>
      </c>
      <c r="W58">
        <f t="shared" si="10"/>
        <v>59</v>
      </c>
      <c r="X58">
        <f t="shared" si="10"/>
        <v>61</v>
      </c>
      <c r="Y58">
        <f t="shared" si="10"/>
        <v>63</v>
      </c>
      <c r="AA58">
        <v>86</v>
      </c>
      <c r="AB58">
        <f t="shared" si="11"/>
        <v>60</v>
      </c>
      <c r="AC58">
        <f t="shared" si="11"/>
        <v>62</v>
      </c>
      <c r="AD58">
        <f t="shared" si="11"/>
        <v>64</v>
      </c>
      <c r="AE58">
        <f t="shared" si="11"/>
        <v>66</v>
      </c>
      <c r="AF58">
        <f t="shared" si="11"/>
        <v>68</v>
      </c>
      <c r="AG58">
        <f t="shared" si="11"/>
        <v>70</v>
      </c>
      <c r="AH58">
        <f t="shared" si="11"/>
        <v>72</v>
      </c>
      <c r="AI58">
        <f t="shared" si="11"/>
        <v>74</v>
      </c>
      <c r="AJ58">
        <f t="shared" si="11"/>
        <v>76</v>
      </c>
      <c r="AK58">
        <f t="shared" si="11"/>
        <v>78</v>
      </c>
      <c r="AL58">
        <f t="shared" si="11"/>
        <v>80</v>
      </c>
      <c r="AN58">
        <v>86</v>
      </c>
      <c r="AO58">
        <f t="shared" si="12"/>
        <v>77</v>
      </c>
      <c r="AP58">
        <f t="shared" si="12"/>
        <v>79</v>
      </c>
      <c r="AQ58">
        <f t="shared" si="12"/>
        <v>81</v>
      </c>
      <c r="AR58">
        <f t="shared" si="12"/>
        <v>83</v>
      </c>
      <c r="AS58">
        <f t="shared" si="12"/>
        <v>85</v>
      </c>
      <c r="AT58">
        <f t="shared" si="12"/>
        <v>87</v>
      </c>
      <c r="AU58">
        <f t="shared" si="12"/>
        <v>89</v>
      </c>
      <c r="AV58">
        <f t="shared" si="12"/>
        <v>91</v>
      </c>
      <c r="AW58">
        <f t="shared" si="12"/>
        <v>93</v>
      </c>
      <c r="AX58">
        <f t="shared" si="12"/>
        <v>95</v>
      </c>
      <c r="AY58">
        <f t="shared" si="12"/>
        <v>97</v>
      </c>
    </row>
    <row r="59" spans="1:51" ht="12.75">
      <c r="A59">
        <v>87</v>
      </c>
      <c r="B59">
        <f t="shared" si="9"/>
        <v>26</v>
      </c>
      <c r="C59">
        <f t="shared" si="9"/>
        <v>28</v>
      </c>
      <c r="D59">
        <f t="shared" si="9"/>
        <v>30</v>
      </c>
      <c r="E59">
        <f t="shared" si="9"/>
        <v>32</v>
      </c>
      <c r="F59">
        <f t="shared" si="9"/>
        <v>34</v>
      </c>
      <c r="G59">
        <f t="shared" si="9"/>
        <v>36</v>
      </c>
      <c r="H59">
        <f t="shared" si="9"/>
        <v>38</v>
      </c>
      <c r="I59">
        <f t="shared" si="9"/>
        <v>40</v>
      </c>
      <c r="J59">
        <f t="shared" si="9"/>
        <v>42</v>
      </c>
      <c r="K59">
        <f t="shared" si="9"/>
        <v>44</v>
      </c>
      <c r="L59">
        <f t="shared" si="9"/>
        <v>46</v>
      </c>
      <c r="N59">
        <v>87</v>
      </c>
      <c r="O59">
        <f t="shared" si="10"/>
        <v>44</v>
      </c>
      <c r="P59">
        <f t="shared" si="10"/>
        <v>46</v>
      </c>
      <c r="Q59">
        <f t="shared" si="10"/>
        <v>48</v>
      </c>
      <c r="R59">
        <f t="shared" si="10"/>
        <v>50</v>
      </c>
      <c r="S59">
        <f t="shared" si="10"/>
        <v>52</v>
      </c>
      <c r="T59">
        <f t="shared" si="10"/>
        <v>54</v>
      </c>
      <c r="U59">
        <f t="shared" si="10"/>
        <v>56</v>
      </c>
      <c r="V59">
        <f t="shared" si="10"/>
        <v>58</v>
      </c>
      <c r="W59">
        <f t="shared" si="10"/>
        <v>60</v>
      </c>
      <c r="X59">
        <f t="shared" si="10"/>
        <v>62</v>
      </c>
      <c r="Y59">
        <f t="shared" si="10"/>
        <v>64</v>
      </c>
      <c r="AA59">
        <v>87</v>
      </c>
      <c r="AB59">
        <f t="shared" si="11"/>
        <v>61</v>
      </c>
      <c r="AC59">
        <f t="shared" si="11"/>
        <v>63</v>
      </c>
      <c r="AD59">
        <f t="shared" si="11"/>
        <v>65</v>
      </c>
      <c r="AE59">
        <f t="shared" si="11"/>
        <v>67</v>
      </c>
      <c r="AF59">
        <f t="shared" si="11"/>
        <v>69</v>
      </c>
      <c r="AG59">
        <f t="shared" si="11"/>
        <v>71</v>
      </c>
      <c r="AH59">
        <f t="shared" si="11"/>
        <v>73</v>
      </c>
      <c r="AI59">
        <f t="shared" si="11"/>
        <v>75</v>
      </c>
      <c r="AJ59">
        <f t="shared" si="11"/>
        <v>77</v>
      </c>
      <c r="AK59">
        <f t="shared" si="11"/>
        <v>79</v>
      </c>
      <c r="AL59">
        <f t="shared" si="11"/>
        <v>81</v>
      </c>
      <c r="AN59">
        <v>87</v>
      </c>
      <c r="AO59">
        <f t="shared" si="12"/>
        <v>78</v>
      </c>
      <c r="AP59">
        <f t="shared" si="12"/>
        <v>80</v>
      </c>
      <c r="AQ59">
        <f t="shared" si="12"/>
        <v>82</v>
      </c>
      <c r="AR59">
        <f t="shared" si="12"/>
        <v>84</v>
      </c>
      <c r="AS59">
        <f t="shared" si="12"/>
        <v>86</v>
      </c>
      <c r="AT59">
        <f t="shared" si="12"/>
        <v>88</v>
      </c>
      <c r="AU59">
        <f t="shared" si="12"/>
        <v>90</v>
      </c>
      <c r="AV59">
        <f t="shared" si="12"/>
        <v>92</v>
      </c>
      <c r="AW59">
        <f t="shared" si="12"/>
        <v>94</v>
      </c>
      <c r="AX59">
        <f t="shared" si="12"/>
        <v>96</v>
      </c>
      <c r="AY59">
        <f t="shared" si="12"/>
        <v>98</v>
      </c>
    </row>
    <row r="60" spans="1:51" ht="12.75">
      <c r="A60">
        <v>88</v>
      </c>
      <c r="B60">
        <f t="shared" si="9"/>
        <v>26</v>
      </c>
      <c r="C60">
        <f t="shared" si="9"/>
        <v>28</v>
      </c>
      <c r="D60">
        <f t="shared" si="9"/>
        <v>30</v>
      </c>
      <c r="E60">
        <f t="shared" si="9"/>
        <v>32</v>
      </c>
      <c r="F60">
        <f t="shared" si="9"/>
        <v>34</v>
      </c>
      <c r="G60">
        <f t="shared" si="9"/>
        <v>36</v>
      </c>
      <c r="H60">
        <f t="shared" si="9"/>
        <v>38</v>
      </c>
      <c r="I60">
        <f t="shared" si="9"/>
        <v>40</v>
      </c>
      <c r="J60">
        <f t="shared" si="9"/>
        <v>42</v>
      </c>
      <c r="K60">
        <f t="shared" si="9"/>
        <v>44</v>
      </c>
      <c r="L60">
        <f t="shared" si="9"/>
        <v>46</v>
      </c>
      <c r="N60">
        <v>88</v>
      </c>
      <c r="O60">
        <f t="shared" si="10"/>
        <v>44</v>
      </c>
      <c r="P60">
        <f t="shared" si="10"/>
        <v>46</v>
      </c>
      <c r="Q60">
        <f t="shared" si="10"/>
        <v>48</v>
      </c>
      <c r="R60">
        <f t="shared" si="10"/>
        <v>50</v>
      </c>
      <c r="S60">
        <f t="shared" si="10"/>
        <v>52</v>
      </c>
      <c r="T60">
        <f t="shared" si="10"/>
        <v>54</v>
      </c>
      <c r="U60">
        <f t="shared" si="10"/>
        <v>56</v>
      </c>
      <c r="V60">
        <f t="shared" si="10"/>
        <v>58</v>
      </c>
      <c r="W60">
        <f t="shared" si="10"/>
        <v>60</v>
      </c>
      <c r="X60">
        <f t="shared" si="10"/>
        <v>62</v>
      </c>
      <c r="Y60">
        <f t="shared" si="10"/>
        <v>64</v>
      </c>
      <c r="AA60">
        <v>88</v>
      </c>
      <c r="AB60">
        <f t="shared" si="11"/>
        <v>62</v>
      </c>
      <c r="AC60">
        <f t="shared" si="11"/>
        <v>64</v>
      </c>
      <c r="AD60">
        <f t="shared" si="11"/>
        <v>66</v>
      </c>
      <c r="AE60">
        <f t="shared" si="11"/>
        <v>68</v>
      </c>
      <c r="AF60">
        <f t="shared" si="11"/>
        <v>70</v>
      </c>
      <c r="AG60">
        <f t="shared" si="11"/>
        <v>72</v>
      </c>
      <c r="AH60">
        <f t="shared" si="11"/>
        <v>74</v>
      </c>
      <c r="AI60">
        <f t="shared" si="11"/>
        <v>76</v>
      </c>
      <c r="AJ60">
        <f t="shared" si="11"/>
        <v>78</v>
      </c>
      <c r="AK60">
        <f t="shared" si="11"/>
        <v>80</v>
      </c>
      <c r="AL60">
        <f t="shared" si="11"/>
        <v>82</v>
      </c>
      <c r="AN60">
        <v>88</v>
      </c>
      <c r="AO60">
        <f t="shared" si="12"/>
        <v>79</v>
      </c>
      <c r="AP60">
        <f t="shared" si="12"/>
        <v>81</v>
      </c>
      <c r="AQ60">
        <f t="shared" si="12"/>
        <v>83</v>
      </c>
      <c r="AR60">
        <f t="shared" si="12"/>
        <v>85</v>
      </c>
      <c r="AS60">
        <f t="shared" si="12"/>
        <v>87</v>
      </c>
      <c r="AT60">
        <f t="shared" si="12"/>
        <v>89</v>
      </c>
      <c r="AU60">
        <f t="shared" si="12"/>
        <v>91</v>
      </c>
      <c r="AV60">
        <f t="shared" si="12"/>
        <v>93</v>
      </c>
      <c r="AW60">
        <f t="shared" si="12"/>
        <v>95</v>
      </c>
      <c r="AX60">
        <f t="shared" si="12"/>
        <v>97</v>
      </c>
      <c r="AY60">
        <f t="shared" si="12"/>
        <v>99</v>
      </c>
    </row>
    <row r="61" spans="1:51" ht="12.75">
      <c r="A61">
        <v>89</v>
      </c>
      <c r="B61">
        <f t="shared" si="9"/>
        <v>27</v>
      </c>
      <c r="C61">
        <f t="shared" si="9"/>
        <v>29</v>
      </c>
      <c r="D61">
        <f t="shared" si="9"/>
        <v>31</v>
      </c>
      <c r="E61">
        <f t="shared" si="9"/>
        <v>33</v>
      </c>
      <c r="F61">
        <f t="shared" si="9"/>
        <v>35</v>
      </c>
      <c r="G61">
        <f t="shared" si="9"/>
        <v>37</v>
      </c>
      <c r="H61">
        <f t="shared" si="9"/>
        <v>39</v>
      </c>
      <c r="I61">
        <f t="shared" si="9"/>
        <v>41</v>
      </c>
      <c r="J61">
        <f t="shared" si="9"/>
        <v>43</v>
      </c>
      <c r="K61">
        <f t="shared" si="9"/>
        <v>45</v>
      </c>
      <c r="L61">
        <f t="shared" si="9"/>
        <v>47</v>
      </c>
      <c r="N61">
        <v>89</v>
      </c>
      <c r="O61">
        <f t="shared" si="10"/>
        <v>45</v>
      </c>
      <c r="P61">
        <f t="shared" si="10"/>
        <v>47</v>
      </c>
      <c r="Q61">
        <f t="shared" si="10"/>
        <v>49</v>
      </c>
      <c r="R61">
        <f t="shared" si="10"/>
        <v>51</v>
      </c>
      <c r="S61">
        <f t="shared" si="10"/>
        <v>53</v>
      </c>
      <c r="T61">
        <f t="shared" si="10"/>
        <v>55</v>
      </c>
      <c r="U61">
        <f t="shared" si="10"/>
        <v>57</v>
      </c>
      <c r="V61">
        <f t="shared" si="10"/>
        <v>59</v>
      </c>
      <c r="W61">
        <f t="shared" si="10"/>
        <v>61</v>
      </c>
      <c r="X61">
        <f t="shared" si="10"/>
        <v>63</v>
      </c>
      <c r="Y61">
        <f t="shared" si="10"/>
        <v>65</v>
      </c>
      <c r="AA61">
        <v>89</v>
      </c>
      <c r="AB61">
        <f t="shared" si="11"/>
        <v>62</v>
      </c>
      <c r="AC61">
        <f t="shared" si="11"/>
        <v>64</v>
      </c>
      <c r="AD61">
        <f t="shared" si="11"/>
        <v>66</v>
      </c>
      <c r="AE61">
        <f t="shared" si="11"/>
        <v>68</v>
      </c>
      <c r="AF61">
        <f t="shared" si="11"/>
        <v>70</v>
      </c>
      <c r="AG61">
        <f t="shared" si="11"/>
        <v>72</v>
      </c>
      <c r="AH61">
        <f t="shared" si="11"/>
        <v>74</v>
      </c>
      <c r="AI61">
        <f t="shared" si="11"/>
        <v>76</v>
      </c>
      <c r="AJ61">
        <f t="shared" si="11"/>
        <v>78</v>
      </c>
      <c r="AK61">
        <f t="shared" si="11"/>
        <v>80</v>
      </c>
      <c r="AL61">
        <f t="shared" si="11"/>
        <v>82</v>
      </c>
      <c r="AN61">
        <v>89</v>
      </c>
      <c r="AO61">
        <f t="shared" si="12"/>
        <v>80</v>
      </c>
      <c r="AP61">
        <f t="shared" si="12"/>
        <v>82</v>
      </c>
      <c r="AQ61">
        <f t="shared" si="12"/>
        <v>84</v>
      </c>
      <c r="AR61">
        <f t="shared" si="12"/>
        <v>86</v>
      </c>
      <c r="AS61">
        <f t="shared" si="12"/>
        <v>88</v>
      </c>
      <c r="AT61">
        <f t="shared" si="12"/>
        <v>90</v>
      </c>
      <c r="AU61">
        <f t="shared" si="12"/>
        <v>92</v>
      </c>
      <c r="AV61">
        <f t="shared" si="12"/>
        <v>94</v>
      </c>
      <c r="AW61">
        <f t="shared" si="12"/>
        <v>96</v>
      </c>
      <c r="AX61">
        <f t="shared" si="12"/>
        <v>98</v>
      </c>
      <c r="AY61">
        <f t="shared" si="12"/>
        <v>100</v>
      </c>
    </row>
    <row r="62" spans="1:51" ht="12.75">
      <c r="A62">
        <v>90</v>
      </c>
      <c r="B62">
        <f t="shared" si="9"/>
        <v>27</v>
      </c>
      <c r="C62">
        <f t="shared" si="9"/>
        <v>29</v>
      </c>
      <c r="D62">
        <f t="shared" si="9"/>
        <v>31</v>
      </c>
      <c r="E62">
        <f t="shared" si="9"/>
        <v>33</v>
      </c>
      <c r="F62">
        <f t="shared" si="9"/>
        <v>35</v>
      </c>
      <c r="G62">
        <f t="shared" si="9"/>
        <v>37</v>
      </c>
      <c r="H62">
        <f t="shared" si="9"/>
        <v>39</v>
      </c>
      <c r="I62">
        <f t="shared" si="9"/>
        <v>41</v>
      </c>
      <c r="J62">
        <f t="shared" si="9"/>
        <v>43</v>
      </c>
      <c r="K62">
        <f t="shared" si="9"/>
        <v>45</v>
      </c>
      <c r="L62">
        <f t="shared" si="9"/>
        <v>47</v>
      </c>
      <c r="N62">
        <v>90</v>
      </c>
      <c r="O62">
        <f t="shared" si="10"/>
        <v>45</v>
      </c>
      <c r="P62">
        <f t="shared" si="10"/>
        <v>47</v>
      </c>
      <c r="Q62">
        <f t="shared" si="10"/>
        <v>49</v>
      </c>
      <c r="R62">
        <f t="shared" si="10"/>
        <v>51</v>
      </c>
      <c r="S62">
        <f t="shared" si="10"/>
        <v>53</v>
      </c>
      <c r="T62">
        <f t="shared" si="10"/>
        <v>55</v>
      </c>
      <c r="U62">
        <f t="shared" si="10"/>
        <v>57</v>
      </c>
      <c r="V62">
        <f t="shared" si="10"/>
        <v>59</v>
      </c>
      <c r="W62">
        <f t="shared" si="10"/>
        <v>61</v>
      </c>
      <c r="X62">
        <f t="shared" si="10"/>
        <v>63</v>
      </c>
      <c r="Y62">
        <f t="shared" si="10"/>
        <v>65</v>
      </c>
      <c r="AA62">
        <v>90</v>
      </c>
      <c r="AB62">
        <f t="shared" si="11"/>
        <v>63</v>
      </c>
      <c r="AC62">
        <f t="shared" si="11"/>
        <v>65</v>
      </c>
      <c r="AD62">
        <f t="shared" si="11"/>
        <v>67</v>
      </c>
      <c r="AE62">
        <f t="shared" si="11"/>
        <v>69</v>
      </c>
      <c r="AF62">
        <f t="shared" si="11"/>
        <v>71</v>
      </c>
      <c r="AG62">
        <f t="shared" si="11"/>
        <v>73</v>
      </c>
      <c r="AH62">
        <f t="shared" si="11"/>
        <v>75</v>
      </c>
      <c r="AI62">
        <f t="shared" si="11"/>
        <v>77</v>
      </c>
      <c r="AJ62">
        <f t="shared" si="11"/>
        <v>79</v>
      </c>
      <c r="AK62">
        <f t="shared" si="11"/>
        <v>81</v>
      </c>
      <c r="AL62">
        <f t="shared" si="11"/>
        <v>83</v>
      </c>
      <c r="AN62">
        <v>90</v>
      </c>
      <c r="AO62">
        <f t="shared" si="12"/>
        <v>81</v>
      </c>
      <c r="AP62">
        <f t="shared" si="12"/>
        <v>83</v>
      </c>
      <c r="AQ62">
        <f t="shared" si="12"/>
        <v>85</v>
      </c>
      <c r="AR62">
        <f t="shared" si="12"/>
        <v>87</v>
      </c>
      <c r="AS62">
        <f t="shared" si="12"/>
        <v>89</v>
      </c>
      <c r="AT62">
        <f t="shared" si="12"/>
        <v>91</v>
      </c>
      <c r="AU62">
        <f t="shared" si="12"/>
        <v>93</v>
      </c>
      <c r="AV62">
        <f t="shared" si="12"/>
        <v>95</v>
      </c>
      <c r="AW62">
        <f t="shared" si="12"/>
        <v>97</v>
      </c>
      <c r="AX62">
        <f t="shared" si="12"/>
        <v>99</v>
      </c>
      <c r="AY62">
        <f t="shared" si="12"/>
        <v>101</v>
      </c>
    </row>
    <row r="63" spans="1:51" ht="12.75">
      <c r="A63">
        <v>91</v>
      </c>
      <c r="B63">
        <f t="shared" si="9"/>
        <v>27</v>
      </c>
      <c r="C63">
        <f t="shared" si="9"/>
        <v>29</v>
      </c>
      <c r="D63">
        <f t="shared" si="9"/>
        <v>31</v>
      </c>
      <c r="E63">
        <f t="shared" si="9"/>
        <v>33</v>
      </c>
      <c r="F63">
        <f t="shared" si="9"/>
        <v>35</v>
      </c>
      <c r="G63">
        <f t="shared" si="9"/>
        <v>37</v>
      </c>
      <c r="H63">
        <f t="shared" si="9"/>
        <v>39</v>
      </c>
      <c r="I63">
        <f t="shared" si="9"/>
        <v>41</v>
      </c>
      <c r="J63">
        <f t="shared" si="9"/>
        <v>43</v>
      </c>
      <c r="K63">
        <f t="shared" si="9"/>
        <v>45</v>
      </c>
      <c r="L63">
        <f t="shared" si="9"/>
        <v>47</v>
      </c>
      <c r="N63">
        <v>91</v>
      </c>
      <c r="O63">
        <f t="shared" si="10"/>
        <v>46</v>
      </c>
      <c r="P63">
        <f t="shared" si="10"/>
        <v>48</v>
      </c>
      <c r="Q63">
        <f t="shared" si="10"/>
        <v>50</v>
      </c>
      <c r="R63">
        <f t="shared" si="10"/>
        <v>52</v>
      </c>
      <c r="S63">
        <f t="shared" si="10"/>
        <v>54</v>
      </c>
      <c r="T63">
        <f t="shared" si="10"/>
        <v>56</v>
      </c>
      <c r="U63">
        <f t="shared" si="10"/>
        <v>58</v>
      </c>
      <c r="V63">
        <f t="shared" si="10"/>
        <v>60</v>
      </c>
      <c r="W63">
        <f t="shared" si="10"/>
        <v>62</v>
      </c>
      <c r="X63">
        <f t="shared" si="10"/>
        <v>64</v>
      </c>
      <c r="Y63">
        <f t="shared" si="10"/>
        <v>66</v>
      </c>
      <c r="AA63">
        <v>91</v>
      </c>
      <c r="AB63">
        <f t="shared" si="11"/>
        <v>64</v>
      </c>
      <c r="AC63">
        <f t="shared" si="11"/>
        <v>66</v>
      </c>
      <c r="AD63">
        <f t="shared" si="11"/>
        <v>68</v>
      </c>
      <c r="AE63">
        <f t="shared" si="11"/>
        <v>70</v>
      </c>
      <c r="AF63">
        <f t="shared" si="11"/>
        <v>72</v>
      </c>
      <c r="AG63">
        <f t="shared" si="11"/>
        <v>74</v>
      </c>
      <c r="AH63">
        <f t="shared" si="11"/>
        <v>76</v>
      </c>
      <c r="AI63">
        <f t="shared" si="11"/>
        <v>78</v>
      </c>
      <c r="AJ63">
        <f t="shared" si="11"/>
        <v>80</v>
      </c>
      <c r="AK63">
        <f t="shared" si="11"/>
        <v>82</v>
      </c>
      <c r="AL63">
        <f t="shared" si="11"/>
        <v>84</v>
      </c>
      <c r="AN63">
        <v>91</v>
      </c>
      <c r="AO63">
        <f t="shared" si="12"/>
        <v>82</v>
      </c>
      <c r="AP63">
        <f t="shared" si="12"/>
        <v>84</v>
      </c>
      <c r="AQ63">
        <f t="shared" si="12"/>
        <v>86</v>
      </c>
      <c r="AR63">
        <f t="shared" si="12"/>
        <v>88</v>
      </c>
      <c r="AS63">
        <f t="shared" si="12"/>
        <v>90</v>
      </c>
      <c r="AT63">
        <f t="shared" si="12"/>
        <v>92</v>
      </c>
      <c r="AU63">
        <f t="shared" si="12"/>
        <v>94</v>
      </c>
      <c r="AV63">
        <f t="shared" si="12"/>
        <v>96</v>
      </c>
      <c r="AW63">
        <f t="shared" si="12"/>
        <v>98</v>
      </c>
      <c r="AX63">
        <f t="shared" si="12"/>
        <v>100</v>
      </c>
      <c r="AY63">
        <f t="shared" si="12"/>
        <v>102</v>
      </c>
    </row>
    <row r="64" spans="1:51" ht="12.75">
      <c r="A64">
        <v>92</v>
      </c>
      <c r="B64">
        <f t="shared" si="9"/>
        <v>28</v>
      </c>
      <c r="C64">
        <f t="shared" si="9"/>
        <v>30</v>
      </c>
      <c r="D64">
        <f t="shared" si="9"/>
        <v>32</v>
      </c>
      <c r="E64">
        <f t="shared" si="9"/>
        <v>34</v>
      </c>
      <c r="F64">
        <f t="shared" si="9"/>
        <v>36</v>
      </c>
      <c r="G64">
        <f t="shared" si="9"/>
        <v>38</v>
      </c>
      <c r="H64">
        <f t="shared" si="9"/>
        <v>40</v>
      </c>
      <c r="I64">
        <f t="shared" si="9"/>
        <v>42</v>
      </c>
      <c r="J64">
        <f t="shared" si="9"/>
        <v>44</v>
      </c>
      <c r="K64">
        <f t="shared" si="9"/>
        <v>46</v>
      </c>
      <c r="L64">
        <f t="shared" si="9"/>
        <v>48</v>
      </c>
      <c r="N64">
        <v>92</v>
      </c>
      <c r="O64">
        <f t="shared" si="10"/>
        <v>46</v>
      </c>
      <c r="P64">
        <f t="shared" si="10"/>
        <v>48</v>
      </c>
      <c r="Q64">
        <f t="shared" si="10"/>
        <v>50</v>
      </c>
      <c r="R64">
        <f t="shared" si="10"/>
        <v>52</v>
      </c>
      <c r="S64">
        <f t="shared" si="10"/>
        <v>54</v>
      </c>
      <c r="T64">
        <f t="shared" si="10"/>
        <v>56</v>
      </c>
      <c r="U64">
        <f t="shared" si="10"/>
        <v>58</v>
      </c>
      <c r="V64">
        <f t="shared" si="10"/>
        <v>60</v>
      </c>
      <c r="W64">
        <f t="shared" si="10"/>
        <v>62</v>
      </c>
      <c r="X64">
        <f t="shared" si="10"/>
        <v>64</v>
      </c>
      <c r="Y64">
        <f t="shared" si="10"/>
        <v>66</v>
      </c>
      <c r="AA64">
        <v>92</v>
      </c>
      <c r="AB64">
        <f t="shared" si="11"/>
        <v>64</v>
      </c>
      <c r="AC64">
        <f t="shared" si="11"/>
        <v>66</v>
      </c>
      <c r="AD64">
        <f t="shared" si="11"/>
        <v>68</v>
      </c>
      <c r="AE64">
        <f t="shared" si="11"/>
        <v>70</v>
      </c>
      <c r="AF64">
        <f t="shared" si="11"/>
        <v>72</v>
      </c>
      <c r="AG64">
        <f t="shared" si="11"/>
        <v>74</v>
      </c>
      <c r="AH64">
        <f t="shared" si="11"/>
        <v>76</v>
      </c>
      <c r="AI64">
        <f t="shared" si="11"/>
        <v>78</v>
      </c>
      <c r="AJ64">
        <f t="shared" si="11"/>
        <v>80</v>
      </c>
      <c r="AK64">
        <f t="shared" si="11"/>
        <v>82</v>
      </c>
      <c r="AL64">
        <f t="shared" si="11"/>
        <v>84</v>
      </c>
      <c r="AN64">
        <v>92</v>
      </c>
      <c r="AO64">
        <f t="shared" si="12"/>
        <v>83</v>
      </c>
      <c r="AP64">
        <f t="shared" si="12"/>
        <v>85</v>
      </c>
      <c r="AQ64">
        <f t="shared" si="12"/>
        <v>87</v>
      </c>
      <c r="AR64">
        <f t="shared" si="12"/>
        <v>89</v>
      </c>
      <c r="AS64">
        <f t="shared" si="12"/>
        <v>91</v>
      </c>
      <c r="AT64">
        <f t="shared" si="12"/>
        <v>93</v>
      </c>
      <c r="AU64">
        <f t="shared" si="12"/>
        <v>95</v>
      </c>
      <c r="AV64">
        <f t="shared" si="12"/>
        <v>97</v>
      </c>
      <c r="AW64">
        <f t="shared" si="12"/>
        <v>99</v>
      </c>
      <c r="AX64">
        <f t="shared" si="12"/>
        <v>101</v>
      </c>
      <c r="AY64">
        <f t="shared" si="12"/>
        <v>103</v>
      </c>
    </row>
    <row r="65" spans="1:51" ht="12.75">
      <c r="A65">
        <v>93</v>
      </c>
      <c r="B65">
        <f t="shared" si="9"/>
        <v>28</v>
      </c>
      <c r="C65">
        <f t="shared" si="9"/>
        <v>30</v>
      </c>
      <c r="D65">
        <f t="shared" si="9"/>
        <v>32</v>
      </c>
      <c r="E65">
        <f t="shared" si="9"/>
        <v>34</v>
      </c>
      <c r="F65">
        <f t="shared" si="9"/>
        <v>36</v>
      </c>
      <c r="G65">
        <f t="shared" si="9"/>
        <v>38</v>
      </c>
      <c r="H65">
        <f t="shared" si="9"/>
        <v>40</v>
      </c>
      <c r="I65">
        <f t="shared" si="9"/>
        <v>42</v>
      </c>
      <c r="J65">
        <f t="shared" si="9"/>
        <v>44</v>
      </c>
      <c r="K65">
        <f t="shared" si="9"/>
        <v>46</v>
      </c>
      <c r="L65">
        <f t="shared" si="9"/>
        <v>48</v>
      </c>
      <c r="N65">
        <v>93</v>
      </c>
      <c r="O65">
        <f t="shared" si="10"/>
        <v>47</v>
      </c>
      <c r="P65">
        <f t="shared" si="10"/>
        <v>49</v>
      </c>
      <c r="Q65">
        <f t="shared" si="10"/>
        <v>51</v>
      </c>
      <c r="R65">
        <f t="shared" si="10"/>
        <v>53</v>
      </c>
      <c r="S65">
        <f t="shared" si="10"/>
        <v>55</v>
      </c>
      <c r="T65">
        <f t="shared" si="10"/>
        <v>57</v>
      </c>
      <c r="U65">
        <f t="shared" si="10"/>
        <v>59</v>
      </c>
      <c r="V65">
        <f t="shared" si="10"/>
        <v>61</v>
      </c>
      <c r="W65">
        <f t="shared" si="10"/>
        <v>63</v>
      </c>
      <c r="X65">
        <f t="shared" si="10"/>
        <v>65</v>
      </c>
      <c r="Y65">
        <f t="shared" si="10"/>
        <v>67</v>
      </c>
      <c r="AA65">
        <v>93</v>
      </c>
      <c r="AB65">
        <f t="shared" si="11"/>
        <v>65</v>
      </c>
      <c r="AC65">
        <f t="shared" si="11"/>
        <v>67</v>
      </c>
      <c r="AD65">
        <f t="shared" si="11"/>
        <v>69</v>
      </c>
      <c r="AE65">
        <f t="shared" si="11"/>
        <v>71</v>
      </c>
      <c r="AF65">
        <f t="shared" si="11"/>
        <v>73</v>
      </c>
      <c r="AG65">
        <f t="shared" si="11"/>
        <v>75</v>
      </c>
      <c r="AH65">
        <f t="shared" si="11"/>
        <v>77</v>
      </c>
      <c r="AI65">
        <f t="shared" si="11"/>
        <v>79</v>
      </c>
      <c r="AJ65">
        <f t="shared" si="11"/>
        <v>81</v>
      </c>
      <c r="AK65">
        <f t="shared" si="11"/>
        <v>83</v>
      </c>
      <c r="AL65">
        <f t="shared" si="11"/>
        <v>85</v>
      </c>
      <c r="AN65">
        <v>93</v>
      </c>
      <c r="AO65">
        <f t="shared" si="12"/>
        <v>84</v>
      </c>
      <c r="AP65">
        <f t="shared" si="12"/>
        <v>86</v>
      </c>
      <c r="AQ65">
        <f t="shared" si="12"/>
        <v>88</v>
      </c>
      <c r="AR65">
        <f t="shared" si="12"/>
        <v>90</v>
      </c>
      <c r="AS65">
        <f t="shared" si="12"/>
        <v>92</v>
      </c>
      <c r="AT65">
        <f t="shared" si="12"/>
        <v>94</v>
      </c>
      <c r="AU65">
        <f t="shared" si="12"/>
        <v>96</v>
      </c>
      <c r="AV65">
        <f t="shared" si="12"/>
        <v>98</v>
      </c>
      <c r="AW65">
        <f t="shared" si="12"/>
        <v>100</v>
      </c>
      <c r="AX65">
        <f t="shared" si="12"/>
        <v>102</v>
      </c>
      <c r="AY65">
        <f t="shared" si="12"/>
        <v>104</v>
      </c>
    </row>
    <row r="66" spans="1:51" ht="12.75">
      <c r="A66">
        <v>94</v>
      </c>
      <c r="B66">
        <f t="shared" si="9"/>
        <v>28</v>
      </c>
      <c r="C66">
        <f t="shared" si="9"/>
        <v>30</v>
      </c>
      <c r="D66">
        <f t="shared" si="9"/>
        <v>32</v>
      </c>
      <c r="E66">
        <f t="shared" si="9"/>
        <v>34</v>
      </c>
      <c r="F66">
        <f t="shared" si="9"/>
        <v>36</v>
      </c>
      <c r="G66">
        <f t="shared" si="9"/>
        <v>38</v>
      </c>
      <c r="H66">
        <f t="shared" si="9"/>
        <v>40</v>
      </c>
      <c r="I66">
        <f t="shared" si="9"/>
        <v>42</v>
      </c>
      <c r="J66">
        <f t="shared" si="9"/>
        <v>44</v>
      </c>
      <c r="K66">
        <f t="shared" si="9"/>
        <v>46</v>
      </c>
      <c r="L66">
        <f t="shared" si="9"/>
        <v>48</v>
      </c>
      <c r="N66">
        <v>94</v>
      </c>
      <c r="O66">
        <f t="shared" si="10"/>
        <v>47</v>
      </c>
      <c r="P66">
        <f t="shared" si="10"/>
        <v>49</v>
      </c>
      <c r="Q66">
        <f t="shared" si="10"/>
        <v>51</v>
      </c>
      <c r="R66">
        <f t="shared" si="10"/>
        <v>53</v>
      </c>
      <c r="S66">
        <f t="shared" si="10"/>
        <v>55</v>
      </c>
      <c r="T66">
        <f t="shared" si="10"/>
        <v>57</v>
      </c>
      <c r="U66">
        <f t="shared" si="10"/>
        <v>59</v>
      </c>
      <c r="V66">
        <f t="shared" si="10"/>
        <v>61</v>
      </c>
      <c r="W66">
        <f t="shared" si="10"/>
        <v>63</v>
      </c>
      <c r="X66">
        <f t="shared" si="10"/>
        <v>65</v>
      </c>
      <c r="Y66">
        <f t="shared" si="10"/>
        <v>67</v>
      </c>
      <c r="AA66">
        <v>94</v>
      </c>
      <c r="AB66">
        <f t="shared" si="11"/>
        <v>66</v>
      </c>
      <c r="AC66">
        <f t="shared" si="11"/>
        <v>68</v>
      </c>
      <c r="AD66">
        <f t="shared" si="11"/>
        <v>70</v>
      </c>
      <c r="AE66">
        <f t="shared" si="11"/>
        <v>72</v>
      </c>
      <c r="AF66">
        <f t="shared" si="11"/>
        <v>74</v>
      </c>
      <c r="AG66">
        <f t="shared" si="11"/>
        <v>76</v>
      </c>
      <c r="AH66">
        <f t="shared" si="11"/>
        <v>78</v>
      </c>
      <c r="AI66">
        <f t="shared" si="11"/>
        <v>80</v>
      </c>
      <c r="AJ66">
        <f t="shared" si="11"/>
        <v>82</v>
      </c>
      <c r="AK66">
        <f t="shared" si="11"/>
        <v>84</v>
      </c>
      <c r="AL66">
        <f t="shared" si="11"/>
        <v>86</v>
      </c>
      <c r="AN66">
        <v>94</v>
      </c>
      <c r="AO66">
        <f t="shared" si="12"/>
        <v>85</v>
      </c>
      <c r="AP66">
        <f t="shared" si="12"/>
        <v>87</v>
      </c>
      <c r="AQ66">
        <f t="shared" si="12"/>
        <v>89</v>
      </c>
      <c r="AR66">
        <f t="shared" si="12"/>
        <v>91</v>
      </c>
      <c r="AS66">
        <f t="shared" si="12"/>
        <v>93</v>
      </c>
      <c r="AT66">
        <f t="shared" si="12"/>
        <v>95</v>
      </c>
      <c r="AU66">
        <f t="shared" si="12"/>
        <v>97</v>
      </c>
      <c r="AV66">
        <f t="shared" si="12"/>
        <v>99</v>
      </c>
      <c r="AW66">
        <f t="shared" si="12"/>
        <v>101</v>
      </c>
      <c r="AX66">
        <f t="shared" si="12"/>
        <v>103</v>
      </c>
      <c r="AY66">
        <f t="shared" si="12"/>
        <v>105</v>
      </c>
    </row>
    <row r="67" spans="1:51" ht="12.75">
      <c r="A67">
        <v>95</v>
      </c>
      <c r="B67">
        <f aca="true" t="shared" si="13" ref="B67:L72">ROUND(($A67*0.3)+(B$3*2),0)</f>
        <v>29</v>
      </c>
      <c r="C67">
        <f t="shared" si="13"/>
        <v>31</v>
      </c>
      <c r="D67">
        <f t="shared" si="13"/>
        <v>33</v>
      </c>
      <c r="E67">
        <f t="shared" si="13"/>
        <v>35</v>
      </c>
      <c r="F67">
        <f t="shared" si="13"/>
        <v>37</v>
      </c>
      <c r="G67">
        <f t="shared" si="13"/>
        <v>39</v>
      </c>
      <c r="H67">
        <f t="shared" si="13"/>
        <v>41</v>
      </c>
      <c r="I67">
        <f t="shared" si="13"/>
        <v>43</v>
      </c>
      <c r="J67">
        <f t="shared" si="13"/>
        <v>45</v>
      </c>
      <c r="K67">
        <f t="shared" si="13"/>
        <v>47</v>
      </c>
      <c r="L67">
        <f t="shared" si="13"/>
        <v>49</v>
      </c>
      <c r="N67">
        <v>95</v>
      </c>
      <c r="O67">
        <f aca="true" t="shared" si="14" ref="O67:Y72">ROUND(($N67*0.5)+(O$3*2),0)</f>
        <v>48</v>
      </c>
      <c r="P67">
        <f t="shared" si="14"/>
        <v>50</v>
      </c>
      <c r="Q67">
        <f t="shared" si="14"/>
        <v>52</v>
      </c>
      <c r="R67">
        <f t="shared" si="14"/>
        <v>54</v>
      </c>
      <c r="S67">
        <f t="shared" si="14"/>
        <v>56</v>
      </c>
      <c r="T67">
        <f t="shared" si="14"/>
        <v>58</v>
      </c>
      <c r="U67">
        <f t="shared" si="14"/>
        <v>60</v>
      </c>
      <c r="V67">
        <f t="shared" si="14"/>
        <v>62</v>
      </c>
      <c r="W67">
        <f t="shared" si="14"/>
        <v>64</v>
      </c>
      <c r="X67">
        <f t="shared" si="14"/>
        <v>66</v>
      </c>
      <c r="Y67">
        <f t="shared" si="14"/>
        <v>68</v>
      </c>
      <c r="AA67">
        <v>95</v>
      </c>
      <c r="AB67">
        <f aca="true" t="shared" si="15" ref="AB67:AL72">ROUND(($AA67*0.7)+(AB$3*2),0)</f>
        <v>67</v>
      </c>
      <c r="AC67">
        <f t="shared" si="15"/>
        <v>69</v>
      </c>
      <c r="AD67">
        <f t="shared" si="15"/>
        <v>71</v>
      </c>
      <c r="AE67">
        <f t="shared" si="15"/>
        <v>73</v>
      </c>
      <c r="AF67">
        <f t="shared" si="15"/>
        <v>75</v>
      </c>
      <c r="AG67">
        <f t="shared" si="15"/>
        <v>77</v>
      </c>
      <c r="AH67">
        <f t="shared" si="15"/>
        <v>79</v>
      </c>
      <c r="AI67">
        <f t="shared" si="15"/>
        <v>81</v>
      </c>
      <c r="AJ67">
        <f t="shared" si="15"/>
        <v>83</v>
      </c>
      <c r="AK67">
        <f t="shared" si="15"/>
        <v>85</v>
      </c>
      <c r="AL67">
        <f t="shared" si="15"/>
        <v>87</v>
      </c>
      <c r="AN67">
        <v>95</v>
      </c>
      <c r="AO67">
        <f aca="true" t="shared" si="16" ref="AO67:AY72">ROUND(($AN67*0.9)+(AO$3*2),0)</f>
        <v>86</v>
      </c>
      <c r="AP67">
        <f t="shared" si="16"/>
        <v>88</v>
      </c>
      <c r="AQ67">
        <f t="shared" si="16"/>
        <v>90</v>
      </c>
      <c r="AR67">
        <f t="shared" si="16"/>
        <v>92</v>
      </c>
      <c r="AS67">
        <f t="shared" si="16"/>
        <v>94</v>
      </c>
      <c r="AT67">
        <f t="shared" si="16"/>
        <v>96</v>
      </c>
      <c r="AU67">
        <f t="shared" si="16"/>
        <v>98</v>
      </c>
      <c r="AV67">
        <f t="shared" si="16"/>
        <v>100</v>
      </c>
      <c r="AW67">
        <f t="shared" si="16"/>
        <v>102</v>
      </c>
      <c r="AX67">
        <f t="shared" si="16"/>
        <v>104</v>
      </c>
      <c r="AY67">
        <f t="shared" si="16"/>
        <v>106</v>
      </c>
    </row>
    <row r="68" spans="1:51" ht="12.75">
      <c r="A68">
        <v>96</v>
      </c>
      <c r="B68">
        <f t="shared" si="13"/>
        <v>29</v>
      </c>
      <c r="C68">
        <f t="shared" si="13"/>
        <v>31</v>
      </c>
      <c r="D68">
        <f t="shared" si="13"/>
        <v>33</v>
      </c>
      <c r="E68">
        <f t="shared" si="13"/>
        <v>35</v>
      </c>
      <c r="F68">
        <f t="shared" si="13"/>
        <v>37</v>
      </c>
      <c r="G68">
        <f t="shared" si="13"/>
        <v>39</v>
      </c>
      <c r="H68">
        <f t="shared" si="13"/>
        <v>41</v>
      </c>
      <c r="I68">
        <f t="shared" si="13"/>
        <v>43</v>
      </c>
      <c r="J68">
        <f t="shared" si="13"/>
        <v>45</v>
      </c>
      <c r="K68">
        <f t="shared" si="13"/>
        <v>47</v>
      </c>
      <c r="L68">
        <f t="shared" si="13"/>
        <v>49</v>
      </c>
      <c r="N68">
        <v>96</v>
      </c>
      <c r="O68">
        <f t="shared" si="14"/>
        <v>48</v>
      </c>
      <c r="P68">
        <f t="shared" si="14"/>
        <v>50</v>
      </c>
      <c r="Q68">
        <f t="shared" si="14"/>
        <v>52</v>
      </c>
      <c r="R68">
        <f t="shared" si="14"/>
        <v>54</v>
      </c>
      <c r="S68">
        <f t="shared" si="14"/>
        <v>56</v>
      </c>
      <c r="T68">
        <f t="shared" si="14"/>
        <v>58</v>
      </c>
      <c r="U68">
        <f t="shared" si="14"/>
        <v>60</v>
      </c>
      <c r="V68">
        <f t="shared" si="14"/>
        <v>62</v>
      </c>
      <c r="W68">
        <f t="shared" si="14"/>
        <v>64</v>
      </c>
      <c r="X68">
        <f t="shared" si="14"/>
        <v>66</v>
      </c>
      <c r="Y68">
        <f t="shared" si="14"/>
        <v>68</v>
      </c>
      <c r="AA68">
        <v>96</v>
      </c>
      <c r="AB68">
        <f t="shared" si="15"/>
        <v>67</v>
      </c>
      <c r="AC68">
        <f t="shared" si="15"/>
        <v>69</v>
      </c>
      <c r="AD68">
        <f t="shared" si="15"/>
        <v>71</v>
      </c>
      <c r="AE68">
        <f t="shared" si="15"/>
        <v>73</v>
      </c>
      <c r="AF68">
        <f t="shared" si="15"/>
        <v>75</v>
      </c>
      <c r="AG68">
        <f t="shared" si="15"/>
        <v>77</v>
      </c>
      <c r="AH68">
        <f t="shared" si="15"/>
        <v>79</v>
      </c>
      <c r="AI68">
        <f t="shared" si="15"/>
        <v>81</v>
      </c>
      <c r="AJ68">
        <f t="shared" si="15"/>
        <v>83</v>
      </c>
      <c r="AK68">
        <f t="shared" si="15"/>
        <v>85</v>
      </c>
      <c r="AL68">
        <f t="shared" si="15"/>
        <v>87</v>
      </c>
      <c r="AN68">
        <v>96</v>
      </c>
      <c r="AO68">
        <f t="shared" si="16"/>
        <v>86</v>
      </c>
      <c r="AP68">
        <f t="shared" si="16"/>
        <v>88</v>
      </c>
      <c r="AQ68">
        <f t="shared" si="16"/>
        <v>90</v>
      </c>
      <c r="AR68">
        <f t="shared" si="16"/>
        <v>92</v>
      </c>
      <c r="AS68">
        <f t="shared" si="16"/>
        <v>94</v>
      </c>
      <c r="AT68">
        <f t="shared" si="16"/>
        <v>96</v>
      </c>
      <c r="AU68">
        <f t="shared" si="16"/>
        <v>98</v>
      </c>
      <c r="AV68">
        <f t="shared" si="16"/>
        <v>100</v>
      </c>
      <c r="AW68">
        <f t="shared" si="16"/>
        <v>102</v>
      </c>
      <c r="AX68">
        <f t="shared" si="16"/>
        <v>104</v>
      </c>
      <c r="AY68">
        <f t="shared" si="16"/>
        <v>106</v>
      </c>
    </row>
    <row r="69" spans="1:51" ht="12.75">
      <c r="A69">
        <v>97</v>
      </c>
      <c r="B69">
        <f t="shared" si="13"/>
        <v>29</v>
      </c>
      <c r="C69">
        <f t="shared" si="13"/>
        <v>31</v>
      </c>
      <c r="D69">
        <f t="shared" si="13"/>
        <v>33</v>
      </c>
      <c r="E69">
        <f t="shared" si="13"/>
        <v>35</v>
      </c>
      <c r="F69">
        <f t="shared" si="13"/>
        <v>37</v>
      </c>
      <c r="G69">
        <f t="shared" si="13"/>
        <v>39</v>
      </c>
      <c r="H69">
        <f t="shared" si="13"/>
        <v>41</v>
      </c>
      <c r="I69">
        <f t="shared" si="13"/>
        <v>43</v>
      </c>
      <c r="J69">
        <f t="shared" si="13"/>
        <v>45</v>
      </c>
      <c r="K69">
        <f t="shared" si="13"/>
        <v>47</v>
      </c>
      <c r="L69">
        <f t="shared" si="13"/>
        <v>49</v>
      </c>
      <c r="N69">
        <v>97</v>
      </c>
      <c r="O69">
        <f t="shared" si="14"/>
        <v>49</v>
      </c>
      <c r="P69">
        <f t="shared" si="14"/>
        <v>51</v>
      </c>
      <c r="Q69">
        <f t="shared" si="14"/>
        <v>53</v>
      </c>
      <c r="R69">
        <f t="shared" si="14"/>
        <v>55</v>
      </c>
      <c r="S69">
        <f t="shared" si="14"/>
        <v>57</v>
      </c>
      <c r="T69">
        <f t="shared" si="14"/>
        <v>59</v>
      </c>
      <c r="U69">
        <f t="shared" si="14"/>
        <v>61</v>
      </c>
      <c r="V69">
        <f t="shared" si="14"/>
        <v>63</v>
      </c>
      <c r="W69">
        <f t="shared" si="14"/>
        <v>65</v>
      </c>
      <c r="X69">
        <f t="shared" si="14"/>
        <v>67</v>
      </c>
      <c r="Y69">
        <f t="shared" si="14"/>
        <v>69</v>
      </c>
      <c r="AA69">
        <v>97</v>
      </c>
      <c r="AB69">
        <f t="shared" si="15"/>
        <v>68</v>
      </c>
      <c r="AC69">
        <f t="shared" si="15"/>
        <v>70</v>
      </c>
      <c r="AD69">
        <f t="shared" si="15"/>
        <v>72</v>
      </c>
      <c r="AE69">
        <f t="shared" si="15"/>
        <v>74</v>
      </c>
      <c r="AF69">
        <f t="shared" si="15"/>
        <v>76</v>
      </c>
      <c r="AG69">
        <f t="shared" si="15"/>
        <v>78</v>
      </c>
      <c r="AH69">
        <f t="shared" si="15"/>
        <v>80</v>
      </c>
      <c r="AI69">
        <f t="shared" si="15"/>
        <v>82</v>
      </c>
      <c r="AJ69">
        <f t="shared" si="15"/>
        <v>84</v>
      </c>
      <c r="AK69">
        <f t="shared" si="15"/>
        <v>86</v>
      </c>
      <c r="AL69">
        <f t="shared" si="15"/>
        <v>88</v>
      </c>
      <c r="AN69">
        <v>97</v>
      </c>
      <c r="AO69">
        <f t="shared" si="16"/>
        <v>87</v>
      </c>
      <c r="AP69">
        <f t="shared" si="16"/>
        <v>89</v>
      </c>
      <c r="AQ69">
        <f t="shared" si="16"/>
        <v>91</v>
      </c>
      <c r="AR69">
        <f t="shared" si="16"/>
        <v>93</v>
      </c>
      <c r="AS69">
        <f t="shared" si="16"/>
        <v>95</v>
      </c>
      <c r="AT69">
        <f t="shared" si="16"/>
        <v>97</v>
      </c>
      <c r="AU69">
        <f t="shared" si="16"/>
        <v>99</v>
      </c>
      <c r="AV69">
        <f t="shared" si="16"/>
        <v>101</v>
      </c>
      <c r="AW69">
        <f t="shared" si="16"/>
        <v>103</v>
      </c>
      <c r="AX69">
        <f t="shared" si="16"/>
        <v>105</v>
      </c>
      <c r="AY69">
        <f t="shared" si="16"/>
        <v>107</v>
      </c>
    </row>
    <row r="70" spans="1:51" ht="12.75">
      <c r="A70">
        <v>98</v>
      </c>
      <c r="B70">
        <f t="shared" si="13"/>
        <v>29</v>
      </c>
      <c r="C70">
        <f t="shared" si="13"/>
        <v>31</v>
      </c>
      <c r="D70">
        <f t="shared" si="13"/>
        <v>33</v>
      </c>
      <c r="E70">
        <f t="shared" si="13"/>
        <v>35</v>
      </c>
      <c r="F70">
        <f t="shared" si="13"/>
        <v>37</v>
      </c>
      <c r="G70">
        <f t="shared" si="13"/>
        <v>39</v>
      </c>
      <c r="H70">
        <f t="shared" si="13"/>
        <v>41</v>
      </c>
      <c r="I70">
        <f t="shared" si="13"/>
        <v>43</v>
      </c>
      <c r="J70">
        <f t="shared" si="13"/>
        <v>45</v>
      </c>
      <c r="K70">
        <f t="shared" si="13"/>
        <v>47</v>
      </c>
      <c r="L70">
        <f t="shared" si="13"/>
        <v>49</v>
      </c>
      <c r="N70">
        <v>98</v>
      </c>
      <c r="O70">
        <f t="shared" si="14"/>
        <v>49</v>
      </c>
      <c r="P70">
        <f t="shared" si="14"/>
        <v>51</v>
      </c>
      <c r="Q70">
        <f t="shared" si="14"/>
        <v>53</v>
      </c>
      <c r="R70">
        <f t="shared" si="14"/>
        <v>55</v>
      </c>
      <c r="S70">
        <f t="shared" si="14"/>
        <v>57</v>
      </c>
      <c r="T70">
        <f t="shared" si="14"/>
        <v>59</v>
      </c>
      <c r="U70">
        <f t="shared" si="14"/>
        <v>61</v>
      </c>
      <c r="V70">
        <f t="shared" si="14"/>
        <v>63</v>
      </c>
      <c r="W70">
        <f t="shared" si="14"/>
        <v>65</v>
      </c>
      <c r="X70">
        <f t="shared" si="14"/>
        <v>67</v>
      </c>
      <c r="Y70">
        <f t="shared" si="14"/>
        <v>69</v>
      </c>
      <c r="AA70">
        <v>98</v>
      </c>
      <c r="AB70">
        <f t="shared" si="15"/>
        <v>69</v>
      </c>
      <c r="AC70">
        <f t="shared" si="15"/>
        <v>71</v>
      </c>
      <c r="AD70">
        <f t="shared" si="15"/>
        <v>73</v>
      </c>
      <c r="AE70">
        <f t="shared" si="15"/>
        <v>75</v>
      </c>
      <c r="AF70">
        <f t="shared" si="15"/>
        <v>77</v>
      </c>
      <c r="AG70">
        <f t="shared" si="15"/>
        <v>79</v>
      </c>
      <c r="AH70">
        <f t="shared" si="15"/>
        <v>81</v>
      </c>
      <c r="AI70">
        <f t="shared" si="15"/>
        <v>83</v>
      </c>
      <c r="AJ70">
        <f t="shared" si="15"/>
        <v>85</v>
      </c>
      <c r="AK70">
        <f t="shared" si="15"/>
        <v>87</v>
      </c>
      <c r="AL70">
        <f t="shared" si="15"/>
        <v>89</v>
      </c>
      <c r="AN70">
        <v>98</v>
      </c>
      <c r="AO70">
        <f t="shared" si="16"/>
        <v>88</v>
      </c>
      <c r="AP70">
        <f t="shared" si="16"/>
        <v>90</v>
      </c>
      <c r="AQ70">
        <f t="shared" si="16"/>
        <v>92</v>
      </c>
      <c r="AR70">
        <f t="shared" si="16"/>
        <v>94</v>
      </c>
      <c r="AS70">
        <f t="shared" si="16"/>
        <v>96</v>
      </c>
      <c r="AT70">
        <f t="shared" si="16"/>
        <v>98</v>
      </c>
      <c r="AU70">
        <f t="shared" si="16"/>
        <v>100</v>
      </c>
      <c r="AV70">
        <f t="shared" si="16"/>
        <v>102</v>
      </c>
      <c r="AW70">
        <f t="shared" si="16"/>
        <v>104</v>
      </c>
      <c r="AX70">
        <f t="shared" si="16"/>
        <v>106</v>
      </c>
      <c r="AY70">
        <f t="shared" si="16"/>
        <v>108</v>
      </c>
    </row>
    <row r="71" spans="1:51" ht="12.75">
      <c r="A71">
        <v>99</v>
      </c>
      <c r="B71">
        <f t="shared" si="13"/>
        <v>30</v>
      </c>
      <c r="C71">
        <f t="shared" si="13"/>
        <v>32</v>
      </c>
      <c r="D71">
        <f t="shared" si="13"/>
        <v>34</v>
      </c>
      <c r="E71">
        <f t="shared" si="13"/>
        <v>36</v>
      </c>
      <c r="F71">
        <f t="shared" si="13"/>
        <v>38</v>
      </c>
      <c r="G71">
        <f t="shared" si="13"/>
        <v>40</v>
      </c>
      <c r="H71">
        <f t="shared" si="13"/>
        <v>42</v>
      </c>
      <c r="I71">
        <f t="shared" si="13"/>
        <v>44</v>
      </c>
      <c r="J71">
        <f t="shared" si="13"/>
        <v>46</v>
      </c>
      <c r="K71">
        <f t="shared" si="13"/>
        <v>48</v>
      </c>
      <c r="L71">
        <f t="shared" si="13"/>
        <v>50</v>
      </c>
      <c r="N71">
        <v>99</v>
      </c>
      <c r="O71">
        <f t="shared" si="14"/>
        <v>50</v>
      </c>
      <c r="P71">
        <f t="shared" si="14"/>
        <v>52</v>
      </c>
      <c r="Q71">
        <f t="shared" si="14"/>
        <v>54</v>
      </c>
      <c r="R71">
        <f t="shared" si="14"/>
        <v>56</v>
      </c>
      <c r="S71">
        <f t="shared" si="14"/>
        <v>58</v>
      </c>
      <c r="T71">
        <f t="shared" si="14"/>
        <v>60</v>
      </c>
      <c r="U71">
        <f t="shared" si="14"/>
        <v>62</v>
      </c>
      <c r="V71">
        <f t="shared" si="14"/>
        <v>64</v>
      </c>
      <c r="W71">
        <f t="shared" si="14"/>
        <v>66</v>
      </c>
      <c r="X71">
        <f t="shared" si="14"/>
        <v>68</v>
      </c>
      <c r="Y71">
        <f t="shared" si="14"/>
        <v>70</v>
      </c>
      <c r="AA71">
        <v>99</v>
      </c>
      <c r="AB71">
        <f t="shared" si="15"/>
        <v>69</v>
      </c>
      <c r="AC71">
        <f t="shared" si="15"/>
        <v>71</v>
      </c>
      <c r="AD71">
        <f t="shared" si="15"/>
        <v>73</v>
      </c>
      <c r="AE71">
        <f t="shared" si="15"/>
        <v>75</v>
      </c>
      <c r="AF71">
        <f t="shared" si="15"/>
        <v>77</v>
      </c>
      <c r="AG71">
        <f t="shared" si="15"/>
        <v>79</v>
      </c>
      <c r="AH71">
        <f t="shared" si="15"/>
        <v>81</v>
      </c>
      <c r="AI71">
        <f t="shared" si="15"/>
        <v>83</v>
      </c>
      <c r="AJ71">
        <f t="shared" si="15"/>
        <v>85</v>
      </c>
      <c r="AK71">
        <f t="shared" si="15"/>
        <v>87</v>
      </c>
      <c r="AL71">
        <f t="shared" si="15"/>
        <v>89</v>
      </c>
      <c r="AN71">
        <v>99</v>
      </c>
      <c r="AO71">
        <f t="shared" si="16"/>
        <v>89</v>
      </c>
      <c r="AP71">
        <f t="shared" si="16"/>
        <v>91</v>
      </c>
      <c r="AQ71">
        <f t="shared" si="16"/>
        <v>93</v>
      </c>
      <c r="AR71">
        <f t="shared" si="16"/>
        <v>95</v>
      </c>
      <c r="AS71">
        <f t="shared" si="16"/>
        <v>97</v>
      </c>
      <c r="AT71">
        <f t="shared" si="16"/>
        <v>99</v>
      </c>
      <c r="AU71">
        <f t="shared" si="16"/>
        <v>101</v>
      </c>
      <c r="AV71">
        <f t="shared" si="16"/>
        <v>103</v>
      </c>
      <c r="AW71">
        <f t="shared" si="16"/>
        <v>105</v>
      </c>
      <c r="AX71">
        <f t="shared" si="16"/>
        <v>107</v>
      </c>
      <c r="AY71">
        <f t="shared" si="16"/>
        <v>109</v>
      </c>
    </row>
    <row r="72" spans="1:51" ht="12.75">
      <c r="A72">
        <v>100</v>
      </c>
      <c r="B72">
        <f t="shared" si="13"/>
        <v>30</v>
      </c>
      <c r="C72">
        <f t="shared" si="13"/>
        <v>32</v>
      </c>
      <c r="D72">
        <f t="shared" si="13"/>
        <v>34</v>
      </c>
      <c r="E72">
        <f t="shared" si="13"/>
        <v>36</v>
      </c>
      <c r="F72">
        <f t="shared" si="13"/>
        <v>38</v>
      </c>
      <c r="G72">
        <f t="shared" si="13"/>
        <v>40</v>
      </c>
      <c r="H72">
        <f t="shared" si="13"/>
        <v>42</v>
      </c>
      <c r="I72">
        <f t="shared" si="13"/>
        <v>44</v>
      </c>
      <c r="J72">
        <f t="shared" si="13"/>
        <v>46</v>
      </c>
      <c r="K72">
        <f t="shared" si="13"/>
        <v>48</v>
      </c>
      <c r="L72">
        <f t="shared" si="13"/>
        <v>50</v>
      </c>
      <c r="N72">
        <v>100</v>
      </c>
      <c r="O72">
        <f t="shared" si="14"/>
        <v>50</v>
      </c>
      <c r="P72">
        <f t="shared" si="14"/>
        <v>52</v>
      </c>
      <c r="Q72">
        <f t="shared" si="14"/>
        <v>54</v>
      </c>
      <c r="R72">
        <f t="shared" si="14"/>
        <v>56</v>
      </c>
      <c r="S72">
        <f t="shared" si="14"/>
        <v>58</v>
      </c>
      <c r="T72">
        <f t="shared" si="14"/>
        <v>60</v>
      </c>
      <c r="U72">
        <f t="shared" si="14"/>
        <v>62</v>
      </c>
      <c r="V72">
        <f t="shared" si="14"/>
        <v>64</v>
      </c>
      <c r="W72">
        <f t="shared" si="14"/>
        <v>66</v>
      </c>
      <c r="X72">
        <f t="shared" si="14"/>
        <v>68</v>
      </c>
      <c r="Y72">
        <f t="shared" si="14"/>
        <v>70</v>
      </c>
      <c r="AA72">
        <v>100</v>
      </c>
      <c r="AB72">
        <f t="shared" si="15"/>
        <v>70</v>
      </c>
      <c r="AC72">
        <f t="shared" si="15"/>
        <v>72</v>
      </c>
      <c r="AD72">
        <f t="shared" si="15"/>
        <v>74</v>
      </c>
      <c r="AE72">
        <f t="shared" si="15"/>
        <v>76</v>
      </c>
      <c r="AF72">
        <f t="shared" si="15"/>
        <v>78</v>
      </c>
      <c r="AG72">
        <f t="shared" si="15"/>
        <v>80</v>
      </c>
      <c r="AH72">
        <f t="shared" si="15"/>
        <v>82</v>
      </c>
      <c r="AI72">
        <f t="shared" si="15"/>
        <v>84</v>
      </c>
      <c r="AJ72">
        <f t="shared" si="15"/>
        <v>86</v>
      </c>
      <c r="AK72">
        <f t="shared" si="15"/>
        <v>88</v>
      </c>
      <c r="AL72">
        <f t="shared" si="15"/>
        <v>90</v>
      </c>
      <c r="AN72">
        <v>100</v>
      </c>
      <c r="AO72">
        <f t="shared" si="16"/>
        <v>90</v>
      </c>
      <c r="AP72">
        <f t="shared" si="16"/>
        <v>92</v>
      </c>
      <c r="AQ72">
        <f t="shared" si="16"/>
        <v>94</v>
      </c>
      <c r="AR72">
        <f t="shared" si="16"/>
        <v>96</v>
      </c>
      <c r="AS72">
        <f t="shared" si="16"/>
        <v>98</v>
      </c>
      <c r="AT72">
        <f t="shared" si="16"/>
        <v>100</v>
      </c>
      <c r="AU72">
        <f t="shared" si="16"/>
        <v>102</v>
      </c>
      <c r="AV72">
        <f t="shared" si="16"/>
        <v>104</v>
      </c>
      <c r="AW72">
        <f t="shared" si="16"/>
        <v>106</v>
      </c>
      <c r="AX72">
        <f t="shared" si="16"/>
        <v>108</v>
      </c>
      <c r="AY72">
        <f t="shared" si="16"/>
        <v>110</v>
      </c>
    </row>
    <row r="75" spans="1:12" ht="12.75">
      <c r="A75" s="1056"/>
      <c r="B75" s="1056"/>
      <c r="C75" s="1056"/>
      <c r="D75" s="1056"/>
      <c r="E75" s="1056"/>
      <c r="F75" s="1056"/>
      <c r="G75" s="1056"/>
      <c r="H75" s="1056"/>
      <c r="I75" s="1056"/>
      <c r="J75" s="1056"/>
      <c r="K75" s="1056"/>
      <c r="L75" s="1056"/>
    </row>
    <row r="76" spans="1:12" ht="13.5" thickBot="1">
      <c r="A76" s="1056"/>
      <c r="B76" s="1056"/>
      <c r="C76" s="1056"/>
      <c r="D76" s="1056"/>
      <c r="E76" s="1056"/>
      <c r="F76" s="1056"/>
      <c r="G76" s="1056"/>
      <c r="H76" s="1056"/>
      <c r="I76" s="1056"/>
      <c r="J76" s="1056"/>
      <c r="K76" s="1056"/>
      <c r="L76" s="1056"/>
    </row>
    <row r="77" spans="2:12" ht="13.5" thickBot="1">
      <c r="B77" s="1049"/>
      <c r="C77" s="1049"/>
      <c r="D77" s="1049"/>
      <c r="E77" s="1049"/>
      <c r="F77" s="1049"/>
      <c r="G77" s="1137"/>
      <c r="H77" s="958"/>
      <c r="I77" s="958"/>
      <c r="J77" s="1137"/>
      <c r="K77" s="958"/>
      <c r="L77" s="1138"/>
    </row>
    <row r="78" spans="1:12" ht="12.75">
      <c r="A78" s="371"/>
      <c r="B78" s="1052"/>
      <c r="C78" s="1053"/>
      <c r="D78" s="1053"/>
      <c r="E78" s="1053"/>
      <c r="F78" s="1054"/>
      <c r="G78" s="1069"/>
      <c r="H78" s="928"/>
      <c r="I78" s="928"/>
      <c r="J78" s="1069"/>
      <c r="K78" s="928"/>
      <c r="L78" s="1070"/>
    </row>
    <row r="79" spans="1:12" ht="50.25" customHeight="1">
      <c r="A79" s="380"/>
      <c r="B79" s="1141"/>
      <c r="C79" s="1142"/>
      <c r="D79" s="1142"/>
      <c r="E79" s="1142"/>
      <c r="F79" s="1142"/>
      <c r="G79" s="1139"/>
      <c r="H79" s="1140"/>
      <c r="I79" s="1140"/>
      <c r="J79" s="1139"/>
      <c r="K79" s="1140"/>
      <c r="L79" s="1140"/>
    </row>
    <row r="80" spans="1:12" ht="50.25" customHeight="1">
      <c r="A80" s="380"/>
      <c r="B80" s="1141"/>
      <c r="C80" s="1142"/>
      <c r="D80" s="1142"/>
      <c r="E80" s="1142"/>
      <c r="F80" s="1142"/>
      <c r="G80" s="1139"/>
      <c r="H80" s="1140"/>
      <c r="I80" s="1140"/>
      <c r="J80" s="1139"/>
      <c r="K80" s="1140"/>
      <c r="L80" s="1140"/>
    </row>
    <row r="81" spans="1:12" ht="51" customHeight="1">
      <c r="A81" s="380"/>
      <c r="B81" s="1141"/>
      <c r="C81" s="1142"/>
      <c r="D81" s="1142"/>
      <c r="E81" s="1142"/>
      <c r="F81" s="1142"/>
      <c r="G81" s="1139"/>
      <c r="H81" s="1140"/>
      <c r="I81" s="1140"/>
      <c r="J81" s="1139"/>
      <c r="K81" s="1140"/>
      <c r="L81" s="1140"/>
    </row>
    <row r="82" spans="1:12" ht="51" customHeight="1">
      <c r="A82" s="380"/>
      <c r="B82" s="1141"/>
      <c r="C82" s="1142"/>
      <c r="D82" s="1142"/>
      <c r="E82" s="1142"/>
      <c r="F82" s="1142"/>
      <c r="G82" s="1139"/>
      <c r="H82" s="1140"/>
      <c r="I82" s="1140"/>
      <c r="J82" s="1139"/>
      <c r="K82" s="1140"/>
      <c r="L82" s="1140"/>
    </row>
    <row r="83" spans="1:12" ht="51" customHeight="1">
      <c r="A83" s="380"/>
      <c r="B83" s="1141"/>
      <c r="C83" s="1142"/>
      <c r="D83" s="1142"/>
      <c r="E83" s="1142"/>
      <c r="F83" s="1142"/>
      <c r="G83" s="1139"/>
      <c r="H83" s="1140"/>
      <c r="I83" s="1140"/>
      <c r="J83" s="1139"/>
      <c r="K83" s="1140"/>
      <c r="L83" s="1140"/>
    </row>
    <row r="84" spans="1:12" ht="38.25" customHeight="1">
      <c r="A84" s="380"/>
      <c r="B84" s="1141"/>
      <c r="C84" s="1142"/>
      <c r="D84" s="1142"/>
      <c r="E84" s="1142"/>
      <c r="F84" s="1142"/>
      <c r="G84" s="1139"/>
      <c r="H84" s="1140"/>
      <c r="I84" s="1140"/>
      <c r="J84" s="1139"/>
      <c r="K84" s="1140"/>
      <c r="L84" s="1140"/>
    </row>
    <row r="85" spans="1:12" ht="25.5" customHeight="1">
      <c r="A85" s="380"/>
      <c r="B85" s="1141"/>
      <c r="C85" s="1142"/>
      <c r="D85" s="1142"/>
      <c r="E85" s="1142"/>
      <c r="F85" s="1142"/>
      <c r="G85" s="1139"/>
      <c r="H85" s="1140"/>
      <c r="I85" s="1140"/>
      <c r="J85" s="1139"/>
      <c r="K85" s="1140"/>
      <c r="L85" s="1140"/>
    </row>
    <row r="86" spans="1:12" ht="26.25" customHeight="1">
      <c r="A86" s="380"/>
      <c r="B86" s="1141"/>
      <c r="C86" s="1142"/>
      <c r="D86" s="1142"/>
      <c r="E86" s="1142"/>
      <c r="F86" s="1142"/>
      <c r="G86" s="1139"/>
      <c r="H86" s="1140"/>
      <c r="I86" s="1140"/>
      <c r="J86" s="1139"/>
      <c r="K86" s="1140"/>
      <c r="L86" s="1140"/>
    </row>
    <row r="87" spans="2:12" ht="12.75">
      <c r="B87" s="1049"/>
      <c r="C87" s="1049"/>
      <c r="D87" s="1049"/>
      <c r="E87" s="1049"/>
      <c r="F87" s="1049"/>
      <c r="G87" s="1049"/>
      <c r="H87" s="1049"/>
      <c r="I87" s="1049"/>
      <c r="J87" s="1049"/>
      <c r="K87" s="1049"/>
      <c r="L87" s="1049"/>
    </row>
    <row r="88" spans="2:12" ht="12.75">
      <c r="B88" s="1049"/>
      <c r="C88" s="1049"/>
      <c r="D88" s="1049"/>
      <c r="E88" s="1049"/>
      <c r="F88" s="1049"/>
      <c r="G88" s="1049"/>
      <c r="H88" s="1049"/>
      <c r="I88" s="1049"/>
      <c r="J88" s="1049"/>
      <c r="K88" s="1049"/>
      <c r="L88" s="1049"/>
    </row>
    <row r="89" spans="2:12" ht="12.75">
      <c r="B89" s="1049"/>
      <c r="C89" s="1049"/>
      <c r="D89" s="1049"/>
      <c r="E89" s="1049"/>
      <c r="F89" s="1049"/>
      <c r="G89" s="1049"/>
      <c r="H89" s="1049"/>
      <c r="I89" s="1049"/>
      <c r="J89" s="1049"/>
      <c r="K89" s="1049"/>
      <c r="L89" s="1049"/>
    </row>
    <row r="90" spans="2:12" ht="12.75">
      <c r="B90" s="1049"/>
      <c r="C90" s="1049"/>
      <c r="D90" s="1049"/>
      <c r="E90" s="1049"/>
      <c r="F90" s="1049"/>
      <c r="G90" s="1049"/>
      <c r="H90" s="1049"/>
      <c r="I90" s="1049"/>
      <c r="J90" s="1049"/>
      <c r="K90" s="1049"/>
      <c r="L90" s="1049"/>
    </row>
    <row r="91" spans="2:12" ht="12.75">
      <c r="B91" s="1049"/>
      <c r="C91" s="1049"/>
      <c r="D91" s="1049"/>
      <c r="E91" s="1049"/>
      <c r="F91" s="1049"/>
      <c r="G91" s="1049"/>
      <c r="H91" s="1049"/>
      <c r="I91" s="1049"/>
      <c r="J91" s="1049"/>
      <c r="K91" s="1049"/>
      <c r="L91" s="1049"/>
    </row>
    <row r="92" spans="2:12" ht="12.75">
      <c r="B92" s="1049"/>
      <c r="C92" s="1049"/>
      <c r="D92" s="1049"/>
      <c r="E92" s="1049"/>
      <c r="F92" s="1049"/>
      <c r="G92" s="1049"/>
      <c r="H92" s="1049"/>
      <c r="I92" s="1049"/>
      <c r="J92" s="1049"/>
      <c r="K92" s="1049"/>
      <c r="L92" s="1049"/>
    </row>
  </sheetData>
  <sheetProtection sheet="1" objects="1" scenarios="1"/>
  <mergeCells count="54">
    <mergeCell ref="A75:L75"/>
    <mergeCell ref="A76:L76"/>
    <mergeCell ref="B77:F77"/>
    <mergeCell ref="B92:F92"/>
    <mergeCell ref="G92:I92"/>
    <mergeCell ref="J92:L92"/>
    <mergeCell ref="B79:F79"/>
    <mergeCell ref="B80:F80"/>
    <mergeCell ref="B81:F81"/>
    <mergeCell ref="B83:F83"/>
    <mergeCell ref="B84:F84"/>
    <mergeCell ref="B85:F85"/>
    <mergeCell ref="B90:F90"/>
    <mergeCell ref="G90:I90"/>
    <mergeCell ref="B86:F86"/>
    <mergeCell ref="G86:I86"/>
    <mergeCell ref="B87:F87"/>
    <mergeCell ref="G87:I87"/>
    <mergeCell ref="B91:F91"/>
    <mergeCell ref="G91:I91"/>
    <mergeCell ref="J91:L91"/>
    <mergeCell ref="B88:F88"/>
    <mergeCell ref="G88:I88"/>
    <mergeCell ref="J88:L88"/>
    <mergeCell ref="B89:F89"/>
    <mergeCell ref="G89:I89"/>
    <mergeCell ref="J89:L89"/>
    <mergeCell ref="J90:L90"/>
    <mergeCell ref="J87:L87"/>
    <mergeCell ref="G84:I84"/>
    <mergeCell ref="J84:L84"/>
    <mergeCell ref="G85:I85"/>
    <mergeCell ref="J85:L85"/>
    <mergeCell ref="J86:L86"/>
    <mergeCell ref="G81:I81"/>
    <mergeCell ref="J81:L81"/>
    <mergeCell ref="B82:F82"/>
    <mergeCell ref="G83:I83"/>
    <mergeCell ref="J82:L82"/>
    <mergeCell ref="G82:I82"/>
    <mergeCell ref="J83:L83"/>
    <mergeCell ref="G79:I79"/>
    <mergeCell ref="J79:L79"/>
    <mergeCell ref="G80:I80"/>
    <mergeCell ref="J80:L80"/>
    <mergeCell ref="B78:F78"/>
    <mergeCell ref="G77:I77"/>
    <mergeCell ref="J77:L77"/>
    <mergeCell ref="G78:I78"/>
    <mergeCell ref="J78:L78"/>
    <mergeCell ref="B2:L2"/>
    <mergeCell ref="O2:Y2"/>
    <mergeCell ref="AB2:AL2"/>
    <mergeCell ref="AO2:AY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steve.campbell</cp:lastModifiedBy>
  <cp:lastPrinted>2008-01-03T20:50:34Z</cp:lastPrinted>
  <dcterms:created xsi:type="dcterms:W3CDTF">2003-02-05T14:38:03Z</dcterms:created>
  <dcterms:modified xsi:type="dcterms:W3CDTF">2008-01-23T22:51:00Z</dcterms:modified>
  <cp:category/>
  <cp:version/>
  <cp:contentType/>
  <cp:contentStatus/>
</cp:coreProperties>
</file>